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165" windowWidth="3195" windowHeight="11535" tabRatio="695" activeTab="7"/>
  </bookViews>
  <sheets>
    <sheet name="General Settings" sheetId="29" r:id="rId1"/>
    <sheet name="SynthDepo" sheetId="32" r:id="rId2"/>
    <sheet name="RateHelpersFra" sheetId="34" r:id="rId3"/>
    <sheet name="Contribution" sheetId="33" r:id="rId4"/>
    <sheet name="SynthFra" sheetId="35" r:id="rId5"/>
    <sheet name="FRACharts" sheetId="36" r:id="rId6"/>
    <sheet name="basis 3M" sheetId="42" r:id="rId7"/>
    <sheet name="3M Depo Charts" sheetId="43" r:id="rId8"/>
    <sheet name="basis 6M " sheetId="40" r:id="rId9"/>
    <sheet name="6M Depo Charts" sheetId="39" r:id="rId10"/>
  </sheets>
  <externalReferences>
    <externalReference r:id="rId11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DayCounter3M" localSheetId="7">'3M Depo Charts'!$E$10</definedName>
    <definedName name="DayCounter3M" localSheetId="9">'6M Depo Charts'!$E$10</definedName>
    <definedName name="DayCounter3M">#REF!</definedName>
    <definedName name="DayCounterOIS" localSheetId="7">'3M Depo Charts'!$E$11</definedName>
    <definedName name="DayCounterOIS" localSheetId="9">'6M Depo Charts'!$E$11</definedName>
    <definedName name="DayCounterOIS">#REF!</definedName>
    <definedName name="DayCounterON" localSheetId="7">'3M Depo Charts'!$E$12</definedName>
    <definedName name="DayCounterON" localSheetId="9">'6M Depo Charts'!$E$12</definedName>
    <definedName name="DayCounterON">#REF!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3">Contribution!$N$3:$N$84</definedName>
    <definedName name="QuoteLive" localSheetId="3">Contribution!$J$3:$J$84</definedName>
    <definedName name="QuoteStatic" localSheetId="3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J9" i="33" l="1"/>
  <c r="J10" i="33"/>
  <c r="J11" i="33"/>
  <c r="J12" i="33"/>
  <c r="J13" i="33"/>
  <c r="J14" i="33"/>
  <c r="J8" i="33"/>
  <c r="P7" i="43"/>
  <c r="P4" i="43"/>
  <c r="P3" i="43"/>
  <c r="D5" i="43"/>
  <c r="P14" i="43"/>
  <c r="P13" i="43"/>
  <c r="P12" i="43"/>
  <c r="X4" i="43"/>
  <c r="V4" i="43"/>
  <c r="P11" i="43"/>
  <c r="P10" i="43"/>
  <c r="D3" i="43"/>
  <c r="A11" i="32"/>
  <c r="J7" i="43"/>
  <c r="I6" i="43"/>
  <c r="I7" i="43"/>
  <c r="I5" i="43"/>
  <c r="C7" i="43"/>
  <c r="C6" i="43"/>
  <c r="E6" i="43"/>
  <c r="E5" i="43"/>
  <c r="E7" i="43"/>
  <c r="C5" i="43"/>
  <c r="E3" i="43"/>
  <c r="F3" i="43" s="1"/>
  <c r="D7" i="43" l="1"/>
  <c r="D6" i="43"/>
  <c r="P4" i="39" l="1"/>
  <c r="P7" i="39"/>
  <c r="P3" i="39"/>
  <c r="P11" i="39" l="1"/>
  <c r="P10" i="39"/>
  <c r="P12" i="39"/>
  <c r="P13" i="39"/>
  <c r="P14" i="39"/>
  <c r="C6" i="39"/>
  <c r="D6" i="39" s="1"/>
  <c r="C7" i="39"/>
  <c r="D7" i="39" s="1"/>
  <c r="C5" i="39"/>
  <c r="D5" i="39" s="1"/>
  <c r="D3" i="39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X4" i="39"/>
  <c r="V4" i="39"/>
  <c r="A9" i="40" l="1"/>
  <c r="C8" i="40"/>
  <c r="D8" i="40" s="1"/>
  <c r="A10" i="40" l="1"/>
  <c r="C9" i="40"/>
  <c r="D9" i="40" s="1"/>
  <c r="B12" i="36"/>
  <c r="A11" i="40" l="1"/>
  <c r="C10" i="40"/>
  <c r="D10" i="40" s="1"/>
  <c r="B13" i="36"/>
  <c r="A12" i="40" l="1"/>
  <c r="C11" i="40"/>
  <c r="D11" i="40" s="1"/>
  <c r="B14" i="36"/>
  <c r="A13" i="40" l="1"/>
  <c r="C12" i="40"/>
  <c r="D12" i="40" s="1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A14" i="40" l="1"/>
  <c r="C13" i="40"/>
  <c r="D13" i="40" s="1"/>
  <c r="I9" i="32"/>
  <c r="I8" i="32"/>
  <c r="I18" i="32"/>
  <c r="I17" i="32"/>
  <c r="J22" i="29"/>
  <c r="J19" i="29"/>
  <c r="I3" i="43"/>
  <c r="G3" i="43"/>
  <c r="A15" i="40" l="1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K3" i="4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48" i="33"/>
  <c r="D75" i="33"/>
  <c r="D80" i="33"/>
  <c r="D65" i="33"/>
  <c r="D69" i="33"/>
  <c r="D50" i="33"/>
  <c r="D42" i="33"/>
  <c r="D71" i="33"/>
  <c r="D52" i="33"/>
  <c r="D67" i="33"/>
  <c r="D51" i="33"/>
  <c r="D76" i="33"/>
  <c r="D45" i="33"/>
  <c r="D83" i="33"/>
  <c r="D53" i="33"/>
  <c r="D59" i="33"/>
  <c r="D63" i="33"/>
  <c r="D77" i="33"/>
  <c r="D57" i="33"/>
  <c r="D78" i="33"/>
  <c r="D60" i="33"/>
  <c r="D82" i="33"/>
  <c r="D54" i="33"/>
  <c r="D58" i="33"/>
  <c r="D44" i="33"/>
  <c r="D79" i="33"/>
  <c r="D43" i="33"/>
  <c r="D55" i="33"/>
  <c r="D66" i="33"/>
  <c r="D81" i="33"/>
  <c r="D47" i="33"/>
  <c r="D68" i="33"/>
  <c r="D73" i="33"/>
  <c r="D74" i="33"/>
  <c r="D61" i="33"/>
  <c r="D56" i="33"/>
  <c r="D46" i="33"/>
  <c r="D84" i="33"/>
  <c r="D70" i="33"/>
  <c r="D64" i="33"/>
  <c r="D41" i="33"/>
  <c r="D49" i="33"/>
  <c r="D62" i="33"/>
  <c r="D72" i="33"/>
  <c r="A19" i="40" l="1"/>
  <c r="C18" i="40"/>
  <c r="D18" i="40" s="1"/>
  <c r="C9" i="33"/>
  <c r="C12" i="33"/>
  <c r="C13" i="33"/>
  <c r="C8" i="33"/>
  <c r="C14" i="33"/>
  <c r="C11" i="33"/>
  <c r="C10" i="33"/>
  <c r="A16" i="32"/>
  <c r="A26" i="32"/>
  <c r="A7" i="32"/>
  <c r="A3" i="32"/>
  <c r="A4" i="33"/>
  <c r="A16" i="33"/>
  <c r="A26" i="33"/>
  <c r="E65" i="33"/>
  <c r="E52" i="33"/>
  <c r="E59" i="33"/>
  <c r="E67" i="33"/>
  <c r="E63" i="33"/>
  <c r="E71" i="33"/>
  <c r="E73" i="33"/>
  <c r="E62" i="33"/>
  <c r="E58" i="33"/>
  <c r="E81" i="33"/>
  <c r="E41" i="33"/>
  <c r="E42" i="33"/>
  <c r="E53" i="33"/>
  <c r="E70" i="33"/>
  <c r="E68" i="33"/>
  <c r="E56" i="33"/>
  <c r="E43" i="33"/>
  <c r="E46" i="33"/>
  <c r="E48" i="33"/>
  <c r="E80" i="33"/>
  <c r="E77" i="33"/>
  <c r="E54" i="33"/>
  <c r="E55" i="33"/>
  <c r="E74" i="33"/>
  <c r="E79" i="33"/>
  <c r="E75" i="33"/>
  <c r="E78" i="33"/>
  <c r="E45" i="33"/>
  <c r="E64" i="33"/>
  <c r="E44" i="33"/>
  <c r="E83" i="33"/>
  <c r="E61" i="33"/>
  <c r="E72" i="33"/>
  <c r="E60" i="33"/>
  <c r="E84" i="33"/>
  <c r="E82" i="33"/>
  <c r="E66" i="33"/>
  <c r="E47" i="33"/>
  <c r="E50" i="33"/>
  <c r="E76" i="33"/>
  <c r="E69" i="33"/>
  <c r="E51" i="33"/>
  <c r="E49" i="33"/>
  <c r="E57" i="33"/>
  <c r="A20" i="40" l="1"/>
  <c r="C19" i="40"/>
  <c r="D19" i="40" s="1"/>
  <c r="D25" i="32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6" i="29"/>
  <c r="D2" i="42" s="1"/>
  <c r="D28" i="32"/>
  <c r="D9" i="33"/>
  <c r="D23" i="33"/>
  <c r="D40" i="33"/>
  <c r="D11" i="33"/>
  <c r="D34" i="33"/>
  <c r="D27" i="33"/>
  <c r="D28" i="33"/>
  <c r="D10" i="33"/>
  <c r="D24" i="33"/>
  <c r="D22" i="33"/>
  <c r="D25" i="33"/>
  <c r="D4" i="33"/>
  <c r="D17" i="33"/>
  <c r="D18" i="29"/>
  <c r="F26" i="39"/>
  <c r="D13" i="33"/>
  <c r="O2" i="35"/>
  <c r="D6" i="33"/>
  <c r="D20" i="33"/>
  <c r="F19" i="39"/>
  <c r="O6" i="35"/>
  <c r="D37" i="33"/>
  <c r="D39" i="33"/>
  <c r="F10" i="34"/>
  <c r="D21" i="33"/>
  <c r="D18" i="33"/>
  <c r="F45" i="32"/>
  <c r="F25" i="39"/>
  <c r="E20" i="32"/>
  <c r="F6" i="34"/>
  <c r="F37" i="32"/>
  <c r="O4" i="35"/>
  <c r="B1" i="29"/>
  <c r="D26" i="33"/>
  <c r="D12" i="33"/>
  <c r="F22" i="39"/>
  <c r="O5" i="35"/>
  <c r="D29" i="33"/>
  <c r="D33" i="33"/>
  <c r="D5" i="33"/>
  <c r="F42" i="32"/>
  <c r="F20" i="39"/>
  <c r="F41" i="32"/>
  <c r="D31" i="33"/>
  <c r="D36" i="33"/>
  <c r="D32" i="33"/>
  <c r="F44" i="32"/>
  <c r="D16" i="33"/>
  <c r="F27" i="39"/>
  <c r="D8" i="33"/>
  <c r="F47" i="32"/>
  <c r="F24" i="39"/>
  <c r="D19" i="29"/>
  <c r="H3" i="43" s="1"/>
  <c r="J3" i="43" s="1"/>
  <c r="F43" i="32"/>
  <c r="F49" i="32"/>
  <c r="F40" i="32"/>
  <c r="D38" i="33"/>
  <c r="D14" i="33"/>
  <c r="E14" i="32"/>
  <c r="D15" i="33"/>
  <c r="D19" i="33"/>
  <c r="D3" i="33"/>
  <c r="O3" i="35"/>
  <c r="F39" i="32"/>
  <c r="E13" i="32"/>
  <c r="F21" i="39"/>
  <c r="E24" i="32"/>
  <c r="E19" i="32"/>
  <c r="D35" i="33"/>
  <c r="D30" i="33"/>
  <c r="E22" i="32"/>
  <c r="D7" i="33"/>
  <c r="F35" i="32"/>
  <c r="F46" i="32"/>
  <c r="F23" i="39"/>
  <c r="F34" i="32"/>
  <c r="E23" i="32"/>
  <c r="E21" i="32"/>
  <c r="F36" i="32"/>
  <c r="E27" i="32"/>
  <c r="E12" i="32"/>
  <c r="F38" i="32"/>
  <c r="F48" i="32"/>
  <c r="F18" i="39"/>
  <c r="E5" i="39"/>
  <c r="F5" i="39" s="1"/>
  <c r="E6" i="39"/>
  <c r="F6" i="39" s="1"/>
  <c r="E7" i="39"/>
  <c r="F7" i="39" s="1"/>
  <c r="F20" i="43"/>
  <c r="F21" i="43"/>
  <c r="F22" i="43"/>
  <c r="F18" i="43"/>
  <c r="J12" i="43"/>
  <c r="F24" i="43"/>
  <c r="J10" i="43"/>
  <c r="K10" i="43"/>
  <c r="F19" i="43"/>
  <c r="F23" i="43"/>
  <c r="J13" i="43"/>
  <c r="J14" i="43"/>
  <c r="F5" i="43"/>
  <c r="G5" i="43"/>
  <c r="H5" i="43" s="1"/>
  <c r="J5" i="43" s="1"/>
  <c r="F7" i="43"/>
  <c r="G7" i="43"/>
  <c r="H7" i="43" s="1"/>
  <c r="F6" i="43"/>
  <c r="G6" i="43"/>
  <c r="H6" i="43" s="1"/>
  <c r="J6" i="43" s="1"/>
  <c r="K5" i="43"/>
  <c r="K12" i="43"/>
  <c r="K7" i="43"/>
  <c r="K14" i="43"/>
  <c r="K6" i="43"/>
  <c r="K13" i="43"/>
  <c r="N13" i="43" l="1"/>
  <c r="M13" i="43"/>
  <c r="L13" i="43"/>
  <c r="N14" i="43"/>
  <c r="L14" i="43"/>
  <c r="M14" i="43"/>
  <c r="N12" i="43"/>
  <c r="M12" i="43"/>
  <c r="L12" i="43"/>
  <c r="L10" i="43"/>
  <c r="N10" i="43"/>
  <c r="M10" i="43"/>
  <c r="AF3" i="43"/>
  <c r="E19" i="43"/>
  <c r="E23" i="43"/>
  <c r="E24" i="43"/>
  <c r="E4" i="43"/>
  <c r="E22" i="43"/>
  <c r="E18" i="43"/>
  <c r="E21" i="43"/>
  <c r="E20" i="43"/>
  <c r="E19" i="39"/>
  <c r="E4" i="39"/>
  <c r="M2" i="40"/>
  <c r="M2" i="42"/>
  <c r="E2" i="42"/>
  <c r="D2" i="40"/>
  <c r="E2" i="40"/>
  <c r="C20" i="40"/>
  <c r="D20" i="40" s="1"/>
  <c r="E24" i="39"/>
  <c r="E25" i="39"/>
  <c r="E26" i="39"/>
  <c r="E23" i="39"/>
  <c r="E22" i="39"/>
  <c r="E18" i="39"/>
  <c r="E27" i="39"/>
  <c r="E21" i="39"/>
  <c r="AF3" i="39"/>
  <c r="E20" i="39"/>
  <c r="AB30" i="32"/>
  <c r="E2" i="34"/>
  <c r="D2" i="35"/>
  <c r="K34" i="32"/>
  <c r="E25" i="32"/>
  <c r="N25" i="32" s="1"/>
  <c r="E15" i="32"/>
  <c r="N15" i="32" s="1"/>
  <c r="E6" i="32"/>
  <c r="E5" i="32"/>
  <c r="E2" i="32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P8" i="32" s="1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J24" i="43"/>
  <c r="L24" i="43"/>
  <c r="G24" i="43"/>
  <c r="K24" i="43"/>
  <c r="L3" i="43"/>
  <c r="J11" i="43"/>
  <c r="F4" i="43"/>
  <c r="K11" i="43" s="1"/>
  <c r="G4" i="43"/>
  <c r="H4" i="43" s="1"/>
  <c r="AG3" i="43"/>
  <c r="AF4" i="43"/>
  <c r="G22" i="43"/>
  <c r="J22" i="43"/>
  <c r="L22" i="43"/>
  <c r="K22" i="43"/>
  <c r="L6" i="43"/>
  <c r="J18" i="43"/>
  <c r="G18" i="43"/>
  <c r="L18" i="43"/>
  <c r="K18" i="43"/>
  <c r="L7" i="43"/>
  <c r="G21" i="43"/>
  <c r="L21" i="43"/>
  <c r="J21" i="43"/>
  <c r="K21" i="43"/>
  <c r="L5" i="43"/>
  <c r="J19" i="43"/>
  <c r="L19" i="43"/>
  <c r="G19" i="43"/>
  <c r="K19" i="43"/>
  <c r="J23" i="43"/>
  <c r="L23" i="43"/>
  <c r="G23" i="43"/>
  <c r="K23" i="43"/>
  <c r="L20" i="43"/>
  <c r="J20" i="43"/>
  <c r="G20" i="43"/>
  <c r="K20" i="43"/>
  <c r="G7" i="39"/>
  <c r="E17" i="40"/>
  <c r="E7" i="40"/>
  <c r="E13" i="40"/>
  <c r="G6" i="39"/>
  <c r="E11" i="40"/>
  <c r="E12" i="40"/>
  <c r="F2" i="40"/>
  <c r="G5" i="39"/>
  <c r="E5" i="40"/>
  <c r="E9" i="40"/>
  <c r="E8" i="40"/>
  <c r="F4" i="34"/>
  <c r="E14" i="40"/>
  <c r="F5" i="34"/>
  <c r="F2" i="42"/>
  <c r="E6" i="40"/>
  <c r="J11" i="39"/>
  <c r="F4" i="39"/>
  <c r="K11" i="39" s="1"/>
  <c r="G4" i="39"/>
  <c r="AF4" i="39"/>
  <c r="E3" i="40"/>
  <c r="E19" i="40"/>
  <c r="E20" i="40"/>
  <c r="E16" i="40"/>
  <c r="E10" i="40"/>
  <c r="H2" i="42"/>
  <c r="I2" i="42" s="1"/>
  <c r="E4" i="40"/>
  <c r="E18" i="40"/>
  <c r="E15" i="40"/>
  <c r="I24" i="43"/>
  <c r="H24" i="43"/>
  <c r="AG4" i="43"/>
  <c r="AF5" i="43"/>
  <c r="I22" i="43"/>
  <c r="H22" i="43"/>
  <c r="H18" i="43"/>
  <c r="I18" i="43"/>
  <c r="H21" i="43"/>
  <c r="I21" i="43"/>
  <c r="H19" i="43"/>
  <c r="I19" i="43"/>
  <c r="I23" i="43"/>
  <c r="H23" i="43"/>
  <c r="I20" i="43"/>
  <c r="H20" i="43"/>
  <c r="AG5" i="43"/>
  <c r="AF6" i="43"/>
  <c r="AG6" i="43"/>
  <c r="AF7" i="43"/>
  <c r="AG7" i="43"/>
  <c r="AF8" i="43"/>
  <c r="AG8" i="43"/>
  <c r="AF9" i="43"/>
  <c r="AG9" i="43"/>
  <c r="AF10" i="43"/>
  <c r="AG10" i="43"/>
  <c r="AF11" i="43"/>
  <c r="AG11" i="43"/>
  <c r="AF12" i="43"/>
  <c r="AG12" i="43"/>
  <c r="AF13" i="43"/>
  <c r="AG13" i="43"/>
  <c r="AF14" i="43"/>
  <c r="AG14" i="43"/>
  <c r="AF15" i="43"/>
  <c r="AG15" i="43"/>
  <c r="AF16" i="43"/>
  <c r="AG16" i="43"/>
  <c r="AF17" i="43"/>
  <c r="AG17" i="43"/>
  <c r="AF18" i="43"/>
  <c r="AG18" i="43"/>
  <c r="AF19" i="43"/>
  <c r="AG19" i="43"/>
  <c r="AF20" i="43"/>
  <c r="AG20" i="43"/>
  <c r="AF21" i="43"/>
  <c r="AG21" i="43"/>
  <c r="AF22" i="43"/>
  <c r="AG22" i="43"/>
  <c r="AF23" i="43"/>
  <c r="AG23" i="43"/>
  <c r="AF24" i="43"/>
  <c r="AG24" i="43"/>
  <c r="AF25" i="43"/>
  <c r="AG25" i="43"/>
  <c r="AF26" i="43"/>
  <c r="AG26" i="43"/>
  <c r="AF27" i="43"/>
  <c r="AG27" i="43"/>
  <c r="AF28" i="43"/>
  <c r="AG28" i="43"/>
  <c r="AF29" i="43"/>
  <c r="AG29" i="43"/>
  <c r="AF30" i="43"/>
  <c r="AG30" i="43"/>
  <c r="AF31" i="43"/>
  <c r="AG31" i="43"/>
  <c r="AF32" i="43"/>
  <c r="AG32" i="43"/>
  <c r="AF33" i="43"/>
  <c r="AG33" i="43"/>
  <c r="AF34" i="43"/>
  <c r="AG34" i="43"/>
  <c r="AF35" i="43"/>
  <c r="AG35" i="43"/>
  <c r="AF36" i="43"/>
  <c r="AG36" i="43"/>
  <c r="AF37" i="43"/>
  <c r="AG37" i="43"/>
  <c r="AF38" i="43"/>
  <c r="AG38" i="43"/>
  <c r="AF39" i="43"/>
  <c r="AG39" i="43"/>
  <c r="AF40" i="43"/>
  <c r="AG40" i="43"/>
  <c r="AF41" i="43"/>
  <c r="AG41" i="43"/>
  <c r="AF42" i="43"/>
  <c r="AG42" i="43"/>
  <c r="AF43" i="43"/>
  <c r="AG43" i="43"/>
  <c r="AF44" i="43"/>
  <c r="AG44" i="43"/>
  <c r="AF45" i="43"/>
  <c r="AG45" i="43"/>
  <c r="AF46" i="43"/>
  <c r="AG46" i="43"/>
  <c r="AF47" i="43"/>
  <c r="AG47" i="43"/>
  <c r="AF48" i="43"/>
  <c r="AG48" i="43"/>
  <c r="AF49" i="43"/>
  <c r="AG49" i="43"/>
  <c r="AF50" i="43"/>
  <c r="AG50" i="43"/>
  <c r="AF51" i="43"/>
  <c r="AG51" i="43"/>
  <c r="AF52" i="43"/>
  <c r="AG52" i="43"/>
  <c r="AF53" i="43"/>
  <c r="AG53" i="43"/>
  <c r="AF54" i="43"/>
  <c r="AG54" i="43"/>
  <c r="AF55" i="43"/>
  <c r="AG55" i="43"/>
  <c r="AF56" i="43"/>
  <c r="AG56" i="43"/>
  <c r="AF57" i="43"/>
  <c r="AG57" i="43"/>
  <c r="AF58" i="43"/>
  <c r="AG58" i="43"/>
  <c r="AF59" i="43"/>
  <c r="AG59" i="43"/>
  <c r="AF60" i="43"/>
  <c r="AG60" i="43"/>
  <c r="AF61" i="43"/>
  <c r="AG61" i="43"/>
  <c r="AF62" i="43"/>
  <c r="AG62" i="43"/>
  <c r="AF63" i="43"/>
  <c r="AG63" i="43"/>
  <c r="AF64" i="43"/>
  <c r="AG64" i="43"/>
  <c r="AF65" i="43"/>
  <c r="AG65" i="43"/>
  <c r="AF66" i="43"/>
  <c r="AG66" i="43"/>
  <c r="AF67" i="43"/>
  <c r="AG67" i="43"/>
  <c r="AF68" i="43"/>
  <c r="AG68" i="43"/>
  <c r="AF69" i="43"/>
  <c r="AG69" i="43"/>
  <c r="AF70" i="43"/>
  <c r="AG70" i="43"/>
  <c r="AF71" i="43"/>
  <c r="AG71" i="43"/>
  <c r="AF72" i="43"/>
  <c r="AG72" i="43"/>
  <c r="AF73" i="43"/>
  <c r="AG73" i="43"/>
  <c r="AF74" i="43"/>
  <c r="AG74" i="43"/>
  <c r="AF75" i="43"/>
  <c r="AG75" i="43"/>
  <c r="AF76" i="43"/>
  <c r="AG76" i="43"/>
  <c r="AF77" i="43"/>
  <c r="AG77" i="43"/>
  <c r="AF78" i="43"/>
  <c r="AG78" i="43"/>
  <c r="AF79" i="43"/>
  <c r="AG79" i="43"/>
  <c r="AF80" i="43"/>
  <c r="AG80" i="43"/>
  <c r="AF81" i="43"/>
  <c r="AG81" i="43"/>
  <c r="AF82" i="43"/>
  <c r="AG82" i="43"/>
  <c r="AF83" i="43"/>
  <c r="AG83" i="43"/>
  <c r="AF84" i="43"/>
  <c r="AG84" i="43"/>
  <c r="AF85" i="43"/>
  <c r="AG85" i="43"/>
  <c r="AF86" i="43"/>
  <c r="AG86" i="43"/>
  <c r="AF87" i="43"/>
  <c r="AG87" i="43"/>
  <c r="AF88" i="43"/>
  <c r="AG88" i="43"/>
  <c r="AF89" i="43"/>
  <c r="AG89" i="43"/>
  <c r="AF90" i="43"/>
  <c r="AG90" i="43"/>
  <c r="AF91" i="43"/>
  <c r="AG91" i="43"/>
  <c r="AF92" i="43"/>
  <c r="AG92" i="43"/>
  <c r="AF93" i="43"/>
  <c r="AG93" i="43"/>
  <c r="AF94" i="43"/>
  <c r="AG94" i="43"/>
  <c r="AF95" i="43"/>
  <c r="AG95" i="43"/>
  <c r="AF96" i="43"/>
  <c r="AG96" i="43"/>
  <c r="AF97" i="43"/>
  <c r="AG97" i="43"/>
  <c r="AF98" i="43"/>
  <c r="AG98" i="43"/>
  <c r="AF99" i="43"/>
  <c r="AG99" i="43"/>
  <c r="AF100" i="43"/>
  <c r="AG100" i="43"/>
  <c r="AF101" i="43"/>
  <c r="AG101" i="43"/>
  <c r="AF102" i="43"/>
  <c r="AG102" i="43"/>
  <c r="AF103" i="43"/>
  <c r="AG103" i="43"/>
  <c r="AF104" i="43"/>
  <c r="AG104" i="43"/>
  <c r="AF105" i="43"/>
  <c r="AG105" i="43"/>
  <c r="AF106" i="43"/>
  <c r="AG106" i="43"/>
  <c r="AF107" i="43"/>
  <c r="AG107" i="43"/>
  <c r="AF108" i="43"/>
  <c r="AG108" i="43"/>
  <c r="AF109" i="43"/>
  <c r="AG109" i="43"/>
  <c r="AF110" i="43"/>
  <c r="AG110" i="43"/>
  <c r="AF111" i="43"/>
  <c r="AG111" i="43"/>
  <c r="AF112" i="43"/>
  <c r="AG112" i="43"/>
  <c r="AF113" i="43"/>
  <c r="AG113" i="43"/>
  <c r="AF114" i="43"/>
  <c r="AG114" i="43"/>
  <c r="AF115" i="43"/>
  <c r="AG115" i="43"/>
  <c r="AF116" i="43"/>
  <c r="AG116" i="43"/>
  <c r="AF117" i="43"/>
  <c r="AG117" i="43"/>
  <c r="AF118" i="43"/>
  <c r="AG118" i="43"/>
  <c r="AF119" i="43"/>
  <c r="AG119" i="43"/>
  <c r="AF120" i="43"/>
  <c r="AG120" i="43"/>
  <c r="AF121" i="43"/>
  <c r="AG121" i="43"/>
  <c r="AF122" i="43"/>
  <c r="AG122" i="43"/>
  <c r="AF123" i="43"/>
  <c r="AG123" i="43"/>
  <c r="AF124" i="43"/>
  <c r="AG124" i="43"/>
  <c r="AF125" i="43"/>
  <c r="AG125" i="43"/>
  <c r="AF126" i="43"/>
  <c r="AG126" i="43"/>
  <c r="AF127" i="43"/>
  <c r="AG127" i="43"/>
  <c r="AF128" i="43"/>
  <c r="AG128" i="43"/>
  <c r="AF129" i="43"/>
  <c r="AG129" i="43"/>
  <c r="AF130" i="43"/>
  <c r="AG130" i="43"/>
  <c r="AF131" i="43"/>
  <c r="AG131" i="43"/>
  <c r="AF132" i="43"/>
  <c r="AG132" i="43" s="1"/>
  <c r="M5" i="43" l="1"/>
  <c r="N5" i="43" s="1"/>
  <c r="M7" i="43"/>
  <c r="N7" i="43" s="1"/>
  <c r="M6" i="43"/>
  <c r="N6" i="43" s="1"/>
  <c r="N11" i="43"/>
  <c r="L11" i="43"/>
  <c r="M11" i="43"/>
  <c r="M3" i="43"/>
  <c r="N3" i="43" s="1"/>
  <c r="N2" i="32"/>
  <c r="P9" i="32"/>
  <c r="N6" i="32"/>
  <c r="A6" i="35"/>
  <c r="A5" i="35"/>
  <c r="A7" i="35"/>
  <c r="D7" i="32"/>
  <c r="T8" i="32"/>
  <c r="U8" i="32"/>
  <c r="P17" i="32"/>
  <c r="U17" i="32"/>
  <c r="T17" i="32"/>
  <c r="T9" i="32"/>
  <c r="U9" i="32"/>
  <c r="P18" i="32"/>
  <c r="U18" i="32"/>
  <c r="T18" i="32"/>
  <c r="H4" i="39"/>
  <c r="F9" i="40"/>
  <c r="F15" i="40"/>
  <c r="F4" i="40"/>
  <c r="H5" i="39"/>
  <c r="F10" i="40"/>
  <c r="F16" i="40"/>
  <c r="H6" i="39"/>
  <c r="F18" i="40"/>
  <c r="F19" i="40"/>
  <c r="H7" i="39"/>
  <c r="F13" i="40"/>
  <c r="F20" i="40"/>
  <c r="F11" i="40"/>
  <c r="F12" i="40"/>
  <c r="H2" i="40"/>
  <c r="F8" i="40"/>
  <c r="F6" i="40"/>
  <c r="F14" i="40"/>
  <c r="F7" i="40"/>
  <c r="AF5" i="39"/>
  <c r="F17" i="40"/>
  <c r="F5" i="40"/>
  <c r="F3" i="40"/>
  <c r="D2" i="33" l="1"/>
  <c r="I2" i="40"/>
  <c r="E16" i="33"/>
  <c r="E20" i="33"/>
  <c r="I40" i="35"/>
  <c r="J20" i="39"/>
  <c r="I22" i="35"/>
  <c r="L18" i="39"/>
  <c r="I53" i="35"/>
  <c r="I13" i="35"/>
  <c r="I14" i="35"/>
  <c r="J26" i="39"/>
  <c r="M3" i="40"/>
  <c r="I55" i="35"/>
  <c r="I3" i="35"/>
  <c r="D5" i="35"/>
  <c r="K25" i="39"/>
  <c r="B43" i="32"/>
  <c r="L27" i="39"/>
  <c r="B34" i="32"/>
  <c r="H4" i="40"/>
  <c r="L26" i="39"/>
  <c r="H13" i="40"/>
  <c r="D6" i="35"/>
  <c r="J22" i="39"/>
  <c r="H5" i="40"/>
  <c r="E36" i="33"/>
  <c r="K27" i="39"/>
  <c r="I52" i="35"/>
  <c r="I31" i="35"/>
  <c r="L19" i="39"/>
  <c r="AB31" i="32"/>
  <c r="AB32" i="32" s="1"/>
  <c r="A10" i="32"/>
  <c r="I6" i="35"/>
  <c r="H16" i="40"/>
  <c r="H6" i="40"/>
  <c r="I24" i="35"/>
  <c r="E30" i="33"/>
  <c r="L22" i="39"/>
  <c r="L24" i="39"/>
  <c r="I12" i="35"/>
  <c r="I9" i="35"/>
  <c r="F15" i="32"/>
  <c r="L23" i="39"/>
  <c r="H20" i="40"/>
  <c r="H9" i="40"/>
  <c r="E6" i="33"/>
  <c r="K24" i="39"/>
  <c r="B36" i="32"/>
  <c r="I4" i="35"/>
  <c r="G19" i="39"/>
  <c r="L20" i="39"/>
  <c r="B39" i="32"/>
  <c r="C39" i="32" s="1"/>
  <c r="J27" i="39"/>
  <c r="K19" i="39"/>
  <c r="L21" i="39"/>
  <c r="I28" i="35"/>
  <c r="D20" i="29"/>
  <c r="B49" i="32"/>
  <c r="I43" i="35"/>
  <c r="F6" i="32"/>
  <c r="E2" i="33"/>
  <c r="H17" i="40"/>
  <c r="F13" i="32"/>
  <c r="J21" i="39"/>
  <c r="I33" i="35"/>
  <c r="I51" i="35"/>
  <c r="I20" i="35"/>
  <c r="E33" i="33"/>
  <c r="B42" i="32"/>
  <c r="K18" i="39"/>
  <c r="D7" i="35"/>
  <c r="H3" i="40"/>
  <c r="E39" i="33"/>
  <c r="B47" i="32"/>
  <c r="F12" i="32"/>
  <c r="G26" i="39"/>
  <c r="F23" i="32"/>
  <c r="F21" i="32"/>
  <c r="AG4" i="39"/>
  <c r="B41" i="32"/>
  <c r="F14" i="32"/>
  <c r="I16" i="35"/>
  <c r="I48" i="35"/>
  <c r="G27" i="39"/>
  <c r="C5" i="35"/>
  <c r="E31" i="33"/>
  <c r="H14" i="40"/>
  <c r="E5" i="33"/>
  <c r="H10" i="40"/>
  <c r="I21" i="35"/>
  <c r="J25" i="39"/>
  <c r="AG5" i="39"/>
  <c r="F2" i="32"/>
  <c r="E19" i="33"/>
  <c r="J19" i="39"/>
  <c r="I45" i="35"/>
  <c r="E29" i="33"/>
  <c r="I38" i="35"/>
  <c r="B37" i="32"/>
  <c r="E32" i="33"/>
  <c r="I2" i="35"/>
  <c r="I41" i="35"/>
  <c r="I30" i="35"/>
  <c r="E37" i="33"/>
  <c r="E7" i="33"/>
  <c r="B40" i="32"/>
  <c r="C40" i="32" s="1"/>
  <c r="J24" i="39"/>
  <c r="I29" i="35"/>
  <c r="I15" i="35"/>
  <c r="N2" i="40"/>
  <c r="N2" i="42"/>
  <c r="G18" i="39"/>
  <c r="K22" i="39"/>
  <c r="I8" i="35"/>
  <c r="G24" i="39"/>
  <c r="I49" i="35"/>
  <c r="B45" i="32"/>
  <c r="M4" i="40"/>
  <c r="E21" i="33"/>
  <c r="AG3" i="39"/>
  <c r="I25" i="35"/>
  <c r="H11" i="40"/>
  <c r="B2" i="32"/>
  <c r="H19" i="40"/>
  <c r="O2" i="40"/>
  <c r="P2" i="40" s="1"/>
  <c r="E15" i="33"/>
  <c r="M3" i="42"/>
  <c r="M4" i="42" s="1"/>
  <c r="AF6" i="39"/>
  <c r="AF7" i="39" s="1"/>
  <c r="I36" i="35"/>
  <c r="I35" i="35"/>
  <c r="I23" i="35"/>
  <c r="I5" i="35"/>
  <c r="G20" i="39"/>
  <c r="H20" i="39" s="1"/>
  <c r="E38" i="33"/>
  <c r="I50" i="35"/>
  <c r="E18" i="33"/>
  <c r="E34" i="33"/>
  <c r="B21" i="32"/>
  <c r="C21" i="32" s="1"/>
  <c r="E27" i="33"/>
  <c r="K21" i="39"/>
  <c r="I42" i="35"/>
  <c r="N4" i="42"/>
  <c r="I32" i="35"/>
  <c r="E17" i="33"/>
  <c r="E25" i="33"/>
  <c r="E4" i="33"/>
  <c r="E3" i="33"/>
  <c r="E10" i="32"/>
  <c r="H7" i="40"/>
  <c r="F24" i="32"/>
  <c r="J18" i="39"/>
  <c r="B13" i="32"/>
  <c r="F3" i="34"/>
  <c r="I27" i="35"/>
  <c r="F5" i="32"/>
  <c r="C6" i="35"/>
  <c r="E24" i="33"/>
  <c r="H8" i="40"/>
  <c r="G23" i="39"/>
  <c r="H23" i="39" s="1"/>
  <c r="AG6" i="39"/>
  <c r="B15" i="32"/>
  <c r="C7" i="35"/>
  <c r="K23" i="39"/>
  <c r="I56" i="35"/>
  <c r="I39" i="35"/>
  <c r="N3" i="40"/>
  <c r="D38" i="29"/>
  <c r="F2" i="34"/>
  <c r="G25" i="39"/>
  <c r="I17" i="35"/>
  <c r="E11" i="32"/>
  <c r="B35" i="32"/>
  <c r="C35" i="32" s="1"/>
  <c r="E26" i="33"/>
  <c r="B38" i="32"/>
  <c r="N3" i="42"/>
  <c r="L25" i="39"/>
  <c r="I34" i="35"/>
  <c r="E40" i="33"/>
  <c r="K26" i="39"/>
  <c r="E35" i="33"/>
  <c r="G21" i="39"/>
  <c r="H21" i="39" s="1"/>
  <c r="F20" i="32"/>
  <c r="B44" i="32"/>
  <c r="I26" i="35"/>
  <c r="I37" i="35"/>
  <c r="F27" i="32"/>
  <c r="I18" i="35"/>
  <c r="B46" i="32"/>
  <c r="E28" i="33"/>
  <c r="F25" i="32"/>
  <c r="B12" i="32"/>
  <c r="F19" i="32"/>
  <c r="D21" i="29"/>
  <c r="H18" i="40"/>
  <c r="E23" i="33"/>
  <c r="B48" i="32"/>
  <c r="C48" i="32" s="1"/>
  <c r="H15" i="40"/>
  <c r="I54" i="35"/>
  <c r="H12" i="40"/>
  <c r="I44" i="35"/>
  <c r="B6" i="32"/>
  <c r="C6" i="32" s="1"/>
  <c r="G22" i="39"/>
  <c r="I46" i="35"/>
  <c r="I47" i="35"/>
  <c r="C44" i="32"/>
  <c r="J23" i="39"/>
  <c r="E22" i="33"/>
  <c r="I19" i="35"/>
  <c r="I11" i="35"/>
  <c r="I10" i="35"/>
  <c r="K20" i="39"/>
  <c r="F22" i="32"/>
  <c r="H19" i="39"/>
  <c r="F10" i="32"/>
  <c r="F11" i="32"/>
  <c r="O3" i="42"/>
  <c r="P3" i="42" s="1"/>
  <c r="O4" i="42"/>
  <c r="P4" i="42" s="1"/>
  <c r="M5" i="42"/>
  <c r="B10" i="32"/>
  <c r="H18" i="39"/>
  <c r="C43" i="32"/>
  <c r="O3" i="40"/>
  <c r="P3" i="40" s="1"/>
  <c r="H26" i="39"/>
  <c r="C38" i="32"/>
  <c r="C15" i="32"/>
  <c r="C2" i="32"/>
  <c r="C41" i="32"/>
  <c r="C10" i="32"/>
  <c r="H27" i="39"/>
  <c r="C36" i="32"/>
  <c r="C12" i="32"/>
  <c r="B23" i="32"/>
  <c r="C23" i="32" s="1"/>
  <c r="B14" i="32"/>
  <c r="M5" i="40"/>
  <c r="AF8" i="39"/>
  <c r="B24" i="32"/>
  <c r="B11" i="32"/>
  <c r="C11" i="32" s="1"/>
  <c r="B20" i="32"/>
  <c r="C20" i="32" s="1"/>
  <c r="B27" i="32"/>
  <c r="B25" i="32"/>
  <c r="C25" i="32" s="1"/>
  <c r="B19" i="32"/>
  <c r="C19" i="32" s="1"/>
  <c r="B22" i="32"/>
  <c r="M6" i="42"/>
  <c r="N5" i="42"/>
  <c r="O5" i="42" s="1"/>
  <c r="P5" i="42" s="1"/>
  <c r="N5" i="40"/>
  <c r="O5" i="40" s="1"/>
  <c r="P5" i="40" s="1"/>
  <c r="M6" i="40"/>
  <c r="AF9" i="39"/>
  <c r="N6" i="42"/>
  <c r="O6" i="42" s="1"/>
  <c r="P6" i="42" s="1"/>
  <c r="M7" i="42"/>
  <c r="N6" i="40"/>
  <c r="M7" i="40"/>
  <c r="AF10" i="39"/>
  <c r="AG9" i="39"/>
  <c r="M8" i="42"/>
  <c r="N7" i="42"/>
  <c r="O7" i="42" s="1"/>
  <c r="P7" i="42" s="1"/>
  <c r="M8" i="40"/>
  <c r="N7" i="40"/>
  <c r="O7" i="40" s="1"/>
  <c r="P7" i="40" s="1"/>
  <c r="AF11" i="39"/>
  <c r="AG10" i="39"/>
  <c r="M9" i="42"/>
  <c r="N8" i="42"/>
  <c r="O8" i="42" s="1"/>
  <c r="P8" i="42" s="1"/>
  <c r="N8" i="40"/>
  <c r="O8" i="40" s="1"/>
  <c r="P8" i="40" s="1"/>
  <c r="M9" i="40"/>
  <c r="AF12" i="39"/>
  <c r="AG11" i="39"/>
  <c r="N9" i="42"/>
  <c r="O9" i="42" s="1"/>
  <c r="P9" i="42" s="1"/>
  <c r="M10" i="42"/>
  <c r="M10" i="40"/>
  <c r="N9" i="40"/>
  <c r="O9" i="40" s="1"/>
  <c r="P9" i="40" s="1"/>
  <c r="AF13" i="39"/>
  <c r="AG12" i="39"/>
  <c r="N10" i="42"/>
  <c r="O10" i="42" s="1"/>
  <c r="P10" i="42" s="1"/>
  <c r="M11" i="42"/>
  <c r="M11" i="40"/>
  <c r="N10" i="40"/>
  <c r="AF14" i="39"/>
  <c r="AG13" i="39"/>
  <c r="M12" i="42"/>
  <c r="N11" i="42"/>
  <c r="O11" i="42" s="1"/>
  <c r="P11" i="42" s="1"/>
  <c r="M12" i="40"/>
  <c r="N11" i="40"/>
  <c r="O11" i="40" s="1"/>
  <c r="P11" i="40" s="1"/>
  <c r="AG14" i="39"/>
  <c r="AF15" i="39"/>
  <c r="M13" i="42"/>
  <c r="N12" i="42"/>
  <c r="O12" i="42" s="1"/>
  <c r="P12" i="42" s="1"/>
  <c r="N12" i="40"/>
  <c r="O12" i="40" s="1"/>
  <c r="P12" i="40" s="1"/>
  <c r="M13" i="40"/>
  <c r="AF16" i="39"/>
  <c r="AG15" i="39"/>
  <c r="N13" i="42"/>
  <c r="O13" i="42" s="1"/>
  <c r="P13" i="42" s="1"/>
  <c r="M14" i="42"/>
  <c r="M14" i="40"/>
  <c r="N13" i="40"/>
  <c r="O13" i="40" s="1"/>
  <c r="P13" i="40" s="1"/>
  <c r="AF17" i="39"/>
  <c r="AG16" i="39"/>
  <c r="M15" i="42"/>
  <c r="N14" i="42"/>
  <c r="O14" i="42" s="1"/>
  <c r="P14" i="42" s="1"/>
  <c r="N14" i="40"/>
  <c r="M15" i="40"/>
  <c r="AF18" i="39"/>
  <c r="AG17" i="39"/>
  <c r="N15" i="42"/>
  <c r="O15" i="42" s="1"/>
  <c r="P15" i="42" s="1"/>
  <c r="M16" i="42"/>
  <c r="M16" i="40"/>
  <c r="N15" i="40"/>
  <c r="O15" i="40" s="1"/>
  <c r="P15" i="40" s="1"/>
  <c r="AF19" i="39"/>
  <c r="AG18" i="39"/>
  <c r="M17" i="42"/>
  <c r="N16" i="42"/>
  <c r="O16" i="42" s="1"/>
  <c r="P16" i="42" s="1"/>
  <c r="N16" i="40"/>
  <c r="O16" i="40" s="1"/>
  <c r="P16" i="40" s="1"/>
  <c r="M17" i="40"/>
  <c r="AF20" i="39"/>
  <c r="AG19" i="39"/>
  <c r="M18" i="42"/>
  <c r="N17" i="42"/>
  <c r="O17" i="42" s="1"/>
  <c r="P17" i="42" s="1"/>
  <c r="N17" i="40"/>
  <c r="O17" i="40" s="1"/>
  <c r="P17" i="40" s="1"/>
  <c r="M18" i="40"/>
  <c r="AF21" i="39"/>
  <c r="AG20" i="39"/>
  <c r="M19" i="42"/>
  <c r="N18" i="42"/>
  <c r="O18" i="42" s="1"/>
  <c r="P18" i="42" s="1"/>
  <c r="M19" i="40"/>
  <c r="N18" i="40"/>
  <c r="O18" i="40" s="1"/>
  <c r="P18" i="40" s="1"/>
  <c r="AF22" i="39"/>
  <c r="AG21" i="39"/>
  <c r="N19" i="42"/>
  <c r="O19" i="42" s="1"/>
  <c r="P19" i="42" s="1"/>
  <c r="M20" i="42"/>
  <c r="M20" i="40"/>
  <c r="N19" i="40"/>
  <c r="O19" i="40" s="1"/>
  <c r="P19" i="40" s="1"/>
  <c r="AG22" i="39"/>
  <c r="AF23" i="39"/>
  <c r="M21" i="42"/>
  <c r="N20" i="42"/>
  <c r="O20" i="42" s="1"/>
  <c r="P20" i="42" s="1"/>
  <c r="M21" i="40"/>
  <c r="N20" i="40"/>
  <c r="O20" i="40" s="1"/>
  <c r="P20" i="40" s="1"/>
  <c r="AF24" i="39"/>
  <c r="AG23" i="39"/>
  <c r="N21" i="42"/>
  <c r="O21" i="42" s="1"/>
  <c r="P21" i="42" s="1"/>
  <c r="M22" i="42"/>
  <c r="N21" i="40"/>
  <c r="O21" i="40" s="1"/>
  <c r="P21" i="40" s="1"/>
  <c r="M22" i="40"/>
  <c r="AF25" i="39"/>
  <c r="AG24" i="39"/>
  <c r="M23" i="42"/>
  <c r="N22" i="42"/>
  <c r="O22" i="42" s="1"/>
  <c r="P22" i="42" s="1"/>
  <c r="M23" i="40"/>
  <c r="N22" i="40"/>
  <c r="O22" i="40" s="1"/>
  <c r="P22" i="40" s="1"/>
  <c r="AF26" i="39"/>
  <c r="AG25" i="39"/>
  <c r="N23" i="42"/>
  <c r="O23" i="42" s="1"/>
  <c r="P23" i="42" s="1"/>
  <c r="M24" i="42"/>
  <c r="N23" i="40"/>
  <c r="O23" i="40" s="1"/>
  <c r="P23" i="40" s="1"/>
  <c r="M24" i="40"/>
  <c r="AF27" i="39"/>
  <c r="AG26" i="39"/>
  <c r="N24" i="42"/>
  <c r="O24" i="42"/>
  <c r="P24" i="42" s="1"/>
  <c r="M25" i="42"/>
  <c r="N24" i="40"/>
  <c r="O24" i="40" s="1"/>
  <c r="P24" i="40" s="1"/>
  <c r="M25" i="40"/>
  <c r="AF28" i="39"/>
  <c r="AG27" i="39"/>
  <c r="M26" i="42"/>
  <c r="N25" i="42"/>
  <c r="O25" i="42" s="1"/>
  <c r="P25" i="42" s="1"/>
  <c r="M26" i="40"/>
  <c r="N25" i="40"/>
  <c r="O25" i="40" s="1"/>
  <c r="P25" i="40" s="1"/>
  <c r="AF29" i="39"/>
  <c r="AG28" i="39"/>
  <c r="M27" i="42"/>
  <c r="N26" i="42"/>
  <c r="O26" i="42" s="1"/>
  <c r="P26" i="42" s="1"/>
  <c r="N26" i="40"/>
  <c r="O26" i="40" s="1"/>
  <c r="P26" i="40" s="1"/>
  <c r="M27" i="40"/>
  <c r="AF30" i="39"/>
  <c r="AG29" i="39"/>
  <c r="M28" i="42"/>
  <c r="N27" i="42"/>
  <c r="O27" i="42" s="1"/>
  <c r="P27" i="42" s="1"/>
  <c r="M28" i="40"/>
  <c r="N27" i="40"/>
  <c r="O27" i="40" s="1"/>
  <c r="P27" i="40" s="1"/>
  <c r="AG30" i="39"/>
  <c r="AF31" i="39"/>
  <c r="M29" i="42"/>
  <c r="N28" i="42"/>
  <c r="O28" i="42" s="1"/>
  <c r="P28" i="42" s="1"/>
  <c r="N28" i="40"/>
  <c r="O28" i="40" s="1"/>
  <c r="P28" i="40" s="1"/>
  <c r="M29" i="40"/>
  <c r="AF32" i="39"/>
  <c r="AG31" i="39"/>
  <c r="N29" i="42"/>
  <c r="O29" i="42" s="1"/>
  <c r="P29" i="42" s="1"/>
  <c r="M30" i="42"/>
  <c r="M30" i="40"/>
  <c r="N29" i="40"/>
  <c r="O29" i="40" s="1"/>
  <c r="P29" i="40" s="1"/>
  <c r="AF33" i="39"/>
  <c r="AG32" i="39"/>
  <c r="M31" i="42"/>
  <c r="N30" i="42"/>
  <c r="O30" i="42" s="1"/>
  <c r="P30" i="42" s="1"/>
  <c r="M31" i="40"/>
  <c r="N30" i="40"/>
  <c r="AF34" i="39"/>
  <c r="AG33" i="39"/>
  <c r="M32" i="42"/>
  <c r="N31" i="42"/>
  <c r="O31" i="42" s="1"/>
  <c r="P31" i="42" s="1"/>
  <c r="M32" i="40"/>
  <c r="N31" i="40"/>
  <c r="O31" i="40" s="1"/>
  <c r="P31" i="40" s="1"/>
  <c r="AF35" i="39"/>
  <c r="AG34" i="39"/>
  <c r="N32" i="42"/>
  <c r="O32" i="42" s="1"/>
  <c r="P32" i="42" s="1"/>
  <c r="M33" i="42"/>
  <c r="M33" i="40"/>
  <c r="N32" i="40"/>
  <c r="AF36" i="39"/>
  <c r="AG35" i="39"/>
  <c r="M34" i="42"/>
  <c r="N33" i="42"/>
  <c r="O33" i="42" s="1"/>
  <c r="P33" i="42" s="1"/>
  <c r="N33" i="40"/>
  <c r="O33" i="40" s="1"/>
  <c r="P33" i="40" s="1"/>
  <c r="M34" i="40"/>
  <c r="AF37" i="39"/>
  <c r="AG36" i="39"/>
  <c r="M35" i="42"/>
  <c r="N34" i="42"/>
  <c r="O34" i="42" s="1"/>
  <c r="P34" i="42" s="1"/>
  <c r="N34" i="40"/>
  <c r="M35" i="40"/>
  <c r="AG37" i="39"/>
  <c r="AF38" i="39"/>
  <c r="N35" i="42"/>
  <c r="O35" i="42" s="1"/>
  <c r="P35" i="42" s="1"/>
  <c r="M36" i="42"/>
  <c r="M36" i="40"/>
  <c r="N35" i="40"/>
  <c r="O35" i="40" s="1"/>
  <c r="P35" i="40" s="1"/>
  <c r="AF39" i="39"/>
  <c r="AG38" i="39"/>
  <c r="M37" i="42"/>
  <c r="N36" i="42"/>
  <c r="O36" i="42" s="1"/>
  <c r="P36" i="42" s="1"/>
  <c r="N36" i="40"/>
  <c r="O36" i="40" s="1"/>
  <c r="P36" i="40" s="1"/>
  <c r="M37" i="40"/>
  <c r="AF40" i="39"/>
  <c r="AG39" i="39"/>
  <c r="M38" i="42"/>
  <c r="N37" i="42"/>
  <c r="O37" i="42" s="1"/>
  <c r="P37" i="42" s="1"/>
  <c r="M38" i="40"/>
  <c r="N37" i="40"/>
  <c r="O37" i="40" s="1"/>
  <c r="P37" i="40" s="1"/>
  <c r="AF41" i="39"/>
  <c r="AG40" i="39"/>
  <c r="N38" i="42"/>
  <c r="O38" i="42" s="1"/>
  <c r="P38" i="42" s="1"/>
  <c r="M39" i="42"/>
  <c r="M39" i="40"/>
  <c r="N38" i="40"/>
  <c r="O38" i="40" s="1"/>
  <c r="P38" i="40" s="1"/>
  <c r="AF42" i="39"/>
  <c r="AG41" i="39"/>
  <c r="N39" i="42"/>
  <c r="O39" i="42" s="1"/>
  <c r="P39" i="42" s="1"/>
  <c r="M40" i="42"/>
  <c r="M40" i="40"/>
  <c r="N39" i="40"/>
  <c r="O39" i="40" s="1"/>
  <c r="P39" i="40" s="1"/>
  <c r="AF43" i="39"/>
  <c r="AG42" i="39"/>
  <c r="M41" i="42"/>
  <c r="N40" i="42"/>
  <c r="O40" i="42" s="1"/>
  <c r="P40" i="42" s="1"/>
  <c r="M41" i="40"/>
  <c r="N40" i="40"/>
  <c r="O40" i="40" s="1"/>
  <c r="P40" i="40" s="1"/>
  <c r="AF44" i="39"/>
  <c r="AG43" i="39"/>
  <c r="M42" i="42"/>
  <c r="N41" i="42"/>
  <c r="O41" i="42" s="1"/>
  <c r="P41" i="42" s="1"/>
  <c r="M42" i="40"/>
  <c r="N41" i="40"/>
  <c r="O41" i="40" s="1"/>
  <c r="P41" i="40" s="1"/>
  <c r="AF45" i="39"/>
  <c r="AG44" i="39"/>
  <c r="N42" i="42"/>
  <c r="O42" i="42" s="1"/>
  <c r="P42" i="42" s="1"/>
  <c r="M43" i="42"/>
  <c r="N42" i="40"/>
  <c r="O42" i="40"/>
  <c r="P42" i="40" s="1"/>
  <c r="M43" i="40"/>
  <c r="AF46" i="39"/>
  <c r="AG45" i="39"/>
  <c r="M44" i="42"/>
  <c r="N43" i="42"/>
  <c r="O43" i="42" s="1"/>
  <c r="P43" i="42" s="1"/>
  <c r="N43" i="40"/>
  <c r="O43" i="40" s="1"/>
  <c r="P43" i="40" s="1"/>
  <c r="M44" i="40"/>
  <c r="AF47" i="39"/>
  <c r="AG46" i="39"/>
  <c r="M45" i="42"/>
  <c r="N44" i="42"/>
  <c r="O44" i="42" s="1"/>
  <c r="P44" i="42" s="1"/>
  <c r="M45" i="40"/>
  <c r="N44" i="40"/>
  <c r="O44" i="40" s="1"/>
  <c r="P44" i="40" s="1"/>
  <c r="AF48" i="39"/>
  <c r="AG47" i="39"/>
  <c r="N45" i="42"/>
  <c r="O45" i="42" s="1"/>
  <c r="P45" i="42" s="1"/>
  <c r="M46" i="42"/>
  <c r="M46" i="40"/>
  <c r="N45" i="40"/>
  <c r="O45" i="40" s="1"/>
  <c r="P45" i="40" s="1"/>
  <c r="AF49" i="39"/>
  <c r="AG48" i="39"/>
  <c r="N46" i="42"/>
  <c r="O46" i="42" s="1"/>
  <c r="P46" i="42" s="1"/>
  <c r="M47" i="42"/>
  <c r="M47" i="40"/>
  <c r="N46" i="40"/>
  <c r="O46" i="40" s="1"/>
  <c r="P46" i="40" s="1"/>
  <c r="AF50" i="39"/>
  <c r="AG49" i="39"/>
  <c r="M48" i="42"/>
  <c r="N47" i="42"/>
  <c r="O47" i="42" s="1"/>
  <c r="P47" i="42" s="1"/>
  <c r="N47" i="40"/>
  <c r="O47" i="40" s="1"/>
  <c r="P47" i="40" s="1"/>
  <c r="M48" i="40"/>
  <c r="AF51" i="39"/>
  <c r="AG50" i="39"/>
  <c r="M49" i="42"/>
  <c r="N48" i="42"/>
  <c r="O48" i="42" s="1"/>
  <c r="P48" i="42" s="1"/>
  <c r="N48" i="40"/>
  <c r="O48" i="40" s="1"/>
  <c r="P48" i="40" s="1"/>
  <c r="M49" i="40"/>
  <c r="AF52" i="39"/>
  <c r="AG51" i="39"/>
  <c r="N49" i="42"/>
  <c r="O49" i="42" s="1"/>
  <c r="P49" i="42" s="1"/>
  <c r="M50" i="42"/>
  <c r="M50" i="40"/>
  <c r="N49" i="40"/>
  <c r="O49" i="40" s="1"/>
  <c r="P49" i="40" s="1"/>
  <c r="AF53" i="39"/>
  <c r="AG52" i="39"/>
  <c r="M51" i="42"/>
  <c r="N50" i="42"/>
  <c r="O50" i="42" s="1"/>
  <c r="P50" i="42" s="1"/>
  <c r="M51" i="40"/>
  <c r="N50" i="40"/>
  <c r="O50" i="40" s="1"/>
  <c r="P50" i="40" s="1"/>
  <c r="AF54" i="39"/>
  <c r="AG53" i="39"/>
  <c r="M52" i="42"/>
  <c r="N51" i="42"/>
  <c r="O51" i="42" s="1"/>
  <c r="P51" i="42" s="1"/>
  <c r="M52" i="40"/>
  <c r="N51" i="40"/>
  <c r="O51" i="40" s="1"/>
  <c r="P51" i="40" s="1"/>
  <c r="AF55" i="39"/>
  <c r="AG54" i="39"/>
  <c r="N52" i="42"/>
  <c r="O52" i="42" s="1"/>
  <c r="P52" i="42" s="1"/>
  <c r="M53" i="42"/>
  <c r="N52" i="40"/>
  <c r="M53" i="40"/>
  <c r="AF56" i="39"/>
  <c r="AG55" i="39"/>
  <c r="N53" i="42"/>
  <c r="O53" i="42" s="1"/>
  <c r="P53" i="42" s="1"/>
  <c r="M54" i="42"/>
  <c r="N53" i="40"/>
  <c r="M54" i="40"/>
  <c r="AF57" i="39"/>
  <c r="AG56" i="39"/>
  <c r="N54" i="42"/>
  <c r="O54" i="42" s="1"/>
  <c r="P54" i="42" s="1"/>
  <c r="M55" i="42"/>
  <c r="M55" i="40"/>
  <c r="N54" i="40"/>
  <c r="O54" i="40" s="1"/>
  <c r="P54" i="40" s="1"/>
  <c r="AF58" i="39"/>
  <c r="AG57" i="39"/>
  <c r="N55" i="42"/>
  <c r="O55" i="42" s="1"/>
  <c r="P55" i="42" s="1"/>
  <c r="M56" i="42"/>
  <c r="N55" i="40"/>
  <c r="O55" i="40" s="1"/>
  <c r="P55" i="40" s="1"/>
  <c r="M56" i="40"/>
  <c r="AF59" i="39"/>
  <c r="AG58" i="39"/>
  <c r="N56" i="42"/>
  <c r="M57" i="42"/>
  <c r="O56" i="42"/>
  <c r="P56" i="42" s="1"/>
  <c r="N56" i="40"/>
  <c r="O56" i="40" s="1"/>
  <c r="P56" i="40" s="1"/>
  <c r="M57" i="40"/>
  <c r="AF60" i="39"/>
  <c r="AG59" i="39"/>
  <c r="N57" i="42"/>
  <c r="O57" i="42" s="1"/>
  <c r="P57" i="42" s="1"/>
  <c r="M58" i="42"/>
  <c r="M58" i="40"/>
  <c r="N57" i="40"/>
  <c r="O57" i="40" s="1"/>
  <c r="P57" i="40" s="1"/>
  <c r="AF61" i="39"/>
  <c r="AG60" i="39"/>
  <c r="N58" i="42"/>
  <c r="O58" i="42" s="1"/>
  <c r="P58" i="42" s="1"/>
  <c r="M59" i="42"/>
  <c r="M59" i="40"/>
  <c r="N58" i="40"/>
  <c r="O58" i="40" s="1"/>
  <c r="P58" i="40" s="1"/>
  <c r="AF62" i="39"/>
  <c r="AG61" i="39"/>
  <c r="N59" i="42"/>
  <c r="O59" i="42" s="1"/>
  <c r="P59" i="42" s="1"/>
  <c r="M60" i="42"/>
  <c r="M60" i="40"/>
  <c r="N59" i="40"/>
  <c r="O59" i="40" s="1"/>
  <c r="P59" i="40" s="1"/>
  <c r="AG62" i="39"/>
  <c r="AF63" i="39"/>
  <c r="N60" i="42"/>
  <c r="O60" i="42" s="1"/>
  <c r="P60" i="42" s="1"/>
  <c r="M61" i="42"/>
  <c r="N60" i="40"/>
  <c r="O60" i="40" s="1"/>
  <c r="P60" i="40" s="1"/>
  <c r="M61" i="40"/>
  <c r="AF64" i="39"/>
  <c r="AG63" i="39"/>
  <c r="N61" i="42"/>
  <c r="O61" i="42" s="1"/>
  <c r="P61" i="42" s="1"/>
  <c r="M62" i="42"/>
  <c r="N61" i="40"/>
  <c r="O61" i="40" s="1"/>
  <c r="P61" i="40" s="1"/>
  <c r="M62" i="40"/>
  <c r="AF65" i="39"/>
  <c r="AG64" i="39"/>
  <c r="N62" i="42"/>
  <c r="O62" i="42" s="1"/>
  <c r="P62" i="42" s="1"/>
  <c r="M63" i="42"/>
  <c r="N62" i="40"/>
  <c r="M63" i="40"/>
  <c r="O62" i="40"/>
  <c r="P62" i="40" s="1"/>
  <c r="AF66" i="39"/>
  <c r="AG65" i="39"/>
  <c r="M64" i="42"/>
  <c r="N63" i="42"/>
  <c r="O63" i="42" s="1"/>
  <c r="P63" i="42" s="1"/>
  <c r="N63" i="40"/>
  <c r="M64" i="40"/>
  <c r="AF67" i="39"/>
  <c r="AG66" i="39"/>
  <c r="N64" i="42"/>
  <c r="O64" i="42" s="1"/>
  <c r="P64" i="42" s="1"/>
  <c r="M65" i="42"/>
  <c r="N64" i="40"/>
  <c r="O64" i="40" s="1"/>
  <c r="P64" i="40" s="1"/>
  <c r="M65" i="40"/>
  <c r="AF68" i="39"/>
  <c r="AG67" i="39"/>
  <c r="N65" i="42"/>
  <c r="O65" i="42"/>
  <c r="P65" i="42" s="1"/>
  <c r="M66" i="42"/>
  <c r="M66" i="40"/>
  <c r="N65" i="40"/>
  <c r="AF69" i="39"/>
  <c r="AG68" i="39"/>
  <c r="N66" i="42"/>
  <c r="O66" i="42" s="1"/>
  <c r="P66" i="42" s="1"/>
  <c r="M67" i="42"/>
  <c r="N66" i="40"/>
  <c r="M67" i="40"/>
  <c r="AG69" i="39"/>
  <c r="AF70" i="39"/>
  <c r="N67" i="42"/>
  <c r="O67" i="42" s="1"/>
  <c r="P67" i="42" s="1"/>
  <c r="M68" i="42"/>
  <c r="M68" i="40"/>
  <c r="N67" i="40"/>
  <c r="O67" i="40" s="1"/>
  <c r="P67" i="40" s="1"/>
  <c r="AF71" i="39"/>
  <c r="AG70" i="39"/>
  <c r="M69" i="42"/>
  <c r="N68" i="42"/>
  <c r="O68" i="42"/>
  <c r="P68" i="42" s="1"/>
  <c r="M69" i="40"/>
  <c r="N68" i="40"/>
  <c r="AF72" i="39"/>
  <c r="AG71" i="39"/>
  <c r="N69" i="42"/>
  <c r="O69" i="42" s="1"/>
  <c r="P69" i="42" s="1"/>
  <c r="M70" i="42"/>
  <c r="N69" i="40"/>
  <c r="O69" i="40" s="1"/>
  <c r="P69" i="40" s="1"/>
  <c r="M70" i="40"/>
  <c r="AF73" i="39"/>
  <c r="AG72" i="39"/>
  <c r="M71" i="42"/>
  <c r="N70" i="42"/>
  <c r="O70" i="42" s="1"/>
  <c r="P70" i="42" s="1"/>
  <c r="N70" i="40"/>
  <c r="O70" i="40" s="1"/>
  <c r="P70" i="40" s="1"/>
  <c r="M71" i="40"/>
  <c r="AF74" i="39"/>
  <c r="AG73" i="39"/>
  <c r="M72" i="42"/>
  <c r="N71" i="42"/>
  <c r="O71" i="42" s="1"/>
  <c r="P71" i="42" s="1"/>
  <c r="N71" i="40"/>
  <c r="M72" i="40"/>
  <c r="AF75" i="39"/>
  <c r="AG74" i="39"/>
  <c r="N72" i="42"/>
  <c r="O72" i="42" s="1"/>
  <c r="P72" i="42" s="1"/>
  <c r="M73" i="42"/>
  <c r="N72" i="40"/>
  <c r="O72" i="40" s="1"/>
  <c r="P72" i="40" s="1"/>
  <c r="M73" i="40"/>
  <c r="AF76" i="39"/>
  <c r="AG75" i="39"/>
  <c r="N73" i="42"/>
  <c r="O73" i="42" s="1"/>
  <c r="P73" i="42" s="1"/>
  <c r="M74" i="42"/>
  <c r="N73" i="40"/>
  <c r="O73" i="40" s="1"/>
  <c r="P73" i="40" s="1"/>
  <c r="M74" i="40"/>
  <c r="AF77" i="39"/>
  <c r="AG76" i="39"/>
  <c r="M75" i="42"/>
  <c r="N74" i="42"/>
  <c r="O74" i="42" s="1"/>
  <c r="P74" i="42" s="1"/>
  <c r="M75" i="40"/>
  <c r="N74" i="40"/>
  <c r="O74" i="40" s="1"/>
  <c r="P74" i="40" s="1"/>
  <c r="AF78" i="39"/>
  <c r="AG77" i="39"/>
  <c r="N75" i="42"/>
  <c r="O75" i="42" s="1"/>
  <c r="P75" i="42" s="1"/>
  <c r="M76" i="42"/>
  <c r="M76" i="40"/>
  <c r="N75" i="40"/>
  <c r="AF79" i="39"/>
  <c r="AG78" i="39"/>
  <c r="N76" i="42"/>
  <c r="O76" i="42" s="1"/>
  <c r="P76" i="42" s="1"/>
  <c r="M77" i="42"/>
  <c r="N76" i="40"/>
  <c r="O76" i="40" s="1"/>
  <c r="P76" i="40" s="1"/>
  <c r="M77" i="40"/>
  <c r="AF80" i="39"/>
  <c r="AG79" i="39"/>
  <c r="N77" i="42"/>
  <c r="O77" i="42" s="1"/>
  <c r="P77" i="42" s="1"/>
  <c r="M78" i="42"/>
  <c r="M78" i="40"/>
  <c r="N77" i="40"/>
  <c r="O77" i="40" s="1"/>
  <c r="P77" i="40" s="1"/>
  <c r="AF81" i="39"/>
  <c r="AG80" i="39"/>
  <c r="M79" i="42"/>
  <c r="N78" i="42"/>
  <c r="O78" i="42" s="1"/>
  <c r="P78" i="42" s="1"/>
  <c r="N78" i="40"/>
  <c r="O78" i="40" s="1"/>
  <c r="P78" i="40" s="1"/>
  <c r="M79" i="40"/>
  <c r="AF82" i="39"/>
  <c r="AG81" i="39"/>
  <c r="M80" i="42"/>
  <c r="N79" i="42"/>
  <c r="O79" i="42" s="1"/>
  <c r="P79" i="42" s="1"/>
  <c r="N79" i="40"/>
  <c r="O79" i="40" s="1"/>
  <c r="P79" i="40" s="1"/>
  <c r="M80" i="40"/>
  <c r="AF83" i="39"/>
  <c r="AG82" i="39"/>
  <c r="N80" i="42"/>
  <c r="O80" i="42" s="1"/>
  <c r="P80" i="42" s="1"/>
  <c r="M81" i="42"/>
  <c r="N80" i="40"/>
  <c r="O80" i="40" s="1"/>
  <c r="P80" i="40" s="1"/>
  <c r="M81" i="40"/>
  <c r="AF84" i="39"/>
  <c r="AG83" i="39"/>
  <c r="M82" i="42"/>
  <c r="N81" i="42"/>
  <c r="O81" i="42"/>
  <c r="P81" i="42" s="1"/>
  <c r="M82" i="40"/>
  <c r="N81" i="40"/>
  <c r="O81" i="40" s="1"/>
  <c r="P81" i="40" s="1"/>
  <c r="AF85" i="39"/>
  <c r="AG84" i="39"/>
  <c r="M83" i="42"/>
  <c r="N82" i="42"/>
  <c r="O82" i="42" s="1"/>
  <c r="P82" i="42" s="1"/>
  <c r="M83" i="40"/>
  <c r="N82" i="40"/>
  <c r="O82" i="40" s="1"/>
  <c r="P82" i="40" s="1"/>
  <c r="AF86" i="39"/>
  <c r="AG85" i="39"/>
  <c r="M84" i="42"/>
  <c r="N83" i="42"/>
  <c r="O83" i="42" s="1"/>
  <c r="P83" i="42" s="1"/>
  <c r="M84" i="40"/>
  <c r="N83" i="40"/>
  <c r="O83" i="40" s="1"/>
  <c r="P83" i="40" s="1"/>
  <c r="AF87" i="39"/>
  <c r="AG86" i="39"/>
  <c r="N84" i="42"/>
  <c r="O84" i="42" s="1"/>
  <c r="P84" i="42" s="1"/>
  <c r="M85" i="42"/>
  <c r="N84" i="40"/>
  <c r="O84" i="40" s="1"/>
  <c r="P84" i="40" s="1"/>
  <c r="M85" i="40"/>
  <c r="AF88" i="39"/>
  <c r="AG87" i="39"/>
  <c r="M86" i="42"/>
  <c r="N85" i="42"/>
  <c r="O85" i="42" s="1"/>
  <c r="P85" i="42" s="1"/>
  <c r="N85" i="40"/>
  <c r="O85" i="40" s="1"/>
  <c r="P85" i="40" s="1"/>
  <c r="M86" i="40"/>
  <c r="AF89" i="39"/>
  <c r="AG88" i="39"/>
  <c r="N86" i="42"/>
  <c r="O86" i="42" s="1"/>
  <c r="P86" i="42" s="1"/>
  <c r="M87" i="42"/>
  <c r="N86" i="40"/>
  <c r="O86" i="40" s="1"/>
  <c r="P86" i="40" s="1"/>
  <c r="M87" i="40"/>
  <c r="AF90" i="39"/>
  <c r="AG89" i="39"/>
  <c r="M88" i="42"/>
  <c r="N87" i="42"/>
  <c r="O87" i="42" s="1"/>
  <c r="P87" i="42" s="1"/>
  <c r="M88" i="40"/>
  <c r="N87" i="40"/>
  <c r="AF91" i="39"/>
  <c r="AG90" i="39"/>
  <c r="M89" i="42"/>
  <c r="N88" i="42"/>
  <c r="O88" i="42" s="1"/>
  <c r="P88" i="42" s="1"/>
  <c r="M89" i="40"/>
  <c r="N88" i="40"/>
  <c r="O88" i="40" s="1"/>
  <c r="P88" i="40" s="1"/>
  <c r="AF92" i="39"/>
  <c r="AG91" i="39"/>
  <c r="N89" i="42"/>
  <c r="O89" i="42" s="1"/>
  <c r="P89" i="42" s="1"/>
  <c r="M90" i="42"/>
  <c r="N89" i="40"/>
  <c r="M90" i="40"/>
  <c r="AF93" i="39"/>
  <c r="AG92" i="39"/>
  <c r="N90" i="42"/>
  <c r="O90" i="42"/>
  <c r="P90" i="42" s="1"/>
  <c r="M91" i="42"/>
  <c r="N90" i="40"/>
  <c r="O90" i="40" s="1"/>
  <c r="P90" i="40" s="1"/>
  <c r="M91" i="40"/>
  <c r="AF94" i="39"/>
  <c r="AG93" i="39"/>
  <c r="M92" i="42"/>
  <c r="N91" i="42"/>
  <c r="O91" i="42" s="1"/>
  <c r="P91" i="42" s="1"/>
  <c r="M92" i="40"/>
  <c r="N91" i="40"/>
  <c r="O91" i="40" s="1"/>
  <c r="P91" i="40" s="1"/>
  <c r="AG94" i="39"/>
  <c r="AF95" i="39"/>
  <c r="N92" i="42"/>
  <c r="O92" i="42" s="1"/>
  <c r="P92" i="42" s="1"/>
  <c r="M93" i="42"/>
  <c r="M93" i="40"/>
  <c r="N92" i="40"/>
  <c r="O92" i="40" s="1"/>
  <c r="P92" i="40" s="1"/>
  <c r="AF96" i="39"/>
  <c r="AG95" i="39"/>
  <c r="N93" i="42"/>
  <c r="O93" i="42" s="1"/>
  <c r="P93" i="42" s="1"/>
  <c r="M94" i="42"/>
  <c r="M94" i="40"/>
  <c r="N93" i="40"/>
  <c r="O93" i="40" s="1"/>
  <c r="P93" i="40" s="1"/>
  <c r="AF97" i="39"/>
  <c r="AG96" i="39"/>
  <c r="M95" i="42"/>
  <c r="N94" i="42"/>
  <c r="O94" i="42" s="1"/>
  <c r="P94" i="42" s="1"/>
  <c r="N94" i="40"/>
  <c r="M95" i="40"/>
  <c r="AF98" i="39"/>
  <c r="AG97" i="39"/>
  <c r="N95" i="42"/>
  <c r="O95" i="42" s="1"/>
  <c r="P95" i="42" s="1"/>
  <c r="M96" i="42"/>
  <c r="M96" i="40"/>
  <c r="N95" i="40"/>
  <c r="AF99" i="39"/>
  <c r="AG98" i="39"/>
  <c r="N96" i="42"/>
  <c r="O96" i="42" s="1"/>
  <c r="P96" i="42" s="1"/>
  <c r="M97" i="42"/>
  <c r="N96" i="40"/>
  <c r="O96" i="40" s="1"/>
  <c r="P96" i="40" s="1"/>
  <c r="M97" i="40"/>
  <c r="AF100" i="39"/>
  <c r="AG99" i="39"/>
  <c r="M98" i="42"/>
  <c r="N97" i="42"/>
  <c r="O97" i="42"/>
  <c r="P97" i="42" s="1"/>
  <c r="N97" i="40"/>
  <c r="M98" i="40"/>
  <c r="AF101" i="39"/>
  <c r="AG100" i="39"/>
  <c r="M99" i="42"/>
  <c r="N98" i="42"/>
  <c r="O98" i="42" s="1"/>
  <c r="P98" i="42" s="1"/>
  <c r="N98" i="40"/>
  <c r="O98" i="40" s="1"/>
  <c r="P98" i="40" s="1"/>
  <c r="M99" i="40"/>
  <c r="AG101" i="39"/>
  <c r="AF102" i="39"/>
  <c r="N99" i="42"/>
  <c r="O99" i="42" s="1"/>
  <c r="P99" i="42" s="1"/>
  <c r="M100" i="42"/>
  <c r="N99" i="40"/>
  <c r="O99" i="40" s="1"/>
  <c r="P99" i="40" s="1"/>
  <c r="M100" i="40"/>
  <c r="AF103" i="39"/>
  <c r="AG102" i="39"/>
  <c r="N100" i="42"/>
  <c r="O100" i="42" s="1"/>
  <c r="P100" i="42" s="1"/>
  <c r="M101" i="42"/>
  <c r="N100" i="40"/>
  <c r="O100" i="40" s="1"/>
  <c r="P100" i="40" s="1"/>
  <c r="M101" i="40"/>
  <c r="AF104" i="39"/>
  <c r="AG103" i="39"/>
  <c r="M102" i="42"/>
  <c r="N101" i="42"/>
  <c r="O101" i="42" s="1"/>
  <c r="P101" i="42" s="1"/>
  <c r="M102" i="40"/>
  <c r="N101" i="40"/>
  <c r="O101" i="40" s="1"/>
  <c r="P101" i="40" s="1"/>
  <c r="AF105" i="39"/>
  <c r="AG104" i="39"/>
  <c r="M103" i="42"/>
  <c r="N102" i="42"/>
  <c r="O102" i="42" s="1"/>
  <c r="P102" i="42" s="1"/>
  <c r="N102" i="40"/>
  <c r="O102" i="40" s="1"/>
  <c r="P102" i="40" s="1"/>
  <c r="M103" i="40"/>
  <c r="AF106" i="39"/>
  <c r="AG105" i="39"/>
  <c r="M104" i="42"/>
  <c r="N103" i="42"/>
  <c r="O103" i="42" s="1"/>
  <c r="P103" i="42" s="1"/>
  <c r="M104" i="40"/>
  <c r="N103" i="40"/>
  <c r="O103" i="40"/>
  <c r="P103" i="40" s="1"/>
  <c r="AG106" i="39"/>
  <c r="AF107" i="39"/>
  <c r="N104" i="42"/>
  <c r="O104" i="42" s="1"/>
  <c r="P104" i="42" s="1"/>
  <c r="M105" i="42"/>
  <c r="M105" i="40"/>
  <c r="N104" i="40"/>
  <c r="O104" i="40" s="1"/>
  <c r="P104" i="40" s="1"/>
  <c r="AF108" i="39"/>
  <c r="AG107" i="39"/>
  <c r="N105" i="42"/>
  <c r="O105" i="42" s="1"/>
  <c r="P105" i="42" s="1"/>
  <c r="M106" i="42"/>
  <c r="N105" i="40"/>
  <c r="O105" i="40" s="1"/>
  <c r="P105" i="40" s="1"/>
  <c r="M106" i="40"/>
  <c r="AF109" i="39"/>
  <c r="AG108" i="39"/>
  <c r="N106" i="42"/>
  <c r="O106" i="42" s="1"/>
  <c r="P106" i="42" s="1"/>
  <c r="M107" i="42"/>
  <c r="N106" i="40"/>
  <c r="O106" i="40" s="1"/>
  <c r="P106" i="40" s="1"/>
  <c r="M107" i="40"/>
  <c r="AF110" i="39"/>
  <c r="AG109" i="39"/>
  <c r="M108" i="42"/>
  <c r="N107" i="42"/>
  <c r="O107" i="42" s="1"/>
  <c r="P107" i="42" s="1"/>
  <c r="M108" i="40"/>
  <c r="N107" i="40"/>
  <c r="O107" i="40" s="1"/>
  <c r="P107" i="40" s="1"/>
  <c r="AF111" i="39"/>
  <c r="AG110" i="39"/>
  <c r="N108" i="42"/>
  <c r="O108" i="42" s="1"/>
  <c r="P108" i="42" s="1"/>
  <c r="M109" i="42"/>
  <c r="M109" i="40"/>
  <c r="N108" i="40"/>
  <c r="O108" i="40" s="1"/>
  <c r="P108" i="40" s="1"/>
  <c r="AF112" i="39"/>
  <c r="AG111" i="39"/>
  <c r="N109" i="42"/>
  <c r="O109" i="42" s="1"/>
  <c r="P109" i="42" s="1"/>
  <c r="M110" i="42"/>
  <c r="N109" i="40"/>
  <c r="O109" i="40"/>
  <c r="P109" i="40" s="1"/>
  <c r="M110" i="40"/>
  <c r="AF113" i="39"/>
  <c r="AG112" i="39"/>
  <c r="N110" i="42"/>
  <c r="O110" i="42" s="1"/>
  <c r="P110" i="42" s="1"/>
  <c r="M111" i="42"/>
  <c r="N110" i="40"/>
  <c r="O110" i="40" s="1"/>
  <c r="P110" i="40" s="1"/>
  <c r="M111" i="40"/>
  <c r="AG113" i="39"/>
  <c r="AF114" i="39"/>
  <c r="N111" i="42"/>
  <c r="O111" i="42" s="1"/>
  <c r="P111" i="42" s="1"/>
  <c r="M112" i="42"/>
  <c r="N111" i="40"/>
  <c r="O111" i="40" s="1"/>
  <c r="P111" i="40" s="1"/>
  <c r="M112" i="40"/>
  <c r="AF115" i="39"/>
  <c r="AG114" i="39"/>
  <c r="M113" i="42"/>
  <c r="N112" i="42"/>
  <c r="O112" i="42" s="1"/>
  <c r="P112" i="42" s="1"/>
  <c r="N112" i="40"/>
  <c r="O112" i="40" s="1"/>
  <c r="P112" i="40" s="1"/>
  <c r="M113" i="40"/>
  <c r="AF116" i="39"/>
  <c r="AG115" i="39"/>
  <c r="N113" i="42"/>
  <c r="O113" i="42" s="1"/>
  <c r="P113" i="42" s="1"/>
  <c r="M114" i="42"/>
  <c r="M114" i="40"/>
  <c r="N113" i="40"/>
  <c r="O113" i="40" s="1"/>
  <c r="P113" i="40" s="1"/>
  <c r="AF117" i="39"/>
  <c r="AG116" i="39"/>
  <c r="N114" i="42"/>
  <c r="O114" i="42" s="1"/>
  <c r="P114" i="42" s="1"/>
  <c r="M115" i="42"/>
  <c r="N114" i="40"/>
  <c r="O114" i="40" s="1"/>
  <c r="P114" i="40" s="1"/>
  <c r="M115" i="40"/>
  <c r="AF118" i="39"/>
  <c r="AG117" i="39"/>
  <c r="M116" i="42"/>
  <c r="N115" i="42"/>
  <c r="O115" i="42" s="1"/>
  <c r="P115" i="42" s="1"/>
  <c r="N115" i="40"/>
  <c r="O115" i="40" s="1"/>
  <c r="P115" i="40" s="1"/>
  <c r="M116" i="40"/>
  <c r="AF119" i="39"/>
  <c r="AG118" i="39"/>
  <c r="M117" i="42"/>
  <c r="N116" i="42"/>
  <c r="O116" i="42" s="1"/>
  <c r="P116" i="42" s="1"/>
  <c r="N116" i="40"/>
  <c r="O116" i="40" s="1"/>
  <c r="P116" i="40" s="1"/>
  <c r="M117" i="40"/>
  <c r="AF120" i="39"/>
  <c r="AG119" i="39"/>
  <c r="M118" i="42"/>
  <c r="N117" i="42"/>
  <c r="O117" i="42" s="1"/>
  <c r="P117" i="42" s="1"/>
  <c r="M118" i="40"/>
  <c r="N117" i="40"/>
  <c r="AF121" i="39"/>
  <c r="AG120" i="39"/>
  <c r="N118" i="42"/>
  <c r="O118" i="42" s="1"/>
  <c r="P118" i="42" s="1"/>
  <c r="M119" i="42"/>
  <c r="N118" i="40"/>
  <c r="O118" i="40" s="1"/>
  <c r="P118" i="40" s="1"/>
  <c r="M119" i="40"/>
  <c r="AF122" i="39"/>
  <c r="AG121" i="39"/>
  <c r="M120" i="42"/>
  <c r="N119" i="42"/>
  <c r="O119" i="42" s="1"/>
  <c r="P119" i="42" s="1"/>
  <c r="N119" i="40"/>
  <c r="O119" i="40" s="1"/>
  <c r="P119" i="40" s="1"/>
  <c r="M120" i="40"/>
  <c r="AF123" i="39"/>
  <c r="AG122" i="39"/>
  <c r="M121" i="42"/>
  <c r="N120" i="42"/>
  <c r="O120" i="42" s="1"/>
  <c r="P120" i="42" s="1"/>
  <c r="N120" i="40"/>
  <c r="O120" i="40" s="1"/>
  <c r="P120" i="40" s="1"/>
  <c r="M121" i="40"/>
  <c r="AF124" i="39"/>
  <c r="AG123" i="39"/>
  <c r="N121" i="42"/>
  <c r="O121" i="42"/>
  <c r="P121" i="42" s="1"/>
  <c r="M122" i="42"/>
  <c r="M122" i="40"/>
  <c r="N121" i="40"/>
  <c r="O121" i="40" s="1"/>
  <c r="P121" i="40" s="1"/>
  <c r="AF125" i="39"/>
  <c r="AG124" i="39"/>
  <c r="M123" i="42"/>
  <c r="N122" i="42"/>
  <c r="O122" i="42" s="1"/>
  <c r="P122" i="42" s="1"/>
  <c r="N122" i="40"/>
  <c r="O122" i="40" s="1"/>
  <c r="P122" i="40" s="1"/>
  <c r="M123" i="40"/>
  <c r="AF126" i="39"/>
  <c r="AG125" i="39"/>
  <c r="N123" i="42"/>
  <c r="O123" i="42" s="1"/>
  <c r="P123" i="42" s="1"/>
  <c r="M124" i="42"/>
  <c r="M124" i="40"/>
  <c r="N123" i="40"/>
  <c r="O123" i="40" s="1"/>
  <c r="P123" i="40" s="1"/>
  <c r="AG126" i="39"/>
  <c r="AF127" i="39"/>
  <c r="N124" i="42"/>
  <c r="O124" i="42" s="1"/>
  <c r="P124" i="42" s="1"/>
  <c r="M125" i="42"/>
  <c r="N124" i="40"/>
  <c r="O124" i="40" s="1"/>
  <c r="P124" i="40" s="1"/>
  <c r="M125" i="40"/>
  <c r="AF128" i="39"/>
  <c r="AG127" i="39"/>
  <c r="M126" i="42"/>
  <c r="N125" i="42"/>
  <c r="O125" i="42" s="1"/>
  <c r="P125" i="42" s="1"/>
  <c r="N125" i="40"/>
  <c r="O125" i="40" s="1"/>
  <c r="P125" i="40" s="1"/>
  <c r="M126" i="40"/>
  <c r="AF129" i="39"/>
  <c r="AG128" i="39"/>
  <c r="N126" i="42"/>
  <c r="O126" i="42" s="1"/>
  <c r="P126" i="42" s="1"/>
  <c r="M127" i="42"/>
  <c r="N126" i="40"/>
  <c r="O126" i="40" s="1"/>
  <c r="P126" i="40" s="1"/>
  <c r="M127" i="40"/>
  <c r="AF130" i="39"/>
  <c r="AG129" i="39"/>
  <c r="N127" i="42"/>
  <c r="O127" i="42" s="1"/>
  <c r="P127" i="42" s="1"/>
  <c r="M128" i="42"/>
  <c r="M128" i="40"/>
  <c r="N127" i="40"/>
  <c r="O127" i="40" s="1"/>
  <c r="P127" i="40" s="1"/>
  <c r="AF131" i="39"/>
  <c r="AG130" i="39"/>
  <c r="N128" i="42"/>
  <c r="O128" i="42"/>
  <c r="P128" i="42" s="1"/>
  <c r="M129" i="42"/>
  <c r="M129" i="40"/>
  <c r="N128" i="40"/>
  <c r="O128" i="40" s="1"/>
  <c r="P128" i="40" s="1"/>
  <c r="AF132" i="39"/>
  <c r="AG132" i="39" s="1"/>
  <c r="AG131" i="39"/>
  <c r="N129" i="42"/>
  <c r="O129" i="42" s="1"/>
  <c r="P129" i="42" s="1"/>
  <c r="M130" i="42"/>
  <c r="N129" i="40"/>
  <c r="M130" i="40"/>
  <c r="N130" i="42"/>
  <c r="O130" i="42" s="1"/>
  <c r="P130" i="42" s="1"/>
  <c r="M131" i="42"/>
  <c r="M131" i="40"/>
  <c r="N130" i="40"/>
  <c r="O130" i="40" s="1"/>
  <c r="P130" i="40" s="1"/>
  <c r="M132" i="42"/>
  <c r="N131" i="42"/>
  <c r="O131" i="42" s="1"/>
  <c r="P131" i="42" s="1"/>
  <c r="M132" i="40"/>
  <c r="N131" i="40"/>
  <c r="O131" i="40"/>
  <c r="P131" i="40" s="1"/>
  <c r="M133" i="42"/>
  <c r="N132" i="42"/>
  <c r="O132" i="42" s="1"/>
  <c r="P132" i="42" s="1"/>
  <c r="M133" i="40"/>
  <c r="N132" i="40"/>
  <c r="O132" i="40" s="1"/>
  <c r="P132" i="40" s="1"/>
  <c r="N133" i="42"/>
  <c r="O133" i="42" s="1"/>
  <c r="P133" i="42" s="1"/>
  <c r="M134" i="42"/>
  <c r="N133" i="40"/>
  <c r="O133" i="40" s="1"/>
  <c r="P133" i="40" s="1"/>
  <c r="M134" i="40"/>
  <c r="M135" i="42"/>
  <c r="N134" i="42"/>
  <c r="O134" i="42" s="1"/>
  <c r="P134" i="42" s="1"/>
  <c r="N134" i="40"/>
  <c r="O134" i="40" s="1"/>
  <c r="P134" i="40" s="1"/>
  <c r="M135" i="40"/>
  <c r="N135" i="42"/>
  <c r="O135" i="42" s="1"/>
  <c r="P135" i="42" s="1"/>
  <c r="M136" i="42"/>
  <c r="N135" i="40"/>
  <c r="M136" i="40"/>
  <c r="M137" i="42"/>
  <c r="N136" i="42"/>
  <c r="O136" i="42" s="1"/>
  <c r="P136" i="42" s="1"/>
  <c r="M137" i="40"/>
  <c r="N136" i="40"/>
  <c r="O136" i="40" s="1"/>
  <c r="P136" i="40" s="1"/>
  <c r="M138" i="42"/>
  <c r="N137" i="42"/>
  <c r="O137" i="42" s="1"/>
  <c r="P137" i="42" s="1"/>
  <c r="N137" i="40"/>
  <c r="O137" i="40" s="1"/>
  <c r="P137" i="40" s="1"/>
  <c r="M138" i="40"/>
  <c r="N138" i="42"/>
  <c r="O138" i="42"/>
  <c r="P138" i="42" s="1"/>
  <c r="M139" i="42"/>
  <c r="N138" i="40"/>
  <c r="O138" i="40" s="1"/>
  <c r="P138" i="40" s="1"/>
  <c r="M139" i="40"/>
  <c r="N139" i="42"/>
  <c r="M140" i="42"/>
  <c r="O139" i="42"/>
  <c r="P139" i="42" s="1"/>
  <c r="N139" i="40"/>
  <c r="O139" i="40" s="1"/>
  <c r="P139" i="40" s="1"/>
  <c r="M140" i="40"/>
  <c r="M141" i="42"/>
  <c r="N140" i="42"/>
  <c r="O140" i="42" s="1"/>
  <c r="P140" i="42" s="1"/>
  <c r="M141" i="40"/>
  <c r="N140" i="40"/>
  <c r="O140" i="40" s="1"/>
  <c r="P140" i="40" s="1"/>
  <c r="N141" i="42"/>
  <c r="O141" i="42" s="1"/>
  <c r="P141" i="42" s="1"/>
  <c r="M142" i="42"/>
  <c r="M142" i="40"/>
  <c r="N141" i="40"/>
  <c r="O141" i="40" s="1"/>
  <c r="P141" i="40" s="1"/>
  <c r="M143" i="42"/>
  <c r="N142" i="42"/>
  <c r="O142" i="42" s="1"/>
  <c r="P142" i="42" s="1"/>
  <c r="N142" i="40"/>
  <c r="O142" i="40" s="1"/>
  <c r="P142" i="40" s="1"/>
  <c r="M143" i="40"/>
  <c r="N143" i="42"/>
  <c r="O143" i="42" s="1"/>
  <c r="P143" i="42" s="1"/>
  <c r="M144" i="42"/>
  <c r="N143" i="40"/>
  <c r="O143" i="40" s="1"/>
  <c r="P143" i="40" s="1"/>
  <c r="M144" i="40"/>
  <c r="N144" i="42"/>
  <c r="O144" i="42"/>
  <c r="P144" i="42" s="1"/>
  <c r="M145" i="42"/>
  <c r="N144" i="40"/>
  <c r="O144" i="40" s="1"/>
  <c r="P144" i="40" s="1"/>
  <c r="M145" i="40"/>
  <c r="N145" i="42"/>
  <c r="O145" i="42"/>
  <c r="P145" i="42" s="1"/>
  <c r="M146" i="42"/>
  <c r="M146" i="40"/>
  <c r="N145" i="40"/>
  <c r="M147" i="42"/>
  <c r="N146" i="42"/>
  <c r="O146" i="42" s="1"/>
  <c r="P146" i="42" s="1"/>
  <c r="N146" i="40"/>
  <c r="O146" i="40" s="1"/>
  <c r="P146" i="40" s="1"/>
  <c r="M147" i="40"/>
  <c r="M148" i="42"/>
  <c r="N147" i="42"/>
  <c r="O147" i="42"/>
  <c r="P147" i="42" s="1"/>
  <c r="M148" i="40"/>
  <c r="N147" i="40"/>
  <c r="O147" i="40" s="1"/>
  <c r="P147" i="40" s="1"/>
  <c r="N148" i="42"/>
  <c r="O148" i="42" s="1"/>
  <c r="P148" i="42" s="1"/>
  <c r="M149" i="42"/>
  <c r="N148" i="40"/>
  <c r="O148" i="40" s="1"/>
  <c r="P148" i="40" s="1"/>
  <c r="M149" i="40"/>
  <c r="N149" i="42"/>
  <c r="O149" i="42" s="1"/>
  <c r="P149" i="42" s="1"/>
  <c r="M150" i="42"/>
  <c r="N149" i="40"/>
  <c r="O149" i="40" s="1"/>
  <c r="P149" i="40" s="1"/>
  <c r="M150" i="40"/>
  <c r="M151" i="42"/>
  <c r="N150" i="42"/>
  <c r="O150" i="42" s="1"/>
  <c r="P150" i="42" s="1"/>
  <c r="N150" i="40"/>
  <c r="O150" i="40" s="1"/>
  <c r="P150" i="40" s="1"/>
  <c r="M151" i="40"/>
  <c r="M152" i="42"/>
  <c r="N151" i="42"/>
  <c r="O151" i="42"/>
  <c r="P151" i="42" s="1"/>
  <c r="N151" i="40"/>
  <c r="O151" i="40" s="1"/>
  <c r="P151" i="40" s="1"/>
  <c r="M152" i="40"/>
  <c r="M153" i="42"/>
  <c r="N152" i="42"/>
  <c r="O152" i="42" s="1"/>
  <c r="P152" i="42" s="1"/>
  <c r="N152" i="40"/>
  <c r="M153" i="40"/>
  <c r="M154" i="42"/>
  <c r="N153" i="42"/>
  <c r="O153" i="42" s="1"/>
  <c r="P153" i="42" s="1"/>
  <c r="N153" i="40"/>
  <c r="O153" i="40" s="1"/>
  <c r="P153" i="40" s="1"/>
  <c r="M154" i="40"/>
  <c r="N154" i="42"/>
  <c r="O154" i="42"/>
  <c r="P154" i="42" s="1"/>
  <c r="M155" i="42"/>
  <c r="N154" i="40"/>
  <c r="O154" i="40" s="1"/>
  <c r="P154" i="40" s="1"/>
  <c r="M155" i="40"/>
  <c r="M156" i="42"/>
  <c r="N155" i="42"/>
  <c r="O155" i="42" s="1"/>
  <c r="P155" i="42" s="1"/>
  <c r="M156" i="40"/>
  <c r="N155" i="40"/>
  <c r="N156" i="42"/>
  <c r="O156" i="42" s="1"/>
  <c r="P156" i="42" s="1"/>
  <c r="M157" i="42"/>
  <c r="M157" i="40"/>
  <c r="N156" i="40"/>
  <c r="O156" i="40" s="1"/>
  <c r="P156" i="40" s="1"/>
  <c r="M158" i="42"/>
  <c r="N157" i="42"/>
  <c r="O157" i="42" s="1"/>
  <c r="P157" i="42" s="1"/>
  <c r="N157" i="40"/>
  <c r="O157" i="40"/>
  <c r="P157" i="40" s="1"/>
  <c r="M158" i="40"/>
  <c r="M159" i="42"/>
  <c r="N158" i="42"/>
  <c r="O158" i="42" s="1"/>
  <c r="P158" i="42" s="1"/>
  <c r="N158" i="40"/>
  <c r="O158" i="40" s="1"/>
  <c r="P158" i="40" s="1"/>
  <c r="M159" i="40"/>
  <c r="M160" i="42"/>
  <c r="N159" i="42"/>
  <c r="O159" i="42"/>
  <c r="P159" i="42" s="1"/>
  <c r="N159" i="40"/>
  <c r="M160" i="40"/>
  <c r="M161" i="42"/>
  <c r="N160" i="42"/>
  <c r="O160" i="42"/>
  <c r="P160" i="42" s="1"/>
  <c r="N160" i="40"/>
  <c r="M161" i="40"/>
  <c r="M162" i="42"/>
  <c r="N161" i="42"/>
  <c r="O161" i="42" s="1"/>
  <c r="P161" i="42" s="1"/>
  <c r="M162" i="40"/>
  <c r="N161" i="40"/>
  <c r="O161" i="40" s="1"/>
  <c r="P161" i="40" s="1"/>
  <c r="M163" i="42"/>
  <c r="N162" i="42"/>
  <c r="O162" i="42"/>
  <c r="P162" i="42" s="1"/>
  <c r="M163" i="40"/>
  <c r="N162" i="40"/>
  <c r="O162" i="40" s="1"/>
  <c r="P162" i="40" s="1"/>
  <c r="M164" i="42"/>
  <c r="N163" i="42"/>
  <c r="O163" i="42" s="1"/>
  <c r="P163" i="42" s="1"/>
  <c r="N163" i="40"/>
  <c r="O163" i="40" s="1"/>
  <c r="P163" i="40" s="1"/>
  <c r="M164" i="40"/>
  <c r="M165" i="42"/>
  <c r="N164" i="42"/>
  <c r="O164" i="42" s="1"/>
  <c r="P164" i="42" s="1"/>
  <c r="N164" i="40"/>
  <c r="M165" i="40"/>
  <c r="O164" i="40"/>
  <c r="P164" i="40" s="1"/>
  <c r="N165" i="42"/>
  <c r="O165" i="42" s="1"/>
  <c r="P165" i="42" s="1"/>
  <c r="M166" i="42"/>
  <c r="N165" i="40"/>
  <c r="M166" i="40"/>
  <c r="M167" i="42"/>
  <c r="N166" i="42"/>
  <c r="O166" i="42" s="1"/>
  <c r="P166" i="42" s="1"/>
  <c r="M167" i="40"/>
  <c r="N166" i="40"/>
  <c r="O166" i="40" s="1"/>
  <c r="P166" i="40" s="1"/>
  <c r="N167" i="42"/>
  <c r="O167" i="42"/>
  <c r="P167" i="42" s="1"/>
  <c r="M168" i="42"/>
  <c r="M168" i="40"/>
  <c r="N167" i="40"/>
  <c r="O167" i="40" s="1"/>
  <c r="P167" i="40" s="1"/>
  <c r="N168" i="42"/>
  <c r="O168" i="42"/>
  <c r="P168" i="42" s="1"/>
  <c r="M169" i="42"/>
  <c r="N168" i="40"/>
  <c r="O168" i="40" s="1"/>
  <c r="P168" i="40" s="1"/>
  <c r="M169" i="40"/>
  <c r="M170" i="42"/>
  <c r="N169" i="42"/>
  <c r="O169" i="42" s="1"/>
  <c r="P169" i="42" s="1"/>
  <c r="N169" i="40"/>
  <c r="O169" i="40" s="1"/>
  <c r="P169" i="40" s="1"/>
  <c r="M170" i="40"/>
  <c r="N170" i="42"/>
  <c r="O170" i="42" s="1"/>
  <c r="P170" i="42" s="1"/>
  <c r="M171" i="42"/>
  <c r="N170" i="40"/>
  <c r="O170" i="40" s="1"/>
  <c r="P170" i="40" s="1"/>
  <c r="M171" i="40"/>
  <c r="N171" i="42"/>
  <c r="O171" i="42" s="1"/>
  <c r="P171" i="42" s="1"/>
  <c r="M172" i="42"/>
  <c r="N171" i="40"/>
  <c r="O171" i="40" s="1"/>
  <c r="P171" i="40" s="1"/>
  <c r="M172" i="40"/>
  <c r="N172" i="42"/>
  <c r="O172" i="42" s="1"/>
  <c r="P172" i="42" s="1"/>
  <c r="M173" i="42"/>
  <c r="N172" i="40"/>
  <c r="O172" i="40" s="1"/>
  <c r="P172" i="40" s="1"/>
  <c r="M173" i="40"/>
  <c r="M174" i="42"/>
  <c r="N173" i="42"/>
  <c r="O173" i="42" s="1"/>
  <c r="P173" i="42" s="1"/>
  <c r="N173" i="40"/>
  <c r="O173" i="40" s="1"/>
  <c r="P173" i="40" s="1"/>
  <c r="M174" i="40"/>
  <c r="M175" i="42"/>
  <c r="N174" i="42"/>
  <c r="O174" i="42" s="1"/>
  <c r="P174" i="42" s="1"/>
  <c r="N174" i="40"/>
  <c r="O174" i="40" s="1"/>
  <c r="P174" i="40" s="1"/>
  <c r="M175" i="40"/>
  <c r="M176" i="42"/>
  <c r="N175" i="42"/>
  <c r="O175" i="42" s="1"/>
  <c r="P175" i="42" s="1"/>
  <c r="M176" i="40"/>
  <c r="N175" i="40"/>
  <c r="O175" i="40" s="1"/>
  <c r="P175" i="40" s="1"/>
  <c r="N176" i="42"/>
  <c r="O176" i="42"/>
  <c r="P176" i="42" s="1"/>
  <c r="M177" i="42"/>
  <c r="N176" i="40"/>
  <c r="O176" i="40" s="1"/>
  <c r="P176" i="40" s="1"/>
  <c r="M177" i="40"/>
  <c r="N177" i="42"/>
  <c r="O177" i="42"/>
  <c r="P177" i="42" s="1"/>
  <c r="M178" i="42"/>
  <c r="N177" i="40"/>
  <c r="O177" i="40" s="1"/>
  <c r="P177" i="40" s="1"/>
  <c r="M178" i="40"/>
  <c r="N178" i="42"/>
  <c r="O178" i="42" s="1"/>
  <c r="P178" i="42" s="1"/>
  <c r="M179" i="42"/>
  <c r="N178" i="40"/>
  <c r="M179" i="40"/>
  <c r="N179" i="42"/>
  <c r="O179" i="42" s="1"/>
  <c r="P179" i="42" s="1"/>
  <c r="M180" i="42"/>
  <c r="N179" i="40"/>
  <c r="O179" i="40" s="1"/>
  <c r="P179" i="40" s="1"/>
  <c r="M180" i="40"/>
  <c r="N180" i="42"/>
  <c r="O180" i="42" s="1"/>
  <c r="P180" i="42" s="1"/>
  <c r="M181" i="42"/>
  <c r="N180" i="40"/>
  <c r="O180" i="40" s="1"/>
  <c r="P180" i="40" s="1"/>
  <c r="M181" i="40"/>
  <c r="M182" i="42"/>
  <c r="N181" i="42"/>
  <c r="O181" i="42" s="1"/>
  <c r="P181" i="42" s="1"/>
  <c r="N181" i="40"/>
  <c r="M182" i="40"/>
  <c r="N182" i="42"/>
  <c r="O182" i="42" s="1"/>
  <c r="P182" i="42" s="1"/>
  <c r="M183" i="42"/>
  <c r="N182" i="40"/>
  <c r="M183" i="40"/>
  <c r="M184" i="42"/>
  <c r="N183" i="42"/>
  <c r="O183" i="42" s="1"/>
  <c r="P183" i="42" s="1"/>
  <c r="M184" i="40"/>
  <c r="N183" i="40"/>
  <c r="O183" i="40" s="1"/>
  <c r="P183" i="40" s="1"/>
  <c r="M185" i="42"/>
  <c r="N184" i="42"/>
  <c r="O184" i="42" s="1"/>
  <c r="P184" i="42" s="1"/>
  <c r="N184" i="40"/>
  <c r="O184" i="40" s="1"/>
  <c r="P184" i="40" s="1"/>
  <c r="M185" i="40"/>
  <c r="M186" i="42"/>
  <c r="N185" i="42"/>
  <c r="O185" i="42" s="1"/>
  <c r="P185" i="42" s="1"/>
  <c r="N185" i="40"/>
  <c r="O185" i="40" s="1"/>
  <c r="P185" i="40" s="1"/>
  <c r="M186" i="40"/>
  <c r="M187" i="42"/>
  <c r="N186" i="42"/>
  <c r="O186" i="42" s="1"/>
  <c r="P186" i="42" s="1"/>
  <c r="M187" i="40"/>
  <c r="N186" i="40"/>
  <c r="O186" i="40" s="1"/>
  <c r="P186" i="40" s="1"/>
  <c r="N187" i="42"/>
  <c r="O187" i="42" s="1"/>
  <c r="P187" i="42" s="1"/>
  <c r="M188" i="42"/>
  <c r="M188" i="40"/>
  <c r="N187" i="40"/>
  <c r="O187" i="40" s="1"/>
  <c r="P187" i="40" s="1"/>
  <c r="M189" i="42"/>
  <c r="N188" i="42"/>
  <c r="O188" i="42" s="1"/>
  <c r="P188" i="42" s="1"/>
  <c r="M189" i="40"/>
  <c r="N188" i="40"/>
  <c r="O188" i="40" s="1"/>
  <c r="P188" i="40" s="1"/>
  <c r="M190" i="42"/>
  <c r="N189" i="42"/>
  <c r="O189" i="42" s="1"/>
  <c r="P189" i="42" s="1"/>
  <c r="N189" i="40"/>
  <c r="O189" i="40" s="1"/>
  <c r="P189" i="40" s="1"/>
  <c r="M190" i="40"/>
  <c r="M191" i="42"/>
  <c r="N190" i="42"/>
  <c r="O190" i="42" s="1"/>
  <c r="P190" i="42" s="1"/>
  <c r="N190" i="40"/>
  <c r="O190" i="40" s="1"/>
  <c r="P190" i="40" s="1"/>
  <c r="M191" i="40"/>
  <c r="M192" i="42"/>
  <c r="N191" i="42"/>
  <c r="O191" i="42" s="1"/>
  <c r="P191" i="42" s="1"/>
  <c r="M192" i="40"/>
  <c r="N191" i="40"/>
  <c r="O191" i="40" s="1"/>
  <c r="P191" i="40" s="1"/>
  <c r="M193" i="42"/>
  <c r="N192" i="42"/>
  <c r="O192" i="42" s="1"/>
  <c r="P192" i="42" s="1"/>
  <c r="N192" i="40"/>
  <c r="O192" i="40" s="1"/>
  <c r="P192" i="40" s="1"/>
  <c r="M193" i="40"/>
  <c r="N193" i="42"/>
  <c r="O193" i="42"/>
  <c r="P193" i="42" s="1"/>
  <c r="M194" i="42"/>
  <c r="N193" i="40"/>
  <c r="M194" i="40"/>
  <c r="M195" i="42"/>
  <c r="N194" i="42"/>
  <c r="O194" i="42" s="1"/>
  <c r="P194" i="42" s="1"/>
  <c r="N194" i="40"/>
  <c r="O194" i="40" s="1"/>
  <c r="P194" i="40" s="1"/>
  <c r="M195" i="40"/>
  <c r="N195" i="42"/>
  <c r="O195" i="42" s="1"/>
  <c r="P195" i="42" s="1"/>
  <c r="M196" i="42"/>
  <c r="N195" i="40"/>
  <c r="O195" i="40" s="1"/>
  <c r="P195" i="40" s="1"/>
  <c r="M196" i="40"/>
  <c r="M197" i="42"/>
  <c r="N196" i="42"/>
  <c r="O196" i="42" s="1"/>
  <c r="P196" i="42" s="1"/>
  <c r="N196" i="40"/>
  <c r="M197" i="40"/>
  <c r="N197" i="42"/>
  <c r="O197" i="42" s="1"/>
  <c r="P197" i="42" s="1"/>
  <c r="M198" i="42"/>
  <c r="N197" i="40"/>
  <c r="M198" i="40"/>
  <c r="M199" i="42"/>
  <c r="N198" i="42"/>
  <c r="O198" i="42" s="1"/>
  <c r="P198" i="42" s="1"/>
  <c r="M199" i="40"/>
  <c r="N198" i="40"/>
  <c r="O198" i="40" s="1"/>
  <c r="P198" i="40" s="1"/>
  <c r="N199" i="42"/>
  <c r="O199" i="42"/>
  <c r="P199" i="42" s="1"/>
  <c r="M200" i="42"/>
  <c r="M200" i="40"/>
  <c r="N199" i="40"/>
  <c r="O199" i="40" s="1"/>
  <c r="P199" i="40" s="1"/>
  <c r="N200" i="42"/>
  <c r="O200" i="42" s="1"/>
  <c r="P200" i="42" s="1"/>
  <c r="M201" i="42"/>
  <c r="M201" i="40"/>
  <c r="N200" i="40"/>
  <c r="N201" i="42"/>
  <c r="O201" i="42"/>
  <c r="P201" i="42" s="1"/>
  <c r="M202" i="42"/>
  <c r="N201" i="40"/>
  <c r="O201" i="40" s="1"/>
  <c r="P201" i="40" s="1"/>
  <c r="M202" i="40"/>
  <c r="M203" i="42"/>
  <c r="N202" i="42"/>
  <c r="O202" i="42" s="1"/>
  <c r="P202" i="42" s="1"/>
  <c r="N202" i="40"/>
  <c r="M203" i="40"/>
  <c r="M204" i="42"/>
  <c r="N203" i="42"/>
  <c r="O203" i="42" s="1"/>
  <c r="P203" i="42" s="1"/>
  <c r="N203" i="40"/>
  <c r="O203" i="40" s="1"/>
  <c r="P203" i="40" s="1"/>
  <c r="M204" i="40"/>
  <c r="N204" i="42"/>
  <c r="O204" i="42" s="1"/>
  <c r="P204" i="42" s="1"/>
  <c r="M205" i="42"/>
  <c r="M205" i="40"/>
  <c r="N204" i="40"/>
  <c r="M206" i="42"/>
  <c r="N205" i="42"/>
  <c r="O205" i="42" s="1"/>
  <c r="P205" i="42" s="1"/>
  <c r="M206" i="40"/>
  <c r="N205" i="40"/>
  <c r="M207" i="42"/>
  <c r="N206" i="42"/>
  <c r="O206" i="42" s="1"/>
  <c r="P206" i="42" s="1"/>
  <c r="N206" i="40"/>
  <c r="O206" i="40" s="1"/>
  <c r="P206" i="40" s="1"/>
  <c r="M207" i="40"/>
  <c r="M208" i="42"/>
  <c r="N207" i="42"/>
  <c r="O207" i="42" s="1"/>
  <c r="P207" i="42" s="1"/>
  <c r="N207" i="40"/>
  <c r="O207" i="40" s="1"/>
  <c r="P207" i="40" s="1"/>
  <c r="M208" i="40"/>
  <c r="N208" i="42"/>
  <c r="O208" i="42" s="1"/>
  <c r="P208" i="42" s="1"/>
  <c r="M209" i="42"/>
  <c r="N208" i="40"/>
  <c r="M209" i="40"/>
  <c r="M210" i="42"/>
  <c r="N209" i="42"/>
  <c r="O209" i="42" s="1"/>
  <c r="P209" i="42" s="1"/>
  <c r="N209" i="40"/>
  <c r="O209" i="40" s="1"/>
  <c r="P209" i="40" s="1"/>
  <c r="M210" i="40"/>
  <c r="N210" i="42"/>
  <c r="O210" i="42" s="1"/>
  <c r="P210" i="42" s="1"/>
  <c r="M211" i="42"/>
  <c r="N210" i="40"/>
  <c r="O210" i="40" s="1"/>
  <c r="P210" i="40" s="1"/>
  <c r="M211" i="40"/>
  <c r="N211" i="42"/>
  <c r="O211" i="42"/>
  <c r="P211" i="42" s="1"/>
  <c r="M212" i="42"/>
  <c r="M212" i="40"/>
  <c r="N211" i="40"/>
  <c r="O211" i="40" s="1"/>
  <c r="P211" i="40" s="1"/>
  <c r="M213" i="42"/>
  <c r="N212" i="42"/>
  <c r="O212" i="42" s="1"/>
  <c r="P212" i="42" s="1"/>
  <c r="N212" i="40"/>
  <c r="M213" i="40"/>
  <c r="N213" i="42"/>
  <c r="O213" i="42" s="1"/>
  <c r="P213" i="42" s="1"/>
  <c r="M214" i="42"/>
  <c r="M214" i="40"/>
  <c r="N213" i="40"/>
  <c r="O213" i="40" s="1"/>
  <c r="P213" i="40" s="1"/>
  <c r="M215" i="42"/>
  <c r="N214" i="42"/>
  <c r="O214" i="42" s="1"/>
  <c r="P214" i="42" s="1"/>
  <c r="N214" i="40"/>
  <c r="O214" i="40" s="1"/>
  <c r="P214" i="40" s="1"/>
  <c r="M215" i="40"/>
  <c r="M216" i="42"/>
  <c r="N215" i="42"/>
  <c r="O215" i="42" s="1"/>
  <c r="P215" i="42" s="1"/>
  <c r="M216" i="40"/>
  <c r="N215" i="40"/>
  <c r="O215" i="40" s="1"/>
  <c r="P215" i="40" s="1"/>
  <c r="M217" i="42"/>
  <c r="N216" i="42"/>
  <c r="O216" i="42" s="1"/>
  <c r="P216" i="42" s="1"/>
  <c r="N216" i="40"/>
  <c r="M217" i="40"/>
  <c r="M218" i="42"/>
  <c r="N217" i="42"/>
  <c r="O217" i="42"/>
  <c r="P217" i="42" s="1"/>
  <c r="N217" i="40"/>
  <c r="O217" i="40" s="1"/>
  <c r="P217" i="40" s="1"/>
  <c r="M218" i="40"/>
  <c r="N218" i="42"/>
  <c r="O218" i="42" s="1"/>
  <c r="P218" i="42" s="1"/>
  <c r="M219" i="42"/>
  <c r="M219" i="40"/>
  <c r="N218" i="40"/>
  <c r="O218" i="40" s="1"/>
  <c r="P218" i="40" s="1"/>
  <c r="M220" i="42"/>
  <c r="N219" i="42"/>
  <c r="O219" i="42" s="1"/>
  <c r="P219" i="42" s="1"/>
  <c r="N219" i="40"/>
  <c r="O219" i="40" s="1"/>
  <c r="P219" i="40" s="1"/>
  <c r="M220" i="40"/>
  <c r="M221" i="42"/>
  <c r="N220" i="42"/>
  <c r="O220" i="42" s="1"/>
  <c r="P220" i="42" s="1"/>
  <c r="N220" i="40"/>
  <c r="M221" i="40"/>
  <c r="M222" i="42"/>
  <c r="N221" i="42"/>
  <c r="O221" i="42" s="1"/>
  <c r="P221" i="42" s="1"/>
  <c r="M222" i="40"/>
  <c r="N221" i="40"/>
  <c r="M223" i="42"/>
  <c r="N222" i="42"/>
  <c r="O222" i="42" s="1"/>
  <c r="P222" i="42" s="1"/>
  <c r="M223" i="40"/>
  <c r="N222" i="40"/>
  <c r="O222" i="40" s="1"/>
  <c r="P222" i="40" s="1"/>
  <c r="M224" i="42"/>
  <c r="N223" i="42"/>
  <c r="O223" i="42" s="1"/>
  <c r="P223" i="42" s="1"/>
  <c r="N223" i="40"/>
  <c r="O223" i="40" s="1"/>
  <c r="P223" i="40" s="1"/>
  <c r="M224" i="40"/>
  <c r="M225" i="42"/>
  <c r="N224" i="42"/>
  <c r="O224" i="42" s="1"/>
  <c r="P224" i="42" s="1"/>
  <c r="M225" i="40"/>
  <c r="N224" i="40"/>
  <c r="O224" i="40" s="1"/>
  <c r="P224" i="40" s="1"/>
  <c r="M226" i="42"/>
  <c r="N225" i="42"/>
  <c r="O225" i="42"/>
  <c r="P225" i="42" s="1"/>
  <c r="N225" i="40"/>
  <c r="M226" i="40"/>
  <c r="N226" i="42"/>
  <c r="O226" i="42" s="1"/>
  <c r="P226" i="42" s="1"/>
  <c r="M227" i="42"/>
  <c r="M227" i="40"/>
  <c r="N226" i="40"/>
  <c r="O226" i="40" s="1"/>
  <c r="P226" i="40" s="1"/>
  <c r="N227" i="42"/>
  <c r="M228" i="42"/>
  <c r="O227" i="42"/>
  <c r="P227" i="42" s="1"/>
  <c r="M228" i="40"/>
  <c r="N227" i="40"/>
  <c r="O227" i="40" s="1"/>
  <c r="P227" i="40" s="1"/>
  <c r="M229" i="42"/>
  <c r="N228" i="42"/>
  <c r="O228" i="42" s="1"/>
  <c r="P228" i="42" s="1"/>
  <c r="N228" i="40"/>
  <c r="M229" i="40"/>
  <c r="M230" i="42"/>
  <c r="N229" i="42"/>
  <c r="O229" i="42" s="1"/>
  <c r="P229" i="42" s="1"/>
  <c r="N229" i="40"/>
  <c r="O229" i="40" s="1"/>
  <c r="P229" i="40" s="1"/>
  <c r="M230" i="40"/>
  <c r="N230" i="42"/>
  <c r="O230" i="42" s="1"/>
  <c r="P230" i="42" s="1"/>
  <c r="M231" i="42"/>
  <c r="M231" i="40"/>
  <c r="N230" i="40"/>
  <c r="O230" i="40" s="1"/>
  <c r="P230" i="40" s="1"/>
  <c r="N231" i="42"/>
  <c r="O231" i="42"/>
  <c r="P231" i="42" s="1"/>
  <c r="M232" i="42"/>
  <c r="N231" i="40"/>
  <c r="M232" i="40"/>
  <c r="N232" i="42"/>
  <c r="O232" i="42"/>
  <c r="P232" i="42" s="1"/>
  <c r="M233" i="42"/>
  <c r="N232" i="40"/>
  <c r="M233" i="40"/>
  <c r="M234" i="42"/>
  <c r="N233" i="42"/>
  <c r="O233" i="42" s="1"/>
  <c r="P233" i="42" s="1"/>
  <c r="N233" i="40"/>
  <c r="O233" i="40" s="1"/>
  <c r="P233" i="40" s="1"/>
  <c r="M234" i="40"/>
  <c r="N234" i="42"/>
  <c r="O234" i="42" s="1"/>
  <c r="P234" i="42" s="1"/>
  <c r="M235" i="42"/>
  <c r="N234" i="40"/>
  <c r="M235" i="40"/>
  <c r="N235" i="42"/>
  <c r="M236" i="42"/>
  <c r="O235" i="42"/>
  <c r="P235" i="42" s="1"/>
  <c r="N235" i="40"/>
  <c r="O235" i="40" s="1"/>
  <c r="P235" i="40" s="1"/>
  <c r="M236" i="40"/>
  <c r="M237" i="42"/>
  <c r="N236" i="42"/>
  <c r="O236" i="42" s="1"/>
  <c r="P236" i="42" s="1"/>
  <c r="N236" i="40"/>
  <c r="O236" i="40" s="1"/>
  <c r="P236" i="40" s="1"/>
  <c r="M237" i="40"/>
  <c r="M238" i="42"/>
  <c r="N237" i="42"/>
  <c r="O237" i="42" s="1"/>
  <c r="P237" i="42" s="1"/>
  <c r="N237" i="40"/>
  <c r="O237" i="40"/>
  <c r="P237" i="40" s="1"/>
  <c r="M238" i="40"/>
  <c r="N238" i="42"/>
  <c r="O238" i="42" s="1"/>
  <c r="P238" i="42" s="1"/>
  <c r="M239" i="42"/>
  <c r="N238" i="40"/>
  <c r="O238" i="40" s="1"/>
  <c r="P238" i="40" s="1"/>
  <c r="M239" i="40"/>
  <c r="N239" i="42"/>
  <c r="O239" i="42" s="1"/>
  <c r="P239" i="42" s="1"/>
  <c r="M240" i="42"/>
  <c r="N239" i="40"/>
  <c r="O239" i="40" s="1"/>
  <c r="P239" i="40" s="1"/>
  <c r="M240" i="40"/>
  <c r="N240" i="42"/>
  <c r="O240" i="42"/>
  <c r="P240" i="42" s="1"/>
  <c r="M241" i="42"/>
  <c r="M241" i="40"/>
  <c r="N240" i="40"/>
  <c r="O240" i="40" s="1"/>
  <c r="P240" i="40" s="1"/>
  <c r="N241" i="42"/>
  <c r="O241" i="42" s="1"/>
  <c r="P241" i="42" s="1"/>
  <c r="M242" i="42"/>
  <c r="M242" i="40"/>
  <c r="N241" i="40"/>
  <c r="N242" i="42"/>
  <c r="O242" i="42" s="1"/>
  <c r="P242" i="42" s="1"/>
  <c r="M243" i="42"/>
  <c r="M243" i="40"/>
  <c r="N242" i="40"/>
  <c r="O242" i="40" s="1"/>
  <c r="P242" i="40" s="1"/>
  <c r="N243" i="42"/>
  <c r="M244" i="42"/>
  <c r="O243" i="42"/>
  <c r="P243" i="42" s="1"/>
  <c r="N243" i="40"/>
  <c r="O243" i="40" s="1"/>
  <c r="P243" i="40" s="1"/>
  <c r="M244" i="40"/>
  <c r="N244" i="42"/>
  <c r="O244" i="42" s="1"/>
  <c r="P244" i="42" s="1"/>
  <c r="M245" i="42"/>
  <c r="M245" i="40"/>
  <c r="N244" i="40"/>
  <c r="O244" i="40" s="1"/>
  <c r="P244" i="40" s="1"/>
  <c r="N245" i="42"/>
  <c r="O245" i="42" s="1"/>
  <c r="P245" i="42" s="1"/>
  <c r="M246" i="42"/>
  <c r="M246" i="40"/>
  <c r="N245" i="40"/>
  <c r="O245" i="40" s="1"/>
  <c r="P245" i="40" s="1"/>
  <c r="N246" i="42"/>
  <c r="O246" i="42" s="1"/>
  <c r="P246" i="42" s="1"/>
  <c r="M247" i="42"/>
  <c r="M247" i="40"/>
  <c r="N246" i="40"/>
  <c r="N247" i="42"/>
  <c r="O247" i="42" s="1"/>
  <c r="P247" i="42" s="1"/>
  <c r="M248" i="42"/>
  <c r="M248" i="40"/>
  <c r="N247" i="40"/>
  <c r="O247" i="40" s="1"/>
  <c r="P247" i="40" s="1"/>
  <c r="M249" i="42"/>
  <c r="N248" i="42"/>
  <c r="O248" i="42" s="1"/>
  <c r="P248" i="42" s="1"/>
  <c r="N248" i="40"/>
  <c r="O248" i="40" s="1"/>
  <c r="P248" i="40" s="1"/>
  <c r="M249" i="40"/>
  <c r="N249" i="42"/>
  <c r="O249" i="42"/>
  <c r="P249" i="42" s="1"/>
  <c r="M250" i="42"/>
  <c r="N249" i="40"/>
  <c r="O249" i="40" s="1"/>
  <c r="P249" i="40" s="1"/>
  <c r="M250" i="40"/>
  <c r="N250" i="42"/>
  <c r="O250" i="42" s="1"/>
  <c r="P250" i="42" s="1"/>
  <c r="M251" i="42"/>
  <c r="M251" i="40"/>
  <c r="N250" i="40"/>
  <c r="M252" i="42"/>
  <c r="N251" i="42"/>
  <c r="O251" i="42"/>
  <c r="P251" i="42" s="1"/>
  <c r="N251" i="40"/>
  <c r="O251" i="40" s="1"/>
  <c r="P251" i="40" s="1"/>
  <c r="M252" i="40"/>
  <c r="M253" i="42"/>
  <c r="N252" i="42"/>
  <c r="O252" i="42" s="1"/>
  <c r="P252" i="42" s="1"/>
  <c r="M253" i="40"/>
  <c r="N252" i="40"/>
  <c r="O252" i="40" s="1"/>
  <c r="P252" i="40" s="1"/>
  <c r="M254" i="42"/>
  <c r="N253" i="42"/>
  <c r="O253" i="42" s="1"/>
  <c r="P253" i="42" s="1"/>
  <c r="M254" i="40"/>
  <c r="N253" i="40"/>
  <c r="O253" i="40" s="1"/>
  <c r="P253" i="40" s="1"/>
  <c r="M255" i="42"/>
  <c r="N254" i="42"/>
  <c r="O254" i="42" s="1"/>
  <c r="P254" i="42" s="1"/>
  <c r="N254" i="40"/>
  <c r="O254" i="40" s="1"/>
  <c r="P254" i="40" s="1"/>
  <c r="M255" i="40"/>
  <c r="M256" i="42"/>
  <c r="N255" i="42"/>
  <c r="O255" i="42" s="1"/>
  <c r="P255" i="42" s="1"/>
  <c r="N255" i="40"/>
  <c r="O255" i="40" s="1"/>
  <c r="P255" i="40" s="1"/>
  <c r="M256" i="40"/>
  <c r="N256" i="42"/>
  <c r="O256" i="42"/>
  <c r="P256" i="42" s="1"/>
  <c r="M257" i="42"/>
  <c r="N256" i="40"/>
  <c r="M257" i="40"/>
  <c r="M258" i="42"/>
  <c r="N257" i="42"/>
  <c r="O257" i="42" s="1"/>
  <c r="P257" i="42" s="1"/>
  <c r="N257" i="40"/>
  <c r="M258" i="40"/>
  <c r="N258" i="42"/>
  <c r="O258" i="42"/>
  <c r="P258" i="42" s="1"/>
  <c r="M259" i="42"/>
  <c r="M259" i="40"/>
  <c r="N258" i="40"/>
  <c r="O258" i="40" s="1"/>
  <c r="P258" i="40" s="1"/>
  <c r="M260" i="42"/>
  <c r="N259" i="42"/>
  <c r="O259" i="42"/>
  <c r="P259" i="42" s="1"/>
  <c r="N259" i="40"/>
  <c r="O259" i="40"/>
  <c r="P259" i="40" s="1"/>
  <c r="M260" i="40"/>
  <c r="M261" i="42"/>
  <c r="N260" i="42"/>
  <c r="O260" i="42" s="1"/>
  <c r="P260" i="42" s="1"/>
  <c r="M261" i="40"/>
  <c r="N260" i="40"/>
  <c r="M262" i="42"/>
  <c r="N261" i="42"/>
  <c r="O261" i="42" s="1"/>
  <c r="P261" i="42" s="1"/>
  <c r="M262" i="40"/>
  <c r="N261" i="40"/>
  <c r="O261" i="40" s="1"/>
  <c r="P261" i="40" s="1"/>
  <c r="N262" i="42"/>
  <c r="O262" i="42" s="1"/>
  <c r="P262" i="42" s="1"/>
  <c r="M263" i="42"/>
  <c r="N262" i="40"/>
  <c r="O262" i="40" s="1"/>
  <c r="P262" i="40" s="1"/>
  <c r="M263" i="40"/>
  <c r="N263" i="42"/>
  <c r="O263" i="42"/>
  <c r="P263" i="42" s="1"/>
  <c r="M264" i="42"/>
  <c r="N263" i="40"/>
  <c r="O263" i="40" s="1"/>
  <c r="P263" i="40" s="1"/>
  <c r="M264" i="40"/>
  <c r="N264" i="42"/>
  <c r="M265" i="42"/>
  <c r="O264" i="42"/>
  <c r="P264" i="42" s="1"/>
  <c r="N264" i="40"/>
  <c r="O264" i="40" s="1"/>
  <c r="P264" i="40" s="1"/>
  <c r="M265" i="40"/>
  <c r="M266" i="42"/>
  <c r="N265" i="42"/>
  <c r="O265" i="42" s="1"/>
  <c r="P265" i="42" s="1"/>
  <c r="N265" i="40"/>
  <c r="O265" i="40" s="1"/>
  <c r="P265" i="40" s="1"/>
  <c r="M266" i="40"/>
  <c r="M267" i="42"/>
  <c r="N266" i="42"/>
  <c r="O266" i="42" s="1"/>
  <c r="P266" i="42" s="1"/>
  <c r="M267" i="40"/>
  <c r="N266" i="40"/>
  <c r="O266" i="40" s="1"/>
  <c r="P266" i="40" s="1"/>
  <c r="M268" i="42"/>
  <c r="N267" i="42"/>
  <c r="O267" i="42"/>
  <c r="P267" i="42" s="1"/>
  <c r="N267" i="40"/>
  <c r="O267" i="40" s="1"/>
  <c r="P267" i="40" s="1"/>
  <c r="M268" i="40"/>
  <c r="M269" i="42"/>
  <c r="N268" i="42"/>
  <c r="O268" i="42" s="1"/>
  <c r="P268" i="42" s="1"/>
  <c r="M269" i="40"/>
  <c r="N268" i="40"/>
  <c r="O268" i="40" s="1"/>
  <c r="P268" i="40" s="1"/>
  <c r="M270" i="42"/>
  <c r="N269" i="42"/>
  <c r="O269" i="42" s="1"/>
  <c r="P269" i="42" s="1"/>
  <c r="M270" i="40"/>
  <c r="N269" i="40"/>
  <c r="O269" i="40" s="1"/>
  <c r="P269" i="40" s="1"/>
  <c r="N270" i="42"/>
  <c r="O270" i="42" s="1"/>
  <c r="P270" i="42" s="1"/>
  <c r="M271" i="42"/>
  <c r="M271" i="40"/>
  <c r="N270" i="40"/>
  <c r="O270" i="40" s="1"/>
  <c r="P270" i="40" s="1"/>
  <c r="M272" i="42"/>
  <c r="N271" i="42"/>
  <c r="O271" i="42" s="1"/>
  <c r="P271" i="42" s="1"/>
  <c r="M272" i="40"/>
  <c r="N271" i="40"/>
  <c r="O271" i="40" s="1"/>
  <c r="P271" i="40" s="1"/>
  <c r="N272" i="42"/>
  <c r="M273" i="42"/>
  <c r="O272" i="42"/>
  <c r="P272" i="42" s="1"/>
  <c r="N272" i="40"/>
  <c r="O272" i="40" s="1"/>
  <c r="P272" i="40" s="1"/>
  <c r="M273" i="40"/>
  <c r="M274" i="42"/>
  <c r="N273" i="42"/>
  <c r="O273" i="42" s="1"/>
  <c r="P273" i="42" s="1"/>
  <c r="M274" i="40"/>
  <c r="N273" i="40"/>
  <c r="O273" i="40" s="1"/>
  <c r="P273" i="40" s="1"/>
  <c r="M275" i="42"/>
  <c r="N274" i="42"/>
  <c r="O274" i="42" s="1"/>
  <c r="P274" i="42" s="1"/>
  <c r="M275" i="40"/>
  <c r="N274" i="40"/>
  <c r="O274" i="40" s="1"/>
  <c r="P274" i="40" s="1"/>
  <c r="N275" i="42"/>
  <c r="O275" i="42" s="1"/>
  <c r="P275" i="42" s="1"/>
  <c r="M276" i="42"/>
  <c r="M276" i="40"/>
  <c r="N275" i="40"/>
  <c r="O275" i="40" s="1"/>
  <c r="P275" i="40" s="1"/>
  <c r="M277" i="42"/>
  <c r="N276" i="42"/>
  <c r="O276" i="42" s="1"/>
  <c r="P276" i="42" s="1"/>
  <c r="N276" i="40"/>
  <c r="O276" i="40" s="1"/>
  <c r="P276" i="40" s="1"/>
  <c r="M277" i="40"/>
  <c r="N277" i="42"/>
  <c r="O277" i="42" s="1"/>
  <c r="P277" i="42" s="1"/>
  <c r="M278" i="42"/>
  <c r="N277" i="40"/>
  <c r="O277" i="40" s="1"/>
  <c r="P277" i="40" s="1"/>
  <c r="M278" i="40"/>
  <c r="M279" i="42"/>
  <c r="N278" i="42"/>
  <c r="O278" i="42" s="1"/>
  <c r="P278" i="42" s="1"/>
  <c r="M279" i="40"/>
  <c r="N278" i="40"/>
  <c r="O278" i="40" s="1"/>
  <c r="P278" i="40" s="1"/>
  <c r="N279" i="42"/>
  <c r="O279" i="42" s="1"/>
  <c r="P279" i="42" s="1"/>
  <c r="M280" i="42"/>
  <c r="N279" i="40"/>
  <c r="O279" i="40" s="1"/>
  <c r="P279" i="40" s="1"/>
  <c r="M280" i="40"/>
  <c r="M281" i="42"/>
  <c r="N280" i="42"/>
  <c r="O280" i="42"/>
  <c r="P280" i="42" s="1"/>
  <c r="M281" i="40"/>
  <c r="N280" i="40"/>
  <c r="O280" i="40" s="1"/>
  <c r="P280" i="40" s="1"/>
  <c r="N281" i="42"/>
  <c r="O281" i="42" s="1"/>
  <c r="P281" i="42" s="1"/>
  <c r="M282" i="42"/>
  <c r="M282" i="40"/>
  <c r="N281" i="40"/>
  <c r="O281" i="40" s="1"/>
  <c r="P281" i="40" s="1"/>
  <c r="N282" i="42"/>
  <c r="O282" i="42"/>
  <c r="P282" i="42" s="1"/>
  <c r="M283" i="42"/>
  <c r="M283" i="40"/>
  <c r="N282" i="40"/>
  <c r="O282" i="40" s="1"/>
  <c r="P282" i="40" s="1"/>
  <c r="M284" i="42"/>
  <c r="N283" i="42"/>
  <c r="O283" i="42" s="1"/>
  <c r="P283" i="42" s="1"/>
  <c r="M284" i="40"/>
  <c r="N283" i="40"/>
  <c r="O283" i="40" s="1"/>
  <c r="P283" i="40" s="1"/>
  <c r="N284" i="42"/>
  <c r="O284" i="42" s="1"/>
  <c r="P284" i="42" s="1"/>
  <c r="M285" i="42"/>
  <c r="M285" i="40"/>
  <c r="N284" i="40"/>
  <c r="O284" i="40" s="1"/>
  <c r="P284" i="40" s="1"/>
  <c r="N285" i="42"/>
  <c r="O285" i="42" s="1"/>
  <c r="P285" i="42" s="1"/>
  <c r="M286" i="42"/>
  <c r="M286" i="40"/>
  <c r="N285" i="40"/>
  <c r="O285" i="40" s="1"/>
  <c r="P285" i="40" s="1"/>
  <c r="M287" i="42"/>
  <c r="N286" i="42"/>
  <c r="O286" i="42" s="1"/>
  <c r="P286" i="42" s="1"/>
  <c r="N286" i="40"/>
  <c r="O286" i="40" s="1"/>
  <c r="P286" i="40" s="1"/>
  <c r="M287" i="40"/>
  <c r="M288" i="42"/>
  <c r="N287" i="42"/>
  <c r="O287" i="42" s="1"/>
  <c r="P287" i="42" s="1"/>
  <c r="M288" i="40"/>
  <c r="N287" i="40"/>
  <c r="O287" i="40" s="1"/>
  <c r="P287" i="40" s="1"/>
  <c r="M289" i="42"/>
  <c r="N288" i="42"/>
  <c r="O288" i="42" s="1"/>
  <c r="P288" i="42" s="1"/>
  <c r="N288" i="40"/>
  <c r="M289" i="40"/>
  <c r="M290" i="42"/>
  <c r="N289" i="42"/>
  <c r="O289" i="42" s="1"/>
  <c r="P289" i="42" s="1"/>
  <c r="N289" i="40"/>
  <c r="O289" i="40" s="1"/>
  <c r="P289" i="40" s="1"/>
  <c r="M290" i="40"/>
  <c r="N290" i="42"/>
  <c r="O290" i="42"/>
  <c r="P290" i="42" s="1"/>
  <c r="M291" i="42"/>
  <c r="N290" i="40"/>
  <c r="O290" i="40" s="1"/>
  <c r="P290" i="40" s="1"/>
  <c r="M291" i="40"/>
  <c r="N291" i="42"/>
  <c r="O291" i="42" s="1"/>
  <c r="P291" i="42" s="1"/>
  <c r="M292" i="42"/>
  <c r="M292" i="40"/>
  <c r="N291" i="40"/>
  <c r="O291" i="40" s="1"/>
  <c r="P291" i="40" s="1"/>
  <c r="M293" i="42"/>
  <c r="N292" i="42"/>
  <c r="O292" i="42" s="1"/>
  <c r="P292" i="42" s="1"/>
  <c r="M293" i="40"/>
  <c r="N292" i="40"/>
  <c r="M294" i="42"/>
  <c r="N293" i="42"/>
  <c r="O293" i="42" s="1"/>
  <c r="P293" i="42" s="1"/>
  <c r="N293" i="40"/>
  <c r="M294" i="40"/>
  <c r="N294" i="42"/>
  <c r="O294" i="42" s="1"/>
  <c r="P294" i="42" s="1"/>
  <c r="M295" i="42"/>
  <c r="N294" i="40"/>
  <c r="O294" i="40" s="1"/>
  <c r="P294" i="40" s="1"/>
  <c r="M295" i="40"/>
  <c r="M296" i="42"/>
  <c r="N295" i="42"/>
  <c r="O295" i="42" s="1"/>
  <c r="P295" i="42" s="1"/>
  <c r="M296" i="40"/>
  <c r="N295" i="40"/>
  <c r="O295" i="40" s="1"/>
  <c r="P295" i="40" s="1"/>
  <c r="N296" i="42"/>
  <c r="O296" i="42"/>
  <c r="P296" i="42" s="1"/>
  <c r="M297" i="42"/>
  <c r="M297" i="40"/>
  <c r="N296" i="40"/>
  <c r="M298" i="42"/>
  <c r="N297" i="42"/>
  <c r="O297" i="42" s="1"/>
  <c r="P297" i="42" s="1"/>
  <c r="M298" i="40"/>
  <c r="N297" i="40"/>
  <c r="O297" i="40" s="1"/>
  <c r="P297" i="40" s="1"/>
  <c r="M299" i="42"/>
  <c r="N298" i="42"/>
  <c r="O298" i="42"/>
  <c r="P298" i="42" s="1"/>
  <c r="M299" i="40"/>
  <c r="N298" i="40"/>
  <c r="N299" i="42"/>
  <c r="O299" i="42" s="1"/>
  <c r="P299" i="42" s="1"/>
  <c r="M300" i="42"/>
  <c r="M300" i="40"/>
  <c r="N299" i="40"/>
  <c r="O299" i="40" s="1"/>
  <c r="P299" i="40" s="1"/>
  <c r="N300" i="42"/>
  <c r="O300" i="42" s="1"/>
  <c r="P300" i="42" s="1"/>
  <c r="M301" i="42"/>
  <c r="N300" i="40"/>
  <c r="O300" i="40"/>
  <c r="P300" i="40" s="1"/>
  <c r="M301" i="40"/>
  <c r="M302" i="42"/>
  <c r="N301" i="42"/>
  <c r="O301" i="42" s="1"/>
  <c r="P301" i="42" s="1"/>
  <c r="M302" i="40"/>
  <c r="N301" i="40"/>
  <c r="O301" i="40" s="1"/>
  <c r="P301" i="40" s="1"/>
  <c r="M303" i="42"/>
  <c r="N302" i="42"/>
  <c r="O302" i="42" s="1"/>
  <c r="P302" i="42" s="1"/>
  <c r="M303" i="40"/>
  <c r="N302" i="40"/>
  <c r="O302" i="40" s="1"/>
  <c r="P302" i="40" s="1"/>
  <c r="M304" i="42"/>
  <c r="N303" i="42"/>
  <c r="O303" i="42" s="1"/>
  <c r="P303" i="42" s="1"/>
  <c r="M304" i="40"/>
  <c r="N303" i="40"/>
  <c r="O303" i="40" s="1"/>
  <c r="P303" i="40" s="1"/>
  <c r="N304" i="42"/>
  <c r="O304" i="42" s="1"/>
  <c r="P304" i="42" s="1"/>
  <c r="M305" i="42"/>
  <c r="N304" i="40"/>
  <c r="M305" i="40"/>
  <c r="M306" i="42"/>
  <c r="N305" i="42"/>
  <c r="O305" i="42" s="1"/>
  <c r="P305" i="42" s="1"/>
  <c r="N305" i="40"/>
  <c r="O305" i="40" s="1"/>
  <c r="P305" i="40" s="1"/>
  <c r="M306" i="40"/>
  <c r="M307" i="42"/>
  <c r="N306" i="42"/>
  <c r="O306" i="42"/>
  <c r="P306" i="42" s="1"/>
  <c r="N306" i="40"/>
  <c r="O306" i="40" s="1"/>
  <c r="P306" i="40" s="1"/>
  <c r="M307" i="40"/>
  <c r="N307" i="42"/>
  <c r="O307" i="42" s="1"/>
  <c r="P307" i="42" s="1"/>
  <c r="M308" i="42"/>
  <c r="M308" i="40"/>
  <c r="N307" i="40"/>
  <c r="O307" i="40" s="1"/>
  <c r="P307" i="40" s="1"/>
  <c r="M309" i="42"/>
  <c r="N308" i="42"/>
  <c r="O308" i="42" s="1"/>
  <c r="P308" i="42" s="1"/>
  <c r="N308" i="40"/>
  <c r="M309" i="40"/>
  <c r="N309" i="42"/>
  <c r="O309" i="42" s="1"/>
  <c r="P309" i="42" s="1"/>
  <c r="M310" i="42"/>
  <c r="N309" i="40"/>
  <c r="O309" i="40" s="1"/>
  <c r="P309" i="40" s="1"/>
  <c r="M310" i="40"/>
  <c r="M311" i="42"/>
  <c r="N310" i="42"/>
  <c r="O310" i="42" s="1"/>
  <c r="P310" i="42" s="1"/>
  <c r="N310" i="40"/>
  <c r="M311" i="40"/>
  <c r="N311" i="42"/>
  <c r="O311" i="42"/>
  <c r="P311" i="42" s="1"/>
  <c r="M312" i="42"/>
  <c r="M312" i="40"/>
  <c r="N311" i="40"/>
  <c r="O311" i="40" s="1"/>
  <c r="P311" i="40" s="1"/>
  <c r="M313" i="42"/>
  <c r="N312" i="42"/>
  <c r="O312" i="42" s="1"/>
  <c r="P312" i="42" s="1"/>
  <c r="M313" i="40"/>
  <c r="N312" i="40"/>
  <c r="O312" i="40" s="1"/>
  <c r="P312" i="40" s="1"/>
  <c r="M314" i="42"/>
  <c r="N313" i="42"/>
  <c r="O313" i="42"/>
  <c r="P313" i="42" s="1"/>
  <c r="N313" i="40"/>
  <c r="O313" i="40"/>
  <c r="P313" i="40" s="1"/>
  <c r="M314" i="40"/>
  <c r="M315" i="42"/>
  <c r="N314" i="42"/>
  <c r="O314" i="42" s="1"/>
  <c r="P314" i="42" s="1"/>
  <c r="M315" i="40"/>
  <c r="N314" i="40"/>
  <c r="O314" i="40" s="1"/>
  <c r="P314" i="40" s="1"/>
  <c r="M316" i="42"/>
  <c r="N315" i="42"/>
  <c r="O315" i="42" s="1"/>
  <c r="P315" i="42" s="1"/>
  <c r="M316" i="40"/>
  <c r="N315" i="40"/>
  <c r="O315" i="40" s="1"/>
  <c r="P315" i="40" s="1"/>
  <c r="M317" i="42"/>
  <c r="N316" i="42"/>
  <c r="O316" i="42" s="1"/>
  <c r="P316" i="42" s="1"/>
  <c r="N316" i="40"/>
  <c r="M317" i="40"/>
  <c r="N317" i="42"/>
  <c r="O317" i="42" s="1"/>
  <c r="P317" i="42" s="1"/>
  <c r="M318" i="42"/>
  <c r="N317" i="40"/>
  <c r="M318" i="40"/>
  <c r="N318" i="42"/>
  <c r="O318" i="42" s="1"/>
  <c r="P318" i="42" s="1"/>
  <c r="M319" i="42"/>
  <c r="N318" i="40"/>
  <c r="O318" i="40" s="1"/>
  <c r="P318" i="40" s="1"/>
  <c r="M319" i="40"/>
  <c r="N319" i="42"/>
  <c r="O319" i="42" s="1"/>
  <c r="P319" i="42" s="1"/>
  <c r="M320" i="42"/>
  <c r="N319" i="40"/>
  <c r="O319" i="40" s="1"/>
  <c r="P319" i="40" s="1"/>
  <c r="M320" i="40"/>
  <c r="M321" i="42"/>
  <c r="N320" i="42"/>
  <c r="O320" i="42" s="1"/>
  <c r="P320" i="42" s="1"/>
  <c r="M321" i="40"/>
  <c r="N320" i="40"/>
  <c r="O320" i="40" s="1"/>
  <c r="P320" i="40" s="1"/>
  <c r="M322" i="42"/>
  <c r="N321" i="42"/>
  <c r="O321" i="42"/>
  <c r="P321" i="42" s="1"/>
  <c r="M322" i="40"/>
  <c r="N321" i="40"/>
  <c r="O321" i="40" s="1"/>
  <c r="P321" i="40" s="1"/>
  <c r="M323" i="42"/>
  <c r="N322" i="42"/>
  <c r="O322" i="42" s="1"/>
  <c r="P322" i="42" s="1"/>
  <c r="N322" i="40"/>
  <c r="O322" i="40" s="1"/>
  <c r="P322" i="40" s="1"/>
  <c r="M323" i="40"/>
  <c r="N323" i="42"/>
  <c r="M324" i="42"/>
  <c r="O323" i="42"/>
  <c r="P323" i="42" s="1"/>
  <c r="N323" i="40"/>
  <c r="O323" i="40" s="1"/>
  <c r="P323" i="40" s="1"/>
  <c r="M324" i="40"/>
  <c r="N324" i="42"/>
  <c r="O324" i="42" s="1"/>
  <c r="P324" i="42" s="1"/>
  <c r="M325" i="42"/>
  <c r="N324" i="40"/>
  <c r="M325" i="40"/>
  <c r="N325" i="42"/>
  <c r="O325" i="42" s="1"/>
  <c r="P325" i="42" s="1"/>
  <c r="M326" i="42"/>
  <c r="M326" i="40"/>
  <c r="N325" i="40"/>
  <c r="O325" i="40" s="1"/>
  <c r="P325" i="40" s="1"/>
  <c r="N326" i="42"/>
  <c r="O326" i="42" s="1"/>
  <c r="P326" i="42" s="1"/>
  <c r="M327" i="42"/>
  <c r="N326" i="40"/>
  <c r="M327" i="40"/>
  <c r="N327" i="42"/>
  <c r="O327" i="42"/>
  <c r="P327" i="42" s="1"/>
  <c r="M328" i="42"/>
  <c r="N327" i="40"/>
  <c r="O327" i="40" s="1"/>
  <c r="P327" i="40" s="1"/>
  <c r="M328" i="40"/>
  <c r="M329" i="42"/>
  <c r="N328" i="42"/>
  <c r="O328" i="42" s="1"/>
  <c r="P328" i="42" s="1"/>
  <c r="M329" i="40"/>
  <c r="N328" i="40"/>
  <c r="O328" i="40" s="1"/>
  <c r="P328" i="40" s="1"/>
  <c r="M330" i="42"/>
  <c r="N329" i="42"/>
  <c r="O329" i="42"/>
  <c r="P329" i="42" s="1"/>
  <c r="N329" i="40"/>
  <c r="O329" i="40"/>
  <c r="P329" i="40" s="1"/>
  <c r="M330" i="40"/>
  <c r="M331" i="42"/>
  <c r="N330" i="42"/>
  <c r="O330" i="42" s="1"/>
  <c r="P330" i="42" s="1"/>
  <c r="M331" i="40"/>
  <c r="N330" i="40"/>
  <c r="O330" i="40" s="1"/>
  <c r="P330" i="40" s="1"/>
  <c r="N331" i="42"/>
  <c r="M332" i="42"/>
  <c r="O331" i="42"/>
  <c r="P331" i="42" s="1"/>
  <c r="M332" i="40"/>
  <c r="N331" i="40"/>
  <c r="O331" i="40" s="1"/>
  <c r="P331" i="40" s="1"/>
  <c r="M333" i="42"/>
  <c r="N332" i="42"/>
  <c r="O332" i="42" s="1"/>
  <c r="P332" i="42" s="1"/>
  <c r="N332" i="40"/>
  <c r="O332" i="40" s="1"/>
  <c r="P332" i="40" s="1"/>
  <c r="M333" i="40"/>
  <c r="M334" i="42"/>
  <c r="N333" i="42"/>
  <c r="O333" i="42" s="1"/>
  <c r="P333" i="42" s="1"/>
  <c r="N333" i="40"/>
  <c r="O333" i="40" s="1"/>
  <c r="P333" i="40" s="1"/>
  <c r="M334" i="40"/>
  <c r="M335" i="42"/>
  <c r="N334" i="42"/>
  <c r="O334" i="42" s="1"/>
  <c r="P334" i="42" s="1"/>
  <c r="M335" i="40"/>
  <c r="N334" i="40"/>
  <c r="O334" i="40" s="1"/>
  <c r="P334" i="40" s="1"/>
  <c r="N335" i="42"/>
  <c r="O335" i="42" s="1"/>
  <c r="P335" i="42" s="1"/>
  <c r="M336" i="42"/>
  <c r="M336" i="40"/>
  <c r="N335" i="40"/>
  <c r="O335" i="40" s="1"/>
  <c r="P335" i="40" s="1"/>
  <c r="N336" i="42"/>
  <c r="O336" i="42"/>
  <c r="P336" i="42" s="1"/>
  <c r="M337" i="42"/>
  <c r="M337" i="40"/>
  <c r="N336" i="40"/>
  <c r="O336" i="40" s="1"/>
  <c r="P336" i="40" s="1"/>
  <c r="N337" i="42"/>
  <c r="O337" i="42"/>
  <c r="P337" i="42" s="1"/>
  <c r="M338" i="42"/>
  <c r="M338" i="40"/>
  <c r="N337" i="40"/>
  <c r="O337" i="40" s="1"/>
  <c r="P337" i="40" s="1"/>
  <c r="N338" i="42"/>
  <c r="O338" i="42" s="1"/>
  <c r="P338" i="42" s="1"/>
  <c r="M339" i="42"/>
  <c r="M339" i="40"/>
  <c r="N338" i="40"/>
  <c r="O338" i="40" s="1"/>
  <c r="P338" i="40" s="1"/>
  <c r="M340" i="42"/>
  <c r="N339" i="42"/>
  <c r="O339" i="42" s="1"/>
  <c r="P339" i="42" s="1"/>
  <c r="M340" i="40"/>
  <c r="N339" i="40"/>
  <c r="O339" i="40" s="1"/>
  <c r="P339" i="40" s="1"/>
  <c r="N340" i="42"/>
  <c r="O340" i="42" s="1"/>
  <c r="P340" i="42" s="1"/>
  <c r="M341" i="42"/>
  <c r="M341" i="40"/>
  <c r="N340" i="40"/>
  <c r="O340" i="40" s="1"/>
  <c r="P340" i="40" s="1"/>
  <c r="N341" i="42"/>
  <c r="O341" i="42" s="1"/>
  <c r="P341" i="42" s="1"/>
  <c r="M342" i="42"/>
  <c r="M342" i="40"/>
  <c r="N341" i="40"/>
  <c r="N342" i="42"/>
  <c r="O342" i="42" s="1"/>
  <c r="P342" i="42" s="1"/>
  <c r="M343" i="42"/>
  <c r="M343" i="40"/>
  <c r="N342" i="40"/>
  <c r="O342" i="40" s="1"/>
  <c r="P342" i="40" s="1"/>
  <c r="N343" i="42"/>
  <c r="O343" i="42" s="1"/>
  <c r="P343" i="42" s="1"/>
  <c r="M344" i="42"/>
  <c r="M344" i="40"/>
  <c r="N343" i="40"/>
  <c r="O343" i="40" s="1"/>
  <c r="P343" i="40" s="1"/>
  <c r="N344" i="42"/>
  <c r="O344" i="42" s="1"/>
  <c r="P344" i="42" s="1"/>
  <c r="M345" i="42"/>
  <c r="M345" i="40"/>
  <c r="N344" i="40"/>
  <c r="O344" i="40" s="1"/>
  <c r="P344" i="40" s="1"/>
  <c r="N345" i="42"/>
  <c r="O345" i="42" s="1"/>
  <c r="P345" i="42" s="1"/>
  <c r="M346" i="42"/>
  <c r="N345" i="40"/>
  <c r="O345" i="40" s="1"/>
  <c r="P345" i="40" s="1"/>
  <c r="M346" i="40"/>
  <c r="N346" i="42"/>
  <c r="M347" i="42"/>
  <c r="O346" i="42"/>
  <c r="P346" i="42" s="1"/>
  <c r="M347" i="40"/>
  <c r="N346" i="40"/>
  <c r="O346" i="40" s="1"/>
  <c r="P346" i="40" s="1"/>
  <c r="M348" i="42"/>
  <c r="N347" i="42"/>
  <c r="O347" i="42" s="1"/>
  <c r="P347" i="42" s="1"/>
  <c r="M348" i="40"/>
  <c r="N347" i="40"/>
  <c r="O347" i="40" s="1"/>
  <c r="P347" i="40" s="1"/>
  <c r="M349" i="42"/>
  <c r="N348" i="42"/>
  <c r="O348" i="42" s="1"/>
  <c r="P348" i="42" s="1"/>
  <c r="M349" i="40"/>
  <c r="N348" i="40"/>
  <c r="N349" i="42"/>
  <c r="O349" i="42" s="1"/>
  <c r="P349" i="42" s="1"/>
  <c r="M350" i="42"/>
  <c r="M350" i="40"/>
  <c r="N349" i="40"/>
  <c r="N350" i="42"/>
  <c r="O350" i="42"/>
  <c r="P350" i="42" s="1"/>
  <c r="M351" i="42"/>
  <c r="M351" i="40"/>
  <c r="N350" i="40"/>
  <c r="O350" i="40" s="1"/>
  <c r="P350" i="40" s="1"/>
  <c r="N351" i="42"/>
  <c r="O351" i="42"/>
  <c r="P351" i="42" s="1"/>
  <c r="M352" i="42"/>
  <c r="N351" i="40"/>
  <c r="O351" i="40" s="1"/>
  <c r="P351" i="40" s="1"/>
  <c r="M352" i="40"/>
  <c r="M353" i="42"/>
  <c r="N352" i="42"/>
  <c r="O352" i="42"/>
  <c r="P352" i="42" s="1"/>
  <c r="M353" i="40"/>
  <c r="N352" i="40"/>
  <c r="M354" i="42"/>
  <c r="N353" i="42"/>
  <c r="O353" i="42" s="1"/>
  <c r="P353" i="42" s="1"/>
  <c r="M354" i="40"/>
  <c r="N353" i="40"/>
  <c r="O353" i="40" s="1"/>
  <c r="P353" i="40" s="1"/>
  <c r="M355" i="42"/>
  <c r="N354" i="42"/>
  <c r="O354" i="42" s="1"/>
  <c r="P354" i="42" s="1"/>
  <c r="M355" i="40"/>
  <c r="N354" i="40"/>
  <c r="O354" i="40" s="1"/>
  <c r="P354" i="40" s="1"/>
  <c r="N355" i="42"/>
  <c r="O355" i="42"/>
  <c r="P355" i="42" s="1"/>
  <c r="M356" i="42"/>
  <c r="M356" i="40"/>
  <c r="N355" i="40"/>
  <c r="O355" i="40" s="1"/>
  <c r="P355" i="40" s="1"/>
  <c r="N356" i="42"/>
  <c r="O356" i="42"/>
  <c r="P356" i="42" s="1"/>
  <c r="M357" i="42"/>
  <c r="M357" i="40"/>
  <c r="N356" i="40"/>
  <c r="O356" i="40" s="1"/>
  <c r="P356" i="40" s="1"/>
  <c r="N357" i="42"/>
  <c r="O357" i="42" s="1"/>
  <c r="P357" i="42" s="1"/>
  <c r="M358" i="42"/>
  <c r="M358" i="40"/>
  <c r="N357" i="40"/>
  <c r="M359" i="42"/>
  <c r="N358" i="42"/>
  <c r="O358" i="42" s="1"/>
  <c r="P358" i="42" s="1"/>
  <c r="N358" i="40"/>
  <c r="O358" i="40" s="1"/>
  <c r="P358" i="40" s="1"/>
  <c r="M359" i="40"/>
  <c r="M360" i="42"/>
  <c r="N359" i="42"/>
  <c r="O359" i="42" s="1"/>
  <c r="P359" i="42" s="1"/>
  <c r="N359" i="40"/>
  <c r="O359" i="40" s="1"/>
  <c r="P359" i="40" s="1"/>
  <c r="M360" i="40"/>
  <c r="N360" i="42"/>
  <c r="M361" i="42"/>
  <c r="O360" i="42"/>
  <c r="P360" i="42" s="1"/>
  <c r="N360" i="40"/>
  <c r="M361" i="40"/>
  <c r="N361" i="42"/>
  <c r="O361" i="42" s="1"/>
  <c r="P361" i="42" s="1"/>
  <c r="M362" i="42"/>
  <c r="N361" i="40"/>
  <c r="O361" i="40" s="1"/>
  <c r="P361" i="40" s="1"/>
  <c r="M362" i="40"/>
  <c r="N362" i="42"/>
  <c r="M363" i="42"/>
  <c r="O362" i="42"/>
  <c r="P362" i="42" s="1"/>
  <c r="N362" i="40"/>
  <c r="O362" i="40" s="1"/>
  <c r="P362" i="40" s="1"/>
  <c r="M363" i="40"/>
  <c r="N363" i="42"/>
  <c r="O363" i="42" s="1"/>
  <c r="P363" i="42" s="1"/>
  <c r="M364" i="42"/>
  <c r="M364" i="40"/>
  <c r="N363" i="40"/>
  <c r="O363" i="40" s="1"/>
  <c r="P363" i="40" s="1"/>
  <c r="M365" i="42"/>
  <c r="N364" i="42"/>
  <c r="O364" i="42" s="1"/>
  <c r="P364" i="42" s="1"/>
  <c r="M365" i="40"/>
  <c r="N364" i="40"/>
  <c r="O364" i="40" s="1"/>
  <c r="P364" i="40" s="1"/>
  <c r="N365" i="42"/>
  <c r="O365" i="42" s="1"/>
  <c r="P365" i="42" s="1"/>
  <c r="M366" i="42"/>
  <c r="M366" i="40"/>
  <c r="N365" i="40"/>
  <c r="O365" i="40" s="1"/>
  <c r="P365" i="40" s="1"/>
  <c r="M367" i="42"/>
  <c r="N366" i="42"/>
  <c r="O366" i="42" s="1"/>
  <c r="P366" i="42" s="1"/>
  <c r="N366" i="40"/>
  <c r="O366" i="40" s="1"/>
  <c r="P366" i="40" s="1"/>
  <c r="M367" i="40"/>
  <c r="N367" i="42"/>
  <c r="O367" i="42" s="1"/>
  <c r="P367" i="42" s="1"/>
  <c r="M368" i="42"/>
  <c r="N367" i="40"/>
  <c r="O367" i="40" s="1"/>
  <c r="P367" i="40" s="1"/>
  <c r="M368" i="40"/>
  <c r="N368" i="42"/>
  <c r="O368" i="42"/>
  <c r="P368" i="42" s="1"/>
  <c r="M369" i="42"/>
  <c r="M369" i="40"/>
  <c r="N368" i="40"/>
  <c r="O368" i="40" s="1"/>
  <c r="P368" i="40" s="1"/>
  <c r="M370" i="42"/>
  <c r="N369" i="42"/>
  <c r="O369" i="42" s="1"/>
  <c r="P369" i="42" s="1"/>
  <c r="M370" i="40"/>
  <c r="N369" i="40"/>
  <c r="O369" i="40" s="1"/>
  <c r="P369" i="40" s="1"/>
  <c r="N370" i="42"/>
  <c r="O370" i="42"/>
  <c r="P370" i="42" s="1"/>
  <c r="M371" i="42"/>
  <c r="M371" i="40"/>
  <c r="N370" i="40"/>
  <c r="O370" i="40" s="1"/>
  <c r="P370" i="40" s="1"/>
  <c r="N371" i="42"/>
  <c r="O371" i="42" s="1"/>
  <c r="P371" i="42" s="1"/>
  <c r="M372" i="42"/>
  <c r="N371" i="40"/>
  <c r="O371" i="40" s="1"/>
  <c r="P371" i="40" s="1"/>
  <c r="M372" i="40"/>
  <c r="M373" i="42"/>
  <c r="N372" i="42"/>
  <c r="O372" i="42" s="1"/>
  <c r="P372" i="42" s="1"/>
  <c r="M373" i="40"/>
  <c r="N372" i="40"/>
  <c r="O372" i="40" s="1"/>
  <c r="P372" i="40" s="1"/>
  <c r="M374" i="42"/>
  <c r="N373" i="42"/>
  <c r="O373" i="42" s="1"/>
  <c r="P373" i="42" s="1"/>
  <c r="M374" i="40"/>
  <c r="N373" i="40"/>
  <c r="O373" i="40" s="1"/>
  <c r="P373" i="40" s="1"/>
  <c r="M375" i="42"/>
  <c r="N374" i="42"/>
  <c r="O374" i="42" s="1"/>
  <c r="P374" i="42" s="1"/>
  <c r="N374" i="40"/>
  <c r="M375" i="40"/>
  <c r="M376" i="42"/>
  <c r="N375" i="42"/>
  <c r="O375" i="42" s="1"/>
  <c r="P375" i="42" s="1"/>
  <c r="N375" i="40"/>
  <c r="O375" i="40" s="1"/>
  <c r="P375" i="40" s="1"/>
  <c r="M376" i="40"/>
  <c r="N376" i="42"/>
  <c r="M377" i="42"/>
  <c r="O376" i="42"/>
  <c r="P376" i="42" s="1"/>
  <c r="M377" i="40"/>
  <c r="N376" i="40"/>
  <c r="N377" i="42"/>
  <c r="O377" i="42" s="1"/>
  <c r="P377" i="42" s="1"/>
  <c r="M378" i="42"/>
  <c r="M378" i="40"/>
  <c r="N377" i="40"/>
  <c r="O377" i="40" s="1"/>
  <c r="P377" i="40" s="1"/>
  <c r="M379" i="42"/>
  <c r="N378" i="42"/>
  <c r="O378" i="42"/>
  <c r="P378" i="42" s="1"/>
  <c r="N378" i="40"/>
  <c r="O378" i="40" s="1"/>
  <c r="P378" i="40" s="1"/>
  <c r="M379" i="40"/>
  <c r="N379" i="42"/>
  <c r="O379" i="42" s="1"/>
  <c r="P379" i="42" s="1"/>
  <c r="M380" i="42"/>
  <c r="M380" i="40"/>
  <c r="N379" i="40"/>
  <c r="M381" i="42"/>
  <c r="N380" i="42"/>
  <c r="O380" i="42" s="1"/>
  <c r="P380" i="42" s="1"/>
  <c r="N380" i="40"/>
  <c r="O380" i="40" s="1"/>
  <c r="P380" i="40" s="1"/>
  <c r="M381" i="40"/>
  <c r="N381" i="42"/>
  <c r="O381" i="42" s="1"/>
  <c r="P381" i="42" s="1"/>
  <c r="M382" i="42"/>
  <c r="M382" i="40"/>
  <c r="N381" i="40"/>
  <c r="M383" i="42"/>
  <c r="N382" i="42"/>
  <c r="O382" i="42" s="1"/>
  <c r="P382" i="42" s="1"/>
  <c r="N382" i="40"/>
  <c r="M383" i="40"/>
  <c r="M384" i="42"/>
  <c r="N383" i="42"/>
  <c r="O383" i="42" s="1"/>
  <c r="P383" i="42" s="1"/>
  <c r="M384" i="40"/>
  <c r="N383" i="40"/>
  <c r="O383" i="40" s="1"/>
  <c r="P383" i="40" s="1"/>
  <c r="N384" i="42"/>
  <c r="M385" i="42"/>
  <c r="O384" i="42"/>
  <c r="P384" i="42" s="1"/>
  <c r="N384" i="40"/>
  <c r="O384" i="40" s="1"/>
  <c r="P384" i="40" s="1"/>
  <c r="M385" i="40"/>
  <c r="M386" i="42"/>
  <c r="N385" i="42"/>
  <c r="O385" i="42" s="1"/>
  <c r="P385" i="42" s="1"/>
  <c r="M386" i="40"/>
  <c r="N385" i="40"/>
  <c r="O385" i="40" s="1"/>
  <c r="P385" i="40" s="1"/>
  <c r="M387" i="42"/>
  <c r="N386" i="42"/>
  <c r="O386" i="42" s="1"/>
  <c r="P386" i="42" s="1"/>
  <c r="M387" i="40"/>
  <c r="N386" i="40"/>
  <c r="O386" i="40" s="1"/>
  <c r="P386" i="40" s="1"/>
  <c r="N387" i="42"/>
  <c r="O387" i="42" s="1"/>
  <c r="P387" i="42" s="1"/>
  <c r="M388" i="42"/>
  <c r="N387" i="40"/>
  <c r="O387" i="40" s="1"/>
  <c r="P387" i="40" s="1"/>
  <c r="M388" i="40"/>
  <c r="M389" i="42"/>
  <c r="N388" i="42"/>
  <c r="O388" i="42" s="1"/>
  <c r="P388" i="42" s="1"/>
  <c r="N388" i="40"/>
  <c r="M389" i="40"/>
  <c r="N389" i="42"/>
  <c r="O389" i="42" s="1"/>
  <c r="P389" i="42" s="1"/>
  <c r="M390" i="42"/>
  <c r="M390" i="40"/>
  <c r="N389" i="40"/>
  <c r="O389" i="40" s="1"/>
  <c r="P389" i="40" s="1"/>
  <c r="N390" i="42"/>
  <c r="O390" i="42" s="1"/>
  <c r="P390" i="42" s="1"/>
  <c r="M391" i="42"/>
  <c r="N390" i="40"/>
  <c r="M391" i="40"/>
  <c r="M392" i="42"/>
  <c r="N391" i="42"/>
  <c r="O391" i="42" s="1"/>
  <c r="P391" i="42" s="1"/>
  <c r="M392" i="40"/>
  <c r="N391" i="40"/>
  <c r="O391" i="40" s="1"/>
  <c r="P391" i="40" s="1"/>
  <c r="N392" i="42"/>
  <c r="M393" i="42"/>
  <c r="O392" i="42"/>
  <c r="P392" i="42" s="1"/>
  <c r="N392" i="40"/>
  <c r="O392" i="40"/>
  <c r="P392" i="40" s="1"/>
  <c r="M393" i="40"/>
  <c r="N393" i="42"/>
  <c r="O393" i="42"/>
  <c r="P393" i="42" s="1"/>
  <c r="M394" i="42"/>
  <c r="M394" i="40"/>
  <c r="N393" i="40"/>
  <c r="O393" i="40" s="1"/>
  <c r="P393" i="40" s="1"/>
  <c r="N394" i="42"/>
  <c r="O394" i="42"/>
  <c r="P394" i="42" s="1"/>
  <c r="M395" i="42"/>
  <c r="M395" i="40"/>
  <c r="N394" i="40"/>
  <c r="O394" i="40" s="1"/>
  <c r="P394" i="40" s="1"/>
  <c r="M396" i="42"/>
  <c r="N395" i="42"/>
  <c r="O395" i="42"/>
  <c r="P395" i="42" s="1"/>
  <c r="N395" i="40"/>
  <c r="O395" i="40" s="1"/>
  <c r="P395" i="40" s="1"/>
  <c r="M396" i="40"/>
  <c r="N396" i="42"/>
  <c r="O396" i="42" s="1"/>
  <c r="P396" i="42" s="1"/>
  <c r="M397" i="42"/>
  <c r="N396" i="40"/>
  <c r="M397" i="40"/>
  <c r="N397" i="42"/>
  <c r="O397" i="42" s="1"/>
  <c r="P397" i="42" s="1"/>
  <c r="M398" i="42"/>
  <c r="M398" i="40"/>
  <c r="N397" i="40"/>
  <c r="N398" i="42"/>
  <c r="O398" i="42" s="1"/>
  <c r="P398" i="42" s="1"/>
  <c r="M399" i="42"/>
  <c r="M399" i="40"/>
  <c r="N398" i="40"/>
  <c r="O398" i="40" s="1"/>
  <c r="P398" i="40" s="1"/>
  <c r="N399" i="42"/>
  <c r="M400" i="42"/>
  <c r="O399" i="42"/>
  <c r="P399" i="42" s="1"/>
  <c r="N399" i="40"/>
  <c r="O399" i="40" s="1"/>
  <c r="P399" i="40" s="1"/>
  <c r="M400" i="40"/>
  <c r="N400" i="42"/>
  <c r="M401" i="42"/>
  <c r="O400" i="42"/>
  <c r="P400" i="42" s="1"/>
  <c r="N400" i="40"/>
  <c r="M401" i="40"/>
  <c r="M402" i="42"/>
  <c r="N401" i="42"/>
  <c r="O401" i="42" s="1"/>
  <c r="P401" i="42" s="1"/>
  <c r="N401" i="40"/>
  <c r="O401" i="40" s="1"/>
  <c r="P401" i="40" s="1"/>
  <c r="M402" i="40"/>
  <c r="M403" i="42"/>
  <c r="N402" i="42"/>
  <c r="O402" i="42" s="1"/>
  <c r="P402" i="42" s="1"/>
  <c r="N402" i="40"/>
  <c r="M403" i="40"/>
  <c r="M404" i="42"/>
  <c r="N403" i="42"/>
  <c r="O403" i="42"/>
  <c r="P403" i="42" s="1"/>
  <c r="N403" i="40"/>
  <c r="O403" i="40" s="1"/>
  <c r="P403" i="40" s="1"/>
  <c r="M404" i="40"/>
  <c r="M405" i="42"/>
  <c r="N404" i="42"/>
  <c r="O404" i="42" s="1"/>
  <c r="P404" i="42" s="1"/>
  <c r="M405" i="40"/>
  <c r="N404" i="40"/>
  <c r="O404" i="40" s="1"/>
  <c r="P404" i="40" s="1"/>
  <c r="M406" i="42"/>
  <c r="N405" i="42"/>
  <c r="O405" i="42" s="1"/>
  <c r="P405" i="42" s="1"/>
  <c r="M406" i="40"/>
  <c r="N405" i="40"/>
  <c r="N406" i="42"/>
  <c r="O406" i="42" s="1"/>
  <c r="P406" i="42" s="1"/>
  <c r="M407" i="42"/>
  <c r="M407" i="40"/>
  <c r="N406" i="40"/>
  <c r="O406" i="40" s="1"/>
  <c r="P406" i="40" s="1"/>
  <c r="M408" i="42"/>
  <c r="N407" i="42"/>
  <c r="O407" i="42"/>
  <c r="P407" i="42" s="1"/>
  <c r="N407" i="40"/>
  <c r="M408" i="40"/>
  <c r="N408" i="42"/>
  <c r="M409" i="42"/>
  <c r="O408" i="42"/>
  <c r="P408" i="42" s="1"/>
  <c r="M409" i="40"/>
  <c r="N408" i="40"/>
  <c r="O408" i="40" s="1"/>
  <c r="P408" i="40" s="1"/>
  <c r="N409" i="42"/>
  <c r="O409" i="42"/>
  <c r="P409" i="42" s="1"/>
  <c r="M410" i="42"/>
  <c r="M410" i="40"/>
  <c r="N409" i="40"/>
  <c r="N410" i="42"/>
  <c r="O410" i="42"/>
  <c r="P410" i="42" s="1"/>
  <c r="M411" i="42"/>
  <c r="M411" i="40"/>
  <c r="N410" i="40"/>
  <c r="O410" i="40" s="1"/>
  <c r="P410" i="40" s="1"/>
  <c r="N411" i="42"/>
  <c r="M412" i="42"/>
  <c r="O411" i="42"/>
  <c r="P411" i="42" s="1"/>
  <c r="N411" i="40"/>
  <c r="M412" i="40"/>
  <c r="O411" i="40"/>
  <c r="P411" i="40" s="1"/>
  <c r="M413" i="42"/>
  <c r="N412" i="42"/>
  <c r="O412" i="42" s="1"/>
  <c r="P412" i="42" s="1"/>
  <c r="N412" i="40"/>
  <c r="O412" i="40" s="1"/>
  <c r="P412" i="40" s="1"/>
  <c r="M413" i="40"/>
  <c r="N413" i="42"/>
  <c r="O413" i="42" s="1"/>
  <c r="P413" i="42" s="1"/>
  <c r="M414" i="42"/>
  <c r="M414" i="40"/>
  <c r="N413" i="40"/>
  <c r="N414" i="42"/>
  <c r="O414" i="42" s="1"/>
  <c r="P414" i="42" s="1"/>
  <c r="M415" i="42"/>
  <c r="M415" i="40"/>
  <c r="N414" i="40"/>
  <c r="O414" i="40" s="1"/>
  <c r="P414" i="40" s="1"/>
  <c r="M416" i="42"/>
  <c r="N415" i="42"/>
  <c r="O415" i="42"/>
  <c r="P415" i="42" s="1"/>
  <c r="N415" i="40"/>
  <c r="O415" i="40" s="1"/>
  <c r="P415" i="40" s="1"/>
  <c r="M416" i="40"/>
  <c r="N416" i="42"/>
  <c r="O416" i="42" s="1"/>
  <c r="P416" i="42" s="1"/>
  <c r="M417" i="42"/>
  <c r="M417" i="40"/>
  <c r="N416" i="40"/>
  <c r="O416" i="40" s="1"/>
  <c r="P416" i="40" s="1"/>
  <c r="M418" i="42"/>
  <c r="N417" i="42"/>
  <c r="O417" i="42" s="1"/>
  <c r="P417" i="42" s="1"/>
  <c r="M418" i="40"/>
  <c r="N417" i="40"/>
  <c r="M419" i="42"/>
  <c r="N418" i="42"/>
  <c r="O418" i="42" s="1"/>
  <c r="P418" i="42" s="1"/>
  <c r="M419" i="40"/>
  <c r="N418" i="40"/>
  <c r="N419" i="42"/>
  <c r="O419" i="42" s="1"/>
  <c r="P419" i="42" s="1"/>
  <c r="M420" i="42"/>
  <c r="M420" i="40"/>
  <c r="N419" i="40"/>
  <c r="O419" i="40"/>
  <c r="P419" i="40" s="1"/>
  <c r="N420" i="42"/>
  <c r="O420" i="42" s="1"/>
  <c r="P420" i="42" s="1"/>
  <c r="M421" i="42"/>
  <c r="M421" i="40"/>
  <c r="N420" i="40"/>
  <c r="O420" i="40" s="1"/>
  <c r="P420" i="40" s="1"/>
  <c r="N421" i="42"/>
  <c r="O421" i="42" s="1"/>
  <c r="P421" i="42" s="1"/>
  <c r="M422" i="42"/>
  <c r="M422" i="40"/>
  <c r="N421" i="40"/>
  <c r="O421" i="40" s="1"/>
  <c r="P421" i="40" s="1"/>
  <c r="N422" i="42"/>
  <c r="O422" i="42" s="1"/>
  <c r="P422" i="42" s="1"/>
  <c r="M423" i="42"/>
  <c r="M423" i="40"/>
  <c r="N422" i="40"/>
  <c r="O422" i="40" s="1"/>
  <c r="P422" i="40" s="1"/>
  <c r="N423" i="42"/>
  <c r="M424" i="42"/>
  <c r="O423" i="42"/>
  <c r="P423" i="42" s="1"/>
  <c r="M424" i="40"/>
  <c r="N423" i="40"/>
  <c r="M425" i="42"/>
  <c r="N424" i="42"/>
  <c r="O424" i="42" s="1"/>
  <c r="P424" i="42" s="1"/>
  <c r="N424" i="40"/>
  <c r="O424" i="40" s="1"/>
  <c r="P424" i="40" s="1"/>
  <c r="M425" i="40"/>
  <c r="N425" i="42"/>
  <c r="O425" i="42"/>
  <c r="P425" i="42" s="1"/>
  <c r="M426" i="42"/>
  <c r="N425" i="40"/>
  <c r="M426" i="40"/>
  <c r="M427" i="42"/>
  <c r="N426" i="42"/>
  <c r="O426" i="42"/>
  <c r="P426" i="42" s="1"/>
  <c r="M427" i="40"/>
  <c r="N426" i="40"/>
  <c r="O426" i="40" s="1"/>
  <c r="P426" i="40" s="1"/>
  <c r="M428" i="42"/>
  <c r="N427" i="42"/>
  <c r="O427" i="42" s="1"/>
  <c r="P427" i="42" s="1"/>
  <c r="M428" i="40"/>
  <c r="N427" i="40"/>
  <c r="M429" i="42"/>
  <c r="N428" i="42"/>
  <c r="O428" i="42" s="1"/>
  <c r="P428" i="42" s="1"/>
  <c r="N428" i="40"/>
  <c r="O428" i="40" s="1"/>
  <c r="P428" i="40" s="1"/>
  <c r="M429" i="40"/>
  <c r="M430" i="42"/>
  <c r="N429" i="42"/>
  <c r="O429" i="42" s="1"/>
  <c r="P429" i="42" s="1"/>
  <c r="N429" i="40"/>
  <c r="M430" i="40"/>
  <c r="N430" i="42"/>
  <c r="O430" i="42" s="1"/>
  <c r="P430" i="42" s="1"/>
  <c r="M431" i="42"/>
  <c r="M431" i="40"/>
  <c r="N430" i="40"/>
  <c r="N431" i="42"/>
  <c r="M432" i="42"/>
  <c r="O431" i="42"/>
  <c r="P431" i="42" s="1"/>
  <c r="N431" i="40"/>
  <c r="O431" i="40" s="1"/>
  <c r="P431" i="40" s="1"/>
  <c r="M432" i="40"/>
  <c r="N432" i="42"/>
  <c r="O432" i="42"/>
  <c r="P432" i="42" s="1"/>
  <c r="M433" i="42"/>
  <c r="M433" i="40"/>
  <c r="N432" i="40"/>
  <c r="O432" i="40" s="1"/>
  <c r="P432" i="40" s="1"/>
  <c r="N433" i="42"/>
  <c r="M434" i="42"/>
  <c r="O433" i="42"/>
  <c r="P433" i="42" s="1"/>
  <c r="M434" i="40"/>
  <c r="N433" i="40"/>
  <c r="M435" i="42"/>
  <c r="N434" i="42"/>
  <c r="O434" i="42"/>
  <c r="P434" i="42" s="1"/>
  <c r="N434" i="40"/>
  <c r="M435" i="40"/>
  <c r="N435" i="42"/>
  <c r="M436" i="42"/>
  <c r="O435" i="42"/>
  <c r="P435" i="42" s="1"/>
  <c r="M436" i="40"/>
  <c r="N435" i="40"/>
  <c r="O435" i="40" s="1"/>
  <c r="P435" i="40" s="1"/>
  <c r="M437" i="42"/>
  <c r="N436" i="42"/>
  <c r="O436" i="42" s="1"/>
  <c r="P436" i="42" s="1"/>
  <c r="M437" i="40"/>
  <c r="N436" i="40"/>
  <c r="O436" i="40" s="1"/>
  <c r="P436" i="40" s="1"/>
  <c r="N437" i="42"/>
  <c r="O437" i="42" s="1"/>
  <c r="P437" i="42" s="1"/>
  <c r="M438" i="42"/>
  <c r="M438" i="40"/>
  <c r="N437" i="40"/>
  <c r="N438" i="42"/>
  <c r="O438" i="42" s="1"/>
  <c r="P438" i="42" s="1"/>
  <c r="M439" i="42"/>
  <c r="M439" i="40"/>
  <c r="N438" i="40"/>
  <c r="O438" i="40" s="1"/>
  <c r="P438" i="40" s="1"/>
  <c r="N439" i="42"/>
  <c r="O439" i="42"/>
  <c r="P439" i="42" s="1"/>
  <c r="M440" i="42"/>
  <c r="M440" i="40"/>
  <c r="N439" i="40"/>
  <c r="O439" i="40" s="1"/>
  <c r="P439" i="40" s="1"/>
  <c r="N440" i="42"/>
  <c r="M441" i="42"/>
  <c r="O440" i="42"/>
  <c r="P440" i="42" s="1"/>
  <c r="N440" i="40"/>
  <c r="O440" i="40" s="1"/>
  <c r="P440" i="40" s="1"/>
  <c r="M441" i="40"/>
  <c r="N441" i="42"/>
  <c r="O441" i="42" s="1"/>
  <c r="P441" i="42" s="1"/>
  <c r="M442" i="42"/>
  <c r="M442" i="40"/>
  <c r="N441" i="40"/>
  <c r="O441" i="40" s="1"/>
  <c r="P441" i="40" s="1"/>
  <c r="M443" i="42"/>
  <c r="N442" i="42"/>
  <c r="O442" i="42" s="1"/>
  <c r="P442" i="42" s="1"/>
  <c r="M443" i="40"/>
  <c r="N442" i="40"/>
  <c r="O442" i="40" s="1"/>
  <c r="P442" i="40" s="1"/>
  <c r="M444" i="42"/>
  <c r="N443" i="42"/>
  <c r="O443" i="42" s="1"/>
  <c r="P443" i="42" s="1"/>
  <c r="M444" i="40"/>
  <c r="N443" i="40"/>
  <c r="O443" i="40" s="1"/>
  <c r="P443" i="40" s="1"/>
  <c r="M445" i="42"/>
  <c r="N444" i="42"/>
  <c r="O444" i="42" s="1"/>
  <c r="P444" i="42" s="1"/>
  <c r="N444" i="40"/>
  <c r="O444" i="40" s="1"/>
  <c r="P444" i="40" s="1"/>
  <c r="M445" i="40"/>
  <c r="N445" i="42"/>
  <c r="O445" i="42" s="1"/>
  <c r="P445" i="42" s="1"/>
  <c r="M446" i="42"/>
  <c r="N445" i="40"/>
  <c r="M446" i="40"/>
  <c r="N446" i="42"/>
  <c r="O446" i="42" s="1"/>
  <c r="P446" i="42" s="1"/>
  <c r="M447" i="42"/>
  <c r="N446" i="40"/>
  <c r="O446" i="40" s="1"/>
  <c r="P446" i="40" s="1"/>
  <c r="M447" i="40"/>
  <c r="M448" i="42"/>
  <c r="N447" i="42"/>
  <c r="O447" i="42" s="1"/>
  <c r="P447" i="42" s="1"/>
  <c r="N447" i="40"/>
  <c r="O447" i="40" s="1"/>
  <c r="P447" i="40" s="1"/>
  <c r="M448" i="40"/>
  <c r="N448" i="42"/>
  <c r="M449" i="42"/>
  <c r="O448" i="42"/>
  <c r="P448" i="42" s="1"/>
  <c r="M449" i="40"/>
  <c r="N448" i="40"/>
  <c r="O448" i="40" s="1"/>
  <c r="P448" i="40" s="1"/>
  <c r="N449" i="42"/>
  <c r="O449" i="42"/>
  <c r="P449" i="42" s="1"/>
  <c r="M450" i="42"/>
  <c r="M450" i="40"/>
  <c r="N449" i="40"/>
  <c r="N450" i="42"/>
  <c r="O450" i="42" s="1"/>
  <c r="P450" i="42" s="1"/>
  <c r="M451" i="42"/>
  <c r="N450" i="40"/>
  <c r="M451" i="40"/>
  <c r="N451" i="42"/>
  <c r="O451" i="42" s="1"/>
  <c r="P451" i="42" s="1"/>
  <c r="M452" i="42"/>
  <c r="M452" i="40"/>
  <c r="N451" i="40"/>
  <c r="O451" i="40" s="1"/>
  <c r="P451" i="40" s="1"/>
  <c r="N452" i="42"/>
  <c r="O452" i="42"/>
  <c r="P452" i="42" s="1"/>
  <c r="M453" i="42"/>
  <c r="N452" i="40"/>
  <c r="O452" i="40" s="1"/>
  <c r="P452" i="40" s="1"/>
  <c r="M453" i="40"/>
  <c r="M454" i="42"/>
  <c r="N453" i="42"/>
  <c r="O453" i="42" s="1"/>
  <c r="P453" i="42" s="1"/>
  <c r="M454" i="40"/>
  <c r="N453" i="40"/>
  <c r="M455" i="42"/>
  <c r="N454" i="42"/>
  <c r="O454" i="42" s="1"/>
  <c r="P454" i="42" s="1"/>
  <c r="N454" i="40"/>
  <c r="M455" i="40"/>
  <c r="M456" i="42"/>
  <c r="N455" i="42"/>
  <c r="O455" i="42" s="1"/>
  <c r="P455" i="42" s="1"/>
  <c r="N455" i="40"/>
  <c r="O455" i="40" s="1"/>
  <c r="P455" i="40" s="1"/>
  <c r="M456" i="40"/>
  <c r="M457" i="42"/>
  <c r="N456" i="42"/>
  <c r="O456" i="42"/>
  <c r="P456" i="42" s="1"/>
  <c r="M457" i="40"/>
  <c r="N456" i="40"/>
  <c r="O456" i="40" s="1"/>
  <c r="P456" i="40" s="1"/>
  <c r="N457" i="42"/>
  <c r="M458" i="42"/>
  <c r="O457" i="42"/>
  <c r="P457" i="42" s="1"/>
  <c r="N457" i="40"/>
  <c r="M458" i="40"/>
  <c r="N458" i="42"/>
  <c r="O458" i="42"/>
  <c r="P458" i="42" s="1"/>
  <c r="M459" i="42"/>
  <c r="M459" i="40"/>
  <c r="N458" i="40"/>
  <c r="O458" i="40" s="1"/>
  <c r="P458" i="40" s="1"/>
  <c r="N459" i="42"/>
  <c r="O459" i="42"/>
  <c r="P459" i="42" s="1"/>
  <c r="M460" i="42"/>
  <c r="M460" i="40"/>
  <c r="N459" i="40"/>
  <c r="N460" i="42"/>
  <c r="O460" i="42" s="1"/>
  <c r="P460" i="42" s="1"/>
  <c r="M461" i="42"/>
  <c r="N460" i="40"/>
  <c r="O460" i="40" s="1"/>
  <c r="P460" i="40" s="1"/>
  <c r="M461" i="40"/>
  <c r="N461" i="42"/>
  <c r="O461" i="42" s="1"/>
  <c r="P461" i="42" s="1"/>
  <c r="M462" i="42"/>
  <c r="N461" i="40"/>
  <c r="O461" i="40"/>
  <c r="P461" i="40" s="1"/>
  <c r="M462" i="40"/>
  <c r="N462" i="42"/>
  <c r="O462" i="42" s="1"/>
  <c r="P462" i="42" s="1"/>
  <c r="M463" i="42"/>
  <c r="M463" i="40"/>
  <c r="N462" i="40"/>
  <c r="O462" i="40" s="1"/>
  <c r="P462" i="40" s="1"/>
  <c r="N463" i="42"/>
  <c r="O463" i="42"/>
  <c r="P463" i="42" s="1"/>
  <c r="M464" i="42"/>
  <c r="N463" i="40"/>
  <c r="M464" i="40"/>
  <c r="M465" i="42"/>
  <c r="N464" i="42"/>
  <c r="O464" i="42" s="1"/>
  <c r="P464" i="42" s="1"/>
  <c r="N464" i="40"/>
  <c r="O464" i="40" s="1"/>
  <c r="P464" i="40" s="1"/>
  <c r="M465" i="40"/>
  <c r="M466" i="42"/>
  <c r="N465" i="42"/>
  <c r="O465" i="42"/>
  <c r="P465" i="42" s="1"/>
  <c r="M466" i="40"/>
  <c r="N465" i="40"/>
  <c r="N466" i="42"/>
  <c r="O466" i="42"/>
  <c r="P466" i="42" s="1"/>
  <c r="M467" i="42"/>
  <c r="N466" i="40"/>
  <c r="O466" i="40" s="1"/>
  <c r="P466" i="40" s="1"/>
  <c r="M467" i="40"/>
  <c r="N467" i="42"/>
  <c r="M468" i="42"/>
  <c r="O467" i="42"/>
  <c r="P467" i="42" s="1"/>
  <c r="M468" i="40"/>
  <c r="N467" i="40"/>
  <c r="N468" i="42"/>
  <c r="O468" i="42" s="1"/>
  <c r="P468" i="42" s="1"/>
  <c r="M469" i="42"/>
  <c r="M469" i="40"/>
  <c r="N468" i="40"/>
  <c r="O468" i="40" s="1"/>
  <c r="P468" i="40" s="1"/>
  <c r="N469" i="42"/>
  <c r="O469" i="42" s="1"/>
  <c r="P469" i="42" s="1"/>
  <c r="M470" i="42"/>
  <c r="M470" i="40"/>
  <c r="N469" i="40"/>
  <c r="N470" i="42"/>
  <c r="O470" i="42"/>
  <c r="P470" i="42" s="1"/>
  <c r="M471" i="42"/>
  <c r="M471" i="40"/>
  <c r="N470" i="40"/>
  <c r="O470" i="40" s="1"/>
  <c r="P470" i="40" s="1"/>
  <c r="M472" i="42"/>
  <c r="N471" i="42"/>
  <c r="O471" i="42"/>
  <c r="P471" i="42" s="1"/>
  <c r="N471" i="40"/>
  <c r="M472" i="40"/>
  <c r="O471" i="40"/>
  <c r="P471" i="40" s="1"/>
  <c r="N472" i="42"/>
  <c r="O472" i="42"/>
  <c r="P472" i="42" s="1"/>
  <c r="M473" i="42"/>
  <c r="N472" i="40"/>
  <c r="O472" i="40" s="1"/>
  <c r="P472" i="40" s="1"/>
  <c r="M473" i="40"/>
  <c r="N473" i="42"/>
  <c r="O473" i="42"/>
  <c r="P473" i="42" s="1"/>
  <c r="M474" i="42"/>
  <c r="M474" i="40"/>
  <c r="N473" i="40"/>
  <c r="M475" i="42"/>
  <c r="N474" i="42"/>
  <c r="O474" i="42" s="1"/>
  <c r="P474" i="42" s="1"/>
  <c r="N474" i="40"/>
  <c r="O474" i="40" s="1"/>
  <c r="P474" i="40" s="1"/>
  <c r="M475" i="40"/>
  <c r="N475" i="42"/>
  <c r="M476" i="42"/>
  <c r="O475" i="42"/>
  <c r="P475" i="42" s="1"/>
  <c r="N475" i="40"/>
  <c r="O475" i="40" s="1"/>
  <c r="P475" i="40" s="1"/>
  <c r="M476" i="40"/>
  <c r="N476" i="42"/>
  <c r="O476" i="42" s="1"/>
  <c r="P476" i="42" s="1"/>
  <c r="M477" i="42"/>
  <c r="M477" i="40"/>
  <c r="N476" i="40"/>
  <c r="O476" i="40" s="1"/>
  <c r="P476" i="40" s="1"/>
  <c r="M478" i="42"/>
  <c r="N477" i="42"/>
  <c r="O477" i="42" s="1"/>
  <c r="P477" i="42" s="1"/>
  <c r="M478" i="40"/>
  <c r="N477" i="40"/>
  <c r="M479" i="42"/>
  <c r="N478" i="42"/>
  <c r="O478" i="42" s="1"/>
  <c r="P478" i="42" s="1"/>
  <c r="N478" i="40"/>
  <c r="O478" i="40" s="1"/>
  <c r="P478" i="40" s="1"/>
  <c r="M479" i="40"/>
  <c r="N479" i="42"/>
  <c r="M480" i="42"/>
  <c r="O479" i="42"/>
  <c r="P479" i="42" s="1"/>
  <c r="N479" i="40"/>
  <c r="O479" i="40" s="1"/>
  <c r="P479" i="40" s="1"/>
  <c r="M480" i="40"/>
  <c r="M481" i="42"/>
  <c r="N480" i="42"/>
  <c r="O480" i="42" s="1"/>
  <c r="P480" i="42" s="1"/>
  <c r="N480" i="40"/>
  <c r="M481" i="40"/>
  <c r="M482" i="42"/>
  <c r="N481" i="42"/>
  <c r="O481" i="42" s="1"/>
  <c r="P481" i="42" s="1"/>
  <c r="M482" i="40"/>
  <c r="N481" i="40"/>
  <c r="O481" i="40" s="1"/>
  <c r="P481" i="40" s="1"/>
  <c r="M483" i="42"/>
  <c r="N482" i="42"/>
  <c r="O482" i="42" s="1"/>
  <c r="P482" i="42" s="1"/>
  <c r="M483" i="40"/>
  <c r="N482" i="40"/>
  <c r="O482" i="40" s="1"/>
  <c r="P482" i="40" s="1"/>
  <c r="M484" i="42"/>
  <c r="N483" i="42"/>
  <c r="O483" i="42"/>
  <c r="P483" i="42" s="1"/>
  <c r="M484" i="40"/>
  <c r="N483" i="40"/>
  <c r="O483" i="40" s="1"/>
  <c r="P483" i="40" s="1"/>
  <c r="N484" i="42"/>
  <c r="O484" i="42" s="1"/>
  <c r="P484" i="42" s="1"/>
  <c r="M485" i="42"/>
  <c r="N484" i="40"/>
  <c r="O484" i="40" s="1"/>
  <c r="P484" i="40" s="1"/>
  <c r="M485" i="40"/>
  <c r="M486" i="42"/>
  <c r="N485" i="42"/>
  <c r="O485" i="42" s="1"/>
  <c r="P485" i="42" s="1"/>
  <c r="N485" i="40"/>
  <c r="O485" i="40"/>
  <c r="P485" i="40" s="1"/>
  <c r="M486" i="40"/>
  <c r="N486" i="42"/>
  <c r="O486" i="42" s="1"/>
  <c r="P486" i="42" s="1"/>
  <c r="M487" i="42"/>
  <c r="N486" i="40"/>
  <c r="O486" i="40" s="1"/>
  <c r="P486" i="40" s="1"/>
  <c r="M487" i="40"/>
  <c r="N487" i="42"/>
  <c r="M488" i="42"/>
  <c r="O487" i="42"/>
  <c r="P487" i="42" s="1"/>
  <c r="N487" i="40"/>
  <c r="M488" i="40"/>
  <c r="M489" i="42"/>
  <c r="N488" i="42"/>
  <c r="O488" i="42"/>
  <c r="P488" i="42" s="1"/>
  <c r="M489" i="40"/>
  <c r="N488" i="40"/>
  <c r="N489" i="42"/>
  <c r="O489" i="42"/>
  <c r="P489" i="42" s="1"/>
  <c r="M490" i="42"/>
  <c r="M490" i="40"/>
  <c r="N489" i="40"/>
  <c r="O489" i="40" s="1"/>
  <c r="P489" i="40" s="1"/>
  <c r="N490" i="42"/>
  <c r="M491" i="42"/>
  <c r="O490" i="42"/>
  <c r="P490" i="42" s="1"/>
  <c r="N490" i="40"/>
  <c r="O490" i="40" s="1"/>
  <c r="P490" i="40" s="1"/>
  <c r="M491" i="40"/>
  <c r="M492" i="42"/>
  <c r="N491" i="42"/>
  <c r="O491" i="42" s="1"/>
  <c r="P491" i="42" s="1"/>
  <c r="N491" i="40"/>
  <c r="M492" i="40"/>
  <c r="N492" i="42"/>
  <c r="O492" i="42" s="1"/>
  <c r="P492" i="42" s="1"/>
  <c r="M493" i="42"/>
  <c r="N492" i="40"/>
  <c r="M493" i="40"/>
  <c r="M494" i="42"/>
  <c r="N493" i="42"/>
  <c r="O493" i="42" s="1"/>
  <c r="P493" i="42" s="1"/>
  <c r="N493" i="40"/>
  <c r="O493" i="40" s="1"/>
  <c r="P493" i="40" s="1"/>
  <c r="M494" i="40"/>
  <c r="M495" i="42"/>
  <c r="N494" i="42"/>
  <c r="O494" i="42" s="1"/>
  <c r="P494" i="42" s="1"/>
  <c r="N494" i="40"/>
  <c r="O494" i="40" s="1"/>
  <c r="P494" i="40" s="1"/>
  <c r="M495" i="40"/>
  <c r="M496" i="42"/>
  <c r="N495" i="42"/>
  <c r="O495" i="42" s="1"/>
  <c r="P495" i="42" s="1"/>
  <c r="M496" i="40"/>
  <c r="N495" i="40"/>
  <c r="O495" i="40" s="1"/>
  <c r="P495" i="40" s="1"/>
  <c r="N496" i="42"/>
  <c r="O496" i="42" s="1"/>
  <c r="P496" i="42" s="1"/>
  <c r="M497" i="42"/>
  <c r="M497" i="40"/>
  <c r="N496" i="40"/>
  <c r="O496" i="40"/>
  <c r="P496" i="40" s="1"/>
  <c r="M498" i="42"/>
  <c r="N497" i="42"/>
  <c r="O497" i="42" s="1"/>
  <c r="P497" i="42" s="1"/>
  <c r="N497" i="40"/>
  <c r="O497" i="40" s="1"/>
  <c r="P497" i="40" s="1"/>
  <c r="M498" i="40"/>
  <c r="M499" i="42"/>
  <c r="N498" i="42"/>
  <c r="O498" i="42"/>
  <c r="P498" i="42" s="1"/>
  <c r="M499" i="40"/>
  <c r="N498" i="40"/>
  <c r="O498" i="40" s="1"/>
  <c r="P498" i="40" s="1"/>
  <c r="N499" i="42"/>
  <c r="O499" i="42" s="1"/>
  <c r="P499" i="42" s="1"/>
  <c r="M500" i="42"/>
  <c r="M500" i="40"/>
  <c r="N499" i="40"/>
  <c r="O499" i="40" s="1"/>
  <c r="P499" i="40" s="1"/>
  <c r="M501" i="42"/>
  <c r="N500" i="42"/>
  <c r="O500" i="42" s="1"/>
  <c r="P500" i="42" s="1"/>
  <c r="M501" i="40"/>
  <c r="N500" i="40"/>
  <c r="N501" i="42"/>
  <c r="O501" i="42"/>
  <c r="P501" i="42" s="1"/>
  <c r="M502" i="42"/>
  <c r="N501" i="40"/>
  <c r="O501" i="40" s="1"/>
  <c r="P501" i="40" s="1"/>
  <c r="M502" i="40"/>
  <c r="M503" i="42"/>
  <c r="N502" i="42"/>
  <c r="O502" i="42" s="1"/>
  <c r="P502" i="42" s="1"/>
  <c r="M503" i="40"/>
  <c r="N502" i="40"/>
  <c r="O502" i="40" s="1"/>
  <c r="P502" i="40" s="1"/>
  <c r="N503" i="42"/>
  <c r="O503" i="42"/>
  <c r="P503" i="42" s="1"/>
  <c r="M504" i="42"/>
  <c r="M504" i="40"/>
  <c r="N503" i="40"/>
  <c r="O503" i="40" s="1"/>
  <c r="P503" i="40" s="1"/>
  <c r="N504" i="42"/>
  <c r="O504" i="42"/>
  <c r="P504" i="42" s="1"/>
  <c r="M505" i="42"/>
  <c r="N504" i="40"/>
  <c r="O504" i="40" s="1"/>
  <c r="P504" i="40" s="1"/>
  <c r="M505" i="40"/>
  <c r="M506" i="42"/>
  <c r="N505" i="42"/>
  <c r="O505" i="42" s="1"/>
  <c r="P505" i="42" s="1"/>
  <c r="M506" i="40"/>
  <c r="N505" i="40"/>
  <c r="O505" i="40" s="1"/>
  <c r="P505" i="40" s="1"/>
  <c r="N506" i="42"/>
  <c r="M507" i="42"/>
  <c r="O506" i="42"/>
  <c r="P506" i="42" s="1"/>
  <c r="N506" i="40"/>
  <c r="O506" i="40" s="1"/>
  <c r="P506" i="40" s="1"/>
  <c r="M507" i="40"/>
  <c r="N507" i="42"/>
  <c r="O507" i="42"/>
  <c r="P507" i="42" s="1"/>
  <c r="M508" i="42"/>
  <c r="N507" i="40"/>
  <c r="O507" i="40" s="1"/>
  <c r="P507" i="40" s="1"/>
  <c r="M508" i="40"/>
  <c r="M509" i="42"/>
  <c r="N508" i="42"/>
  <c r="O508" i="42" s="1"/>
  <c r="P508" i="42" s="1"/>
  <c r="N508" i="40"/>
  <c r="M509" i="40"/>
  <c r="N509" i="42"/>
  <c r="O509" i="42" s="1"/>
  <c r="P509" i="42" s="1"/>
  <c r="M510" i="42"/>
  <c r="M510" i="40"/>
  <c r="N509" i="40"/>
  <c r="O509" i="40" s="1"/>
  <c r="P509" i="40" s="1"/>
  <c r="M511" i="42"/>
  <c r="N510" i="42"/>
  <c r="O510" i="42" s="1"/>
  <c r="P510" i="42" s="1"/>
  <c r="M511" i="40"/>
  <c r="N510" i="40"/>
  <c r="O510" i="40" s="1"/>
  <c r="P510" i="40" s="1"/>
  <c r="M512" i="42"/>
  <c r="N511" i="42"/>
  <c r="O511" i="42" s="1"/>
  <c r="P511" i="42" s="1"/>
  <c r="N511" i="40"/>
  <c r="M512" i="40"/>
  <c r="M513" i="42"/>
  <c r="N512" i="42"/>
  <c r="O512" i="42" s="1"/>
  <c r="P512" i="42" s="1"/>
  <c r="N512" i="40"/>
  <c r="M513" i="40"/>
  <c r="N513" i="42"/>
  <c r="O513" i="42"/>
  <c r="P513" i="42" s="1"/>
  <c r="M514" i="42"/>
  <c r="N513" i="40"/>
  <c r="O513" i="40" s="1"/>
  <c r="P513" i="40" s="1"/>
  <c r="M514" i="40"/>
  <c r="M515" i="42"/>
  <c r="N514" i="42"/>
  <c r="O514" i="42"/>
  <c r="P514" i="42" s="1"/>
  <c r="M515" i="40"/>
  <c r="N514" i="40"/>
  <c r="O514" i="40" s="1"/>
  <c r="P514" i="40" s="1"/>
  <c r="M516" i="42"/>
  <c r="N515" i="42"/>
  <c r="O515" i="42" s="1"/>
  <c r="P515" i="42" s="1"/>
  <c r="N515" i="40"/>
  <c r="O515" i="40" s="1"/>
  <c r="P515" i="40" s="1"/>
  <c r="M516" i="40"/>
  <c r="N516" i="42"/>
  <c r="O516" i="42"/>
  <c r="P516" i="42" s="1"/>
  <c r="M517" i="42"/>
  <c r="N516" i="40"/>
  <c r="O516" i="40" s="1"/>
  <c r="P516" i="40" s="1"/>
  <c r="M517" i="40"/>
  <c r="M518" i="42"/>
  <c r="N517" i="42"/>
  <c r="O517" i="42" s="1"/>
  <c r="P517" i="42" s="1"/>
  <c r="M518" i="40"/>
  <c r="N517" i="40"/>
  <c r="O517" i="40" s="1"/>
  <c r="P517" i="40" s="1"/>
  <c r="N518" i="42"/>
  <c r="O518" i="42" s="1"/>
  <c r="P518" i="42" s="1"/>
  <c r="M519" i="42"/>
  <c r="N518" i="40"/>
  <c r="O518" i="40" s="1"/>
  <c r="P518" i="40" s="1"/>
  <c r="M519" i="40"/>
  <c r="N519" i="42"/>
  <c r="M520" i="42"/>
  <c r="O519" i="42"/>
  <c r="P519" i="42" s="1"/>
  <c r="N519" i="40"/>
  <c r="O519" i="40" s="1"/>
  <c r="P519" i="40" s="1"/>
  <c r="M520" i="40"/>
  <c r="N520" i="42"/>
  <c r="O520" i="42"/>
  <c r="P520" i="42" s="1"/>
  <c r="M521" i="42"/>
  <c r="M521" i="40"/>
  <c r="N520" i="40"/>
  <c r="O520" i="40" s="1"/>
  <c r="P520" i="40" s="1"/>
  <c r="N521" i="42"/>
  <c r="M522" i="42"/>
  <c r="O521" i="42"/>
  <c r="P521" i="42" s="1"/>
  <c r="M522" i="40"/>
  <c r="N521" i="40"/>
  <c r="M523" i="42"/>
  <c r="N522" i="42"/>
  <c r="O522" i="42" s="1"/>
  <c r="P522" i="42" s="1"/>
  <c r="N522" i="40"/>
  <c r="O522" i="40" s="1"/>
  <c r="P522" i="40" s="1"/>
  <c r="M523" i="40"/>
  <c r="N523" i="42"/>
  <c r="O523" i="42" s="1"/>
  <c r="P523" i="42" s="1"/>
  <c r="M524" i="42"/>
  <c r="N523" i="40"/>
  <c r="O523" i="40" s="1"/>
  <c r="P523" i="40" s="1"/>
  <c r="M524" i="40"/>
  <c r="M525" i="42"/>
  <c r="N524" i="42"/>
  <c r="O524" i="42" s="1"/>
  <c r="P524" i="42" s="1"/>
  <c r="N524" i="40"/>
  <c r="O524" i="40" s="1"/>
  <c r="P524" i="40" s="1"/>
  <c r="M525" i="40"/>
  <c r="M526" i="42"/>
  <c r="N525" i="42"/>
  <c r="O525" i="42" s="1"/>
  <c r="P525" i="42" s="1"/>
  <c r="M526" i="40"/>
  <c r="N525" i="40"/>
  <c r="O525" i="40" s="1"/>
  <c r="P525" i="40" s="1"/>
  <c r="N526" i="42"/>
  <c r="O526" i="42" s="1"/>
  <c r="P526" i="42" s="1"/>
  <c r="M527" i="42"/>
  <c r="M527" i="40"/>
  <c r="N526" i="40"/>
  <c r="O526" i="40" s="1"/>
  <c r="P526" i="40" s="1"/>
  <c r="N527" i="42"/>
  <c r="M528" i="42"/>
  <c r="O527" i="42"/>
  <c r="P527" i="42" s="1"/>
  <c r="N527" i="40"/>
  <c r="M528" i="40"/>
  <c r="M529" i="42"/>
  <c r="N528" i="42"/>
  <c r="O528" i="42" s="1"/>
  <c r="P528" i="42" s="1"/>
  <c r="M529" i="40"/>
  <c r="N528" i="40"/>
  <c r="O528" i="40" s="1"/>
  <c r="P528" i="40" s="1"/>
  <c r="N529" i="42"/>
  <c r="M530" i="42"/>
  <c r="O529" i="42"/>
  <c r="P529" i="42" s="1"/>
  <c r="N529" i="40"/>
  <c r="M530" i="40"/>
  <c r="M531" i="42"/>
  <c r="N530" i="42"/>
  <c r="O530" i="42" s="1"/>
  <c r="P530" i="42" s="1"/>
  <c r="M531" i="40"/>
  <c r="N530" i="40"/>
  <c r="O530" i="40" s="1"/>
  <c r="P530" i="40" s="1"/>
  <c r="M532" i="42"/>
  <c r="N531" i="42"/>
  <c r="O531" i="42" s="1"/>
  <c r="P531" i="42" s="1"/>
  <c r="N531" i="40"/>
  <c r="O531" i="40" s="1"/>
  <c r="P531" i="40" s="1"/>
  <c r="M532" i="40"/>
  <c r="M533" i="42"/>
  <c r="N532" i="42"/>
  <c r="O532" i="42" s="1"/>
  <c r="P532" i="42" s="1"/>
  <c r="N532" i="40"/>
  <c r="M533" i="40"/>
  <c r="M534" i="42"/>
  <c r="N533" i="42"/>
  <c r="O533" i="42" s="1"/>
  <c r="P533" i="42" s="1"/>
  <c r="M534" i="40"/>
  <c r="N533" i="40"/>
  <c r="O533" i="40" s="1"/>
  <c r="P533" i="40" s="1"/>
  <c r="M535" i="42"/>
  <c r="N534" i="42"/>
  <c r="O534" i="42" s="1"/>
  <c r="P534" i="42" s="1"/>
  <c r="M535" i="40"/>
  <c r="N534" i="40"/>
  <c r="O534" i="40" s="1"/>
  <c r="P534" i="40" s="1"/>
  <c r="M536" i="42"/>
  <c r="N535" i="42"/>
  <c r="O535" i="42" s="1"/>
  <c r="P535" i="42" s="1"/>
  <c r="N535" i="40"/>
  <c r="O535" i="40" s="1"/>
  <c r="P535" i="40" s="1"/>
  <c r="M536" i="40"/>
  <c r="M537" i="42"/>
  <c r="N536" i="42"/>
  <c r="O536" i="42" s="1"/>
  <c r="P536" i="42" s="1"/>
  <c r="N536" i="40"/>
  <c r="O536" i="40" s="1"/>
  <c r="P536" i="40" s="1"/>
  <c r="M537" i="40"/>
  <c r="M538" i="42"/>
  <c r="N537" i="42"/>
  <c r="O537" i="42" s="1"/>
  <c r="P537" i="42" s="1"/>
  <c r="M538" i="40"/>
  <c r="N537" i="40"/>
  <c r="O537" i="40" s="1"/>
  <c r="P537" i="40" s="1"/>
  <c r="N538" i="42"/>
  <c r="O538" i="42" s="1"/>
  <c r="P538" i="42" s="1"/>
  <c r="M539" i="42"/>
  <c r="M539" i="40"/>
  <c r="N538" i="40"/>
  <c r="O538" i="40" s="1"/>
  <c r="P538" i="40" s="1"/>
  <c r="N539" i="42"/>
  <c r="M540" i="42"/>
  <c r="O539" i="42"/>
  <c r="P539" i="42" s="1"/>
  <c r="M540" i="40"/>
  <c r="N539" i="40"/>
  <c r="M541" i="42"/>
  <c r="N540" i="42"/>
  <c r="O540" i="42" s="1"/>
  <c r="P540" i="42" s="1"/>
  <c r="M541" i="40"/>
  <c r="N540" i="40"/>
  <c r="O540" i="40" s="1"/>
  <c r="P540" i="40" s="1"/>
  <c r="N541" i="42"/>
  <c r="O541" i="42" s="1"/>
  <c r="P541" i="42" s="1"/>
  <c r="M542" i="42"/>
  <c r="M542" i="40"/>
  <c r="N541" i="40"/>
  <c r="M543" i="42"/>
  <c r="N542" i="42"/>
  <c r="O542" i="42" s="1"/>
  <c r="P542" i="42" s="1"/>
  <c r="M543" i="40"/>
  <c r="N542" i="40"/>
  <c r="O542" i="40" s="1"/>
  <c r="P542" i="40" s="1"/>
  <c r="N543" i="42"/>
  <c r="O543" i="42"/>
  <c r="P543" i="42" s="1"/>
  <c r="M544" i="42"/>
  <c r="M544" i="40"/>
  <c r="N543" i="40"/>
  <c r="O543" i="40" s="1"/>
  <c r="P543" i="40" s="1"/>
  <c r="N544" i="42"/>
  <c r="M545" i="42"/>
  <c r="O544" i="42"/>
  <c r="P544" i="42" s="1"/>
  <c r="M545" i="40"/>
  <c r="N544" i="40"/>
  <c r="O544" i="40" s="1"/>
  <c r="P544" i="40" s="1"/>
  <c r="M546" i="42"/>
  <c r="N545" i="42"/>
  <c r="O545" i="42" s="1"/>
  <c r="P545" i="42" s="1"/>
  <c r="M546" i="40"/>
  <c r="N545" i="40"/>
  <c r="O545" i="40" s="1"/>
  <c r="P545" i="40" s="1"/>
  <c r="M547" i="42"/>
  <c r="N546" i="42"/>
  <c r="O546" i="42" s="1"/>
  <c r="P546" i="42" s="1"/>
  <c r="N546" i="40"/>
  <c r="O546" i="40" s="1"/>
  <c r="P546" i="40" s="1"/>
  <c r="M547" i="40"/>
  <c r="M548" i="42"/>
  <c r="N547" i="42"/>
  <c r="O547" i="42" s="1"/>
  <c r="P547" i="42" s="1"/>
  <c r="M548" i="40"/>
  <c r="N547" i="40"/>
  <c r="M549" i="42"/>
  <c r="N548" i="42"/>
  <c r="O548" i="42" s="1"/>
  <c r="P548" i="42" s="1"/>
  <c r="N548" i="40"/>
  <c r="O548" i="40" s="1"/>
  <c r="P548" i="40" s="1"/>
  <c r="M549" i="40"/>
  <c r="M550" i="42"/>
  <c r="N549" i="42"/>
  <c r="O549" i="42" s="1"/>
  <c r="P549" i="42" s="1"/>
  <c r="N549" i="40"/>
  <c r="M550" i="40"/>
  <c r="N550" i="42"/>
  <c r="O550" i="42" s="1"/>
  <c r="P550" i="42" s="1"/>
  <c r="M551" i="42"/>
  <c r="M551" i="40"/>
  <c r="N550" i="40"/>
  <c r="O550" i="40" s="1"/>
  <c r="P550" i="40" s="1"/>
  <c r="N551" i="42"/>
  <c r="M552" i="42"/>
  <c r="O551" i="42"/>
  <c r="P551" i="42" s="1"/>
  <c r="N551" i="40"/>
  <c r="O551" i="40"/>
  <c r="P551" i="40" s="1"/>
  <c r="M552" i="40"/>
  <c r="M553" i="42"/>
  <c r="N552" i="42"/>
  <c r="O552" i="42"/>
  <c r="P552" i="42" s="1"/>
  <c r="M553" i="40"/>
  <c r="N552" i="40"/>
  <c r="O552" i="40" s="1"/>
  <c r="P552" i="40" s="1"/>
  <c r="M554" i="42"/>
  <c r="N553" i="42"/>
  <c r="O553" i="42"/>
  <c r="P553" i="42" s="1"/>
  <c r="M554" i="40"/>
  <c r="N553" i="40"/>
  <c r="M555" i="42"/>
  <c r="N554" i="42"/>
  <c r="O554" i="42"/>
  <c r="P554" i="42" s="1"/>
  <c r="N554" i="40"/>
  <c r="O554" i="40" s="1"/>
  <c r="P554" i="40" s="1"/>
  <c r="M555" i="40"/>
  <c r="N555" i="42"/>
  <c r="O555" i="42" s="1"/>
  <c r="P555" i="42" s="1"/>
  <c r="M556" i="42"/>
  <c r="M556" i="40"/>
  <c r="N555" i="40"/>
  <c r="O555" i="40"/>
  <c r="P555" i="40" s="1"/>
  <c r="M557" i="42"/>
  <c r="N556" i="42"/>
  <c r="O556" i="42" s="1"/>
  <c r="P556" i="42" s="1"/>
  <c r="M557" i="40"/>
  <c r="N556" i="40"/>
  <c r="O556" i="40" s="1"/>
  <c r="P556" i="40" s="1"/>
  <c r="N557" i="42"/>
  <c r="O557" i="42" s="1"/>
  <c r="P557" i="42" s="1"/>
  <c r="M558" i="42"/>
  <c r="M558" i="40"/>
  <c r="N557" i="40"/>
  <c r="N558" i="42"/>
  <c r="M559" i="42"/>
  <c r="O558" i="42"/>
  <c r="P558" i="42" s="1"/>
  <c r="N558" i="40"/>
  <c r="O558" i="40" s="1"/>
  <c r="P558" i="40" s="1"/>
  <c r="M559" i="40"/>
  <c r="N559" i="42"/>
  <c r="M560" i="42"/>
  <c r="O559" i="42"/>
  <c r="P559" i="42" s="1"/>
  <c r="M560" i="40"/>
  <c r="N559" i="40"/>
  <c r="O559" i="40" s="1"/>
  <c r="P559" i="40" s="1"/>
  <c r="N560" i="42"/>
  <c r="M561" i="42"/>
  <c r="O560" i="42"/>
  <c r="P560" i="42" s="1"/>
  <c r="M561" i="40"/>
  <c r="N560" i="40"/>
  <c r="N561" i="42"/>
  <c r="O561" i="42" s="1"/>
  <c r="P561" i="42" s="1"/>
  <c r="M562" i="42"/>
  <c r="N561" i="40"/>
  <c r="O561" i="40" s="1"/>
  <c r="P561" i="40" s="1"/>
  <c r="M562" i="40"/>
  <c r="M563" i="42"/>
  <c r="N562" i="42"/>
  <c r="O562" i="42"/>
  <c r="P562" i="42" s="1"/>
  <c r="M563" i="40"/>
  <c r="N562" i="40"/>
  <c r="O562" i="40" s="1"/>
  <c r="P562" i="40" s="1"/>
  <c r="M564" i="42"/>
  <c r="N563" i="42"/>
  <c r="O563" i="42" s="1"/>
  <c r="P563" i="42" s="1"/>
  <c r="M564" i="40"/>
  <c r="N563" i="40"/>
  <c r="O563" i="40" s="1"/>
  <c r="P563" i="40" s="1"/>
  <c r="M565" i="42"/>
  <c r="N564" i="42"/>
  <c r="O564" i="42" s="1"/>
  <c r="P564" i="42" s="1"/>
  <c r="M565" i="40"/>
  <c r="N564" i="40"/>
  <c r="O564" i="40" s="1"/>
  <c r="P564" i="40" s="1"/>
  <c r="M566" i="42"/>
  <c r="N565" i="42"/>
  <c r="O565" i="42" s="1"/>
  <c r="P565" i="42" s="1"/>
  <c r="N565" i="40"/>
  <c r="O565" i="40" s="1"/>
  <c r="P565" i="40" s="1"/>
  <c r="M566" i="40"/>
  <c r="M567" i="42"/>
  <c r="N566" i="42"/>
  <c r="O566" i="42" s="1"/>
  <c r="P566" i="42" s="1"/>
  <c r="N566" i="40"/>
  <c r="O566" i="40" s="1"/>
  <c r="P566" i="40" s="1"/>
  <c r="M567" i="40"/>
  <c r="M568" i="42"/>
  <c r="N567" i="42"/>
  <c r="O567" i="42"/>
  <c r="P567" i="42" s="1"/>
  <c r="M568" i="40"/>
  <c r="N567" i="40"/>
  <c r="O567" i="40" s="1"/>
  <c r="P567" i="40" s="1"/>
  <c r="M569" i="42"/>
  <c r="N568" i="42"/>
  <c r="O568" i="42" s="1"/>
  <c r="P568" i="42" s="1"/>
  <c r="N568" i="40"/>
  <c r="M569" i="40"/>
  <c r="O568" i="40"/>
  <c r="P568" i="40" s="1"/>
  <c r="N569" i="42"/>
  <c r="O569" i="42" s="1"/>
  <c r="P569" i="42" s="1"/>
  <c r="M570" i="42"/>
  <c r="M570" i="40"/>
  <c r="N569" i="40"/>
  <c r="N570" i="42"/>
  <c r="O570" i="42"/>
  <c r="P570" i="42" s="1"/>
  <c r="M571" i="42"/>
  <c r="N570" i="40"/>
  <c r="O570" i="40" s="1"/>
  <c r="P570" i="40" s="1"/>
  <c r="M571" i="40"/>
  <c r="M572" i="42"/>
  <c r="N571" i="42"/>
  <c r="O571" i="42" s="1"/>
  <c r="P571" i="42" s="1"/>
  <c r="M572" i="40"/>
  <c r="N571" i="40"/>
  <c r="O571" i="40" s="1"/>
  <c r="P571" i="40" s="1"/>
  <c r="N572" i="42"/>
  <c r="O572" i="42" s="1"/>
  <c r="P572" i="42" s="1"/>
  <c r="M573" i="42"/>
  <c r="N572" i="40"/>
  <c r="M573" i="40"/>
  <c r="N573" i="42"/>
  <c r="O573" i="42" s="1"/>
  <c r="P573" i="42" s="1"/>
  <c r="M574" i="42"/>
  <c r="M574" i="40"/>
  <c r="N573" i="40"/>
  <c r="M575" i="42"/>
  <c r="N574" i="42"/>
  <c r="O574" i="42" s="1"/>
  <c r="P574" i="42" s="1"/>
  <c r="M575" i="40"/>
  <c r="N574" i="40"/>
  <c r="O574" i="40" s="1"/>
  <c r="P574" i="40" s="1"/>
  <c r="N575" i="42"/>
  <c r="M576" i="42"/>
  <c r="O575" i="42"/>
  <c r="P575" i="42" s="1"/>
  <c r="M576" i="40"/>
  <c r="N575" i="40"/>
  <c r="O575" i="40" s="1"/>
  <c r="P575" i="40" s="1"/>
  <c r="N576" i="42"/>
  <c r="O576" i="42"/>
  <c r="P576" i="42" s="1"/>
  <c r="M577" i="42"/>
  <c r="M577" i="40"/>
  <c r="N576" i="40"/>
  <c r="M578" i="42"/>
  <c r="N577" i="42"/>
  <c r="O577" i="42"/>
  <c r="P577" i="42" s="1"/>
  <c r="M578" i="40"/>
  <c r="N577" i="40"/>
  <c r="O577" i="40" s="1"/>
  <c r="P577" i="40" s="1"/>
  <c r="M579" i="42"/>
  <c r="N578" i="42"/>
  <c r="O578" i="42" s="1"/>
  <c r="P578" i="42" s="1"/>
  <c r="M579" i="40"/>
  <c r="N578" i="40"/>
  <c r="O578" i="40" s="1"/>
  <c r="P578" i="40" s="1"/>
  <c r="N579" i="42"/>
  <c r="M580" i="42"/>
  <c r="O579" i="42"/>
  <c r="P579" i="42" s="1"/>
  <c r="M580" i="40"/>
  <c r="N579" i="40"/>
  <c r="O579" i="40" s="1"/>
  <c r="P579" i="40" s="1"/>
  <c r="M581" i="42"/>
  <c r="N580" i="42"/>
  <c r="O580" i="42" s="1"/>
  <c r="P580" i="42" s="1"/>
  <c r="N580" i="40"/>
  <c r="O580" i="40" s="1"/>
  <c r="P580" i="40" s="1"/>
  <c r="M581" i="40"/>
  <c r="N581" i="42"/>
  <c r="O581" i="42" s="1"/>
  <c r="P581" i="42" s="1"/>
  <c r="N581" i="40"/>
  <c r="O581" i="40" s="1"/>
  <c r="P581" i="40" s="1"/>
  <c r="M582" i="40"/>
  <c r="M583" i="40"/>
  <c r="N582" i="40"/>
  <c r="O582" i="40"/>
  <c r="P582" i="40" s="1"/>
  <c r="N583" i="40"/>
  <c r="M584" i="40"/>
  <c r="O583" i="40"/>
  <c r="P583" i="40" s="1"/>
  <c r="N584" i="40"/>
  <c r="O584" i="40" s="1"/>
  <c r="P584" i="40" s="1"/>
  <c r="M585" i="40"/>
  <c r="N585" i="40"/>
  <c r="O585" i="40" s="1"/>
  <c r="P585" i="40" s="1"/>
  <c r="O11" i="32" l="1"/>
  <c r="O10" i="32"/>
  <c r="O22" i="32"/>
  <c r="D13" i="36"/>
  <c r="D14" i="36"/>
  <c r="D22" i="36"/>
  <c r="D50" i="36"/>
  <c r="D49" i="36"/>
  <c r="D57" i="36"/>
  <c r="O19" i="32"/>
  <c r="O25" i="32"/>
  <c r="D21" i="36"/>
  <c r="O27" i="32"/>
  <c r="D40" i="36"/>
  <c r="D29" i="36"/>
  <c r="O20" i="32"/>
  <c r="D37" i="36"/>
  <c r="N11" i="32"/>
  <c r="D20" i="36"/>
  <c r="A3" i="35"/>
  <c r="D42" i="36"/>
  <c r="F4" i="32"/>
  <c r="O4" i="32" s="1"/>
  <c r="D30" i="36"/>
  <c r="A4" i="35"/>
  <c r="D11" i="32"/>
  <c r="O24" i="32"/>
  <c r="N10" i="32"/>
  <c r="D45" i="36"/>
  <c r="D53" i="36"/>
  <c r="D47" i="36"/>
  <c r="D26" i="36"/>
  <c r="D38" i="36"/>
  <c r="D39" i="36"/>
  <c r="D28" i="36"/>
  <c r="D52" i="36"/>
  <c r="D18" i="36"/>
  <c r="D32" i="36"/>
  <c r="D33" i="36"/>
  <c r="D44" i="36"/>
  <c r="D11" i="36"/>
  <c r="D41" i="36"/>
  <c r="D48" i="36"/>
  <c r="O2" i="32"/>
  <c r="D24" i="36"/>
  <c r="D51" i="36"/>
  <c r="D19" i="36"/>
  <c r="O14" i="32"/>
  <c r="O21" i="32"/>
  <c r="O23" i="32"/>
  <c r="O12" i="32"/>
  <c r="D54" i="36"/>
  <c r="D36" i="36"/>
  <c r="O13" i="32"/>
  <c r="O6" i="32"/>
  <c r="D46" i="36"/>
  <c r="D31" i="36"/>
  <c r="D35" i="36"/>
  <c r="O15" i="32"/>
  <c r="D12" i="36"/>
  <c r="D15" i="36"/>
  <c r="D27" i="36"/>
  <c r="D59" i="36"/>
  <c r="D10" i="32"/>
  <c r="C3" i="42"/>
  <c r="D34" i="36"/>
  <c r="D55" i="36"/>
  <c r="D23" i="36"/>
  <c r="D58" i="36"/>
  <c r="D17" i="36"/>
  <c r="D16" i="36"/>
  <c r="D56" i="36"/>
  <c r="D25" i="36"/>
  <c r="D43" i="36"/>
  <c r="O576" i="40"/>
  <c r="P576" i="40" s="1"/>
  <c r="O547" i="40"/>
  <c r="P547" i="40" s="1"/>
  <c r="O511" i="40"/>
  <c r="P511" i="40" s="1"/>
  <c r="O477" i="40"/>
  <c r="P477" i="40" s="1"/>
  <c r="O454" i="40"/>
  <c r="P454" i="40" s="1"/>
  <c r="O430" i="40"/>
  <c r="P430" i="40" s="1"/>
  <c r="O409" i="40"/>
  <c r="P409" i="40" s="1"/>
  <c r="O388" i="40"/>
  <c r="P388" i="40" s="1"/>
  <c r="O352" i="40"/>
  <c r="P352" i="40" s="1"/>
  <c r="O310" i="40"/>
  <c r="P310" i="40" s="1"/>
  <c r="O260" i="40"/>
  <c r="P260" i="40" s="1"/>
  <c r="O231" i="40"/>
  <c r="P231" i="40" s="1"/>
  <c r="O205" i="40"/>
  <c r="P205" i="40" s="1"/>
  <c r="O181" i="40"/>
  <c r="P181" i="40" s="1"/>
  <c r="O135" i="40"/>
  <c r="P135" i="40" s="1"/>
  <c r="O75" i="40"/>
  <c r="P75" i="40" s="1"/>
  <c r="O34" i="40"/>
  <c r="P34" i="40" s="1"/>
  <c r="C24" i="32"/>
  <c r="E22" i="36"/>
  <c r="F22" i="36" s="1"/>
  <c r="E45" i="36"/>
  <c r="F45" i="36" s="1"/>
  <c r="I11" i="40"/>
  <c r="E32" i="36"/>
  <c r="F32" i="36" s="1"/>
  <c r="E24" i="36"/>
  <c r="F24" i="36" s="1"/>
  <c r="E12" i="36"/>
  <c r="F12" i="36" s="1"/>
  <c r="AB33" i="32"/>
  <c r="E58" i="36"/>
  <c r="F58" i="36" s="1"/>
  <c r="J13" i="39"/>
  <c r="O541" i="40"/>
  <c r="P541" i="40" s="1"/>
  <c r="O508" i="40"/>
  <c r="P508" i="40" s="1"/>
  <c r="O473" i="40"/>
  <c r="P473" i="40" s="1"/>
  <c r="O429" i="40"/>
  <c r="P429" i="40" s="1"/>
  <c r="O407" i="40"/>
  <c r="P407" i="40" s="1"/>
  <c r="O349" i="40"/>
  <c r="P349" i="40" s="1"/>
  <c r="O308" i="40"/>
  <c r="P308" i="40" s="1"/>
  <c r="O228" i="40"/>
  <c r="P228" i="40" s="1"/>
  <c r="O204" i="40"/>
  <c r="P204" i="40" s="1"/>
  <c r="O129" i="40"/>
  <c r="P129" i="40" s="1"/>
  <c r="O32" i="40"/>
  <c r="P32" i="40" s="1"/>
  <c r="AG8" i="39"/>
  <c r="E37" i="36"/>
  <c r="F37" i="36" s="1"/>
  <c r="E30" i="36"/>
  <c r="F30" i="36" s="1"/>
  <c r="E28" i="36"/>
  <c r="F28" i="36" s="1"/>
  <c r="E33" i="36"/>
  <c r="F33" i="36" s="1"/>
  <c r="I10" i="40"/>
  <c r="E46" i="36"/>
  <c r="F46" i="36" s="1"/>
  <c r="E15" i="36"/>
  <c r="F15" i="36" s="1"/>
  <c r="E34" i="36"/>
  <c r="F34" i="36" s="1"/>
  <c r="E17" i="36"/>
  <c r="F17" i="36" s="1"/>
  <c r="O572" i="40"/>
  <c r="P572" i="40" s="1"/>
  <c r="O500" i="40"/>
  <c r="P500" i="40" s="1"/>
  <c r="O469" i="40"/>
  <c r="P469" i="40" s="1"/>
  <c r="O450" i="40"/>
  <c r="P450" i="40" s="1"/>
  <c r="O405" i="40"/>
  <c r="P405" i="40" s="1"/>
  <c r="O348" i="40"/>
  <c r="P348" i="40" s="1"/>
  <c r="O256" i="40"/>
  <c r="P256" i="40" s="1"/>
  <c r="O202" i="40"/>
  <c r="P202" i="40" s="1"/>
  <c r="O117" i="40"/>
  <c r="P117" i="40" s="1"/>
  <c r="O30" i="40"/>
  <c r="P30" i="40" s="1"/>
  <c r="E49" i="36"/>
  <c r="F49" i="36" s="1"/>
  <c r="C4" i="35"/>
  <c r="D4" i="35"/>
  <c r="I3" i="40"/>
  <c r="E55" i="36"/>
  <c r="F55" i="36" s="1"/>
  <c r="E16" i="36"/>
  <c r="F16" i="36" s="1"/>
  <c r="O569" i="40"/>
  <c r="P569" i="40" s="1"/>
  <c r="O492" i="40"/>
  <c r="P492" i="40" s="1"/>
  <c r="O467" i="40"/>
  <c r="P467" i="40" s="1"/>
  <c r="O425" i="40"/>
  <c r="P425" i="40" s="1"/>
  <c r="O379" i="40"/>
  <c r="P379" i="40" s="1"/>
  <c r="O298" i="40"/>
  <c r="P298" i="40" s="1"/>
  <c r="O221" i="40"/>
  <c r="P221" i="40" s="1"/>
  <c r="O160" i="40"/>
  <c r="P160" i="40" s="1"/>
  <c r="O66" i="40"/>
  <c r="P66" i="40" s="1"/>
  <c r="H22" i="39"/>
  <c r="E20" i="36"/>
  <c r="F20" i="36" s="1"/>
  <c r="E26" i="36"/>
  <c r="F26" i="36" s="1"/>
  <c r="E11" i="36"/>
  <c r="F11" i="36" s="1"/>
  <c r="C42" i="32"/>
  <c r="I6" i="40"/>
  <c r="E56" i="36"/>
  <c r="F56" i="36" s="1"/>
  <c r="O560" i="40"/>
  <c r="P560" i="40" s="1"/>
  <c r="O491" i="40"/>
  <c r="P491" i="40" s="1"/>
  <c r="O465" i="40"/>
  <c r="P465" i="40" s="1"/>
  <c r="O423" i="40"/>
  <c r="P423" i="40" s="1"/>
  <c r="O376" i="40"/>
  <c r="P376" i="40" s="1"/>
  <c r="O296" i="40"/>
  <c r="P296" i="40" s="1"/>
  <c r="O197" i="40"/>
  <c r="P197" i="40" s="1"/>
  <c r="O159" i="40"/>
  <c r="P159" i="40" s="1"/>
  <c r="O65" i="40"/>
  <c r="P65" i="40" s="1"/>
  <c r="I12" i="40"/>
  <c r="H25" i="39"/>
  <c r="E38" i="36"/>
  <c r="F38" i="36" s="1"/>
  <c r="C37" i="32"/>
  <c r="E19" i="36"/>
  <c r="F19" i="36" s="1"/>
  <c r="E54" i="36"/>
  <c r="F54" i="36" s="1"/>
  <c r="I16" i="40"/>
  <c r="E25" i="36"/>
  <c r="F25" i="36" s="1"/>
  <c r="O557" i="40"/>
  <c r="P557" i="40" s="1"/>
  <c r="O488" i="40"/>
  <c r="P488" i="40" s="1"/>
  <c r="O437" i="40"/>
  <c r="P437" i="40" s="1"/>
  <c r="O418" i="40"/>
  <c r="P418" i="40" s="1"/>
  <c r="O374" i="40"/>
  <c r="P374" i="40" s="1"/>
  <c r="O241" i="40"/>
  <c r="P241" i="40" s="1"/>
  <c r="O155" i="40"/>
  <c r="P155" i="40" s="1"/>
  <c r="O6" i="40"/>
  <c r="P6" i="40" s="1"/>
  <c r="E39" i="36"/>
  <c r="F39" i="36" s="1"/>
  <c r="E41" i="36"/>
  <c r="F41" i="36" s="1"/>
  <c r="E36" i="36"/>
  <c r="F36" i="36" s="1"/>
  <c r="E59" i="36"/>
  <c r="F59" i="36" s="1"/>
  <c r="I4" i="40"/>
  <c r="O553" i="40"/>
  <c r="P553" i="40" s="1"/>
  <c r="O459" i="40"/>
  <c r="P459" i="40" s="1"/>
  <c r="O417" i="40"/>
  <c r="P417" i="40" s="1"/>
  <c r="O292" i="40"/>
  <c r="P292" i="40" s="1"/>
  <c r="O193" i="40"/>
  <c r="P193" i="40" s="1"/>
  <c r="O53" i="40"/>
  <c r="P53" i="40" s="1"/>
  <c r="I15" i="40"/>
  <c r="I7" i="40"/>
  <c r="E48" i="36"/>
  <c r="F48" i="36" s="1"/>
  <c r="O480" i="40"/>
  <c r="P480" i="40" s="1"/>
  <c r="O457" i="40"/>
  <c r="P457" i="40" s="1"/>
  <c r="O390" i="40"/>
  <c r="P390" i="40" s="1"/>
  <c r="O288" i="40"/>
  <c r="P288" i="40" s="1"/>
  <c r="O182" i="40"/>
  <c r="P182" i="40" s="1"/>
  <c r="O52" i="40"/>
  <c r="P52" i="40" s="1"/>
  <c r="E29" i="36"/>
  <c r="F29" i="36" s="1"/>
  <c r="E23" i="36"/>
  <c r="F23" i="36" s="1"/>
  <c r="O573" i="40"/>
  <c r="P573" i="40" s="1"/>
  <c r="O453" i="40"/>
  <c r="P453" i="40" s="1"/>
  <c r="O382" i="40"/>
  <c r="P382" i="40" s="1"/>
  <c r="O257" i="40"/>
  <c r="P257" i="40" s="1"/>
  <c r="O178" i="40"/>
  <c r="P178" i="40" s="1"/>
  <c r="O71" i="40"/>
  <c r="P71" i="40" s="1"/>
  <c r="E50" i="36"/>
  <c r="F50" i="36" s="1"/>
  <c r="E53" i="36"/>
  <c r="F53" i="36" s="1"/>
  <c r="C47" i="32"/>
  <c r="J14" i="39"/>
  <c r="O539" i="40"/>
  <c r="P539" i="40" s="1"/>
  <c r="O427" i="40"/>
  <c r="P427" i="40" s="1"/>
  <c r="O381" i="40"/>
  <c r="P381" i="40" s="1"/>
  <c r="O304" i="40"/>
  <c r="P304" i="40" s="1"/>
  <c r="O225" i="40"/>
  <c r="P225" i="40" s="1"/>
  <c r="O165" i="40"/>
  <c r="P165" i="40" s="1"/>
  <c r="O68" i="40"/>
  <c r="P68" i="40" s="1"/>
  <c r="C14" i="32"/>
  <c r="E47" i="36"/>
  <c r="F47" i="36" s="1"/>
  <c r="N4" i="40"/>
  <c r="O4" i="40" s="1"/>
  <c r="P4" i="40" s="1"/>
  <c r="E44" i="36"/>
  <c r="F44" i="36" s="1"/>
  <c r="I14" i="40"/>
  <c r="C49" i="32"/>
  <c r="E27" i="36"/>
  <c r="F27" i="36" s="1"/>
  <c r="K12" i="39"/>
  <c r="O532" i="40"/>
  <c r="P532" i="40" s="1"/>
  <c r="O449" i="40"/>
  <c r="P449" i="40" s="1"/>
  <c r="O402" i="40"/>
  <c r="P402" i="40" s="1"/>
  <c r="O341" i="40"/>
  <c r="P341" i="40" s="1"/>
  <c r="O250" i="40"/>
  <c r="P250" i="40" s="1"/>
  <c r="O200" i="40"/>
  <c r="P200" i="40" s="1"/>
  <c r="O97" i="40"/>
  <c r="P97" i="40" s="1"/>
  <c r="O14" i="40"/>
  <c r="P14" i="40" s="1"/>
  <c r="C46" i="32"/>
  <c r="C13" i="32"/>
  <c r="C45" i="32"/>
  <c r="E51" i="36"/>
  <c r="F51" i="36" s="1"/>
  <c r="E31" i="36"/>
  <c r="F31" i="36" s="1"/>
  <c r="I5" i="40"/>
  <c r="J12" i="39"/>
  <c r="O529" i="40"/>
  <c r="P529" i="40" s="1"/>
  <c r="O445" i="40"/>
  <c r="P445" i="40" s="1"/>
  <c r="O326" i="40"/>
  <c r="P326" i="40" s="1"/>
  <c r="O246" i="40"/>
  <c r="P246" i="40" s="1"/>
  <c r="O220" i="40"/>
  <c r="P220" i="40" s="1"/>
  <c r="O95" i="40"/>
  <c r="P95" i="40" s="1"/>
  <c r="O10" i="40"/>
  <c r="P10" i="40" s="1"/>
  <c r="E21" i="36"/>
  <c r="F21" i="36" s="1"/>
  <c r="O463" i="40"/>
  <c r="P463" i="40" s="1"/>
  <c r="O293" i="40"/>
  <c r="P293" i="40" s="1"/>
  <c r="O196" i="40"/>
  <c r="P196" i="40" s="1"/>
  <c r="O63" i="40"/>
  <c r="P63" i="40" s="1"/>
  <c r="E57" i="36"/>
  <c r="F57" i="36" s="1"/>
  <c r="D40" i="29"/>
  <c r="D3" i="35"/>
  <c r="C44" i="29" s="1"/>
  <c r="C3" i="35"/>
  <c r="O521" i="40"/>
  <c r="P521" i="40" s="1"/>
  <c r="O396" i="40"/>
  <c r="P396" i="40" s="1"/>
  <c r="O317" i="40"/>
  <c r="P317" i="40" s="1"/>
  <c r="O212" i="40"/>
  <c r="P212" i="40" s="1"/>
  <c r="O89" i="40"/>
  <c r="P89" i="40" s="1"/>
  <c r="C22" i="32"/>
  <c r="E40" i="36"/>
  <c r="F40" i="36" s="1"/>
  <c r="O2" i="42"/>
  <c r="P2" i="42" s="1"/>
  <c r="C34" i="32"/>
  <c r="O549" i="40"/>
  <c r="P549" i="40" s="1"/>
  <c r="O413" i="40"/>
  <c r="P413" i="40" s="1"/>
  <c r="O316" i="40"/>
  <c r="P316" i="40" s="1"/>
  <c r="O208" i="40"/>
  <c r="P208" i="40" s="1"/>
  <c r="O87" i="40"/>
  <c r="P87" i="40" s="1"/>
  <c r="I18" i="40"/>
  <c r="E18" i="36"/>
  <c r="F18" i="36" s="1"/>
  <c r="I17" i="40"/>
  <c r="K14" i="39"/>
  <c r="O400" i="40"/>
  <c r="P400" i="40" s="1"/>
  <c r="E52" i="36"/>
  <c r="F52" i="36" s="1"/>
  <c r="E35" i="36"/>
  <c r="F35" i="36" s="1"/>
  <c r="I13" i="40"/>
  <c r="O527" i="40"/>
  <c r="P527" i="40" s="1"/>
  <c r="O397" i="40"/>
  <c r="P397" i="40" s="1"/>
  <c r="O324" i="40"/>
  <c r="P324" i="40" s="1"/>
  <c r="O216" i="40"/>
  <c r="P216" i="40" s="1"/>
  <c r="O94" i="40"/>
  <c r="P94" i="40" s="1"/>
  <c r="H24" i="39"/>
  <c r="I9" i="40"/>
  <c r="E43" i="36"/>
  <c r="F43" i="36" s="1"/>
  <c r="O487" i="40"/>
  <c r="P487" i="40" s="1"/>
  <c r="O434" i="40"/>
  <c r="P434" i="40" s="1"/>
  <c r="O360" i="40"/>
  <c r="P360" i="40" s="1"/>
  <c r="O234" i="40"/>
  <c r="P234" i="40" s="1"/>
  <c r="O152" i="40"/>
  <c r="P152" i="40" s="1"/>
  <c r="E13" i="36"/>
  <c r="F13" i="36" s="1"/>
  <c r="E42" i="36"/>
  <c r="F42" i="36" s="1"/>
  <c r="AG7" i="39"/>
  <c r="I20" i="40"/>
  <c r="K13" i="39"/>
  <c r="O512" i="40"/>
  <c r="P512" i="40" s="1"/>
  <c r="O433" i="40"/>
  <c r="P433" i="40" s="1"/>
  <c r="O357" i="40"/>
  <c r="P357" i="40" s="1"/>
  <c r="O232" i="40"/>
  <c r="P232" i="40" s="1"/>
  <c r="O145" i="40"/>
  <c r="P145" i="40" s="1"/>
  <c r="C27" i="32"/>
  <c r="E14" i="36"/>
  <c r="F14" i="36" s="1"/>
  <c r="I8" i="40"/>
  <c r="I19" i="40"/>
  <c r="E3" i="42"/>
  <c r="D41" i="29"/>
  <c r="C43" i="29"/>
  <c r="D34" i="29"/>
  <c r="D36" i="29" s="1"/>
  <c r="C4" i="42"/>
  <c r="F3" i="42"/>
  <c r="H3" i="42" s="1"/>
  <c r="J14" i="35"/>
  <c r="H14" i="35" s="1"/>
  <c r="J12" i="35"/>
  <c r="H12" i="35" s="1"/>
  <c r="G20" i="35"/>
  <c r="G53" i="35"/>
  <c r="G21" i="35"/>
  <c r="C48" i="36"/>
  <c r="J35" i="35"/>
  <c r="H35" i="35" s="1"/>
  <c r="G18" i="35"/>
  <c r="G29" i="35"/>
  <c r="G17" i="35"/>
  <c r="J16" i="35"/>
  <c r="H16" i="35" s="1"/>
  <c r="J10" i="35"/>
  <c r="H10" i="35" s="1"/>
  <c r="J19" i="35"/>
  <c r="H19" i="35" s="1"/>
  <c r="G51" i="35"/>
  <c r="G25" i="35"/>
  <c r="C59" i="36"/>
  <c r="J42" i="35"/>
  <c r="H42" i="35" s="1"/>
  <c r="G45" i="35"/>
  <c r="C29" i="36"/>
  <c r="J48" i="35"/>
  <c r="H48" i="35" s="1"/>
  <c r="G38" i="35"/>
  <c r="G4" i="35"/>
  <c r="G6" i="35"/>
  <c r="J53" i="35"/>
  <c r="H53" i="35" s="1"/>
  <c r="C31" i="36"/>
  <c r="J17" i="35"/>
  <c r="H17" i="35" s="1"/>
  <c r="C28" i="36"/>
  <c r="C44" i="36"/>
  <c r="C17" i="36"/>
  <c r="J8" i="35"/>
  <c r="H8" i="35" s="1"/>
  <c r="J41" i="35"/>
  <c r="H41" i="35" s="1"/>
  <c r="J46" i="35"/>
  <c r="H46" i="35" s="1"/>
  <c r="G3" i="35"/>
  <c r="C23" i="36"/>
  <c r="G5" i="35"/>
  <c r="G13" i="35"/>
  <c r="C51" i="36"/>
  <c r="J30" i="35"/>
  <c r="H30" i="35" s="1"/>
  <c r="G44" i="35"/>
  <c r="C56" i="36"/>
  <c r="C14" i="36"/>
  <c r="G28" i="35"/>
  <c r="G41" i="35"/>
  <c r="J5" i="35"/>
  <c r="H5" i="35" s="1"/>
  <c r="G35" i="35"/>
  <c r="J22" i="35"/>
  <c r="H22" i="35" s="1"/>
  <c r="G48" i="35"/>
  <c r="C19" i="36"/>
  <c r="G8" i="35"/>
  <c r="G40" i="35"/>
  <c r="J3" i="35"/>
  <c r="H3" i="35" s="1"/>
  <c r="C38" i="36"/>
  <c r="G42" i="35"/>
  <c r="G32" i="35"/>
  <c r="J25" i="35"/>
  <c r="H25" i="35" s="1"/>
  <c r="J24" i="35"/>
  <c r="H24" i="35" s="1"/>
  <c r="J29" i="35"/>
  <c r="H29" i="35" s="1"/>
  <c r="J49" i="35"/>
  <c r="H49" i="35" s="1"/>
  <c r="J20" i="35"/>
  <c r="H20" i="35" s="1"/>
  <c r="J27" i="35"/>
  <c r="H27" i="35" s="1"/>
  <c r="G15" i="35"/>
  <c r="J34" i="35"/>
  <c r="H34" i="35" s="1"/>
  <c r="C18" i="36"/>
  <c r="G27" i="35"/>
  <c r="G47" i="35"/>
  <c r="J6" i="35"/>
  <c r="H6" i="35" s="1"/>
  <c r="G16" i="35"/>
  <c r="G50" i="35"/>
  <c r="C47" i="36"/>
  <c r="G55" i="35"/>
  <c r="C57" i="36"/>
  <c r="C54" i="36"/>
  <c r="J37" i="35"/>
  <c r="H37" i="35" s="1"/>
  <c r="J56" i="35"/>
  <c r="H56" i="35" s="1"/>
  <c r="G23" i="35"/>
  <c r="C43" i="36"/>
  <c r="C26" i="36"/>
  <c r="J4" i="35"/>
  <c r="H4" i="35" s="1"/>
  <c r="C40" i="36"/>
  <c r="C11" i="36"/>
  <c r="G14" i="35"/>
  <c r="G24" i="35"/>
  <c r="J21" i="35"/>
  <c r="H21" i="35" s="1"/>
  <c r="J54" i="35"/>
  <c r="H54" i="35" s="1"/>
  <c r="G2" i="35"/>
  <c r="C34" i="36"/>
  <c r="C55" i="36"/>
  <c r="C46" i="36"/>
  <c r="C53" i="36"/>
  <c r="J55" i="35"/>
  <c r="H55" i="35" s="1"/>
  <c r="C37" i="36"/>
  <c r="C25" i="36"/>
  <c r="C42" i="36"/>
  <c r="C41" i="36"/>
  <c r="C22" i="36"/>
  <c r="G49" i="35"/>
  <c r="J47" i="35"/>
  <c r="H47" i="35" s="1"/>
  <c r="G31" i="35"/>
  <c r="C33" i="36"/>
  <c r="J18" i="35"/>
  <c r="H18" i="35" s="1"/>
  <c r="C50" i="36"/>
  <c r="C52" i="36"/>
  <c r="C27" i="36"/>
  <c r="J11" i="35"/>
  <c r="H11" i="35" s="1"/>
  <c r="C32" i="36"/>
  <c r="G12" i="35"/>
  <c r="C35" i="36"/>
  <c r="J40" i="35"/>
  <c r="H40" i="35" s="1"/>
  <c r="G10" i="35"/>
  <c r="J28" i="35"/>
  <c r="H28" i="35" s="1"/>
  <c r="G11" i="35"/>
  <c r="G43" i="35"/>
  <c r="J2" i="35"/>
  <c r="H2" i="35" s="1"/>
  <c r="C36" i="36"/>
  <c r="G54" i="35"/>
  <c r="G34" i="35"/>
  <c r="J39" i="35"/>
  <c r="H39" i="35" s="1"/>
  <c r="J44" i="35"/>
  <c r="H44" i="35" s="1"/>
  <c r="J15" i="35"/>
  <c r="H15" i="35" s="1"/>
  <c r="C49" i="36"/>
  <c r="C39" i="36"/>
  <c r="G39" i="35"/>
  <c r="C45" i="36"/>
  <c r="G30" i="35"/>
  <c r="G26" i="35"/>
  <c r="J45" i="35"/>
  <c r="H45" i="35" s="1"/>
  <c r="J43" i="35"/>
  <c r="H43" i="35" s="1"/>
  <c r="J51" i="35"/>
  <c r="H51" i="35" s="1"/>
  <c r="G33" i="35"/>
  <c r="C20" i="36"/>
  <c r="J31" i="35"/>
  <c r="H31" i="35" s="1"/>
  <c r="J36" i="35"/>
  <c r="H36" i="35" s="1"/>
  <c r="J52" i="35"/>
  <c r="H52" i="35" s="1"/>
  <c r="C15" i="36"/>
  <c r="C12" i="36"/>
  <c r="J38" i="35"/>
  <c r="H38" i="35" s="1"/>
  <c r="J32" i="35"/>
  <c r="H32" i="35" s="1"/>
  <c r="C30" i="36"/>
  <c r="C21" i="36"/>
  <c r="C13" i="36"/>
  <c r="J23" i="35"/>
  <c r="H23" i="35" s="1"/>
  <c r="G37" i="35"/>
  <c r="J9" i="35"/>
  <c r="H9" i="35" s="1"/>
  <c r="G52" i="35"/>
  <c r="C16" i="36"/>
  <c r="G22" i="35"/>
  <c r="G56" i="35"/>
  <c r="J33" i="35"/>
  <c r="H33" i="35" s="1"/>
  <c r="G19" i="35"/>
  <c r="J13" i="35"/>
  <c r="H13" i="35" s="1"/>
  <c r="G9" i="35"/>
  <c r="C24" i="36"/>
  <c r="G46" i="35"/>
  <c r="C58" i="36"/>
  <c r="J26" i="35"/>
  <c r="H26" i="35" s="1"/>
  <c r="G36" i="35"/>
  <c r="J50" i="35"/>
  <c r="H50" i="35" s="1"/>
  <c r="E4" i="42"/>
  <c r="I3" i="42"/>
  <c r="C5" i="42"/>
  <c r="F4" i="42"/>
  <c r="H4" i="42" s="1"/>
  <c r="E5" i="42"/>
  <c r="I4" i="42"/>
  <c r="F5" i="42"/>
  <c r="H5" i="42" s="1"/>
  <c r="C6" i="42"/>
  <c r="I5" i="42"/>
  <c r="E6" i="42"/>
  <c r="F6" i="42"/>
  <c r="H6" i="42" s="1"/>
  <c r="C7" i="42"/>
  <c r="I6" i="42"/>
  <c r="E7" i="42"/>
  <c r="F7" i="42"/>
  <c r="H7" i="42" s="1"/>
  <c r="C8" i="42"/>
  <c r="I7" i="42"/>
  <c r="E8" i="42"/>
  <c r="C9" i="42"/>
  <c r="F8" i="42"/>
  <c r="H8" i="42" s="1"/>
  <c r="E9" i="42"/>
  <c r="I8" i="42"/>
  <c r="F9" i="42"/>
  <c r="H9" i="42"/>
  <c r="C10" i="42"/>
  <c r="I9" i="42"/>
  <c r="E10" i="42"/>
  <c r="F10" i="42"/>
  <c r="H10" i="42"/>
  <c r="C11" i="42"/>
  <c r="I10" i="42"/>
  <c r="E11" i="42"/>
  <c r="F11" i="42"/>
  <c r="H11" i="42" s="1"/>
  <c r="I11" i="42"/>
  <c r="D11" i="42" l="1"/>
  <c r="D10" i="42"/>
  <c r="D9" i="42"/>
  <c r="D8" i="42"/>
  <c r="D7" i="42"/>
  <c r="D6" i="42"/>
  <c r="D5" i="42"/>
  <c r="D4" i="42"/>
  <c r="D3" i="42"/>
  <c r="U23" i="32"/>
  <c r="P23" i="32"/>
  <c r="T23" i="32"/>
  <c r="U24" i="32"/>
  <c r="T24" i="32"/>
  <c r="P24" i="32"/>
  <c r="U22" i="32"/>
  <c r="P22" i="32"/>
  <c r="T22" i="32"/>
  <c r="T10" i="32"/>
  <c r="P10" i="32"/>
  <c r="U10" i="32"/>
  <c r="T13" i="32"/>
  <c r="P13" i="32"/>
  <c r="U13" i="32"/>
  <c r="T14" i="32"/>
  <c r="P14" i="32"/>
  <c r="U14" i="32"/>
  <c r="P15" i="32"/>
  <c r="T15" i="32"/>
  <c r="U15" i="32"/>
  <c r="U2" i="32"/>
  <c r="P2" i="32"/>
  <c r="T2" i="32"/>
  <c r="U21" i="32"/>
  <c r="T21" i="32"/>
  <c r="P21" i="32"/>
  <c r="T27" i="32"/>
  <c r="P27" i="32"/>
  <c r="U27" i="32"/>
  <c r="P11" i="32"/>
  <c r="T11" i="32"/>
  <c r="U11" i="32"/>
  <c r="P25" i="32"/>
  <c r="T25" i="32"/>
  <c r="U25" i="32"/>
  <c r="P19" i="32"/>
  <c r="U19" i="32"/>
  <c r="T19" i="32"/>
  <c r="U6" i="32"/>
  <c r="T6" i="32"/>
  <c r="P6" i="32"/>
  <c r="U12" i="32"/>
  <c r="P12" i="32"/>
  <c r="T12" i="32"/>
  <c r="P20" i="32"/>
  <c r="T20" i="32"/>
  <c r="U20" i="32"/>
  <c r="M12" i="39"/>
  <c r="N12" i="39"/>
  <c r="L12" i="39"/>
  <c r="L11" i="39"/>
  <c r="N11" i="39"/>
  <c r="M11" i="39"/>
  <c r="N14" i="39"/>
  <c r="L14" i="39"/>
  <c r="M14" i="39"/>
  <c r="M13" i="39"/>
  <c r="L13" i="39"/>
  <c r="N13" i="39"/>
  <c r="AB34" i="32"/>
  <c r="AB35" i="32"/>
  <c r="AB36" i="32" s="1"/>
  <c r="AB37" i="32" s="1"/>
  <c r="AB38" i="32" s="1"/>
  <c r="AB39" i="32" s="1"/>
  <c r="AB40" i="32" s="1"/>
  <c r="AB41" i="32" s="1"/>
  <c r="AB42" i="32" s="1"/>
  <c r="AB43" i="32" s="1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64" i="32" s="1"/>
  <c r="AB65" i="32" s="1"/>
  <c r="AB66" i="32" s="1"/>
  <c r="AB67" i="32" s="1"/>
  <c r="AB68" i="32" s="1"/>
  <c r="AB69" i="32" s="1"/>
  <c r="AB70" i="32" s="1"/>
  <c r="AB71" i="32" s="1"/>
  <c r="AB72" i="32" s="1"/>
  <c r="AB73" i="32" s="1"/>
  <c r="AB74" i="32" s="1"/>
  <c r="AB75" i="32" s="1"/>
  <c r="AB76" i="32" s="1"/>
  <c r="AB77" i="32" s="1"/>
  <c r="AB78" i="32" s="1"/>
  <c r="AB79" i="32" s="1"/>
  <c r="AB80" i="32" s="1"/>
  <c r="AB81" i="32" s="1"/>
  <c r="AB82" i="32" s="1"/>
  <c r="AB83" i="32" s="1"/>
  <c r="AB84" i="32" s="1"/>
  <c r="AB85" i="32" s="1"/>
  <c r="AB86" i="32" s="1"/>
  <c r="AB87" i="32" s="1"/>
  <c r="AB88" i="32" s="1"/>
  <c r="AB89" i="32" s="1"/>
  <c r="AB90" i="32" s="1"/>
  <c r="AB91" i="32" s="1"/>
  <c r="AB92" i="32" s="1"/>
  <c r="AB93" i="32" s="1"/>
  <c r="AB94" i="32" s="1"/>
  <c r="AB95" i="32" s="1"/>
  <c r="AB96" i="32" s="1"/>
  <c r="J20" i="29" l="1"/>
  <c r="J21" i="29"/>
  <c r="H11" i="36" a="1"/>
  <c r="G4" i="42"/>
  <c r="G5" i="42"/>
  <c r="G6" i="42"/>
  <c r="G7" i="42"/>
  <c r="G8" i="42"/>
  <c r="G9" i="42"/>
  <c r="G3" i="42"/>
  <c r="G10" i="42"/>
  <c r="G11" i="42"/>
  <c r="J11" i="42"/>
  <c r="J10" i="42"/>
  <c r="J9" i="42"/>
  <c r="J8" i="42"/>
  <c r="J7" i="42"/>
  <c r="J6" i="42"/>
  <c r="J5" i="42"/>
  <c r="J4" i="42"/>
  <c r="G3" i="36"/>
  <c r="K2" i="35"/>
  <c r="G6" i="36"/>
  <c r="K5" i="35"/>
  <c r="K3" i="35"/>
  <c r="G4" i="36"/>
  <c r="G7" i="36"/>
  <c r="K6" i="35"/>
  <c r="G5" i="36"/>
  <c r="K4" i="35"/>
  <c r="J3" i="42"/>
  <c r="I22" i="39"/>
  <c r="Q28" i="40"/>
  <c r="Q87" i="40"/>
  <c r="Q119" i="40"/>
  <c r="Q160" i="40"/>
  <c r="R208" i="40"/>
  <c r="R224" i="40"/>
  <c r="R231" i="40"/>
  <c r="R237" i="40"/>
  <c r="Q247" i="40"/>
  <c r="Q256" i="40"/>
  <c r="Q266" i="40"/>
  <c r="R275" i="40"/>
  <c r="Q288" i="40"/>
  <c r="Q296" i="40"/>
  <c r="Q306" i="40"/>
  <c r="Q316" i="40"/>
  <c r="Q324" i="40"/>
  <c r="R334" i="40"/>
  <c r="Q344" i="40"/>
  <c r="Q354" i="40"/>
  <c r="Q365" i="40"/>
  <c r="Q375" i="40"/>
  <c r="Q385" i="40"/>
  <c r="Q393" i="40"/>
  <c r="R402" i="40"/>
  <c r="Q412" i="40"/>
  <c r="Q419" i="40"/>
  <c r="Q428" i="40"/>
  <c r="Q435" i="40"/>
  <c r="Q445" i="40"/>
  <c r="R454" i="40"/>
  <c r="R461" i="40"/>
  <c r="R470" i="40"/>
  <c r="Q478" i="40"/>
  <c r="R488" i="40"/>
  <c r="Q497" i="40"/>
  <c r="Q507" i="40"/>
  <c r="R517" i="40"/>
  <c r="Q526" i="40"/>
  <c r="Q536" i="40"/>
  <c r="Q547" i="40"/>
  <c r="Q554" i="40"/>
  <c r="R564" i="40"/>
  <c r="R572" i="40"/>
  <c r="Q583" i="40"/>
  <c r="R486" i="40"/>
  <c r="R325" i="40"/>
  <c r="R108" i="40"/>
  <c r="R40" i="40"/>
  <c r="R584" i="40"/>
  <c r="R22" i="40"/>
  <c r="R230" i="40"/>
  <c r="R408" i="40"/>
  <c r="R249" i="40"/>
  <c r="R554" i="40"/>
  <c r="G10" i="32"/>
  <c r="R119" i="40"/>
  <c r="Q9" i="42"/>
  <c r="Q34" i="42"/>
  <c r="R61" i="42"/>
  <c r="L48" i="32"/>
  <c r="Q35" i="40"/>
  <c r="Q153" i="40"/>
  <c r="I19" i="39"/>
  <c r="Q95" i="40"/>
  <c r="Q194" i="40"/>
  <c r="Q267" i="40"/>
  <c r="R347" i="40"/>
  <c r="Q396" i="40"/>
  <c r="Q429" i="40"/>
  <c r="Q462" i="40"/>
  <c r="Q471" i="40"/>
  <c r="Q481" i="40"/>
  <c r="Q489" i="40"/>
  <c r="Q498" i="40"/>
  <c r="Q508" i="40"/>
  <c r="Q555" i="40"/>
  <c r="R583" i="40"/>
  <c r="R483" i="40"/>
  <c r="R297" i="40"/>
  <c r="R105" i="40"/>
  <c r="R17" i="40"/>
  <c r="R580" i="40"/>
  <c r="R11" i="40"/>
  <c r="R203" i="40"/>
  <c r="R401" i="40"/>
  <c r="R233" i="40"/>
  <c r="R550" i="40"/>
  <c r="R69" i="40"/>
  <c r="R301" i="40"/>
  <c r="R10" i="42"/>
  <c r="R35" i="42"/>
  <c r="Q61" i="42"/>
  <c r="G6" i="32"/>
  <c r="J18" i="40"/>
  <c r="Q78" i="40"/>
  <c r="Q167" i="40"/>
  <c r="L5" i="34"/>
  <c r="Q45" i="40"/>
  <c r="Q130" i="40"/>
  <c r="R202" i="40"/>
  <c r="R256" i="40"/>
  <c r="R324" i="40"/>
  <c r="Q366" i="40"/>
  <c r="Q403" i="40"/>
  <c r="Q438" i="40"/>
  <c r="Q529" i="40"/>
  <c r="G27" i="32"/>
  <c r="Q56" i="40"/>
  <c r="Q113" i="40"/>
  <c r="Q138" i="40"/>
  <c r="Q148" i="40"/>
  <c r="Q171" i="40"/>
  <c r="R187" i="40"/>
  <c r="R196" i="40"/>
  <c r="Q203" i="40"/>
  <c r="Q210" i="40"/>
  <c r="Q219" i="40"/>
  <c r="R225" i="40"/>
  <c r="R232" i="40"/>
  <c r="Q241" i="40"/>
  <c r="Q249" i="40"/>
  <c r="Q257" i="40"/>
  <c r="Q268" i="40"/>
  <c r="Q280" i="40"/>
  <c r="Q289" i="40"/>
  <c r="Q299" i="40"/>
  <c r="Q308" i="40"/>
  <c r="Q317" i="40"/>
  <c r="Q327" i="40"/>
  <c r="Q336" i="40"/>
  <c r="Q348" i="40"/>
  <c r="Q356" i="40"/>
  <c r="Q367" i="40"/>
  <c r="Q379" i="40"/>
  <c r="Q387" i="40"/>
  <c r="R396" i="40"/>
  <c r="Q404" i="40"/>
  <c r="R413" i="40"/>
  <c r="Q422" i="40"/>
  <c r="R429" i="40"/>
  <c r="Q439" i="40"/>
  <c r="Q446" i="40"/>
  <c r="R455" i="40"/>
  <c r="Q465" i="40"/>
  <c r="R471" i="40"/>
  <c r="Q482" i="40"/>
  <c r="R489" i="40"/>
  <c r="Q499" i="40"/>
  <c r="Q511" i="40"/>
  <c r="Q519" i="40"/>
  <c r="R529" i="40"/>
  <c r="Q538" i="40"/>
  <c r="Q548" i="40"/>
  <c r="R557" i="40"/>
  <c r="Q566" i="40"/>
  <c r="Q576" i="40"/>
  <c r="Q584" i="40"/>
  <c r="R458" i="40"/>
  <c r="R217" i="40"/>
  <c r="R102" i="40"/>
  <c r="H20" i="32"/>
  <c r="R446" i="40"/>
  <c r="R33" i="40"/>
  <c r="R120" i="40"/>
  <c r="R565" i="40"/>
  <c r="R534" i="40"/>
  <c r="R410" i="40"/>
  <c r="R191" i="40"/>
  <c r="R194" i="40"/>
  <c r="R15" i="42"/>
  <c r="Q41" i="42"/>
  <c r="R67" i="42"/>
  <c r="I23" i="39"/>
  <c r="R94" i="40"/>
  <c r="Q186" i="40"/>
  <c r="I26" i="39"/>
  <c r="I21" i="39"/>
  <c r="Q79" i="40"/>
  <c r="Q137" i="40"/>
  <c r="R216" i="40"/>
  <c r="Q248" i="40"/>
  <c r="Q307" i="40"/>
  <c r="Q355" i="40"/>
  <c r="Q386" i="40"/>
  <c r="R419" i="40"/>
  <c r="Q455" i="40"/>
  <c r="Q518" i="40"/>
  <c r="G5" i="40"/>
  <c r="Q10" i="40"/>
  <c r="Q2" i="40"/>
  <c r="Q38" i="40"/>
  <c r="R97" i="40"/>
  <c r="R148" i="40"/>
  <c r="Q172" i="40"/>
  <c r="Q188" i="40"/>
  <c r="Q211" i="40"/>
  <c r="Q220" i="40"/>
  <c r="Q226" i="40"/>
  <c r="Q233" i="40"/>
  <c r="R241" i="40"/>
  <c r="Q250" i="40"/>
  <c r="R259" i="40"/>
  <c r="Q269" i="40"/>
  <c r="Q281" i="40"/>
  <c r="Q290" i="40"/>
  <c r="Q300" i="40"/>
  <c r="R310" i="40"/>
  <c r="R317" i="40"/>
  <c r="Q328" i="40"/>
  <c r="Q337" i="40"/>
  <c r="R348" i="40"/>
  <c r="R358" i="40"/>
  <c r="Q368" i="40"/>
  <c r="R379" i="40"/>
  <c r="Q388" i="40"/>
  <c r="Q397" i="40"/>
  <c r="Q407" i="40"/>
  <c r="Q414" i="40"/>
  <c r="Q423" i="40"/>
  <c r="Q430" i="40"/>
  <c r="R439" i="40"/>
  <c r="R449" i="40"/>
  <c r="Q456" i="40"/>
  <c r="R465" i="40"/>
  <c r="Q472" i="40"/>
  <c r="Q483" i="40"/>
  <c r="Q492" i="40"/>
  <c r="Q500" i="40"/>
  <c r="R511" i="40"/>
  <c r="R519" i="40"/>
  <c r="Q530" i="40"/>
  <c r="R540" i="40"/>
  <c r="Q549" i="40"/>
  <c r="Q558" i="40"/>
  <c r="Q567" i="40"/>
  <c r="R576" i="40"/>
  <c r="R533" i="40"/>
  <c r="R428" i="40"/>
  <c r="R184" i="40"/>
  <c r="R99" i="40"/>
  <c r="R289" i="40"/>
  <c r="R420" i="40"/>
  <c r="R577" i="40"/>
  <c r="R98" i="40"/>
  <c r="R562" i="40"/>
  <c r="R518" i="40"/>
  <c r="R406" i="40"/>
  <c r="R72" i="40"/>
  <c r="R38" i="40"/>
  <c r="R17" i="42"/>
  <c r="R42" i="42"/>
  <c r="R74" i="42"/>
  <c r="G19" i="32"/>
  <c r="Q44" i="40"/>
  <c r="R178" i="40"/>
  <c r="L44" i="32"/>
  <c r="G15" i="32"/>
  <c r="Q69" i="40"/>
  <c r="R160" i="40"/>
  <c r="Q225" i="40"/>
  <c r="R288" i="40"/>
  <c r="Q335" i="40"/>
  <c r="Q376" i="40"/>
  <c r="Q413" i="40"/>
  <c r="R445" i="40"/>
  <c r="R547" i="40"/>
  <c r="G10" i="40"/>
  <c r="H27" i="32"/>
  <c r="B5" i="35"/>
  <c r="R204" i="40"/>
  <c r="Q293" i="40"/>
  <c r="Q311" i="40"/>
  <c r="Q349" i="40"/>
  <c r="Q359" i="40"/>
  <c r="Q369" i="40"/>
  <c r="Q380" i="40"/>
  <c r="R390" i="40"/>
  <c r="R397" i="40"/>
  <c r="R407" i="40"/>
  <c r="R414" i="40"/>
  <c r="R423" i="40"/>
  <c r="Q433" i="40"/>
  <c r="Q440" i="40"/>
  <c r="Q450" i="40"/>
  <c r="Q457" i="40"/>
  <c r="Q466" i="40"/>
  <c r="Q475" i="40"/>
  <c r="Q484" i="40"/>
  <c r="R492" i="40"/>
  <c r="R500" i="40"/>
  <c r="Q512" i="40"/>
  <c r="Q522" i="40"/>
  <c r="Q531" i="40"/>
  <c r="Q541" i="40"/>
  <c r="R549" i="40"/>
  <c r="Q559" i="40"/>
  <c r="R569" i="40"/>
  <c r="Q577" i="40"/>
  <c r="R530" i="40"/>
  <c r="R424" i="40"/>
  <c r="R180" i="40"/>
  <c r="R61" i="40"/>
  <c r="R253" i="40"/>
  <c r="R303" i="40"/>
  <c r="R472" i="40"/>
  <c r="H15" i="32"/>
  <c r="R452" i="40"/>
  <c r="R422" i="40"/>
  <c r="R115" i="40"/>
  <c r="R138" i="40"/>
  <c r="R22" i="42"/>
  <c r="R47" i="42"/>
  <c r="R81" i="42"/>
  <c r="Q4" i="40"/>
  <c r="L3" i="34"/>
  <c r="R62" i="40"/>
  <c r="R136" i="40"/>
  <c r="Q202" i="40"/>
  <c r="I25" i="39"/>
  <c r="Q17" i="40"/>
  <c r="Q63" i="40"/>
  <c r="Q112" i="40"/>
  <c r="Q154" i="40"/>
  <c r="Q209" i="40"/>
  <c r="R316" i="40"/>
  <c r="Q537" i="40"/>
  <c r="H24" i="32"/>
  <c r="G24" i="32"/>
  <c r="Q20" i="40"/>
  <c r="Q48" i="40"/>
  <c r="Q80" i="40"/>
  <c r="Q104" i="40"/>
  <c r="Q180" i="40"/>
  <c r="L39" i="32"/>
  <c r="L2" i="34"/>
  <c r="G12" i="32"/>
  <c r="G20" i="32"/>
  <c r="J12" i="40"/>
  <c r="Q21" i="40"/>
  <c r="Q57" i="40"/>
  <c r="Q81" i="40"/>
  <c r="R113" i="40"/>
  <c r="Q139" i="40"/>
  <c r="Q181" i="40"/>
  <c r="I27" i="39"/>
  <c r="G5" i="32"/>
  <c r="G26" i="32"/>
  <c r="Q22" i="40"/>
  <c r="Q58" i="40"/>
  <c r="Q91" i="40"/>
  <c r="Q125" i="40"/>
  <c r="Q149" i="40"/>
  <c r="R181" i="40"/>
  <c r="R220" i="40"/>
  <c r="R250" i="40"/>
  <c r="Q270" i="40"/>
  <c r="R300" i="40"/>
  <c r="Q318" i="40"/>
  <c r="G19" i="40"/>
  <c r="G14" i="32"/>
  <c r="G3" i="34"/>
  <c r="Q14" i="40"/>
  <c r="Q42" i="40"/>
  <c r="Q51" i="40"/>
  <c r="R66" i="40"/>
  <c r="Q74" i="40"/>
  <c r="Q82" i="40"/>
  <c r="Q92" i="40"/>
  <c r="Q99" i="40"/>
  <c r="Q107" i="40"/>
  <c r="Q117" i="40"/>
  <c r="Q126" i="40"/>
  <c r="Q133" i="40"/>
  <c r="Q142" i="40"/>
  <c r="Q150" i="40"/>
  <c r="Q157" i="40"/>
  <c r="Q165" i="40"/>
  <c r="Q174" i="40"/>
  <c r="Q182" i="40"/>
  <c r="Q191" i="40"/>
  <c r="Q198" i="40"/>
  <c r="Q205" i="40"/>
  <c r="Q213" i="40"/>
  <c r="Q221" i="40"/>
  <c r="Q228" i="40"/>
  <c r="Q236" i="40"/>
  <c r="Q243" i="40"/>
  <c r="Q251" i="40"/>
  <c r="R260" i="40"/>
  <c r="R273" i="40"/>
  <c r="Q283" i="40"/>
  <c r="R293" i="40"/>
  <c r="Q301" i="40"/>
  <c r="Q312" i="40"/>
  <c r="Q321" i="40"/>
  <c r="R329" i="40"/>
  <c r="R341" i="40"/>
  <c r="R349" i="40"/>
  <c r="Q360" i="40"/>
  <c r="Q373" i="40"/>
  <c r="Q381" i="40"/>
  <c r="Q391" i="40"/>
  <c r="Q398" i="40"/>
  <c r="Q408" i="40"/>
  <c r="R417" i="40"/>
  <c r="Q424" i="40"/>
  <c r="R433" i="40"/>
  <c r="Q441" i="40"/>
  <c r="R450" i="40"/>
  <c r="R459" i="40"/>
  <c r="Q467" i="40"/>
  <c r="Q476" i="40"/>
  <c r="Q485" i="40"/>
  <c r="Q493" i="40"/>
  <c r="Q504" i="40"/>
  <c r="R512" i="40"/>
  <c r="Q523" i="40"/>
  <c r="Q532" i="40"/>
  <c r="R541" i="40"/>
  <c r="Q552" i="40"/>
  <c r="Q560" i="40"/>
  <c r="Q570" i="40"/>
  <c r="Q578" i="40"/>
  <c r="R514" i="40"/>
  <c r="R370" i="40"/>
  <c r="R171" i="40"/>
  <c r="R58" i="40"/>
  <c r="R223" i="40"/>
  <c r="R274" i="40"/>
  <c r="R468" i="40"/>
  <c r="R5" i="40"/>
  <c r="R391" i="40"/>
  <c r="R394" i="40"/>
  <c r="R91" i="40"/>
  <c r="R118" i="40"/>
  <c r="I5" i="39"/>
  <c r="K5" i="39" s="1"/>
  <c r="Q22" i="42"/>
  <c r="R49" i="42"/>
  <c r="R88" i="42"/>
  <c r="H19" i="32"/>
  <c r="I20" i="39"/>
  <c r="G7" i="40"/>
  <c r="Q8" i="40"/>
  <c r="R68" i="40"/>
  <c r="Q111" i="40"/>
  <c r="Q145" i="40"/>
  <c r="Q216" i="40"/>
  <c r="G8" i="40"/>
  <c r="L45" i="32"/>
  <c r="K2" i="34"/>
  <c r="Q9" i="40"/>
  <c r="Q36" i="40"/>
  <c r="R87" i="40"/>
  <c r="Q120" i="40"/>
  <c r="Q168" i="40"/>
  <c r="Q187" i="40"/>
  <c r="Q232" i="40"/>
  <c r="Q276" i="40"/>
  <c r="Q575" i="40"/>
  <c r="G2" i="34"/>
  <c r="G14" i="40"/>
  <c r="J2" i="40"/>
  <c r="G2" i="32"/>
  <c r="Q37" i="40"/>
  <c r="R71" i="40"/>
  <c r="Q97" i="40"/>
  <c r="Q131" i="40"/>
  <c r="Q155" i="40"/>
  <c r="G4" i="40"/>
  <c r="G3" i="40"/>
  <c r="L4" i="34"/>
  <c r="J15" i="40"/>
  <c r="J19" i="40"/>
  <c r="R10" i="40"/>
  <c r="R30" i="40"/>
  <c r="Q64" i="40"/>
  <c r="Q89" i="40"/>
  <c r="Q124" i="40"/>
  <c r="R155" i="40"/>
  <c r="Q204" i="40"/>
  <c r="G6" i="40"/>
  <c r="K6" i="34"/>
  <c r="K3" i="34"/>
  <c r="J10" i="40"/>
  <c r="G11" i="40"/>
  <c r="Q5" i="40"/>
  <c r="Q31" i="40"/>
  <c r="Q50" i="40"/>
  <c r="Q73" i="40"/>
  <c r="Q98" i="40"/>
  <c r="Q116" i="40"/>
  <c r="Q141" i="40"/>
  <c r="R164" i="40"/>
  <c r="R190" i="40"/>
  <c r="R212" i="40"/>
  <c r="Q235" i="40"/>
  <c r="Q260" i="40"/>
  <c r="Q341" i="40"/>
  <c r="G6" i="34"/>
  <c r="J8" i="40"/>
  <c r="J17" i="40"/>
  <c r="L47" i="32"/>
  <c r="G20" i="40"/>
  <c r="H14" i="32"/>
  <c r="Q23" i="40"/>
  <c r="Q59" i="40"/>
  <c r="R2" i="40"/>
  <c r="G13" i="32"/>
  <c r="G23" i="32"/>
  <c r="J6" i="40"/>
  <c r="L37" i="32"/>
  <c r="G22" i="32"/>
  <c r="L49" i="32"/>
  <c r="J4" i="40"/>
  <c r="J7" i="40"/>
  <c r="J14" i="40"/>
  <c r="Q6" i="40"/>
  <c r="L34" i="32"/>
  <c r="G16" i="32"/>
  <c r="H22" i="32"/>
  <c r="R14" i="40"/>
  <c r="Q24" i="40"/>
  <c r="Q34" i="40"/>
  <c r="R42" i="40"/>
  <c r="Q52" i="40"/>
  <c r="Q61" i="40"/>
  <c r="Q67" i="40"/>
  <c r="Q75" i="40"/>
  <c r="Q85" i="40"/>
  <c r="Q93" i="40"/>
  <c r="Q100" i="40"/>
  <c r="R109" i="40"/>
  <c r="R117" i="40"/>
  <c r="Q127" i="40"/>
  <c r="R135" i="40"/>
  <c r="Q143" i="40"/>
  <c r="Q151" i="40"/>
  <c r="Q159" i="40"/>
  <c r="R165" i="40"/>
  <c r="Q175" i="40"/>
  <c r="Q184" i="40"/>
  <c r="Q192" i="40"/>
  <c r="Q199" i="40"/>
  <c r="Q207" i="40"/>
  <c r="Q214" i="40"/>
  <c r="R221" i="40"/>
  <c r="Q230" i="40"/>
  <c r="R236" i="40"/>
  <c r="Q244" i="40"/>
  <c r="Q254" i="40"/>
  <c r="Q261" i="40"/>
  <c r="Q274" i="40"/>
  <c r="Q284" i="40"/>
  <c r="Q294" i="40"/>
  <c r="R304" i="40"/>
  <c r="R312" i="40"/>
  <c r="Q322" i="40"/>
  <c r="Q330" i="40"/>
  <c r="Q342" i="40"/>
  <c r="R352" i="40"/>
  <c r="R360" i="40"/>
  <c r="Q374" i="40"/>
  <c r="R381" i="40"/>
  <c r="Q392" i="40"/>
  <c r="Q401" i="40"/>
  <c r="Q409" i="40"/>
  <c r="Q418" i="40"/>
  <c r="Q425" i="40"/>
  <c r="Q434" i="40"/>
  <c r="R443" i="40"/>
  <c r="Q451" i="40"/>
  <c r="Q460" i="40"/>
  <c r="R467" i="40"/>
  <c r="Q477" i="40"/>
  <c r="R487" i="40"/>
  <c r="Q494" i="40"/>
  <c r="Q505" i="40"/>
  <c r="Q513" i="40"/>
  <c r="Q524" i="40"/>
  <c r="Q535" i="40"/>
  <c r="Q542" i="40"/>
  <c r="Q553" i="40"/>
  <c r="R560" i="40"/>
  <c r="Q571" i="40"/>
  <c r="Q582" i="40"/>
  <c r="R510" i="40"/>
  <c r="R335" i="40"/>
  <c r="R168" i="40"/>
  <c r="R55" i="40"/>
  <c r="R110" i="40"/>
  <c r="R207" i="40"/>
  <c r="R369" i="40"/>
  <c r="R45" i="40"/>
  <c r="R319" i="40"/>
  <c r="R311" i="40"/>
  <c r="R198" i="40"/>
  <c r="R3" i="40"/>
  <c r="R2" i="42"/>
  <c r="R29" i="42"/>
  <c r="R54" i="42"/>
  <c r="R97" i="42"/>
  <c r="G13" i="40"/>
  <c r="G16" i="40"/>
  <c r="J13" i="40"/>
  <c r="Q16" i="40"/>
  <c r="Q54" i="40"/>
  <c r="Q103" i="40"/>
  <c r="R129" i="40"/>
  <c r="R193" i="40"/>
  <c r="J3" i="40"/>
  <c r="J5" i="40"/>
  <c r="Q29" i="40"/>
  <c r="Q55" i="40"/>
  <c r="R103" i="40"/>
  <c r="R145" i="40"/>
  <c r="Q179" i="40"/>
  <c r="Q238" i="40"/>
  <c r="R298" i="40"/>
  <c r="Q565" i="40"/>
  <c r="H21" i="32"/>
  <c r="G12" i="40"/>
  <c r="J11" i="40"/>
  <c r="J16" i="40"/>
  <c r="Q30" i="40"/>
  <c r="R63" i="40"/>
  <c r="Q88" i="40"/>
  <c r="Q123" i="40"/>
  <c r="Q161" i="40"/>
  <c r="J20" i="40"/>
  <c r="G21" i="32"/>
  <c r="Q49" i="40"/>
  <c r="Q72" i="40"/>
  <c r="Q105" i="40"/>
  <c r="R131" i="40"/>
  <c r="Q162" i="40"/>
  <c r="Q197" i="40"/>
  <c r="G25" i="32"/>
  <c r="L40" i="32"/>
  <c r="G7" i="32"/>
  <c r="K5" i="34"/>
  <c r="Q13" i="40"/>
  <c r="Q41" i="40"/>
  <c r="Q66" i="40"/>
  <c r="R81" i="40"/>
  <c r="Q106" i="40"/>
  <c r="Q132" i="40"/>
  <c r="Q156" i="40"/>
  <c r="Q173" i="40"/>
  <c r="R197" i="40"/>
  <c r="Q227" i="40"/>
  <c r="Q242" i="40"/>
  <c r="Q282" i="40"/>
  <c r="Q329" i="40"/>
  <c r="H25" i="32"/>
  <c r="B6" i="35"/>
  <c r="G17" i="40"/>
  <c r="J9" i="40"/>
  <c r="L42" i="32"/>
  <c r="Q32" i="40"/>
  <c r="H23" i="32"/>
  <c r="L46" i="32"/>
  <c r="I24" i="39"/>
  <c r="G4" i="34"/>
  <c r="K4" i="34"/>
  <c r="L6" i="34"/>
  <c r="G15" i="40"/>
  <c r="G9" i="40"/>
  <c r="Q3" i="40"/>
  <c r="G3" i="32"/>
  <c r="G5" i="34"/>
  <c r="L35" i="32"/>
  <c r="Q7" i="40"/>
  <c r="Q15" i="40"/>
  <c r="Q25" i="40"/>
  <c r="R34" i="40"/>
  <c r="Q43" i="40"/>
  <c r="R52" i="40"/>
  <c r="Q62" i="40"/>
  <c r="Q68" i="40"/>
  <c r="R75" i="40"/>
  <c r="Q86" i="40"/>
  <c r="Q94" i="40"/>
  <c r="R100" i="40"/>
  <c r="Q110" i="40"/>
  <c r="Q118" i="40"/>
  <c r="R127" i="40"/>
  <c r="Q136" i="40"/>
  <c r="Q144" i="40"/>
  <c r="R151" i="40"/>
  <c r="R159" i="40"/>
  <c r="Q166" i="40"/>
  <c r="Q176" i="40"/>
  <c r="Q185" i="40"/>
  <c r="Q193" i="40"/>
  <c r="Q200" i="40"/>
  <c r="Q208" i="40"/>
  <c r="Q215" i="40"/>
  <c r="Q222" i="40"/>
  <c r="Q231" i="40"/>
  <c r="Q237" i="40"/>
  <c r="Q245" i="40"/>
  <c r="Q255" i="40"/>
  <c r="Q262" i="40"/>
  <c r="Q275" i="40"/>
  <c r="Q287" i="40"/>
  <c r="Q295" i="40"/>
  <c r="Q305" i="40"/>
  <c r="Q313" i="40"/>
  <c r="Q323" i="40"/>
  <c r="Q334" i="40"/>
  <c r="Q343" i="40"/>
  <c r="Q353" i="40"/>
  <c r="Q361" i="40"/>
  <c r="R374" i="40"/>
  <c r="Q384" i="40"/>
  <c r="R392" i="40"/>
  <c r="Q402" i="40"/>
  <c r="R409" i="40"/>
  <c r="R418" i="40"/>
  <c r="R427" i="40"/>
  <c r="R434" i="40"/>
  <c r="Q444" i="40"/>
  <c r="Q452" i="40"/>
  <c r="Q461" i="40"/>
  <c r="Q470" i="40"/>
  <c r="R477" i="40"/>
  <c r="Q488" i="40"/>
  <c r="Q495" i="40"/>
  <c r="Q506" i="40"/>
  <c r="Q517" i="40"/>
  <c r="Q525" i="40"/>
  <c r="R535" i="40"/>
  <c r="Q543" i="40"/>
  <c r="R553" i="40"/>
  <c r="Q564" i="40"/>
  <c r="Q572" i="40"/>
  <c r="R582" i="40"/>
  <c r="R507" i="40"/>
  <c r="R332" i="40"/>
  <c r="R111" i="40"/>
  <c r="R46" i="40"/>
  <c r="R101" i="40"/>
  <c r="R176" i="40"/>
  <c r="R366" i="40"/>
  <c r="R552" i="40"/>
  <c r="R315" i="40"/>
  <c r="R295" i="40"/>
  <c r="R322" i="40"/>
  <c r="R345" i="40"/>
  <c r="R3" i="42"/>
  <c r="Q29" i="42"/>
  <c r="Q54" i="42"/>
  <c r="R105" i="42"/>
  <c r="Q66" i="42"/>
  <c r="Q73" i="42"/>
  <c r="R79" i="42"/>
  <c r="Q86" i="42"/>
  <c r="Q96" i="42"/>
  <c r="Q104" i="42"/>
  <c r="R116" i="42"/>
  <c r="Q124" i="42"/>
  <c r="R136" i="42"/>
  <c r="R153" i="42"/>
  <c r="R173" i="42"/>
  <c r="R198" i="42"/>
  <c r="Q224" i="42"/>
  <c r="Q249" i="42"/>
  <c r="R276" i="42"/>
  <c r="R301" i="42"/>
  <c r="R326" i="42"/>
  <c r="Q356" i="42"/>
  <c r="Q388" i="42"/>
  <c r="R440" i="42"/>
  <c r="R504" i="42"/>
  <c r="Q116" i="42"/>
  <c r="R128" i="42"/>
  <c r="R137" i="42"/>
  <c r="Q153" i="42"/>
  <c r="R178" i="42"/>
  <c r="Q204" i="42"/>
  <c r="Q229" i="42"/>
  <c r="R256" i="42"/>
  <c r="R281" i="42"/>
  <c r="R306" i="42"/>
  <c r="Q332" i="42"/>
  <c r="R364" i="42"/>
  <c r="R396" i="42"/>
  <c r="Q452" i="42"/>
  <c r="Q516" i="42"/>
  <c r="R82" i="40"/>
  <c r="R570" i="40"/>
  <c r="R416" i="40"/>
  <c r="R270" i="40"/>
  <c r="R137" i="40"/>
  <c r="R8" i="40"/>
  <c r="R566" i="40"/>
  <c r="R442" i="40"/>
  <c r="R363" i="40"/>
  <c r="R179" i="40"/>
  <c r="R88" i="40"/>
  <c r="L38" i="32"/>
  <c r="R548" i="40"/>
  <c r="R398" i="40"/>
  <c r="R559" i="40"/>
  <c r="R365" i="40"/>
  <c r="R305" i="40"/>
  <c r="R219" i="40"/>
  <c r="R515" i="40"/>
  <c r="R384" i="40"/>
  <c r="R276" i="40"/>
  <c r="R543" i="40"/>
  <c r="R318" i="40"/>
  <c r="R49" i="40"/>
  <c r="R239" i="40"/>
  <c r="R21" i="40"/>
  <c r="R41" i="40"/>
  <c r="R248" i="40"/>
  <c r="R271" i="40"/>
  <c r="H10" i="32"/>
  <c r="R380" i="40"/>
  <c r="I6" i="39"/>
  <c r="K6" i="39" s="1"/>
  <c r="R5" i="42"/>
  <c r="Q10" i="42"/>
  <c r="Q17" i="42"/>
  <c r="R23" i="42"/>
  <c r="R30" i="42"/>
  <c r="R37" i="42"/>
  <c r="Q42" i="42"/>
  <c r="Q49" i="42"/>
  <c r="R55" i="42"/>
  <c r="R62" i="42"/>
  <c r="R69" i="42"/>
  <c r="Q74" i="42"/>
  <c r="Q81" i="42"/>
  <c r="Q88" i="42"/>
  <c r="Q97" i="42"/>
  <c r="Q108" i="42"/>
  <c r="R117" i="42"/>
  <c r="Q128" i="42"/>
  <c r="Q140" i="42"/>
  <c r="R154" i="42"/>
  <c r="R180" i="42"/>
  <c r="R205" i="42"/>
  <c r="R230" i="42"/>
  <c r="Q256" i="42"/>
  <c r="Q281" i="42"/>
  <c r="R308" i="42"/>
  <c r="R333" i="42"/>
  <c r="Q364" i="42"/>
  <c r="Q396" i="42"/>
  <c r="R456" i="42"/>
  <c r="R520" i="42"/>
  <c r="R73" i="40"/>
  <c r="R563" i="40"/>
  <c r="R351" i="40"/>
  <c r="R267" i="40"/>
  <c r="R130" i="40"/>
  <c r="R143" i="40"/>
  <c r="R545" i="40"/>
  <c r="R438" i="40"/>
  <c r="R283" i="40"/>
  <c r="R173" i="40"/>
  <c r="R85" i="40"/>
  <c r="R206" i="40"/>
  <c r="R538" i="40"/>
  <c r="R378" i="40"/>
  <c r="R505" i="40"/>
  <c r="R359" i="40"/>
  <c r="R302" i="40"/>
  <c r="R175" i="40"/>
  <c r="R502" i="40"/>
  <c r="R371" i="40"/>
  <c r="R571" i="40"/>
  <c r="R524" i="40"/>
  <c r="R307" i="40"/>
  <c r="R26" i="40"/>
  <c r="R169" i="40"/>
  <c r="B3" i="35"/>
  <c r="H12" i="32"/>
  <c r="R188" i="40"/>
  <c r="R201" i="40"/>
  <c r="R226" i="40"/>
  <c r="I7" i="39"/>
  <c r="K7" i="39" s="1"/>
  <c r="Q5" i="42"/>
  <c r="R11" i="42"/>
  <c r="R18" i="42"/>
  <c r="R25" i="42"/>
  <c r="Q30" i="42"/>
  <c r="Q37" i="42"/>
  <c r="R43" i="42"/>
  <c r="R50" i="42"/>
  <c r="R57" i="42"/>
  <c r="Q62" i="42"/>
  <c r="Q69" i="42"/>
  <c r="R75" i="42"/>
  <c r="R82" i="42"/>
  <c r="Q90" i="42"/>
  <c r="R98" i="42"/>
  <c r="R109" i="42"/>
  <c r="Q117" i="42"/>
  <c r="R129" i="42"/>
  <c r="R141" i="42"/>
  <c r="R160" i="42"/>
  <c r="R185" i="42"/>
  <c r="R210" i="42"/>
  <c r="Q236" i="42"/>
  <c r="Q261" i="42"/>
  <c r="R288" i="42"/>
  <c r="R313" i="42"/>
  <c r="R340" i="42"/>
  <c r="R372" i="42"/>
  <c r="Q404" i="42"/>
  <c r="Q468" i="42"/>
  <c r="Q532" i="42"/>
  <c r="R54" i="40"/>
  <c r="R536" i="40"/>
  <c r="R344" i="40"/>
  <c r="R264" i="40"/>
  <c r="R126" i="40"/>
  <c r="R107" i="40"/>
  <c r="R542" i="40"/>
  <c r="R435" i="40"/>
  <c r="R277" i="40"/>
  <c r="R161" i="40"/>
  <c r="R79" i="40"/>
  <c r="R183" i="40"/>
  <c r="R509" i="40"/>
  <c r="R375" i="40"/>
  <c r="R478" i="40"/>
  <c r="R353" i="40"/>
  <c r="R299" i="40"/>
  <c r="R153" i="40"/>
  <c r="R499" i="40"/>
  <c r="R368" i="40"/>
  <c r="R537" i="40"/>
  <c r="R504" i="40"/>
  <c r="R278" i="40"/>
  <c r="R36" i="40"/>
  <c r="R96" i="40"/>
  <c r="R242" i="40"/>
  <c r="R314" i="40"/>
  <c r="R116" i="40"/>
  <c r="R387" i="40"/>
  <c r="R56" i="40"/>
  <c r="I3" i="39"/>
  <c r="R6" i="42"/>
  <c r="R13" i="42"/>
  <c r="Q18" i="42"/>
  <c r="Q25" i="42"/>
  <c r="R31" i="42"/>
  <c r="R38" i="42"/>
  <c r="R45" i="42"/>
  <c r="Q50" i="42"/>
  <c r="Q57" i="42"/>
  <c r="R63" i="42"/>
  <c r="R70" i="42"/>
  <c r="R77" i="42"/>
  <c r="Q82" i="42"/>
  <c r="R92" i="42"/>
  <c r="Q98" i="42"/>
  <c r="Q109" i="42"/>
  <c r="R121" i="42"/>
  <c r="Q129" i="42"/>
  <c r="Q141" i="42"/>
  <c r="Q160" i="42"/>
  <c r="Q185" i="42"/>
  <c r="R212" i="42"/>
  <c r="R237" i="42"/>
  <c r="R262" i="42"/>
  <c r="Q288" i="42"/>
  <c r="Q313" i="42"/>
  <c r="Q340" i="42"/>
  <c r="Q372" i="42"/>
  <c r="R408" i="42"/>
  <c r="R472" i="42"/>
  <c r="R536" i="42"/>
  <c r="R257" i="40"/>
  <c r="Q263" i="40"/>
  <c r="Q271" i="40"/>
  <c r="Q277" i="40"/>
  <c r="Q285" i="40"/>
  <c r="Q291" i="40"/>
  <c r="R296" i="40"/>
  <c r="Q302" i="40"/>
  <c r="R308" i="40"/>
  <c r="R313" i="40"/>
  <c r="Q319" i="40"/>
  <c r="Q325" i="40"/>
  <c r="Q331" i="40"/>
  <c r="Q338" i="40"/>
  <c r="Q345" i="40"/>
  <c r="Q350" i="40"/>
  <c r="Q357" i="40"/>
  <c r="Q362" i="40"/>
  <c r="Q370" i="40"/>
  <c r="R376" i="40"/>
  <c r="Q382" i="40"/>
  <c r="R388" i="40"/>
  <c r="R393" i="40"/>
  <c r="Q399" i="40"/>
  <c r="Q405" i="40"/>
  <c r="Q410" i="40"/>
  <c r="Q415" i="40"/>
  <c r="Q420" i="40"/>
  <c r="R425" i="40"/>
  <c r="R430" i="40"/>
  <c r="Q436" i="40"/>
  <c r="R441" i="40"/>
  <c r="Q447" i="40"/>
  <c r="Q453" i="40"/>
  <c r="R457" i="40"/>
  <c r="Q463" i="40"/>
  <c r="Q468" i="40"/>
  <c r="Q473" i="40"/>
  <c r="Q479" i="40"/>
  <c r="R485" i="40"/>
  <c r="Q490" i="40"/>
  <c r="R495" i="40"/>
  <c r="Q501" i="40"/>
  <c r="R508" i="40"/>
  <c r="Q514" i="40"/>
  <c r="Q520" i="40"/>
  <c r="Q527" i="40"/>
  <c r="R532" i="40"/>
  <c r="Q539" i="40"/>
  <c r="Q544" i="40"/>
  <c r="Q550" i="40"/>
  <c r="R555" i="40"/>
  <c r="Q561" i="40"/>
  <c r="Q568" i="40"/>
  <c r="Q573" i="40"/>
  <c r="Q579" i="40"/>
  <c r="Q585" i="40"/>
  <c r="R501" i="40"/>
  <c r="R399" i="40"/>
  <c r="R294" i="40"/>
  <c r="R158" i="40"/>
  <c r="R83" i="40"/>
  <c r="R31" i="40"/>
  <c r="R199" i="40"/>
  <c r="R39" i="40"/>
  <c r="R490" i="40"/>
  <c r="R338" i="40"/>
  <c r="R258" i="40"/>
  <c r="R64" i="40"/>
  <c r="R76" i="40"/>
  <c r="R523" i="40"/>
  <c r="R395" i="40"/>
  <c r="R261" i="40"/>
  <c r="R154" i="40"/>
  <c r="R48" i="40"/>
  <c r="R167" i="40"/>
  <c r="R497" i="40"/>
  <c r="R331" i="40"/>
  <c r="R475" i="40"/>
  <c r="R350" i="40"/>
  <c r="R272" i="40"/>
  <c r="R146" i="40"/>
  <c r="R484" i="40"/>
  <c r="R333" i="40"/>
  <c r="R466" i="40"/>
  <c r="R447" i="40"/>
  <c r="R262" i="40"/>
  <c r="R4" i="40"/>
  <c r="R18" i="40"/>
  <c r="R163" i="40"/>
  <c r="R29" i="40"/>
  <c r="L41" i="32"/>
  <c r="R364" i="40"/>
  <c r="R355" i="40"/>
  <c r="Q6" i="42"/>
  <c r="Q13" i="42"/>
  <c r="R19" i="42"/>
  <c r="R26" i="42"/>
  <c r="R33" i="42"/>
  <c r="Q38" i="42"/>
  <c r="Q45" i="42"/>
  <c r="R51" i="42"/>
  <c r="R58" i="42"/>
  <c r="R65" i="42"/>
  <c r="Q70" i="42"/>
  <c r="Q77" i="42"/>
  <c r="Q83" i="42"/>
  <c r="Q92" i="42"/>
  <c r="Q101" i="42"/>
  <c r="R110" i="42"/>
  <c r="Q121" i="42"/>
  <c r="R130" i="42"/>
  <c r="R146" i="42"/>
  <c r="Q165" i="42"/>
  <c r="R192" i="42"/>
  <c r="R217" i="42"/>
  <c r="R242" i="42"/>
  <c r="Q268" i="42"/>
  <c r="Q293" i="42"/>
  <c r="R320" i="42"/>
  <c r="R348" i="42"/>
  <c r="R380" i="42"/>
  <c r="Q420" i="42"/>
  <c r="Q484" i="42"/>
  <c r="Q548" i="42"/>
  <c r="G18" i="40"/>
  <c r="H13" i="32"/>
  <c r="Q11" i="40"/>
  <c r="Q18" i="40"/>
  <c r="Q26" i="40"/>
  <c r="R32" i="40"/>
  <c r="Q39" i="40"/>
  <c r="Q46" i="40"/>
  <c r="Q53" i="40"/>
  <c r="R59" i="40"/>
  <c r="Q65" i="40"/>
  <c r="Q70" i="40"/>
  <c r="Q76" i="40"/>
  <c r="Q83" i="40"/>
  <c r="R89" i="40"/>
  <c r="R95" i="40"/>
  <c r="Q101" i="40"/>
  <c r="Q108" i="40"/>
  <c r="Q114" i="40"/>
  <c r="Q121" i="40"/>
  <c r="Q128" i="40"/>
  <c r="Q134" i="40"/>
  <c r="R139" i="40"/>
  <c r="Q146" i="40"/>
  <c r="Q152" i="40"/>
  <c r="R157" i="40"/>
  <c r="Q163" i="40"/>
  <c r="Q169" i="40"/>
  <c r="Q177" i="40"/>
  <c r="R182" i="40"/>
  <c r="Q189" i="40"/>
  <c r="Q195" i="40"/>
  <c r="R200" i="40"/>
  <c r="R205" i="40"/>
  <c r="R211" i="40"/>
  <c r="Q217" i="40"/>
  <c r="Q223" i="40"/>
  <c r="R228" i="40"/>
  <c r="Q234" i="40"/>
  <c r="Q239" i="40"/>
  <c r="Q246" i="40"/>
  <c r="Q252" i="40"/>
  <c r="Q258" i="40"/>
  <c r="Q264" i="40"/>
  <c r="Q272" i="40"/>
  <c r="Q278" i="40"/>
  <c r="R285" i="40"/>
  <c r="Q292" i="40"/>
  <c r="Q297" i="40"/>
  <c r="Q303" i="40"/>
  <c r="Q309" i="40"/>
  <c r="Q314" i="40"/>
  <c r="Q320" i="40"/>
  <c r="Q326" i="40"/>
  <c r="Q332" i="40"/>
  <c r="Q339" i="40"/>
  <c r="Q346" i="40"/>
  <c r="Q351" i="40"/>
  <c r="R357" i="40"/>
  <c r="Q363" i="40"/>
  <c r="Q371" i="40"/>
  <c r="Q377" i="40"/>
  <c r="R382" i="40"/>
  <c r="Q389" i="40"/>
  <c r="Q394" i="40"/>
  <c r="Q400" i="40"/>
  <c r="R405" i="40"/>
  <c r="Q411" i="40"/>
  <c r="Q416" i="40"/>
  <c r="Q421" i="40"/>
  <c r="Q426" i="40"/>
  <c r="Q431" i="40"/>
  <c r="Q437" i="40"/>
  <c r="Q442" i="40"/>
  <c r="Q448" i="40"/>
  <c r="R453" i="40"/>
  <c r="Q458" i="40"/>
  <c r="R463" i="40"/>
  <c r="Q469" i="40"/>
  <c r="R473" i="40"/>
  <c r="Q480" i="40"/>
  <c r="Q486" i="40"/>
  <c r="Q491" i="40"/>
  <c r="Q496" i="40"/>
  <c r="Q502" i="40"/>
  <c r="Q509" i="40"/>
  <c r="Q515" i="40"/>
  <c r="Q521" i="40"/>
  <c r="R527" i="40"/>
  <c r="Q533" i="40"/>
  <c r="R539" i="40"/>
  <c r="Q545" i="40"/>
  <c r="Q551" i="40"/>
  <c r="Q556" i="40"/>
  <c r="Q562" i="40"/>
  <c r="R568" i="40"/>
  <c r="R573" i="40"/>
  <c r="Q580" i="40"/>
  <c r="R585" i="40"/>
  <c r="R498" i="40"/>
  <c r="R386" i="40"/>
  <c r="R287" i="40"/>
  <c r="R144" i="40"/>
  <c r="R77" i="40"/>
  <c r="R28" i="40"/>
  <c r="R186" i="40"/>
  <c r="R27" i="40"/>
  <c r="R479" i="40"/>
  <c r="R321" i="40"/>
  <c r="R254" i="40"/>
  <c r="R43" i="40"/>
  <c r="R67" i="40"/>
  <c r="R516" i="40"/>
  <c r="R385" i="40"/>
  <c r="R247" i="40"/>
  <c r="R150" i="40"/>
  <c r="R19" i="40"/>
  <c r="R104" i="40"/>
  <c r="R493" i="40"/>
  <c r="R240" i="40"/>
  <c r="R460" i="40"/>
  <c r="R346" i="40"/>
  <c r="R266" i="40"/>
  <c r="R575" i="40"/>
  <c r="R481" i="40"/>
  <c r="R330" i="40"/>
  <c r="R578" i="40"/>
  <c r="R436" i="40"/>
  <c r="R252" i="40"/>
  <c r="R284" i="40"/>
  <c r="R255" i="40"/>
  <c r="R84" i="40"/>
  <c r="R7" i="40"/>
  <c r="R218" i="40"/>
  <c r="R342" i="40"/>
  <c r="R80" i="40"/>
  <c r="Q2" i="42"/>
  <c r="R7" i="42"/>
  <c r="R14" i="42"/>
  <c r="R21" i="42"/>
  <c r="Q26" i="42"/>
  <c r="Q33" i="42"/>
  <c r="R39" i="42"/>
  <c r="R46" i="42"/>
  <c r="R53" i="42"/>
  <c r="Q58" i="42"/>
  <c r="Q65" i="42"/>
  <c r="R71" i="42"/>
  <c r="R78" i="42"/>
  <c r="Q85" i="42"/>
  <c r="R93" i="42"/>
  <c r="R102" i="42"/>
  <c r="R112" i="42"/>
  <c r="R122" i="42"/>
  <c r="Q133" i="42"/>
  <c r="R148" i="42"/>
  <c r="R166" i="42"/>
  <c r="Q192" i="42"/>
  <c r="Q217" i="42"/>
  <c r="R244" i="42"/>
  <c r="R269" i="42"/>
  <c r="R294" i="42"/>
  <c r="Q320" i="42"/>
  <c r="Q348" i="42"/>
  <c r="Q380" i="42"/>
  <c r="R424" i="42"/>
  <c r="R488" i="42"/>
  <c r="R552" i="42"/>
  <c r="B7" i="35"/>
  <c r="R6" i="40"/>
  <c r="Q12" i="40"/>
  <c r="Q19" i="40"/>
  <c r="Q27" i="40"/>
  <c r="Q33" i="40"/>
  <c r="Q40" i="40"/>
  <c r="Q47" i="40"/>
  <c r="R53" i="40"/>
  <c r="Q60" i="40"/>
  <c r="R65" i="40"/>
  <c r="Q71" i="40"/>
  <c r="Q77" i="40"/>
  <c r="Q84" i="40"/>
  <c r="Q90" i="40"/>
  <c r="Q96" i="40"/>
  <c r="Q102" i="40"/>
  <c r="Q109" i="40"/>
  <c r="Q115" i="40"/>
  <c r="Q122" i="40"/>
  <c r="Q129" i="40"/>
  <c r="Q135" i="40"/>
  <c r="Q140" i="40"/>
  <c r="Q147" i="40"/>
  <c r="R152" i="40"/>
  <c r="Q158" i="40"/>
  <c r="Q164" i="40"/>
  <c r="Q170" i="40"/>
  <c r="Q178" i="40"/>
  <c r="Q183" i="40"/>
  <c r="Q190" i="40"/>
  <c r="Q196" i="40"/>
  <c r="Q201" i="40"/>
  <c r="Q206" i="40"/>
  <c r="Q212" i="40"/>
  <c r="Q218" i="40"/>
  <c r="Q224" i="40"/>
  <c r="Q229" i="40"/>
  <c r="R234" i="40"/>
  <c r="Q240" i="40"/>
  <c r="R246" i="40"/>
  <c r="Q253" i="40"/>
  <c r="Q259" i="40"/>
  <c r="Q265" i="40"/>
  <c r="Q273" i="40"/>
  <c r="Q279" i="40"/>
  <c r="Q286" i="40"/>
  <c r="R292" i="40"/>
  <c r="Q298" i="40"/>
  <c r="Q304" i="40"/>
  <c r="Q310" i="40"/>
  <c r="Q315" i="40"/>
  <c r="R320" i="40"/>
  <c r="R326" i="40"/>
  <c r="Q333" i="40"/>
  <c r="Q340" i="40"/>
  <c r="Q347" i="40"/>
  <c r="Q352" i="40"/>
  <c r="Q358" i="40"/>
  <c r="Q364" i="40"/>
  <c r="Q372" i="40"/>
  <c r="Q378" i="40"/>
  <c r="Q383" i="40"/>
  <c r="Q390" i="40"/>
  <c r="Q395" i="40"/>
  <c r="R400" i="40"/>
  <c r="Q406" i="40"/>
  <c r="R411" i="40"/>
  <c r="Q417" i="40"/>
  <c r="R421" i="40"/>
  <c r="Q427" i="40"/>
  <c r="Q432" i="40"/>
  <c r="R437" i="40"/>
  <c r="Q443" i="40"/>
  <c r="Q449" i="40"/>
  <c r="Q454" i="40"/>
  <c r="Q459" i="40"/>
  <c r="Q464" i="40"/>
  <c r="R469" i="40"/>
  <c r="Q474" i="40"/>
  <c r="R480" i="40"/>
  <c r="Q487" i="40"/>
  <c r="R491" i="40"/>
  <c r="R496" i="40"/>
  <c r="Q503" i="40"/>
  <c r="Q510" i="40"/>
  <c r="Q516" i="40"/>
  <c r="R521" i="40"/>
  <c r="Q528" i="40"/>
  <c r="Q534" i="40"/>
  <c r="Q540" i="40"/>
  <c r="Q546" i="40"/>
  <c r="R551" i="40"/>
  <c r="Q557" i="40"/>
  <c r="Q563" i="40"/>
  <c r="Q569" i="40"/>
  <c r="Q574" i="40"/>
  <c r="Q581" i="40"/>
  <c r="R546" i="40"/>
  <c r="R494" i="40"/>
  <c r="R383" i="40"/>
  <c r="R235" i="40"/>
  <c r="R141" i="40"/>
  <c r="R74" i="40"/>
  <c r="R25" i="40"/>
  <c r="R170" i="40"/>
  <c r="R125" i="40"/>
  <c r="R476" i="40"/>
  <c r="R306" i="40"/>
  <c r="R210" i="40"/>
  <c r="R37" i="40"/>
  <c r="R60" i="40"/>
  <c r="R503" i="40"/>
  <c r="R372" i="40"/>
  <c r="R244" i="40"/>
  <c r="R123" i="40"/>
  <c r="H11" i="32"/>
  <c r="R70" i="40"/>
  <c r="R415" i="40"/>
  <c r="R579" i="40"/>
  <c r="R456" i="40"/>
  <c r="R327" i="40"/>
  <c r="R263" i="40"/>
  <c r="R544" i="40"/>
  <c r="R426" i="40"/>
  <c r="R323" i="40"/>
  <c r="R574" i="40"/>
  <c r="R432" i="40"/>
  <c r="R121" i="40"/>
  <c r="R214" i="40"/>
  <c r="R124" i="40"/>
  <c r="R78" i="40"/>
  <c r="R339" i="40"/>
  <c r="R50" i="40"/>
  <c r="R268" i="40"/>
  <c r="R367" i="40"/>
  <c r="J2" i="42"/>
  <c r="R9" i="42"/>
  <c r="Q14" i="42"/>
  <c r="Q21" i="42"/>
  <c r="R27" i="42"/>
  <c r="R34" i="42"/>
  <c r="R41" i="42"/>
  <c r="Q46" i="42"/>
  <c r="Q53" i="42"/>
  <c r="R59" i="42"/>
  <c r="R66" i="42"/>
  <c r="R73" i="42"/>
  <c r="Q78" i="42"/>
  <c r="R86" i="42"/>
  <c r="Q93" i="42"/>
  <c r="R104" i="42"/>
  <c r="R114" i="42"/>
  <c r="R124" i="42"/>
  <c r="R134" i="42"/>
  <c r="Q148" i="42"/>
  <c r="Q172" i="42"/>
  <c r="Q197" i="42"/>
  <c r="R224" i="42"/>
  <c r="R249" i="42"/>
  <c r="R274" i="42"/>
  <c r="Q300" i="42"/>
  <c r="Q325" i="42"/>
  <c r="R356" i="42"/>
  <c r="R388" i="42"/>
  <c r="Q436" i="42"/>
  <c r="Q500" i="42"/>
  <c r="R568" i="42"/>
  <c r="Q564" i="42"/>
  <c r="R161" i="42"/>
  <c r="R168" i="42"/>
  <c r="Q173" i="42"/>
  <c r="Q180" i="42"/>
  <c r="R186" i="42"/>
  <c r="R193" i="42"/>
  <c r="R200" i="42"/>
  <c r="Q205" i="42"/>
  <c r="Q212" i="42"/>
  <c r="R218" i="42"/>
  <c r="R225" i="42"/>
  <c r="R232" i="42"/>
  <c r="Q237" i="42"/>
  <c r="Q244" i="42"/>
  <c r="R250" i="42"/>
  <c r="R257" i="42"/>
  <c r="R264" i="42"/>
  <c r="Q269" i="42"/>
  <c r="Q276" i="42"/>
  <c r="R282" i="42"/>
  <c r="R289" i="42"/>
  <c r="R296" i="42"/>
  <c r="Q301" i="42"/>
  <c r="Q308" i="42"/>
  <c r="R314" i="42"/>
  <c r="R321" i="42"/>
  <c r="R328" i="42"/>
  <c r="Q333" i="42"/>
  <c r="R341" i="42"/>
  <c r="R349" i="42"/>
  <c r="R357" i="42"/>
  <c r="R365" i="42"/>
  <c r="R373" i="42"/>
  <c r="R381" i="42"/>
  <c r="R389" i="42"/>
  <c r="R397" i="42"/>
  <c r="Q408" i="42"/>
  <c r="Q424" i="42"/>
  <c r="Q440" i="42"/>
  <c r="Q456" i="42"/>
  <c r="Q472" i="42"/>
  <c r="Q488" i="42"/>
  <c r="Q504" i="42"/>
  <c r="Q520" i="42"/>
  <c r="Q536" i="42"/>
  <c r="Q552" i="42"/>
  <c r="Q568" i="42"/>
  <c r="Q136" i="42"/>
  <c r="R142" i="42"/>
  <c r="R149" i="42"/>
  <c r="R156" i="42"/>
  <c r="Q161" i="42"/>
  <c r="Q168" i="42"/>
  <c r="R174" i="42"/>
  <c r="R181" i="42"/>
  <c r="R188" i="42"/>
  <c r="Q193" i="42"/>
  <c r="Q200" i="42"/>
  <c r="R206" i="42"/>
  <c r="R213" i="42"/>
  <c r="R220" i="42"/>
  <c r="Q225" i="42"/>
  <c r="Q232" i="42"/>
  <c r="R238" i="42"/>
  <c r="R245" i="42"/>
  <c r="R252" i="42"/>
  <c r="Q257" i="42"/>
  <c r="Q264" i="42"/>
  <c r="R270" i="42"/>
  <c r="R277" i="42"/>
  <c r="R284" i="42"/>
  <c r="Q289" i="42"/>
  <c r="Q296" i="42"/>
  <c r="R302" i="42"/>
  <c r="R309" i="42"/>
  <c r="R316" i="42"/>
  <c r="Q321" i="42"/>
  <c r="Q328" i="42"/>
  <c r="R334" i="42"/>
  <c r="R342" i="42"/>
  <c r="R350" i="42"/>
  <c r="R358" i="42"/>
  <c r="R366" i="42"/>
  <c r="R374" i="42"/>
  <c r="R382" i="42"/>
  <c r="R390" i="42"/>
  <c r="R398" i="42"/>
  <c r="R412" i="42"/>
  <c r="R428" i="42"/>
  <c r="R444" i="42"/>
  <c r="R460" i="42"/>
  <c r="R476" i="42"/>
  <c r="R492" i="42"/>
  <c r="R508" i="42"/>
  <c r="R524" i="42"/>
  <c r="R540" i="42"/>
  <c r="R556" i="42"/>
  <c r="R572" i="42"/>
  <c r="R144" i="42"/>
  <c r="Q149" i="42"/>
  <c r="Q156" i="42"/>
  <c r="R162" i="42"/>
  <c r="R169" i="42"/>
  <c r="R176" i="42"/>
  <c r="Q181" i="42"/>
  <c r="Q188" i="42"/>
  <c r="R194" i="42"/>
  <c r="R201" i="42"/>
  <c r="R208" i="42"/>
  <c r="Q213" i="42"/>
  <c r="Q220" i="42"/>
  <c r="R226" i="42"/>
  <c r="R233" i="42"/>
  <c r="R240" i="42"/>
  <c r="Q245" i="42"/>
  <c r="Q252" i="42"/>
  <c r="R258" i="42"/>
  <c r="R265" i="42"/>
  <c r="R272" i="42"/>
  <c r="Q277" i="42"/>
  <c r="Q284" i="42"/>
  <c r="R290" i="42"/>
  <c r="R297" i="42"/>
  <c r="R304" i="42"/>
  <c r="Q309" i="42"/>
  <c r="Q316" i="42"/>
  <c r="R322" i="42"/>
  <c r="R329" i="42"/>
  <c r="R336" i="42"/>
  <c r="R344" i="42"/>
  <c r="R352" i="42"/>
  <c r="R360" i="42"/>
  <c r="R368" i="42"/>
  <c r="R376" i="42"/>
  <c r="R384" i="42"/>
  <c r="R392" i="42"/>
  <c r="R400" i="42"/>
  <c r="Q412" i="42"/>
  <c r="Q428" i="42"/>
  <c r="Q444" i="42"/>
  <c r="Q460" i="42"/>
  <c r="Q476" i="42"/>
  <c r="Q492" i="42"/>
  <c r="Q508" i="42"/>
  <c r="Q524" i="42"/>
  <c r="Q540" i="42"/>
  <c r="Q556" i="42"/>
  <c r="Q572" i="42"/>
  <c r="R567" i="40"/>
  <c r="R474" i="40"/>
  <c r="R403" i="40"/>
  <c r="R215" i="40"/>
  <c r="R15" i="40"/>
  <c r="R177" i="40"/>
  <c r="R361" i="40"/>
  <c r="R172" i="40"/>
  <c r="R20" i="40"/>
  <c r="R291" i="40"/>
  <c r="R35" i="40"/>
  <c r="R174" i="40"/>
  <c r="R156" i="40"/>
  <c r="R90" i="40"/>
  <c r="R245" i="40"/>
  <c r="R128" i="40"/>
  <c r="J7" i="39"/>
  <c r="L7" i="39" s="1"/>
  <c r="Q3" i="42"/>
  <c r="Q7" i="42"/>
  <c r="Q11" i="42"/>
  <c r="Q15" i="42"/>
  <c r="Q19" i="42"/>
  <c r="Q23" i="42"/>
  <c r="Q27" i="42"/>
  <c r="Q31" i="42"/>
  <c r="Q35" i="42"/>
  <c r="Q39" i="42"/>
  <c r="Q43" i="42"/>
  <c r="Q47" i="42"/>
  <c r="Q51" i="42"/>
  <c r="Q55" i="42"/>
  <c r="Q59" i="42"/>
  <c r="Q63" i="42"/>
  <c r="Q67" i="42"/>
  <c r="Q71" i="42"/>
  <c r="Q75" i="42"/>
  <c r="Q79" i="42"/>
  <c r="R84" i="42"/>
  <c r="R89" i="42"/>
  <c r="R94" i="42"/>
  <c r="R100" i="42"/>
  <c r="Q105" i="42"/>
  <c r="Q112" i="42"/>
  <c r="R118" i="42"/>
  <c r="R125" i="42"/>
  <c r="R132" i="42"/>
  <c r="Q137" i="42"/>
  <c r="Q144" i="42"/>
  <c r="R150" i="42"/>
  <c r="R157" i="42"/>
  <c r="R164" i="42"/>
  <c r="Q169" i="42"/>
  <c r="Q176" i="42"/>
  <c r="R182" i="42"/>
  <c r="R189" i="42"/>
  <c r="R196" i="42"/>
  <c r="Q201" i="42"/>
  <c r="Q208" i="42"/>
  <c r="R214" i="42"/>
  <c r="R221" i="42"/>
  <c r="R228" i="42"/>
  <c r="Q233" i="42"/>
  <c r="Q240" i="42"/>
  <c r="R246" i="42"/>
  <c r="R253" i="42"/>
  <c r="R260" i="42"/>
  <c r="Q265" i="42"/>
  <c r="Q272" i="42"/>
  <c r="R278" i="42"/>
  <c r="R285" i="42"/>
  <c r="R292" i="42"/>
  <c r="Q297" i="42"/>
  <c r="Q304" i="42"/>
  <c r="R310" i="42"/>
  <c r="R317" i="42"/>
  <c r="R324" i="42"/>
  <c r="Q329" i="42"/>
  <c r="Q336" i="42"/>
  <c r="Q344" i="42"/>
  <c r="Q352" i="42"/>
  <c r="Q360" i="42"/>
  <c r="Q368" i="42"/>
  <c r="Q376" i="42"/>
  <c r="Q384" i="42"/>
  <c r="Q392" i="42"/>
  <c r="Q400" i="42"/>
  <c r="R416" i="42"/>
  <c r="R432" i="42"/>
  <c r="R448" i="42"/>
  <c r="R464" i="42"/>
  <c r="R480" i="42"/>
  <c r="R496" i="42"/>
  <c r="R512" i="42"/>
  <c r="R528" i="42"/>
  <c r="R544" i="42"/>
  <c r="R560" i="42"/>
  <c r="Q576" i="42"/>
  <c r="G11" i="32"/>
  <c r="R140" i="40"/>
  <c r="R13" i="40"/>
  <c r="R526" i="40"/>
  <c r="R389" i="40"/>
  <c r="R290" i="40"/>
  <c r="R251" i="40"/>
  <c r="R114" i="40"/>
  <c r="L36" i="32"/>
  <c r="R24" i="40"/>
  <c r="R513" i="40"/>
  <c r="R431" i="40"/>
  <c r="R328" i="40"/>
  <c r="R227" i="40"/>
  <c r="R147" i="40"/>
  <c r="R57" i="40"/>
  <c r="R286" i="40"/>
  <c r="R195" i="40"/>
  <c r="R482" i="40"/>
  <c r="R356" i="40"/>
  <c r="R528" i="40"/>
  <c r="R448" i="40"/>
  <c r="R343" i="40"/>
  <c r="R282" i="40"/>
  <c r="R209" i="40"/>
  <c r="R531" i="40"/>
  <c r="R444" i="40"/>
  <c r="R362" i="40"/>
  <c r="R243" i="40"/>
  <c r="R561" i="40"/>
  <c r="R462" i="40"/>
  <c r="R373" i="40"/>
  <c r="R185" i="40"/>
  <c r="R9" i="40"/>
  <c r="R132" i="40"/>
  <c r="R112" i="40"/>
  <c r="R149" i="40"/>
  <c r="L43" i="32"/>
  <c r="R229" i="40"/>
  <c r="R12" i="40"/>
  <c r="R122" i="40"/>
  <c r="R44" i="40"/>
  <c r="R106" i="40"/>
  <c r="R166" i="40"/>
  <c r="E2" i="35" a="1"/>
  <c r="J6" i="39"/>
  <c r="L6" i="39" s="1"/>
  <c r="R4" i="42"/>
  <c r="R8" i="42"/>
  <c r="R12" i="42"/>
  <c r="R16" i="42"/>
  <c r="R20" i="42"/>
  <c r="R24" i="42"/>
  <c r="R28" i="42"/>
  <c r="R32" i="42"/>
  <c r="R36" i="42"/>
  <c r="R40" i="42"/>
  <c r="R44" i="42"/>
  <c r="R48" i="42"/>
  <c r="R52" i="42"/>
  <c r="R56" i="42"/>
  <c r="R60" i="42"/>
  <c r="R64" i="42"/>
  <c r="R68" i="42"/>
  <c r="R72" i="42"/>
  <c r="R76" i="42"/>
  <c r="R80" i="42"/>
  <c r="Q84" i="42"/>
  <c r="Q89" i="42"/>
  <c r="Q94" i="42"/>
  <c r="Q100" i="42"/>
  <c r="R106" i="42"/>
  <c r="R113" i="42"/>
  <c r="R120" i="42"/>
  <c r="Q125" i="42"/>
  <c r="Q132" i="42"/>
  <c r="R138" i="42"/>
  <c r="R145" i="42"/>
  <c r="R152" i="42"/>
  <c r="Q157" i="42"/>
  <c r="Q164" i="42"/>
  <c r="R170" i="42"/>
  <c r="R177" i="42"/>
  <c r="R184" i="42"/>
  <c r="Q189" i="42"/>
  <c r="Q196" i="42"/>
  <c r="R202" i="42"/>
  <c r="R209" i="42"/>
  <c r="R216" i="42"/>
  <c r="Q221" i="42"/>
  <c r="Q228" i="42"/>
  <c r="R234" i="42"/>
  <c r="R241" i="42"/>
  <c r="R248" i="42"/>
  <c r="Q253" i="42"/>
  <c r="Q260" i="42"/>
  <c r="R266" i="42"/>
  <c r="R273" i="42"/>
  <c r="R280" i="42"/>
  <c r="Q285" i="42"/>
  <c r="Q292" i="42"/>
  <c r="R298" i="42"/>
  <c r="R305" i="42"/>
  <c r="R312" i="42"/>
  <c r="Q317" i="42"/>
  <c r="Q324" i="42"/>
  <c r="R330" i="42"/>
  <c r="R337" i="42"/>
  <c r="R345" i="42"/>
  <c r="R353" i="42"/>
  <c r="R361" i="42"/>
  <c r="R369" i="42"/>
  <c r="R377" i="42"/>
  <c r="R385" i="42"/>
  <c r="R393" i="42"/>
  <c r="R401" i="42"/>
  <c r="Q416" i="42"/>
  <c r="Q432" i="42"/>
  <c r="Q448" i="42"/>
  <c r="Q464" i="42"/>
  <c r="Q480" i="42"/>
  <c r="Q496" i="42"/>
  <c r="Q512" i="42"/>
  <c r="Q528" i="42"/>
  <c r="Q544" i="42"/>
  <c r="Q560" i="42"/>
  <c r="Q580" i="42"/>
  <c r="B4" i="35"/>
  <c r="R520" i="40"/>
  <c r="R354" i="40"/>
  <c r="R280" i="40"/>
  <c r="R238" i="40"/>
  <c r="R92" i="40"/>
  <c r="R189" i="40"/>
  <c r="R16" i="40"/>
  <c r="R506" i="40"/>
  <c r="R412" i="40"/>
  <c r="R309" i="40"/>
  <c r="R213" i="40"/>
  <c r="R133" i="40"/>
  <c r="R51" i="40"/>
  <c r="R269" i="40"/>
  <c r="R556" i="40"/>
  <c r="R464" i="40"/>
  <c r="R337" i="40"/>
  <c r="R525" i="40"/>
  <c r="R404" i="40"/>
  <c r="R340" i="40"/>
  <c r="R279" i="40"/>
  <c r="R192" i="40"/>
  <c r="R522" i="40"/>
  <c r="R440" i="40"/>
  <c r="R336" i="40"/>
  <c r="R581" i="40"/>
  <c r="R558" i="40"/>
  <c r="R451" i="40"/>
  <c r="R377" i="40"/>
  <c r="R134" i="40"/>
  <c r="H2" i="32"/>
  <c r="R47" i="40"/>
  <c r="R281" i="40"/>
  <c r="R86" i="40"/>
  <c r="R222" i="40"/>
  <c r="R162" i="40"/>
  <c r="R265" i="40"/>
  <c r="R93" i="40"/>
  <c r="H6" i="32"/>
  <c r="R23" i="40"/>
  <c r="R142" i="40"/>
  <c r="J5" i="39"/>
  <c r="L5" i="39" s="1"/>
  <c r="Q4" i="42"/>
  <c r="Q8" i="42"/>
  <c r="Q12" i="42"/>
  <c r="Q16" i="42"/>
  <c r="Q20" i="42"/>
  <c r="Q24" i="42"/>
  <c r="Q28" i="42"/>
  <c r="Q32" i="42"/>
  <c r="Q36" i="42"/>
  <c r="Q40" i="42"/>
  <c r="Q44" i="42"/>
  <c r="Q48" i="42"/>
  <c r="Q52" i="42"/>
  <c r="Q56" i="42"/>
  <c r="Q60" i="42"/>
  <c r="Q64" i="42"/>
  <c r="Q68" i="42"/>
  <c r="Q72" i="42"/>
  <c r="Q76" i="42"/>
  <c r="Q80" i="42"/>
  <c r="R85" i="42"/>
  <c r="R90" i="42"/>
  <c r="R96" i="42"/>
  <c r="R101" i="42"/>
  <c r="R108" i="42"/>
  <c r="Q113" i="42"/>
  <c r="Q120" i="42"/>
  <c r="R126" i="42"/>
  <c r="R133" i="42"/>
  <c r="R140" i="42"/>
  <c r="Q145" i="42"/>
  <c r="Q152" i="42"/>
  <c r="R158" i="42"/>
  <c r="R165" i="42"/>
  <c r="R172" i="42"/>
  <c r="Q177" i="42"/>
  <c r="Q184" i="42"/>
  <c r="R190" i="42"/>
  <c r="R197" i="42"/>
  <c r="R204" i="42"/>
  <c r="Q209" i="42"/>
  <c r="Q216" i="42"/>
  <c r="R222" i="42"/>
  <c r="R229" i="42"/>
  <c r="R236" i="42"/>
  <c r="Q241" i="42"/>
  <c r="Q248" i="42"/>
  <c r="R254" i="42"/>
  <c r="R261" i="42"/>
  <c r="R268" i="42"/>
  <c r="Q273" i="42"/>
  <c r="Q280" i="42"/>
  <c r="R286" i="42"/>
  <c r="R293" i="42"/>
  <c r="R300" i="42"/>
  <c r="Q305" i="42"/>
  <c r="Q312" i="42"/>
  <c r="R318" i="42"/>
  <c r="R325" i="42"/>
  <c r="R332" i="42"/>
  <c r="R338" i="42"/>
  <c r="R346" i="42"/>
  <c r="R354" i="42"/>
  <c r="R362" i="42"/>
  <c r="R370" i="42"/>
  <c r="R378" i="42"/>
  <c r="R386" i="42"/>
  <c r="R394" i="42"/>
  <c r="R404" i="42"/>
  <c r="R420" i="42"/>
  <c r="R436" i="42"/>
  <c r="R452" i="42"/>
  <c r="R468" i="42"/>
  <c r="R484" i="42"/>
  <c r="R500" i="42"/>
  <c r="R516" i="42"/>
  <c r="R532" i="42"/>
  <c r="R548" i="42"/>
  <c r="R564" i="42"/>
  <c r="R576" i="42"/>
  <c r="R580" i="42"/>
  <c r="R405" i="42"/>
  <c r="R409" i="42"/>
  <c r="R413" i="42"/>
  <c r="R417" i="42"/>
  <c r="R421" i="42"/>
  <c r="R425" i="42"/>
  <c r="R429" i="42"/>
  <c r="R433" i="42"/>
  <c r="R437" i="42"/>
  <c r="R441" i="42"/>
  <c r="R445" i="42"/>
  <c r="R449" i="42"/>
  <c r="R453" i="42"/>
  <c r="R457" i="42"/>
  <c r="R461" i="42"/>
  <c r="R465" i="42"/>
  <c r="R469" i="42"/>
  <c r="R473" i="42"/>
  <c r="R477" i="42"/>
  <c r="R481" i="42"/>
  <c r="R485" i="42"/>
  <c r="R489" i="42"/>
  <c r="R493" i="42"/>
  <c r="R497" i="42"/>
  <c r="R501" i="42"/>
  <c r="R505" i="42"/>
  <c r="R509" i="42"/>
  <c r="R513" i="42"/>
  <c r="R517" i="42"/>
  <c r="R521" i="42"/>
  <c r="R525" i="42"/>
  <c r="R529" i="42"/>
  <c r="R533" i="42"/>
  <c r="R537" i="42"/>
  <c r="R541" i="42"/>
  <c r="R545" i="42"/>
  <c r="R549" i="42"/>
  <c r="R553" i="42"/>
  <c r="R557" i="42"/>
  <c r="R561" i="42"/>
  <c r="R565" i="42"/>
  <c r="R569" i="42"/>
  <c r="R573" i="42"/>
  <c r="R577" i="42"/>
  <c r="R581" i="42"/>
  <c r="Q337" i="42"/>
  <c r="Q341" i="42"/>
  <c r="Q345" i="42"/>
  <c r="Q349" i="42"/>
  <c r="Q353" i="42"/>
  <c r="Q357" i="42"/>
  <c r="Q361" i="42"/>
  <c r="Q365" i="42"/>
  <c r="Q369" i="42"/>
  <c r="Q373" i="42"/>
  <c r="Q377" i="42"/>
  <c r="Q381" i="42"/>
  <c r="Q385" i="42"/>
  <c r="Q389" i="42"/>
  <c r="Q393" i="42"/>
  <c r="Q397" i="42"/>
  <c r="Q401" i="42"/>
  <c r="Q405" i="42"/>
  <c r="Q409" i="42"/>
  <c r="Q413" i="42"/>
  <c r="Q417" i="42"/>
  <c r="Q421" i="42"/>
  <c r="Q425" i="42"/>
  <c r="Q429" i="42"/>
  <c r="Q433" i="42"/>
  <c r="Q437" i="42"/>
  <c r="Q441" i="42"/>
  <c r="Q445" i="42"/>
  <c r="Q449" i="42"/>
  <c r="Q453" i="42"/>
  <c r="Q457" i="42"/>
  <c r="Q461" i="42"/>
  <c r="Q465" i="42"/>
  <c r="Q469" i="42"/>
  <c r="Q473" i="42"/>
  <c r="Q477" i="42"/>
  <c r="Q481" i="42"/>
  <c r="Q485" i="42"/>
  <c r="Q489" i="42"/>
  <c r="Q493" i="42"/>
  <c r="Q497" i="42"/>
  <c r="Q501" i="42"/>
  <c r="Q505" i="42"/>
  <c r="Q509" i="42"/>
  <c r="Q513" i="42"/>
  <c r="Q517" i="42"/>
  <c r="Q521" i="42"/>
  <c r="Q525" i="42"/>
  <c r="Q529" i="42"/>
  <c r="Q533" i="42"/>
  <c r="Q537" i="42"/>
  <c r="Q541" i="42"/>
  <c r="Q545" i="42"/>
  <c r="Q549" i="42"/>
  <c r="Q553" i="42"/>
  <c r="Q557" i="42"/>
  <c r="Q561" i="42"/>
  <c r="Q565" i="42"/>
  <c r="Q569" i="42"/>
  <c r="Q573" i="42"/>
  <c r="Q577" i="42"/>
  <c r="Q581" i="42"/>
  <c r="R402" i="42"/>
  <c r="R406" i="42"/>
  <c r="R410" i="42"/>
  <c r="R414" i="42"/>
  <c r="R418" i="42"/>
  <c r="R422" i="42"/>
  <c r="R426" i="42"/>
  <c r="R430" i="42"/>
  <c r="R434" i="42"/>
  <c r="R438" i="42"/>
  <c r="R442" i="42"/>
  <c r="R446" i="42"/>
  <c r="R450" i="42"/>
  <c r="R454" i="42"/>
  <c r="R458" i="42"/>
  <c r="R462" i="42"/>
  <c r="R466" i="42"/>
  <c r="R470" i="42"/>
  <c r="R474" i="42"/>
  <c r="R478" i="42"/>
  <c r="R482" i="42"/>
  <c r="R486" i="42"/>
  <c r="R490" i="42"/>
  <c r="R494" i="42"/>
  <c r="R498" i="42"/>
  <c r="R502" i="42"/>
  <c r="R506" i="42"/>
  <c r="R510" i="42"/>
  <c r="R514" i="42"/>
  <c r="R518" i="42"/>
  <c r="R522" i="42"/>
  <c r="R526" i="42"/>
  <c r="R530" i="42"/>
  <c r="R534" i="42"/>
  <c r="R538" i="42"/>
  <c r="R542" i="42"/>
  <c r="R546" i="42"/>
  <c r="R550" i="42"/>
  <c r="R554" i="42"/>
  <c r="R558" i="42"/>
  <c r="R562" i="42"/>
  <c r="R566" i="42"/>
  <c r="R570" i="42"/>
  <c r="R574" i="42"/>
  <c r="R578" i="42"/>
  <c r="Q102" i="42"/>
  <c r="Q106" i="42"/>
  <c r="Q110" i="42"/>
  <c r="Q114" i="42"/>
  <c r="Q118" i="42"/>
  <c r="Q122" i="42"/>
  <c r="Q126" i="42"/>
  <c r="Q130" i="42"/>
  <c r="Q134" i="42"/>
  <c r="Q138" i="42"/>
  <c r="Q142" i="42"/>
  <c r="Q146" i="42"/>
  <c r="Q150" i="42"/>
  <c r="Q154" i="42"/>
  <c r="Q158" i="42"/>
  <c r="Q162" i="42"/>
  <c r="Q166" i="42"/>
  <c r="Q170" i="42"/>
  <c r="Q174" i="42"/>
  <c r="Q178" i="42"/>
  <c r="Q182" i="42"/>
  <c r="Q186" i="42"/>
  <c r="Q190" i="42"/>
  <c r="Q194" i="42"/>
  <c r="Q198" i="42"/>
  <c r="Q202" i="42"/>
  <c r="Q206" i="42"/>
  <c r="Q210" i="42"/>
  <c r="Q214" i="42"/>
  <c r="Q218" i="42"/>
  <c r="Q222" i="42"/>
  <c r="Q226" i="42"/>
  <c r="Q230" i="42"/>
  <c r="Q234" i="42"/>
  <c r="Q238" i="42"/>
  <c r="Q242" i="42"/>
  <c r="Q246" i="42"/>
  <c r="Q250" i="42"/>
  <c r="Q254" i="42"/>
  <c r="Q258" i="42"/>
  <c r="Q262" i="42"/>
  <c r="Q266" i="42"/>
  <c r="Q270" i="42"/>
  <c r="Q274" i="42"/>
  <c r="Q278" i="42"/>
  <c r="Q282" i="42"/>
  <c r="Q286" i="42"/>
  <c r="Q290" i="42"/>
  <c r="Q294" i="42"/>
  <c r="Q298" i="42"/>
  <c r="Q302" i="42"/>
  <c r="Q306" i="42"/>
  <c r="Q310" i="42"/>
  <c r="Q314" i="42"/>
  <c r="Q318" i="42"/>
  <c r="Q322" i="42"/>
  <c r="Q326" i="42"/>
  <c r="Q330" i="42"/>
  <c r="Q334" i="42"/>
  <c r="Q338" i="42"/>
  <c r="Q342" i="42"/>
  <c r="Q346" i="42"/>
  <c r="Q350" i="42"/>
  <c r="Q354" i="42"/>
  <c r="Q358" i="42"/>
  <c r="Q362" i="42"/>
  <c r="Q366" i="42"/>
  <c r="Q370" i="42"/>
  <c r="Q374" i="42"/>
  <c r="Q378" i="42"/>
  <c r="Q382" i="42"/>
  <c r="Q386" i="42"/>
  <c r="Q390" i="42"/>
  <c r="Q394" i="42"/>
  <c r="Q398" i="42"/>
  <c r="Q402" i="42"/>
  <c r="Q406" i="42"/>
  <c r="Q410" i="42"/>
  <c r="Q414" i="42"/>
  <c r="Q418" i="42"/>
  <c r="Q422" i="42"/>
  <c r="Q426" i="42"/>
  <c r="Q430" i="42"/>
  <c r="Q434" i="42"/>
  <c r="Q438" i="42"/>
  <c r="Q442" i="42"/>
  <c r="Q446" i="42"/>
  <c r="Q450" i="42"/>
  <c r="Q454" i="42"/>
  <c r="Q458" i="42"/>
  <c r="Q462" i="42"/>
  <c r="Q466" i="42"/>
  <c r="Q470" i="42"/>
  <c r="Q474" i="42"/>
  <c r="Q478" i="42"/>
  <c r="Q482" i="42"/>
  <c r="Q486" i="42"/>
  <c r="Q490" i="42"/>
  <c r="Q494" i="42"/>
  <c r="Q498" i="42"/>
  <c r="Q502" i="42"/>
  <c r="Q506" i="42"/>
  <c r="Q510" i="42"/>
  <c r="Q514" i="42"/>
  <c r="Q518" i="42"/>
  <c r="Q522" i="42"/>
  <c r="Q526" i="42"/>
  <c r="Q530" i="42"/>
  <c r="Q534" i="42"/>
  <c r="Q538" i="42"/>
  <c r="Q542" i="42"/>
  <c r="Q546" i="42"/>
  <c r="Q550" i="42"/>
  <c r="Q554" i="42"/>
  <c r="Q558" i="42"/>
  <c r="Q562" i="42"/>
  <c r="Q566" i="42"/>
  <c r="Q570" i="42"/>
  <c r="Q574" i="42"/>
  <c r="Q578" i="42"/>
  <c r="R83" i="42"/>
  <c r="R87" i="42"/>
  <c r="R91" i="42"/>
  <c r="R95" i="42"/>
  <c r="R99" i="42"/>
  <c r="R103" i="42"/>
  <c r="R107" i="42"/>
  <c r="R111" i="42"/>
  <c r="R115" i="42"/>
  <c r="R119" i="42"/>
  <c r="R123" i="42"/>
  <c r="R127" i="42"/>
  <c r="R131" i="42"/>
  <c r="R135" i="42"/>
  <c r="R139" i="42"/>
  <c r="R143" i="42"/>
  <c r="R147" i="42"/>
  <c r="R151" i="42"/>
  <c r="R155" i="42"/>
  <c r="R159" i="42"/>
  <c r="R163" i="42"/>
  <c r="R167" i="42"/>
  <c r="R171" i="42"/>
  <c r="R175" i="42"/>
  <c r="R179" i="42"/>
  <c r="R183" i="42"/>
  <c r="R187" i="42"/>
  <c r="R191" i="42"/>
  <c r="R195" i="42"/>
  <c r="R199" i="42"/>
  <c r="R203" i="42"/>
  <c r="R207" i="42"/>
  <c r="R211" i="42"/>
  <c r="R215" i="42"/>
  <c r="R219" i="42"/>
  <c r="R223" i="42"/>
  <c r="R227" i="42"/>
  <c r="R231" i="42"/>
  <c r="R235" i="42"/>
  <c r="R239" i="42"/>
  <c r="R243" i="42"/>
  <c r="R247" i="42"/>
  <c r="R251" i="42"/>
  <c r="R255" i="42"/>
  <c r="R259" i="42"/>
  <c r="R263" i="42"/>
  <c r="R267" i="42"/>
  <c r="R271" i="42"/>
  <c r="R275" i="42"/>
  <c r="R279" i="42"/>
  <c r="R283" i="42"/>
  <c r="R287" i="42"/>
  <c r="R291" i="42"/>
  <c r="R295" i="42"/>
  <c r="R299" i="42"/>
  <c r="R303" i="42"/>
  <c r="R307" i="42"/>
  <c r="R311" i="42"/>
  <c r="R315" i="42"/>
  <c r="R319" i="42"/>
  <c r="R323" i="42"/>
  <c r="R327" i="42"/>
  <c r="R331" i="42"/>
  <c r="R335" i="42"/>
  <c r="R339" i="42"/>
  <c r="R343" i="42"/>
  <c r="R347" i="42"/>
  <c r="R351" i="42"/>
  <c r="R355" i="42"/>
  <c r="R359" i="42"/>
  <c r="R363" i="42"/>
  <c r="R367" i="42"/>
  <c r="R371" i="42"/>
  <c r="R375" i="42"/>
  <c r="R379" i="42"/>
  <c r="R383" i="42"/>
  <c r="R387" i="42"/>
  <c r="R391" i="42"/>
  <c r="R395" i="42"/>
  <c r="R399" i="42"/>
  <c r="R403" i="42"/>
  <c r="R407" i="42"/>
  <c r="R411" i="42"/>
  <c r="R415" i="42"/>
  <c r="R419" i="42"/>
  <c r="R423" i="42"/>
  <c r="R427" i="42"/>
  <c r="R431" i="42"/>
  <c r="R435" i="42"/>
  <c r="R439" i="42"/>
  <c r="R443" i="42"/>
  <c r="R447" i="42"/>
  <c r="R451" i="42"/>
  <c r="R455" i="42"/>
  <c r="R459" i="42"/>
  <c r="R463" i="42"/>
  <c r="R467" i="42"/>
  <c r="R471" i="42"/>
  <c r="R475" i="42"/>
  <c r="R479" i="42"/>
  <c r="R483" i="42"/>
  <c r="R487" i="42"/>
  <c r="R491" i="42"/>
  <c r="R495" i="42"/>
  <c r="R499" i="42"/>
  <c r="R503" i="42"/>
  <c r="R507" i="42"/>
  <c r="R511" i="42"/>
  <c r="R515" i="42"/>
  <c r="R519" i="42"/>
  <c r="R523" i="42"/>
  <c r="R527" i="42"/>
  <c r="R531" i="42"/>
  <c r="R535" i="42"/>
  <c r="R539" i="42"/>
  <c r="R543" i="42"/>
  <c r="R547" i="42"/>
  <c r="R551" i="42"/>
  <c r="R555" i="42"/>
  <c r="R559" i="42"/>
  <c r="R563" i="42"/>
  <c r="R567" i="42"/>
  <c r="R571" i="42"/>
  <c r="R575" i="42"/>
  <c r="R579" i="42"/>
  <c r="Q87" i="42"/>
  <c r="Q91" i="42"/>
  <c r="Q95" i="42"/>
  <c r="Q99" i="42"/>
  <c r="Q103" i="42"/>
  <c r="Q107" i="42"/>
  <c r="Q111" i="42"/>
  <c r="Q115" i="42"/>
  <c r="Q119" i="42"/>
  <c r="Q123" i="42"/>
  <c r="Q127" i="42"/>
  <c r="Q131" i="42"/>
  <c r="Q135" i="42"/>
  <c r="Q139" i="42"/>
  <c r="Q143" i="42"/>
  <c r="Q147" i="42"/>
  <c r="Q151" i="42"/>
  <c r="Q155" i="42"/>
  <c r="Q159" i="42"/>
  <c r="Q163" i="42"/>
  <c r="Q167" i="42"/>
  <c r="Q171" i="42"/>
  <c r="Q175" i="42"/>
  <c r="Q179" i="42"/>
  <c r="Q183" i="42"/>
  <c r="Q187" i="42"/>
  <c r="Q191" i="42"/>
  <c r="Q195" i="42"/>
  <c r="Q199" i="42"/>
  <c r="Q203" i="42"/>
  <c r="Q207" i="42"/>
  <c r="Q211" i="42"/>
  <c r="Q215" i="42"/>
  <c r="Q219" i="42"/>
  <c r="Q223" i="42"/>
  <c r="Q227" i="42"/>
  <c r="Q231" i="42"/>
  <c r="Q235" i="42"/>
  <c r="Q239" i="42"/>
  <c r="Q243" i="42"/>
  <c r="Q247" i="42"/>
  <c r="Q251" i="42"/>
  <c r="Q255" i="42"/>
  <c r="Q259" i="42"/>
  <c r="Q263" i="42"/>
  <c r="Q267" i="42"/>
  <c r="Q271" i="42"/>
  <c r="Q275" i="42"/>
  <c r="Q279" i="42"/>
  <c r="Q283" i="42"/>
  <c r="Q287" i="42"/>
  <c r="Q291" i="42"/>
  <c r="Q295" i="42"/>
  <c r="Q299" i="42"/>
  <c r="Q303" i="42"/>
  <c r="Q307" i="42"/>
  <c r="Q311" i="42"/>
  <c r="Q315" i="42"/>
  <c r="Q319" i="42"/>
  <c r="Q323" i="42"/>
  <c r="Q327" i="42"/>
  <c r="Q331" i="42"/>
  <c r="Q335" i="42"/>
  <c r="Q339" i="42"/>
  <c r="Q343" i="42"/>
  <c r="Q347" i="42"/>
  <c r="Q351" i="42"/>
  <c r="Q355" i="42"/>
  <c r="Q359" i="42"/>
  <c r="Q363" i="42"/>
  <c r="Q367" i="42"/>
  <c r="Q371" i="42"/>
  <c r="Q375" i="42"/>
  <c r="Q379" i="42"/>
  <c r="Q383" i="42"/>
  <c r="Q387" i="42"/>
  <c r="Q391" i="42"/>
  <c r="Q395" i="42"/>
  <c r="Q399" i="42"/>
  <c r="Q403" i="42"/>
  <c r="Q407" i="42"/>
  <c r="Q411" i="42"/>
  <c r="Q415" i="42"/>
  <c r="Q419" i="42"/>
  <c r="Q423" i="42"/>
  <c r="Q427" i="42"/>
  <c r="Q431" i="42"/>
  <c r="Q435" i="42"/>
  <c r="Q439" i="42"/>
  <c r="Q443" i="42"/>
  <c r="Q447" i="42"/>
  <c r="Q451" i="42"/>
  <c r="Q455" i="42"/>
  <c r="Q459" i="42"/>
  <c r="Q463" i="42"/>
  <c r="Q467" i="42"/>
  <c r="Q471" i="42"/>
  <c r="Q475" i="42"/>
  <c r="Q479" i="42"/>
  <c r="Q483" i="42"/>
  <c r="Q487" i="42"/>
  <c r="Q491" i="42"/>
  <c r="Q495" i="42"/>
  <c r="Q499" i="42"/>
  <c r="Q503" i="42"/>
  <c r="Q507" i="42"/>
  <c r="Q511" i="42"/>
  <c r="Q515" i="42"/>
  <c r="Q519" i="42"/>
  <c r="Q523" i="42"/>
  <c r="Q527" i="42"/>
  <c r="Q531" i="42"/>
  <c r="Q535" i="42"/>
  <c r="Q539" i="42"/>
  <c r="Q543" i="42"/>
  <c r="Q547" i="42"/>
  <c r="Q551" i="42"/>
  <c r="Q555" i="42"/>
  <c r="Q559" i="42"/>
  <c r="Q563" i="42"/>
  <c r="Q567" i="42"/>
  <c r="Q571" i="42"/>
  <c r="Q575" i="42"/>
  <c r="Q579" i="42"/>
  <c r="I18" i="39"/>
  <c r="E7" i="32"/>
  <c r="E26" i="32"/>
  <c r="E3" i="32"/>
  <c r="G2" i="40"/>
  <c r="E3" i="39"/>
  <c r="E16" i="32"/>
  <c r="G2" i="42"/>
  <c r="F7" i="32"/>
  <c r="F26" i="32"/>
  <c r="F3" i="32"/>
  <c r="J10" i="39"/>
  <c r="F3" i="39"/>
  <c r="F16" i="32"/>
  <c r="B7" i="32"/>
  <c r="C7" i="32" s="1"/>
  <c r="H7" i="32" s="1"/>
  <c r="B26" i="32"/>
  <c r="C26" i="32" s="1"/>
  <c r="H26" i="32" s="1"/>
  <c r="B3" i="32"/>
  <c r="C3" i="32" s="1"/>
  <c r="H3" i="32" s="1"/>
  <c r="G3" i="39"/>
  <c r="H3" i="39" s="1"/>
  <c r="J3" i="39" s="1"/>
  <c r="L3" i="39" s="1"/>
  <c r="K3" i="39"/>
  <c r="K10" i="39"/>
  <c r="B16" i="32"/>
  <c r="C16" i="32" s="1"/>
  <c r="H16" i="32" s="1"/>
  <c r="M10" i="39" l="1"/>
  <c r="N10" i="39"/>
  <c r="L10" i="39"/>
  <c r="M3" i="39"/>
  <c r="N3" i="39" s="1"/>
  <c r="O16" i="32"/>
  <c r="O3" i="32"/>
  <c r="E4" i="32"/>
  <c r="O26" i="32"/>
  <c r="O7" i="32"/>
  <c r="K2" i="42"/>
  <c r="N16" i="32"/>
  <c r="K2" i="40"/>
  <c r="N3" i="32"/>
  <c r="N26" i="32"/>
  <c r="N7" i="32"/>
  <c r="S579" i="42"/>
  <c r="S575" i="42"/>
  <c r="S571" i="42"/>
  <c r="S567" i="42"/>
  <c r="S563" i="42"/>
  <c r="S559" i="42"/>
  <c r="S555" i="42"/>
  <c r="S551" i="42"/>
  <c r="S547" i="42"/>
  <c r="S543" i="42"/>
  <c r="S539" i="42"/>
  <c r="S535" i="42"/>
  <c r="S531" i="42"/>
  <c r="S527" i="42"/>
  <c r="S523" i="42"/>
  <c r="S519" i="42"/>
  <c r="S515" i="42"/>
  <c r="S511" i="42"/>
  <c r="S507" i="42"/>
  <c r="S503" i="42"/>
  <c r="S499" i="42"/>
  <c r="S495" i="42"/>
  <c r="S491" i="42"/>
  <c r="S487" i="42"/>
  <c r="S483" i="42"/>
  <c r="S479" i="42"/>
  <c r="S475" i="42"/>
  <c r="S471" i="42"/>
  <c r="S467" i="42"/>
  <c r="S463" i="42"/>
  <c r="S459" i="42"/>
  <c r="S455" i="42"/>
  <c r="S451" i="42"/>
  <c r="S447" i="42"/>
  <c r="S443" i="42"/>
  <c r="S439" i="42"/>
  <c r="S435" i="42"/>
  <c r="S431" i="42"/>
  <c r="S427" i="42"/>
  <c r="S423" i="42"/>
  <c r="S419" i="42"/>
  <c r="S415" i="42"/>
  <c r="S411" i="42"/>
  <c r="S407" i="42"/>
  <c r="S403" i="42"/>
  <c r="S399" i="42"/>
  <c r="S395" i="42"/>
  <c r="S391" i="42"/>
  <c r="S387" i="42"/>
  <c r="S383" i="42"/>
  <c r="S379" i="42"/>
  <c r="S375" i="42"/>
  <c r="S371" i="42"/>
  <c r="S367" i="42"/>
  <c r="S363" i="42"/>
  <c r="S359" i="42"/>
  <c r="S355" i="42"/>
  <c r="S351" i="42"/>
  <c r="S347" i="42"/>
  <c r="S343" i="42"/>
  <c r="S339" i="42"/>
  <c r="S335" i="42"/>
  <c r="S331" i="42"/>
  <c r="S327" i="42"/>
  <c r="S323" i="42"/>
  <c r="S319" i="42"/>
  <c r="S315" i="42"/>
  <c r="S311" i="42"/>
  <c r="S307" i="42"/>
  <c r="S303" i="42"/>
  <c r="S299" i="42"/>
  <c r="S295" i="42"/>
  <c r="S291" i="42"/>
  <c r="S287" i="42"/>
  <c r="S283" i="42"/>
  <c r="S279" i="42"/>
  <c r="S275" i="42"/>
  <c r="S271" i="42"/>
  <c r="S267" i="42"/>
  <c r="S263" i="42"/>
  <c r="S259" i="42"/>
  <c r="S255" i="42"/>
  <c r="S251" i="42"/>
  <c r="S247" i="42"/>
  <c r="S243" i="42"/>
  <c r="S239" i="42"/>
  <c r="S235" i="42"/>
  <c r="S231" i="42"/>
  <c r="S227" i="42"/>
  <c r="S223" i="42"/>
  <c r="S219" i="42"/>
  <c r="S215" i="42"/>
  <c r="S211" i="42"/>
  <c r="S207" i="42"/>
  <c r="S203" i="42"/>
  <c r="S199" i="42"/>
  <c r="S195" i="42"/>
  <c r="S191" i="42"/>
  <c r="S187" i="42"/>
  <c r="S183" i="42"/>
  <c r="S179" i="42"/>
  <c r="S175" i="42"/>
  <c r="S171" i="42"/>
  <c r="S167" i="42"/>
  <c r="S163" i="42"/>
  <c r="S159" i="42"/>
  <c r="S155" i="42"/>
  <c r="S151" i="42"/>
  <c r="S147" i="42"/>
  <c r="S143" i="42"/>
  <c r="S139" i="42"/>
  <c r="S135" i="42"/>
  <c r="S131" i="42"/>
  <c r="S127" i="42"/>
  <c r="S123" i="42"/>
  <c r="S119" i="42"/>
  <c r="S115" i="42"/>
  <c r="S111" i="42"/>
  <c r="S107" i="42"/>
  <c r="S103" i="42"/>
  <c r="S99" i="42"/>
  <c r="S95" i="42"/>
  <c r="S91" i="42"/>
  <c r="S87" i="42"/>
  <c r="S578" i="42"/>
  <c r="S574" i="42"/>
  <c r="S570" i="42"/>
  <c r="S566" i="42"/>
  <c r="S562" i="42"/>
  <c r="S558" i="42"/>
  <c r="S554" i="42"/>
  <c r="S550" i="42"/>
  <c r="S546" i="42"/>
  <c r="S542" i="42"/>
  <c r="S538" i="42"/>
  <c r="S534" i="42"/>
  <c r="S530" i="42"/>
  <c r="S526" i="42"/>
  <c r="S522" i="42"/>
  <c r="S518" i="42"/>
  <c r="S514" i="42"/>
  <c r="S510" i="42"/>
  <c r="S506" i="42"/>
  <c r="S502" i="42"/>
  <c r="S498" i="42"/>
  <c r="S494" i="42"/>
  <c r="S490" i="42"/>
  <c r="S486" i="42"/>
  <c r="S482" i="42"/>
  <c r="S478" i="42"/>
  <c r="S474" i="42"/>
  <c r="S470" i="42"/>
  <c r="S466" i="42"/>
  <c r="S462" i="42"/>
  <c r="S458" i="42"/>
  <c r="S454" i="42"/>
  <c r="S450" i="42"/>
  <c r="S446" i="42"/>
  <c r="S442" i="42"/>
  <c r="S438" i="42"/>
  <c r="S434" i="42"/>
  <c r="S430" i="42"/>
  <c r="S426" i="42"/>
  <c r="S422" i="42"/>
  <c r="S418" i="42"/>
  <c r="S414" i="42"/>
  <c r="S410" i="42"/>
  <c r="S406" i="42"/>
  <c r="S402" i="42"/>
  <c r="S398" i="42"/>
  <c r="S394" i="42"/>
  <c r="S390" i="42"/>
  <c r="S386" i="42"/>
  <c r="S382" i="42"/>
  <c r="S378" i="42"/>
  <c r="S374" i="42"/>
  <c r="S370" i="42"/>
  <c r="S366" i="42"/>
  <c r="S362" i="42"/>
  <c r="S358" i="42"/>
  <c r="S354" i="42"/>
  <c r="S350" i="42"/>
  <c r="S346" i="42"/>
  <c r="S342" i="42"/>
  <c r="S338" i="42"/>
  <c r="S334" i="42"/>
  <c r="S330" i="42"/>
  <c r="S326" i="42"/>
  <c r="S322" i="42"/>
  <c r="S318" i="42"/>
  <c r="S314" i="42"/>
  <c r="S310" i="42"/>
  <c r="S306" i="42"/>
  <c r="S302" i="42"/>
  <c r="S298" i="42"/>
  <c r="S294" i="42"/>
  <c r="S290" i="42"/>
  <c r="S286" i="42"/>
  <c r="S282" i="42"/>
  <c r="S278" i="42"/>
  <c r="S274" i="42"/>
  <c r="S270" i="42"/>
  <c r="S266" i="42"/>
  <c r="S262" i="42"/>
  <c r="S258" i="42"/>
  <c r="S254" i="42"/>
  <c r="S250" i="42"/>
  <c r="S246" i="42"/>
  <c r="S242" i="42"/>
  <c r="S238" i="42"/>
  <c r="S234" i="42"/>
  <c r="S230" i="42"/>
  <c r="S226" i="42"/>
  <c r="S222" i="42"/>
  <c r="S218" i="42"/>
  <c r="S214" i="42"/>
  <c r="S210" i="42"/>
  <c r="S206" i="42"/>
  <c r="S202" i="42"/>
  <c r="S198" i="42"/>
  <c r="S194" i="42"/>
  <c r="S190" i="42"/>
  <c r="S186" i="42"/>
  <c r="S182" i="42"/>
  <c r="S178" i="42"/>
  <c r="S174" i="42"/>
  <c r="S170" i="42"/>
  <c r="S166" i="42"/>
  <c r="S162" i="42"/>
  <c r="S158" i="42"/>
  <c r="S154" i="42"/>
  <c r="S150" i="42"/>
  <c r="S146" i="42"/>
  <c r="S142" i="42"/>
  <c r="S138" i="42"/>
  <c r="S134" i="42"/>
  <c r="S130" i="42"/>
  <c r="S126" i="42"/>
  <c r="S122" i="42"/>
  <c r="S118" i="42"/>
  <c r="S114" i="42"/>
  <c r="S110" i="42"/>
  <c r="S106" i="42"/>
  <c r="S102" i="42"/>
  <c r="S581" i="42"/>
  <c r="S577" i="42"/>
  <c r="S573" i="42"/>
  <c r="S569" i="42"/>
  <c r="S565" i="42"/>
  <c r="S561" i="42"/>
  <c r="S557" i="42"/>
  <c r="S553" i="42"/>
  <c r="S549" i="42"/>
  <c r="S545" i="42"/>
  <c r="S541" i="42"/>
  <c r="S537" i="42"/>
  <c r="S533" i="42"/>
  <c r="S529" i="42"/>
  <c r="S525" i="42"/>
  <c r="S521" i="42"/>
  <c r="S517" i="42"/>
  <c r="S513" i="42"/>
  <c r="S509" i="42"/>
  <c r="S505" i="42"/>
  <c r="S501" i="42"/>
  <c r="S497" i="42"/>
  <c r="S493" i="42"/>
  <c r="S489" i="42"/>
  <c r="S485" i="42"/>
  <c r="S481" i="42"/>
  <c r="S477" i="42"/>
  <c r="S473" i="42"/>
  <c r="S469" i="42"/>
  <c r="S465" i="42"/>
  <c r="S461" i="42"/>
  <c r="S457" i="42"/>
  <c r="S453" i="42"/>
  <c r="S449" i="42"/>
  <c r="S445" i="42"/>
  <c r="S441" i="42"/>
  <c r="S437" i="42"/>
  <c r="S433" i="42"/>
  <c r="S429" i="42"/>
  <c r="S425" i="42"/>
  <c r="S421" i="42"/>
  <c r="S417" i="42"/>
  <c r="S413" i="42"/>
  <c r="S409" i="42"/>
  <c r="S405" i="42"/>
  <c r="S401" i="42"/>
  <c r="S397" i="42"/>
  <c r="S393" i="42"/>
  <c r="S389" i="42"/>
  <c r="S385" i="42"/>
  <c r="S381" i="42"/>
  <c r="S377" i="42"/>
  <c r="S373" i="42"/>
  <c r="S369" i="42"/>
  <c r="S365" i="42"/>
  <c r="S361" i="42"/>
  <c r="S357" i="42"/>
  <c r="S353" i="42"/>
  <c r="S349" i="42"/>
  <c r="S345" i="42"/>
  <c r="S341" i="42"/>
  <c r="S337" i="42"/>
  <c r="S312" i="42"/>
  <c r="S305" i="42"/>
  <c r="S280" i="42"/>
  <c r="S273" i="42"/>
  <c r="S248" i="42"/>
  <c r="S241" i="42"/>
  <c r="S216" i="42"/>
  <c r="S209" i="42"/>
  <c r="S184" i="42"/>
  <c r="S177" i="42"/>
  <c r="S152" i="42"/>
  <c r="S145" i="42"/>
  <c r="S120" i="42"/>
  <c r="S113" i="42"/>
  <c r="S80" i="42"/>
  <c r="S76" i="42"/>
  <c r="S72" i="42"/>
  <c r="S68" i="42"/>
  <c r="S64" i="42"/>
  <c r="S60" i="42"/>
  <c r="S56" i="42"/>
  <c r="S52" i="42"/>
  <c r="S48" i="42"/>
  <c r="S44" i="42"/>
  <c r="S40" i="42"/>
  <c r="S36" i="42"/>
  <c r="S32" i="42"/>
  <c r="S28" i="42"/>
  <c r="S24" i="42"/>
  <c r="S20" i="42"/>
  <c r="S16" i="42"/>
  <c r="S12" i="42"/>
  <c r="S8" i="42"/>
  <c r="S4" i="42"/>
  <c r="S580" i="42"/>
  <c r="S560" i="42"/>
  <c r="S544" i="42"/>
  <c r="S528" i="42"/>
  <c r="S512" i="42"/>
  <c r="S496" i="42"/>
  <c r="S480" i="42"/>
  <c r="S464" i="42"/>
  <c r="S448" i="42"/>
  <c r="S432" i="42"/>
  <c r="S416" i="42"/>
  <c r="S324" i="42"/>
  <c r="S317" i="42"/>
  <c r="S292" i="42"/>
  <c r="S285" i="42"/>
  <c r="S260" i="42"/>
  <c r="S253" i="42"/>
  <c r="S228" i="42"/>
  <c r="S221" i="42"/>
  <c r="S196" i="42"/>
  <c r="S189" i="42"/>
  <c r="S164" i="42"/>
  <c r="S157" i="42"/>
  <c r="S132" i="42"/>
  <c r="S125" i="42"/>
  <c r="S100" i="42"/>
  <c r="S94" i="42"/>
  <c r="S89" i="42"/>
  <c r="S84" i="42"/>
  <c r="E115" i="35"/>
  <c r="E45" i="35"/>
  <c r="E91" i="35"/>
  <c r="E100" i="35"/>
  <c r="E29" i="35"/>
  <c r="E111" i="35"/>
  <c r="E79" i="35"/>
  <c r="E22" i="35"/>
  <c r="E67" i="35"/>
  <c r="E86" i="35"/>
  <c r="E54" i="35"/>
  <c r="E51" i="35"/>
  <c r="E3" i="35"/>
  <c r="E84" i="35"/>
  <c r="E57" i="35"/>
  <c r="E121" i="35"/>
  <c r="E23" i="35"/>
  <c r="E4" i="35"/>
  <c r="E43" i="35"/>
  <c r="E109" i="35"/>
  <c r="E18" i="35"/>
  <c r="E127" i="35"/>
  <c r="E8" i="35"/>
  <c r="E31" i="35"/>
  <c r="E101" i="35"/>
  <c r="E112" i="35"/>
  <c r="E35" i="35"/>
  <c r="E9" i="35"/>
  <c r="E119" i="35"/>
  <c r="E40" i="35"/>
  <c r="E88" i="35"/>
  <c r="E102" i="35"/>
  <c r="E98" i="35"/>
  <c r="E60" i="35"/>
  <c r="E105" i="35"/>
  <c r="E106" i="35"/>
  <c r="E14" i="35"/>
  <c r="E46" i="35"/>
  <c r="E5" i="35"/>
  <c r="E39" i="35"/>
  <c r="E63" i="35"/>
  <c r="E19" i="35"/>
  <c r="E99" i="35"/>
  <c r="E70" i="35"/>
  <c r="E92" i="35"/>
  <c r="E56" i="35"/>
  <c r="E75" i="35"/>
  <c r="E117" i="35"/>
  <c r="E15" i="35"/>
  <c r="E24" i="35"/>
  <c r="E21" i="35"/>
  <c r="E71" i="35"/>
  <c r="E28" i="35"/>
  <c r="E89" i="35"/>
  <c r="E124" i="35"/>
  <c r="E114" i="35"/>
  <c r="E44" i="35"/>
  <c r="E26" i="35"/>
  <c r="E12" i="35"/>
  <c r="E116" i="35"/>
  <c r="E77" i="35"/>
  <c r="E61" i="35"/>
  <c r="E83" i="35"/>
  <c r="E113" i="35"/>
  <c r="E42" i="35"/>
  <c r="E36" i="35"/>
  <c r="E80" i="35"/>
  <c r="E25" i="35"/>
  <c r="E13" i="35"/>
  <c r="E10" i="35"/>
  <c r="E59" i="35"/>
  <c r="E94" i="35"/>
  <c r="E107" i="35"/>
  <c r="E33" i="35"/>
  <c r="E103" i="35"/>
  <c r="E87" i="35"/>
  <c r="E37" i="35"/>
  <c r="E123" i="35"/>
  <c r="E2" i="35"/>
  <c r="E50" i="35"/>
  <c r="E82" i="35"/>
  <c r="E41" i="35"/>
  <c r="E47" i="35"/>
  <c r="E17" i="35"/>
  <c r="E66" i="35"/>
  <c r="E20" i="35"/>
  <c r="E48" i="35"/>
  <c r="E76" i="35"/>
  <c r="E97" i="35"/>
  <c r="E110" i="35"/>
  <c r="E104" i="35"/>
  <c r="E27" i="35"/>
  <c r="E58" i="35"/>
  <c r="E30" i="35"/>
  <c r="E7" i="35"/>
  <c r="E11" i="35"/>
  <c r="E96" i="35"/>
  <c r="E118" i="35"/>
  <c r="E93" i="35"/>
  <c r="E108" i="35"/>
  <c r="E32" i="35"/>
  <c r="E49" i="35"/>
  <c r="E90" i="35"/>
  <c r="E38" i="35"/>
  <c r="E53" i="35"/>
  <c r="E78" i="35"/>
  <c r="E126" i="35"/>
  <c r="E81" i="35"/>
  <c r="E72" i="35"/>
  <c r="E6" i="35"/>
  <c r="E68" i="35"/>
  <c r="E69" i="35"/>
  <c r="E52" i="35"/>
  <c r="E85" i="35"/>
  <c r="E95" i="35"/>
  <c r="E73" i="35"/>
  <c r="E55" i="35"/>
  <c r="E65" i="35"/>
  <c r="E64" i="35"/>
  <c r="E74" i="35"/>
  <c r="E120" i="35"/>
  <c r="E125" i="35"/>
  <c r="E34" i="35"/>
  <c r="E62" i="35"/>
  <c r="E122" i="35"/>
  <c r="E16" i="35"/>
  <c r="I11" i="32"/>
  <c r="S576" i="42"/>
  <c r="S400" i="42"/>
  <c r="S392" i="42"/>
  <c r="S384" i="42"/>
  <c r="S376" i="42"/>
  <c r="S368" i="42"/>
  <c r="S360" i="42"/>
  <c r="S352" i="42"/>
  <c r="S344" i="42"/>
  <c r="S336" i="42"/>
  <c r="S329" i="42"/>
  <c r="S304" i="42"/>
  <c r="S297" i="42"/>
  <c r="S272" i="42"/>
  <c r="S265" i="42"/>
  <c r="S240" i="42"/>
  <c r="S233" i="42"/>
  <c r="S208" i="42"/>
  <c r="S201" i="42"/>
  <c r="S176" i="42"/>
  <c r="S169" i="42"/>
  <c r="S144" i="42"/>
  <c r="S137" i="42"/>
  <c r="S112" i="42"/>
  <c r="S105" i="42"/>
  <c r="S79" i="42"/>
  <c r="S75" i="42"/>
  <c r="S71" i="42"/>
  <c r="S67" i="42"/>
  <c r="S63" i="42"/>
  <c r="S59" i="42"/>
  <c r="S55" i="42"/>
  <c r="S51" i="42"/>
  <c r="S47" i="42"/>
  <c r="S43" i="42"/>
  <c r="S39" i="42"/>
  <c r="S35" i="42"/>
  <c r="S31" i="42"/>
  <c r="S27" i="42"/>
  <c r="S23" i="42"/>
  <c r="S19" i="42"/>
  <c r="S15" i="42"/>
  <c r="S11" i="42"/>
  <c r="S7" i="42"/>
  <c r="S3" i="42"/>
  <c r="S572" i="42"/>
  <c r="S556" i="42"/>
  <c r="S540" i="42"/>
  <c r="S524" i="42"/>
  <c r="S508" i="42"/>
  <c r="S492" i="42"/>
  <c r="S476" i="42"/>
  <c r="S460" i="42"/>
  <c r="S444" i="42"/>
  <c r="S428" i="42"/>
  <c r="S412" i="42"/>
  <c r="S316" i="42"/>
  <c r="S309" i="42"/>
  <c r="S284" i="42"/>
  <c r="S277" i="42"/>
  <c r="S252" i="42"/>
  <c r="S245" i="42"/>
  <c r="S220" i="42"/>
  <c r="S213" i="42"/>
  <c r="S188" i="42"/>
  <c r="S181" i="42"/>
  <c r="S156" i="42"/>
  <c r="S149" i="42"/>
  <c r="S328" i="42"/>
  <c r="S321" i="42"/>
  <c r="S296" i="42"/>
  <c r="S289" i="42"/>
  <c r="S264" i="42"/>
  <c r="S257" i="42"/>
  <c r="S232" i="42"/>
  <c r="S225" i="42"/>
  <c r="S200" i="42"/>
  <c r="S193" i="42"/>
  <c r="S168" i="42"/>
  <c r="S161" i="42"/>
  <c r="S136" i="42"/>
  <c r="S568" i="42"/>
  <c r="S552" i="42"/>
  <c r="S536" i="42"/>
  <c r="S520" i="42"/>
  <c r="S504" i="42"/>
  <c r="S488" i="42"/>
  <c r="S472" i="42"/>
  <c r="S456" i="42"/>
  <c r="S440" i="42"/>
  <c r="S424" i="42"/>
  <c r="S408" i="42"/>
  <c r="S333" i="42"/>
  <c r="S308" i="42"/>
  <c r="S301" i="42"/>
  <c r="S276" i="42"/>
  <c r="S269" i="42"/>
  <c r="S244" i="42"/>
  <c r="S237" i="42"/>
  <c r="S212" i="42"/>
  <c r="S205" i="42"/>
  <c r="S180" i="42"/>
  <c r="S173" i="42"/>
  <c r="S564" i="42"/>
  <c r="S500" i="42"/>
  <c r="S436" i="42"/>
  <c r="S325" i="42"/>
  <c r="S300" i="42"/>
  <c r="S197" i="42"/>
  <c r="S172" i="42"/>
  <c r="S148" i="42"/>
  <c r="S93" i="42"/>
  <c r="S78" i="42"/>
  <c r="S53" i="42"/>
  <c r="S46" i="42"/>
  <c r="S21" i="42"/>
  <c r="S14" i="42"/>
  <c r="S581" i="40"/>
  <c r="S574" i="40"/>
  <c r="S569" i="40"/>
  <c r="S563" i="40"/>
  <c r="S557" i="40"/>
  <c r="S546" i="40"/>
  <c r="S540" i="40"/>
  <c r="S534" i="40"/>
  <c r="S528" i="40"/>
  <c r="S516" i="40"/>
  <c r="S510" i="40"/>
  <c r="S503" i="40"/>
  <c r="S487" i="40"/>
  <c r="S474" i="40"/>
  <c r="S464" i="40"/>
  <c r="S459" i="40"/>
  <c r="S454" i="40"/>
  <c r="S449" i="40"/>
  <c r="S443" i="40"/>
  <c r="S432" i="40"/>
  <c r="S427" i="40"/>
  <c r="S417" i="40"/>
  <c r="S406" i="40"/>
  <c r="S395" i="40"/>
  <c r="S390" i="40"/>
  <c r="S383" i="40"/>
  <c r="S378" i="40"/>
  <c r="S372" i="40"/>
  <c r="S364" i="40"/>
  <c r="S358" i="40"/>
  <c r="S352" i="40"/>
  <c r="S347" i="40"/>
  <c r="S340" i="40"/>
  <c r="S333" i="40"/>
  <c r="S315" i="40"/>
  <c r="S310" i="40"/>
  <c r="S304" i="40"/>
  <c r="S298" i="40"/>
  <c r="S286" i="40"/>
  <c r="S279" i="40"/>
  <c r="S273" i="40"/>
  <c r="S265" i="40"/>
  <c r="S259" i="40"/>
  <c r="S253" i="40"/>
  <c r="S240" i="40"/>
  <c r="S229" i="40"/>
  <c r="S224" i="40"/>
  <c r="S218" i="40"/>
  <c r="S212" i="40"/>
  <c r="S206" i="40"/>
  <c r="S201" i="40"/>
  <c r="S196" i="40"/>
  <c r="S190" i="40"/>
  <c r="S183" i="40"/>
  <c r="S178" i="40"/>
  <c r="S170" i="40"/>
  <c r="S164" i="40"/>
  <c r="S158" i="40"/>
  <c r="S147" i="40"/>
  <c r="S140" i="40"/>
  <c r="S135" i="40"/>
  <c r="S129" i="40"/>
  <c r="S122" i="40"/>
  <c r="S115" i="40"/>
  <c r="S109" i="40"/>
  <c r="S102" i="40"/>
  <c r="S96" i="40"/>
  <c r="S90" i="40"/>
  <c r="S84" i="40"/>
  <c r="S77" i="40"/>
  <c r="S71" i="40"/>
  <c r="S60" i="40"/>
  <c r="S47" i="40"/>
  <c r="S40" i="40"/>
  <c r="S33" i="40"/>
  <c r="S27" i="40"/>
  <c r="S19" i="40"/>
  <c r="S12" i="40"/>
  <c r="S380" i="42"/>
  <c r="S348" i="42"/>
  <c r="S320" i="42"/>
  <c r="S217" i="42"/>
  <c r="S192" i="42"/>
  <c r="S133" i="42"/>
  <c r="S85" i="42"/>
  <c r="S65" i="42"/>
  <c r="S58" i="42"/>
  <c r="S33" i="42"/>
  <c r="S26" i="42"/>
  <c r="S2" i="42"/>
  <c r="S580" i="40"/>
  <c r="S562" i="40"/>
  <c r="S556" i="40"/>
  <c r="S551" i="40"/>
  <c r="S545" i="40"/>
  <c r="S533" i="40"/>
  <c r="S521" i="40"/>
  <c r="S515" i="40"/>
  <c r="S509" i="40"/>
  <c r="S502" i="40"/>
  <c r="S496" i="40"/>
  <c r="S491" i="40"/>
  <c r="S486" i="40"/>
  <c r="S480" i="40"/>
  <c r="S469" i="40"/>
  <c r="S458" i="40"/>
  <c r="S448" i="40"/>
  <c r="S442" i="40"/>
  <c r="S437" i="40"/>
  <c r="S431" i="40"/>
  <c r="S426" i="40"/>
  <c r="S421" i="40"/>
  <c r="S416" i="40"/>
  <c r="S411" i="40"/>
  <c r="S400" i="40"/>
  <c r="S394" i="40"/>
  <c r="S389" i="40"/>
  <c r="S377" i="40"/>
  <c r="S371" i="40"/>
  <c r="S363" i="40"/>
  <c r="S351" i="40"/>
  <c r="S346" i="40"/>
  <c r="S339" i="40"/>
  <c r="S332" i="40"/>
  <c r="S326" i="40"/>
  <c r="S320" i="40"/>
  <c r="S314" i="40"/>
  <c r="S309" i="40"/>
  <c r="S303" i="40"/>
  <c r="S297" i="40"/>
  <c r="S292" i="40"/>
  <c r="S278" i="40"/>
  <c r="S272" i="40"/>
  <c r="S264" i="40"/>
  <c r="S258" i="40"/>
  <c r="S252" i="40"/>
  <c r="S246" i="40"/>
  <c r="S239" i="40"/>
  <c r="S234" i="40"/>
  <c r="S223" i="40"/>
  <c r="S217" i="40"/>
  <c r="S195" i="40"/>
  <c r="S189" i="40"/>
  <c r="S177" i="40"/>
  <c r="S169" i="40"/>
  <c r="S163" i="40"/>
  <c r="S152" i="40"/>
  <c r="S146" i="40"/>
  <c r="S134" i="40"/>
  <c r="S128" i="40"/>
  <c r="S121" i="40"/>
  <c r="S114" i="40"/>
  <c r="S108" i="40"/>
  <c r="S101" i="40"/>
  <c r="S83" i="40"/>
  <c r="S76" i="40"/>
  <c r="S70" i="40"/>
  <c r="S65" i="40"/>
  <c r="S53" i="40"/>
  <c r="S46" i="40"/>
  <c r="S39" i="40"/>
  <c r="S26" i="40"/>
  <c r="S18" i="40"/>
  <c r="S11" i="40"/>
  <c r="K18" i="40"/>
  <c r="S548" i="42"/>
  <c r="S484" i="42"/>
  <c r="S420" i="42"/>
  <c r="S293" i="42"/>
  <c r="S268" i="42"/>
  <c r="S165" i="42"/>
  <c r="S121" i="42"/>
  <c r="S101" i="42"/>
  <c r="S92" i="42"/>
  <c r="S83" i="42"/>
  <c r="S77" i="42"/>
  <c r="S70" i="42"/>
  <c r="S45" i="42"/>
  <c r="S38" i="42"/>
  <c r="S13" i="42"/>
  <c r="S6" i="42"/>
  <c r="S585" i="40"/>
  <c r="S579" i="40"/>
  <c r="S573" i="40"/>
  <c r="S568" i="40"/>
  <c r="S561" i="40"/>
  <c r="S550" i="40"/>
  <c r="S544" i="40"/>
  <c r="S539" i="40"/>
  <c r="S527" i="40"/>
  <c r="S520" i="40"/>
  <c r="S514" i="40"/>
  <c r="S501" i="40"/>
  <c r="S490" i="40"/>
  <c r="S479" i="40"/>
  <c r="S473" i="40"/>
  <c r="S468" i="40"/>
  <c r="S463" i="40"/>
  <c r="S453" i="40"/>
  <c r="S447" i="40"/>
  <c r="S436" i="40"/>
  <c r="S420" i="40"/>
  <c r="S415" i="40"/>
  <c r="S410" i="40"/>
  <c r="S405" i="40"/>
  <c r="S399" i="40"/>
  <c r="S382" i="40"/>
  <c r="S370" i="40"/>
  <c r="S362" i="40"/>
  <c r="S357" i="40"/>
  <c r="S350" i="40"/>
  <c r="S345" i="40"/>
  <c r="S338" i="40"/>
  <c r="S331" i="40"/>
  <c r="S325" i="40"/>
  <c r="S319" i="40"/>
  <c r="S302" i="40"/>
  <c r="S291" i="40"/>
  <c r="S285" i="40"/>
  <c r="S277" i="40"/>
  <c r="S271" i="40"/>
  <c r="S263" i="40"/>
  <c r="S372" i="42"/>
  <c r="S340" i="42"/>
  <c r="S313" i="42"/>
  <c r="S288" i="42"/>
  <c r="S185" i="42"/>
  <c r="S160" i="42"/>
  <c r="S141" i="42"/>
  <c r="S129" i="42"/>
  <c r="S109" i="42"/>
  <c r="S98" i="42"/>
  <c r="S82" i="42"/>
  <c r="S57" i="42"/>
  <c r="S50" i="42"/>
  <c r="S25" i="42"/>
  <c r="S18" i="42"/>
  <c r="S532" i="42"/>
  <c r="S468" i="42"/>
  <c r="S404" i="42"/>
  <c r="S261" i="42"/>
  <c r="S236" i="42"/>
  <c r="S117" i="42"/>
  <c r="S90" i="42"/>
  <c r="S69" i="42"/>
  <c r="S62" i="42"/>
  <c r="S37" i="42"/>
  <c r="S30" i="42"/>
  <c r="S5" i="42"/>
  <c r="M7" i="39"/>
  <c r="N7" i="39" s="1"/>
  <c r="S396" i="42"/>
  <c r="S364" i="42"/>
  <c r="S281" i="42"/>
  <c r="S256" i="42"/>
  <c r="S140" i="42"/>
  <c r="S128" i="42"/>
  <c r="S108" i="42"/>
  <c r="S97" i="42"/>
  <c r="S88" i="42"/>
  <c r="S81" i="42"/>
  <c r="S74" i="42"/>
  <c r="S49" i="42"/>
  <c r="S42" i="42"/>
  <c r="S17" i="42"/>
  <c r="S10" i="42"/>
  <c r="M6" i="39"/>
  <c r="N6" i="39" s="1"/>
  <c r="S516" i="42"/>
  <c r="S452" i="42"/>
  <c r="S332" i="42"/>
  <c r="S229" i="42"/>
  <c r="S204" i="42"/>
  <c r="S153" i="42"/>
  <c r="S116" i="42"/>
  <c r="S388" i="42"/>
  <c r="S356" i="42"/>
  <c r="S249" i="42"/>
  <c r="S224" i="42"/>
  <c r="S124" i="42"/>
  <c r="S104" i="42"/>
  <c r="S96" i="42"/>
  <c r="S86" i="42"/>
  <c r="S73" i="42"/>
  <c r="S66" i="42"/>
  <c r="S54" i="42"/>
  <c r="S29" i="42"/>
  <c r="S572" i="40"/>
  <c r="S564" i="40"/>
  <c r="S543" i="40"/>
  <c r="S525" i="40"/>
  <c r="S517" i="40"/>
  <c r="S506" i="40"/>
  <c r="S495" i="40"/>
  <c r="S488" i="40"/>
  <c r="S470" i="40"/>
  <c r="S461" i="40"/>
  <c r="S452" i="40"/>
  <c r="S444" i="40"/>
  <c r="S402" i="40"/>
  <c r="S384" i="40"/>
  <c r="S361" i="40"/>
  <c r="S353" i="40"/>
  <c r="S343" i="40"/>
  <c r="S334" i="40"/>
  <c r="S323" i="40"/>
  <c r="S313" i="40"/>
  <c r="S305" i="40"/>
  <c r="S295" i="40"/>
  <c r="S287" i="40"/>
  <c r="S275" i="40"/>
  <c r="S262" i="40"/>
  <c r="S255" i="40"/>
  <c r="S245" i="40"/>
  <c r="S237" i="40"/>
  <c r="S231" i="40"/>
  <c r="S222" i="40"/>
  <c r="S215" i="40"/>
  <c r="S208" i="40"/>
  <c r="S200" i="40"/>
  <c r="S193" i="40"/>
  <c r="S185" i="40"/>
  <c r="S176" i="40"/>
  <c r="S166" i="40"/>
  <c r="S144" i="40"/>
  <c r="S136" i="40"/>
  <c r="S118" i="40"/>
  <c r="S110" i="40"/>
  <c r="S94" i="40"/>
  <c r="S86" i="40"/>
  <c r="S68" i="40"/>
  <c r="S62" i="40"/>
  <c r="S43" i="40"/>
  <c r="S25" i="40"/>
  <c r="S15" i="40"/>
  <c r="S7" i="40"/>
  <c r="C6" i="36"/>
  <c r="I3" i="32"/>
  <c r="J3" i="32" s="1"/>
  <c r="S3" i="40"/>
  <c r="K9" i="40"/>
  <c r="K15" i="40"/>
  <c r="E7" i="36"/>
  <c r="D5" i="36"/>
  <c r="C5" i="36"/>
  <c r="S32" i="40"/>
  <c r="K17" i="40"/>
  <c r="S329" i="40"/>
  <c r="S282" i="40"/>
  <c r="S242" i="40"/>
  <c r="S227" i="40"/>
  <c r="S173" i="40"/>
  <c r="S156" i="40"/>
  <c r="S132" i="40"/>
  <c r="S106" i="40"/>
  <c r="S66" i="40"/>
  <c r="S41" i="40"/>
  <c r="S13" i="40"/>
  <c r="D6" i="36"/>
  <c r="I7" i="32"/>
  <c r="J7" i="32" s="1"/>
  <c r="I25" i="32"/>
  <c r="S197" i="40"/>
  <c r="S162" i="40"/>
  <c r="S105" i="40"/>
  <c r="S72" i="40"/>
  <c r="S49" i="40"/>
  <c r="I21" i="32"/>
  <c r="S161" i="40"/>
  <c r="S123" i="40"/>
  <c r="S88" i="40"/>
  <c r="S30" i="40"/>
  <c r="K12" i="40"/>
  <c r="S565" i="40"/>
  <c r="S238" i="40"/>
  <c r="S179" i="40"/>
  <c r="S55" i="40"/>
  <c r="S29" i="40"/>
  <c r="S103" i="40"/>
  <c r="S54" i="40"/>
  <c r="S16" i="40"/>
  <c r="K16" i="40"/>
  <c r="K13" i="40"/>
  <c r="S582" i="40"/>
  <c r="S571" i="40"/>
  <c r="S553" i="40"/>
  <c r="S542" i="40"/>
  <c r="S535" i="40"/>
  <c r="S524" i="40"/>
  <c r="S513" i="40"/>
  <c r="S505" i="40"/>
  <c r="S494" i="40"/>
  <c r="S477" i="40"/>
  <c r="S460" i="40"/>
  <c r="S451" i="40"/>
  <c r="S434" i="40"/>
  <c r="S425" i="40"/>
  <c r="S418" i="40"/>
  <c r="S409" i="40"/>
  <c r="S401" i="40"/>
  <c r="S392" i="40"/>
  <c r="S374" i="40"/>
  <c r="S342" i="40"/>
  <c r="S330" i="40"/>
  <c r="S322" i="40"/>
  <c r="S294" i="40"/>
  <c r="S284" i="40"/>
  <c r="S274" i="40"/>
  <c r="S261" i="40"/>
  <c r="S254" i="40"/>
  <c r="S244" i="40"/>
  <c r="S230" i="40"/>
  <c r="S214" i="40"/>
  <c r="S207" i="40"/>
  <c r="S199" i="40"/>
  <c r="S192" i="40"/>
  <c r="S184" i="40"/>
  <c r="S175" i="40"/>
  <c r="S159" i="40"/>
  <c r="S151" i="40"/>
  <c r="S143" i="40"/>
  <c r="S127" i="40"/>
  <c r="S100" i="40"/>
  <c r="S93" i="40"/>
  <c r="S85" i="40"/>
  <c r="S75" i="40"/>
  <c r="S67" i="40"/>
  <c r="S61" i="40"/>
  <c r="S52" i="40"/>
  <c r="S34" i="40"/>
  <c r="S24" i="40"/>
  <c r="I16" i="32"/>
  <c r="J16" i="32" s="1"/>
  <c r="S6" i="40"/>
  <c r="I22" i="32"/>
  <c r="I23" i="32"/>
  <c r="I13" i="32"/>
  <c r="S59" i="40"/>
  <c r="S23" i="40"/>
  <c r="K20" i="40"/>
  <c r="C7" i="36"/>
  <c r="S341" i="40"/>
  <c r="S260" i="40"/>
  <c r="S235" i="40"/>
  <c r="S141" i="40"/>
  <c r="S116" i="40"/>
  <c r="S98" i="40"/>
  <c r="S73" i="40"/>
  <c r="S50" i="40"/>
  <c r="S31" i="40"/>
  <c r="S5" i="40"/>
  <c r="K11" i="40"/>
  <c r="D4" i="36"/>
  <c r="D7" i="36"/>
  <c r="K6" i="40"/>
  <c r="S204" i="40"/>
  <c r="S124" i="40"/>
  <c r="S89" i="40"/>
  <c r="S64" i="40"/>
  <c r="E5" i="36"/>
  <c r="K3" i="40"/>
  <c r="K4" i="40"/>
  <c r="S155" i="40"/>
  <c r="S131" i="40"/>
  <c r="S97" i="40"/>
  <c r="S37" i="40"/>
  <c r="I2" i="32"/>
  <c r="K14" i="40"/>
  <c r="C3" i="36"/>
  <c r="S575" i="40"/>
  <c r="S276" i="40"/>
  <c r="S232" i="40"/>
  <c r="S187" i="40"/>
  <c r="S168" i="40"/>
  <c r="S120" i="40"/>
  <c r="S36" i="40"/>
  <c r="S9" i="40"/>
  <c r="D3" i="36"/>
  <c r="K8" i="40"/>
  <c r="S216" i="40"/>
  <c r="S145" i="40"/>
  <c r="S111" i="40"/>
  <c r="S8" i="40"/>
  <c r="K7" i="40"/>
  <c r="S22" i="42"/>
  <c r="M5" i="39"/>
  <c r="N5" i="39" s="1"/>
  <c r="S578" i="40"/>
  <c r="S570" i="40"/>
  <c r="S560" i="40"/>
  <c r="S552" i="40"/>
  <c r="S532" i="40"/>
  <c r="S523" i="40"/>
  <c r="S504" i="40"/>
  <c r="S493" i="40"/>
  <c r="S485" i="40"/>
  <c r="S476" i="40"/>
  <c r="S467" i="40"/>
  <c r="S441" i="40"/>
  <c r="S424" i="40"/>
  <c r="S408" i="40"/>
  <c r="S398" i="40"/>
  <c r="S391" i="40"/>
  <c r="S381" i="40"/>
  <c r="S373" i="40"/>
  <c r="S360" i="40"/>
  <c r="S321" i="40"/>
  <c r="S312" i="40"/>
  <c r="S301" i="40"/>
  <c r="S283" i="40"/>
  <c r="S251" i="40"/>
  <c r="S243" i="40"/>
  <c r="S236" i="40"/>
  <c r="S228" i="40"/>
  <c r="S221" i="40"/>
  <c r="S213" i="40"/>
  <c r="S205" i="40"/>
  <c r="S198" i="40"/>
  <c r="S191" i="40"/>
  <c r="S182" i="40"/>
  <c r="S174" i="40"/>
  <c r="S165" i="40"/>
  <c r="S157" i="40"/>
  <c r="S150" i="40"/>
  <c r="S142" i="40"/>
  <c r="S133" i="40"/>
  <c r="S126" i="40"/>
  <c r="S117" i="40"/>
  <c r="S107" i="40"/>
  <c r="S99" i="40"/>
  <c r="S92" i="40"/>
  <c r="S82" i="40"/>
  <c r="S74" i="40"/>
  <c r="S51" i="40"/>
  <c r="S42" i="40"/>
  <c r="S14" i="40"/>
  <c r="C4" i="36"/>
  <c r="I14" i="32"/>
  <c r="K19" i="40"/>
  <c r="S318" i="40"/>
  <c r="S270" i="40"/>
  <c r="S149" i="40"/>
  <c r="S125" i="40"/>
  <c r="S91" i="40"/>
  <c r="S58" i="40"/>
  <c r="S22" i="40"/>
  <c r="I26" i="32"/>
  <c r="J26" i="32" s="1"/>
  <c r="S181" i="40"/>
  <c r="S139" i="40"/>
  <c r="S81" i="40"/>
  <c r="S57" i="40"/>
  <c r="S21" i="40"/>
  <c r="I20" i="32"/>
  <c r="I12" i="32"/>
  <c r="E3" i="36"/>
  <c r="S180" i="40"/>
  <c r="S104" i="40"/>
  <c r="S80" i="40"/>
  <c r="S48" i="40"/>
  <c r="S20" i="40"/>
  <c r="I24" i="32"/>
  <c r="S537" i="40"/>
  <c r="S209" i="40"/>
  <c r="S154" i="40"/>
  <c r="S112" i="40"/>
  <c r="S63" i="40"/>
  <c r="S17" i="40"/>
  <c r="S202" i="40"/>
  <c r="E4" i="36"/>
  <c r="S4" i="40"/>
  <c r="S577" i="40"/>
  <c r="S559" i="40"/>
  <c r="S541" i="40"/>
  <c r="S531" i="40"/>
  <c r="S522" i="40"/>
  <c r="S512" i="40"/>
  <c r="S484" i="40"/>
  <c r="S475" i="40"/>
  <c r="S466" i="40"/>
  <c r="S457" i="40"/>
  <c r="S450" i="40"/>
  <c r="S440" i="40"/>
  <c r="S433" i="40"/>
  <c r="S380" i="40"/>
  <c r="S369" i="40"/>
  <c r="S359" i="40"/>
  <c r="S349" i="40"/>
  <c r="S311" i="40"/>
  <c r="S293" i="40"/>
  <c r="K10" i="40"/>
  <c r="S413" i="40"/>
  <c r="S376" i="40"/>
  <c r="S335" i="40"/>
  <c r="S225" i="40"/>
  <c r="S69" i="40"/>
  <c r="I15" i="32"/>
  <c r="S44" i="40"/>
  <c r="I19" i="32"/>
  <c r="S567" i="40"/>
  <c r="S558" i="40"/>
  <c r="S549" i="40"/>
  <c r="S530" i="40"/>
  <c r="S500" i="40"/>
  <c r="S492" i="40"/>
  <c r="S483" i="40"/>
  <c r="S472" i="40"/>
  <c r="S456" i="40"/>
  <c r="S430" i="40"/>
  <c r="S423" i="40"/>
  <c r="S414" i="40"/>
  <c r="S407" i="40"/>
  <c r="S397" i="40"/>
  <c r="S388" i="40"/>
  <c r="S368" i="40"/>
  <c r="S337" i="40"/>
  <c r="S328" i="40"/>
  <c r="S300" i="40"/>
  <c r="S290" i="40"/>
  <c r="S281" i="40"/>
  <c r="S269" i="40"/>
  <c r="S250" i="40"/>
  <c r="S233" i="40"/>
  <c r="S226" i="40"/>
  <c r="S220" i="40"/>
  <c r="S211" i="40"/>
  <c r="S188" i="40"/>
  <c r="S172" i="40"/>
  <c r="S38" i="40"/>
  <c r="S2" i="40"/>
  <c r="S10" i="40"/>
  <c r="K5" i="40"/>
  <c r="S518" i="40"/>
  <c r="S455" i="40"/>
  <c r="S386" i="40"/>
  <c r="S355" i="40"/>
  <c r="S307" i="40"/>
  <c r="S248" i="40"/>
  <c r="S137" i="40"/>
  <c r="S79" i="40"/>
  <c r="S186" i="40"/>
  <c r="S41" i="42"/>
  <c r="S584" i="40"/>
  <c r="S576" i="40"/>
  <c r="S566" i="40"/>
  <c r="S548" i="40"/>
  <c r="S538" i="40"/>
  <c r="S519" i="40"/>
  <c r="S511" i="40"/>
  <c r="S499" i="40"/>
  <c r="S482" i="40"/>
  <c r="S465" i="40"/>
  <c r="S446" i="40"/>
  <c r="S439" i="40"/>
  <c r="S422" i="40"/>
  <c r="S404" i="40"/>
  <c r="S387" i="40"/>
  <c r="S379" i="40"/>
  <c r="S367" i="40"/>
  <c r="S356" i="40"/>
  <c r="S348" i="40"/>
  <c r="S336" i="40"/>
  <c r="S327" i="40"/>
  <c r="S317" i="40"/>
  <c r="S308" i="40"/>
  <c r="S299" i="40"/>
  <c r="S289" i="40"/>
  <c r="S280" i="40"/>
  <c r="S268" i="40"/>
  <c r="S257" i="40"/>
  <c r="S249" i="40"/>
  <c r="S241" i="40"/>
  <c r="S219" i="40"/>
  <c r="S210" i="40"/>
  <c r="S203" i="40"/>
  <c r="S171" i="40"/>
  <c r="S148" i="40"/>
  <c r="S138" i="40"/>
  <c r="S113" i="40"/>
  <c r="S56" i="40"/>
  <c r="I27" i="32"/>
  <c r="S529" i="40"/>
  <c r="S438" i="40"/>
  <c r="S403" i="40"/>
  <c r="S366" i="40"/>
  <c r="S130" i="40"/>
  <c r="S45" i="40"/>
  <c r="E6" i="36"/>
  <c r="S167" i="40"/>
  <c r="S78" i="40"/>
  <c r="I6" i="32"/>
  <c r="S61" i="42"/>
  <c r="S555" i="40"/>
  <c r="S508" i="40"/>
  <c r="S498" i="40"/>
  <c r="S489" i="40"/>
  <c r="S481" i="40"/>
  <c r="S471" i="40"/>
  <c r="S462" i="40"/>
  <c r="S429" i="40"/>
  <c r="S396" i="40"/>
  <c r="S267" i="40"/>
  <c r="S194" i="40"/>
  <c r="S95" i="40"/>
  <c r="S153" i="40"/>
  <c r="S35" i="40"/>
  <c r="S34" i="42"/>
  <c r="S9" i="42"/>
  <c r="I10" i="32"/>
  <c r="S583" i="40"/>
  <c r="S554" i="40"/>
  <c r="S547" i="40"/>
  <c r="S536" i="40"/>
  <c r="S526" i="40"/>
  <c r="S507" i="40"/>
  <c r="S497" i="40"/>
  <c r="S478" i="40"/>
  <c r="S445" i="40"/>
  <c r="S435" i="40"/>
  <c r="S428" i="40"/>
  <c r="S419" i="40"/>
  <c r="S412" i="40"/>
  <c r="S393" i="40"/>
  <c r="S385" i="40"/>
  <c r="S375" i="40"/>
  <c r="S365" i="40"/>
  <c r="S354" i="40"/>
  <c r="S344" i="40"/>
  <c r="S324" i="40"/>
  <c r="S316" i="40"/>
  <c r="S306" i="40"/>
  <c r="S296" i="40"/>
  <c r="S288" i="40"/>
  <c r="S266" i="40"/>
  <c r="S256" i="40"/>
  <c r="S247" i="40"/>
  <c r="S160" i="40"/>
  <c r="S119" i="40"/>
  <c r="S87" i="40"/>
  <c r="S28" i="40"/>
  <c r="K11" i="42"/>
  <c r="K10" i="42"/>
  <c r="K3" i="42"/>
  <c r="K9" i="42"/>
  <c r="K8" i="42"/>
  <c r="K7" i="42"/>
  <c r="K6" i="42"/>
  <c r="K5" i="42"/>
  <c r="K4" i="42"/>
  <c r="H22" i="36"/>
  <c r="H15" i="36"/>
  <c r="H39" i="36"/>
  <c r="H53" i="36"/>
  <c r="H48" i="36"/>
  <c r="H40" i="36"/>
  <c r="H24" i="36"/>
  <c r="H19" i="36"/>
  <c r="H32" i="36"/>
  <c r="H35" i="36"/>
  <c r="H16" i="36"/>
  <c r="H31" i="36"/>
  <c r="H29" i="36"/>
  <c r="H49" i="36"/>
  <c r="H58" i="36"/>
  <c r="H54" i="36"/>
  <c r="H47" i="36"/>
  <c r="H23" i="36"/>
  <c r="H26" i="36"/>
  <c r="H13" i="36"/>
  <c r="H34" i="36"/>
  <c r="H33" i="36"/>
  <c r="H42" i="36"/>
  <c r="H30" i="36"/>
  <c r="H28" i="36"/>
  <c r="H46" i="36"/>
  <c r="H44" i="36"/>
  <c r="H41" i="36"/>
  <c r="H57" i="36"/>
  <c r="H37" i="36"/>
  <c r="H55" i="36"/>
  <c r="H17" i="36"/>
  <c r="H14" i="36"/>
  <c r="H18" i="36"/>
  <c r="H50" i="36"/>
  <c r="H27" i="36"/>
  <c r="H20" i="36"/>
  <c r="H21" i="36"/>
  <c r="H45" i="36"/>
  <c r="H51" i="36"/>
  <c r="H11" i="36"/>
  <c r="H12" i="36"/>
  <c r="H52" i="36"/>
  <c r="H36" i="36"/>
  <c r="H56" i="36"/>
  <c r="H59" i="36"/>
  <c r="H25" i="36"/>
  <c r="H43" i="36"/>
  <c r="H38" i="36"/>
  <c r="T3" i="39" a="1"/>
  <c r="T9" i="39" a="1"/>
  <c r="H31" i="32"/>
  <c r="S3" i="39" a="1"/>
  <c r="F5" i="36"/>
  <c r="F7" i="36"/>
  <c r="U3" i="39" a="1"/>
  <c r="U9" i="39" a="1"/>
  <c r="U13" i="39" a="1"/>
  <c r="F3" i="36"/>
  <c r="F6" i="36"/>
  <c r="F4" i="36"/>
  <c r="I31" i="32"/>
  <c r="B4" i="32"/>
  <c r="C4" i="32" s="1"/>
  <c r="H4" i="32" s="1"/>
  <c r="I32" i="32" l="1"/>
  <c r="U13" i="39"/>
  <c r="AA13" i="39" s="1"/>
  <c r="U9" i="39"/>
  <c r="U10" i="39"/>
  <c r="U3" i="39"/>
  <c r="U5" i="39"/>
  <c r="U4" i="39"/>
  <c r="S5" i="39"/>
  <c r="S4" i="39"/>
  <c r="S3" i="39"/>
  <c r="H32" i="32"/>
  <c r="T9" i="39"/>
  <c r="T10" i="39"/>
  <c r="T4" i="39"/>
  <c r="T5" i="39"/>
  <c r="T3" i="39"/>
  <c r="T26" i="32"/>
  <c r="U26" i="32"/>
  <c r="P26" i="32"/>
  <c r="N4" i="32"/>
  <c r="P3" i="32"/>
  <c r="T3" i="32"/>
  <c r="U3" i="32"/>
  <c r="P16" i="32"/>
  <c r="U16" i="32"/>
  <c r="T16" i="32"/>
  <c r="J24" i="32"/>
  <c r="J13" i="32"/>
  <c r="J10" i="32"/>
  <c r="J19" i="32"/>
  <c r="J20" i="32"/>
  <c r="G4" i="32"/>
  <c r="I4" i="32" s="1"/>
  <c r="J21" i="32"/>
  <c r="J14" i="32"/>
  <c r="J11" i="32"/>
  <c r="J22" i="32"/>
  <c r="J23" i="32"/>
  <c r="J27" i="32"/>
  <c r="U7" i="32"/>
  <c r="T7" i="32"/>
  <c r="P7" i="32"/>
  <c r="Y18" i="32" a="1"/>
  <c r="K12" i="32"/>
  <c r="L12" i="32" s="1"/>
  <c r="K13" i="32"/>
  <c r="L13" i="32" s="1"/>
  <c r="K10" i="32"/>
  <c r="L10" i="32" s="1"/>
  <c r="K14" i="32"/>
  <c r="L14" i="32" s="1"/>
  <c r="K11" i="32"/>
  <c r="L11" i="32" s="1"/>
  <c r="X18" i="32" a="1"/>
  <c r="K27" i="32"/>
  <c r="Z9" i="32" a="1"/>
  <c r="AD9" i="32" a="1"/>
  <c r="AD18" i="32" a="1"/>
  <c r="Z18" i="32" a="1"/>
  <c r="Y9" i="32" a="1"/>
  <c r="K24" i="32"/>
  <c r="L24" i="32" s="1"/>
  <c r="K19" i="32"/>
  <c r="K20" i="32"/>
  <c r="L20" i="32" s="1"/>
  <c r="K21" i="32"/>
  <c r="L21" i="32" s="1"/>
  <c r="K22" i="32"/>
  <c r="L22" i="32" s="1"/>
  <c r="K23" i="32"/>
  <c r="L23" i="32" s="1"/>
  <c r="X9" i="32" a="1"/>
  <c r="L19" i="32"/>
  <c r="X11" i="32" l="1"/>
  <c r="X10" i="32"/>
  <c r="X9" i="32"/>
  <c r="P31" i="32"/>
  <c r="Y10" i="32"/>
  <c r="Y9" i="32"/>
  <c r="Y11" i="32"/>
  <c r="Z20" i="32"/>
  <c r="Z19" i="32"/>
  <c r="Z18" i="32"/>
  <c r="AD19" i="32"/>
  <c r="AD20" i="32"/>
  <c r="AD18" i="32"/>
  <c r="AD9" i="32"/>
  <c r="AD11" i="32"/>
  <c r="AD10" i="32"/>
  <c r="Z11" i="32"/>
  <c r="Z9" i="32"/>
  <c r="Z10" i="32"/>
  <c r="K26" i="32"/>
  <c r="Q31" i="32" s="1"/>
  <c r="X20" i="32"/>
  <c r="X18" i="32"/>
  <c r="X19" i="32"/>
  <c r="Y20" i="32"/>
  <c r="Y18" i="32"/>
  <c r="Y19" i="32"/>
  <c r="J4" i="32"/>
  <c r="U4" i="32"/>
  <c r="P4" i="32"/>
  <c r="T4" i="32"/>
  <c r="AA9" i="39" a="1"/>
  <c r="AC59" i="32"/>
  <c r="AC81" i="32"/>
  <c r="AC74" i="32"/>
  <c r="AC56" i="32"/>
  <c r="AC50" i="32"/>
  <c r="AC72" i="32"/>
  <c r="AC47" i="32"/>
  <c r="AC84" i="32"/>
  <c r="AC43" i="32"/>
  <c r="AC79" i="32"/>
  <c r="AC76" i="32"/>
  <c r="AC32" i="32"/>
  <c r="AC36" i="32"/>
  <c r="AC92" i="32"/>
  <c r="AC45" i="32"/>
  <c r="AC48" i="32"/>
  <c r="AC37" i="32"/>
  <c r="AC86" i="32"/>
  <c r="AC71" i="32"/>
  <c r="AC88" i="32"/>
  <c r="AC51" i="32"/>
  <c r="AC78" i="32"/>
  <c r="AC52" i="32"/>
  <c r="AC93" i="32"/>
  <c r="AC66" i="32"/>
  <c r="AC83" i="32"/>
  <c r="AC95" i="32"/>
  <c r="AC67" i="32"/>
  <c r="AC31" i="32"/>
  <c r="AC55" i="32"/>
  <c r="AC30" i="32"/>
  <c r="AC68" i="32"/>
  <c r="AC49" i="32"/>
  <c r="AC64" i="32"/>
  <c r="AC65" i="32"/>
  <c r="AC34" i="32"/>
  <c r="AC44" i="32"/>
  <c r="AC87" i="32"/>
  <c r="AC35" i="32"/>
  <c r="AC85" i="32"/>
  <c r="AC41" i="32"/>
  <c r="AC94" i="32"/>
  <c r="AC38" i="32"/>
  <c r="AC33" i="32"/>
  <c r="AC54" i="32"/>
  <c r="AC57" i="32"/>
  <c r="AC90" i="32"/>
  <c r="AC82" i="32"/>
  <c r="AC77" i="32"/>
  <c r="AC73" i="32"/>
  <c r="AC91" i="32"/>
  <c r="AC80" i="32"/>
  <c r="AC39" i="32"/>
  <c r="AC61" i="32"/>
  <c r="AC69" i="32"/>
  <c r="AC46" i="32"/>
  <c r="AC96" i="32"/>
  <c r="AC75" i="32"/>
  <c r="AC53" i="32"/>
  <c r="AC70" i="32"/>
  <c r="AC40" i="32"/>
  <c r="AC62" i="32"/>
  <c r="AC89" i="32"/>
  <c r="AC60" i="32"/>
  <c r="AC58" i="32"/>
  <c r="AC63" i="32"/>
  <c r="AC42" i="32"/>
  <c r="AA3" i="39" a="1"/>
  <c r="K4" i="32"/>
  <c r="N31" i="32" l="1"/>
  <c r="K3" i="32"/>
  <c r="AC4" i="39"/>
  <c r="AC3" i="39"/>
  <c r="AC5" i="39"/>
  <c r="AA3" i="39"/>
  <c r="AB3" i="39"/>
  <c r="AA5" i="39"/>
  <c r="AB5" i="39"/>
  <c r="AB4" i="39"/>
  <c r="AA4" i="39"/>
  <c r="AA9" i="39"/>
  <c r="AB10" i="39"/>
  <c r="AA10" i="39"/>
  <c r="AB9" i="39"/>
  <c r="AF9" i="32" a="1"/>
  <c r="AF18" i="32" a="1"/>
  <c r="AH19" i="32" l="1"/>
  <c r="AF18" i="32"/>
  <c r="AG20" i="32"/>
  <c r="AG19" i="32"/>
  <c r="AH20" i="32"/>
  <c r="AG18" i="32"/>
  <c r="AF19" i="32"/>
  <c r="AF20" i="32"/>
  <c r="AH18" i="32"/>
  <c r="AH9" i="32"/>
  <c r="AH10" i="32"/>
  <c r="AF9" i="32"/>
  <c r="AF10" i="32"/>
  <c r="AF11" i="32"/>
  <c r="AH11" i="32"/>
  <c r="AG9" i="32"/>
  <c r="AG10" i="32"/>
  <c r="AG11" i="32"/>
  <c r="AB18" i="32" l="1" a="1"/>
  <c r="AB9" i="32" a="1"/>
  <c r="AB9" i="32" l="1"/>
  <c r="AB11" i="32"/>
  <c r="T32" i="32" s="1"/>
  <c r="AB10" i="32"/>
  <c r="T31" i="32" s="1"/>
  <c r="AB18" i="32"/>
  <c r="AB19" i="32"/>
  <c r="U31" i="32" s="1"/>
  <c r="AB20" i="32"/>
  <c r="U32" i="32" s="1"/>
  <c r="T30" i="32" l="1"/>
  <c r="AE49" i="32" s="1"/>
  <c r="AJ9" i="32" a="1"/>
  <c r="U30" i="32"/>
  <c r="AJ18" i="32" a="1"/>
  <c r="AE63" i="32" l="1"/>
  <c r="AE54" i="32"/>
  <c r="AE65" i="32"/>
  <c r="AE39" i="32"/>
  <c r="AE82" i="32"/>
  <c r="AE84" i="32"/>
  <c r="AE67" i="32"/>
  <c r="AE72" i="32"/>
  <c r="AE66" i="32"/>
  <c r="AE68" i="32"/>
  <c r="AE80" i="32"/>
  <c r="AE60" i="32"/>
  <c r="AE37" i="32"/>
  <c r="AE91" i="32"/>
  <c r="AE59" i="32"/>
  <c r="AE88" i="32"/>
  <c r="AE43" i="32"/>
  <c r="AE92" i="32"/>
  <c r="AE81" i="32"/>
  <c r="AE34" i="32"/>
  <c r="AE90" i="32"/>
  <c r="AE93" i="32"/>
  <c r="AE96" i="32"/>
  <c r="AE31" i="32"/>
  <c r="AE50" i="32"/>
  <c r="AE89" i="32"/>
  <c r="AE44" i="32"/>
  <c r="AE83" i="32"/>
  <c r="AE75" i="32"/>
  <c r="AE61" i="32"/>
  <c r="AE46" i="32"/>
  <c r="AJ20" i="32"/>
  <c r="AJ18" i="32"/>
  <c r="AJ19" i="32"/>
  <c r="T35" i="32"/>
  <c r="T37" i="32"/>
  <c r="T34" i="32"/>
  <c r="T40" i="32"/>
  <c r="T39" i="32"/>
  <c r="T36" i="32"/>
  <c r="T38" i="32"/>
  <c r="AE85" i="32"/>
  <c r="AE56" i="32"/>
  <c r="AE41" i="32"/>
  <c r="AE78" i="32"/>
  <c r="AE95" i="32"/>
  <c r="AE70" i="32"/>
  <c r="AE42" i="32"/>
  <c r="AE53" i="32"/>
  <c r="AE35" i="32"/>
  <c r="AE55" i="32"/>
  <c r="AE69" i="32"/>
  <c r="AE94" i="32"/>
  <c r="AE38" i="32"/>
  <c r="AE51" i="32"/>
  <c r="AE47" i="32"/>
  <c r="AE62" i="32"/>
  <c r="AE87" i="32"/>
  <c r="AE30" i="32"/>
  <c r="AE48" i="32"/>
  <c r="AE40" i="32"/>
  <c r="AE52" i="32"/>
  <c r="AE57" i="32"/>
  <c r="AE71" i="32"/>
  <c r="U40" i="32"/>
  <c r="P40" i="32" s="1"/>
  <c r="I40" i="32" s="1"/>
  <c r="U36" i="32"/>
  <c r="P36" i="32" s="1"/>
  <c r="I36" i="32" s="1"/>
  <c r="U34" i="32"/>
  <c r="P34" i="32" s="1"/>
  <c r="I34" i="32" s="1"/>
  <c r="U43" i="32"/>
  <c r="P43" i="32" s="1"/>
  <c r="I43" i="32" s="1"/>
  <c r="U38" i="32"/>
  <c r="P38" i="32" s="1"/>
  <c r="I38" i="32" s="1"/>
  <c r="U37" i="32"/>
  <c r="P37" i="32" s="1"/>
  <c r="I37" i="32" s="1"/>
  <c r="U41" i="32"/>
  <c r="P41" i="32" s="1"/>
  <c r="I41" i="32" s="1"/>
  <c r="U39" i="32"/>
  <c r="P39" i="32" s="1"/>
  <c r="I39" i="32" s="1"/>
  <c r="U42" i="32"/>
  <c r="P42" i="32" s="1"/>
  <c r="I42" i="32" s="1"/>
  <c r="U35" i="32"/>
  <c r="P35" i="32" s="1"/>
  <c r="I35" i="32" s="1"/>
  <c r="AJ10" i="32"/>
  <c r="AJ11" i="32"/>
  <c r="AJ9" i="32"/>
  <c r="AE58" i="32"/>
  <c r="AE73" i="32"/>
  <c r="AE76" i="32"/>
  <c r="AE74" i="32"/>
  <c r="AE79" i="32"/>
  <c r="AE77" i="32"/>
  <c r="AE32" i="32"/>
  <c r="AE36" i="32"/>
  <c r="AE45" i="32"/>
  <c r="AE64" i="32"/>
  <c r="AE33" i="32"/>
  <c r="AE86" i="32"/>
  <c r="G31" i="32" l="1"/>
  <c r="G32" i="32"/>
  <c r="K9" i="32"/>
  <c r="D43" i="29"/>
  <c r="O31" i="32"/>
  <c r="J31" i="32"/>
  <c r="L9" i="32"/>
  <c r="O32" i="32"/>
  <c r="O37" i="32"/>
  <c r="H37" i="32" s="1"/>
  <c r="O35" i="32"/>
  <c r="H35" i="32" s="1"/>
  <c r="O39" i="32"/>
  <c r="H39" i="32" s="1"/>
  <c r="J32" i="32"/>
  <c r="K18" i="32"/>
  <c r="O36" i="32"/>
  <c r="O38" i="32"/>
  <c r="H38" i="32" s="1"/>
  <c r="O34" i="32"/>
  <c r="D44" i="29"/>
  <c r="L3" i="32"/>
  <c r="L4" i="32"/>
  <c r="L27" i="32"/>
  <c r="L26" i="32"/>
  <c r="Q32" i="32"/>
  <c r="N32" i="32"/>
  <c r="N38" i="32" s="1"/>
  <c r="G38" i="32" s="1"/>
  <c r="J7" i="33" s="1"/>
  <c r="H13" i="39"/>
  <c r="N4" i="39"/>
  <c r="Y3" i="39" a="1"/>
  <c r="Y4" i="39"/>
  <c r="Y5" i="39"/>
  <c r="Y3" i="39"/>
  <c r="Y9" i="39" a="1"/>
  <c r="Y13" i="39"/>
  <c r="Y9" i="39"/>
  <c r="Y10" i="39"/>
  <c r="H36" i="32"/>
  <c r="H34" i="32"/>
  <c r="AD36" i="32"/>
  <c r="AD31" i="32"/>
  <c r="AD95" i="32"/>
  <c r="AD35" i="32"/>
  <c r="AD92" i="32"/>
  <c r="AD50" i="32"/>
  <c r="AD43" i="32"/>
  <c r="AD47" i="32"/>
  <c r="AD84" i="32"/>
  <c r="AD34" i="32"/>
  <c r="AD77" i="32"/>
  <c r="AD30" i="32"/>
  <c r="AD75" i="32"/>
  <c r="AD40" i="32"/>
  <c r="AD85" i="32"/>
  <c r="AD32" i="32"/>
  <c r="AD76" i="32"/>
  <c r="AD67" i="32"/>
  <c r="AD87" i="32"/>
  <c r="AD80" i="32"/>
  <c r="AD78" i="32"/>
  <c r="AD74" i="32"/>
  <c r="AD49" i="32"/>
  <c r="AD71" i="32"/>
  <c r="AD52" i="32"/>
  <c r="AD54" i="32"/>
  <c r="AD64" i="32"/>
  <c r="AD37" i="32"/>
  <c r="AD66" i="32"/>
  <c r="AD59" i="32"/>
  <c r="AD45" i="32"/>
  <c r="AD83" i="32"/>
  <c r="AD42" i="32"/>
  <c r="AD41" i="32"/>
  <c r="AD81" i="32"/>
  <c r="AD72" i="32"/>
  <c r="AD70" i="32"/>
  <c r="AD94" i="32"/>
  <c r="AD93" i="32"/>
  <c r="AD65" i="32"/>
  <c r="AD88" i="32"/>
  <c r="AD90" i="32"/>
  <c r="AD46" i="32"/>
  <c r="AD91" i="32"/>
  <c r="AD79" i="32"/>
  <c r="AD61" i="32"/>
  <c r="AD39" i="32"/>
  <c r="AD51" i="32"/>
  <c r="AD96" i="32"/>
  <c r="AD53" i="32"/>
  <c r="AD69" i="32"/>
  <c r="AD62" i="32"/>
  <c r="AD58" i="32"/>
  <c r="AD33" i="32"/>
  <c r="AD60" i="32"/>
  <c r="AD44" i="32"/>
  <c r="AD63" i="32"/>
  <c r="AD55" i="32"/>
  <c r="AD73" i="32"/>
  <c r="AD56" i="32"/>
  <c r="AD82" i="32"/>
  <c r="AD48" i="32"/>
  <c r="AD68" i="32"/>
  <c r="AD89" i="32"/>
  <c r="AD57" i="32"/>
  <c r="AD86" i="32"/>
  <c r="AD38" i="32"/>
  <c r="O40" i="32"/>
  <c r="H40" i="32"/>
  <c r="L18" i="32"/>
  <c r="P32" i="32"/>
  <c r="W13" i="39"/>
  <c r="M25" i="39" s="1"/>
  <c r="M23" i="39"/>
  <c r="M20" i="39"/>
  <c r="M19" i="39"/>
  <c r="M22" i="39"/>
  <c r="AH57" i="39"/>
  <c r="AH51" i="39"/>
  <c r="AH22" i="39"/>
  <c r="AH80" i="39"/>
  <c r="AH35" i="39"/>
  <c r="AH112" i="39"/>
  <c r="AH40" i="39"/>
  <c r="AH63" i="39"/>
  <c r="AH24" i="39"/>
  <c r="AH69" i="39"/>
  <c r="AH116" i="39"/>
  <c r="AH3" i="39"/>
  <c r="AH70" i="39"/>
  <c r="AH10" i="39"/>
  <c r="AH71" i="39"/>
  <c r="AH9" i="39"/>
  <c r="AH99" i="39"/>
  <c r="AH124" i="39"/>
  <c r="AH95" i="39"/>
  <c r="AH20" i="39"/>
  <c r="AH59" i="39"/>
  <c r="AH8" i="39"/>
  <c r="AH64" i="39"/>
  <c r="AH131" i="39"/>
  <c r="AH118" i="39"/>
  <c r="AH93" i="39"/>
  <c r="AH49" i="39"/>
  <c r="AH126" i="39"/>
  <c r="AH75" i="39"/>
  <c r="AH37" i="39"/>
  <c r="AH106" i="39"/>
  <c r="AH114" i="39"/>
  <c r="AH36" i="39"/>
  <c r="AH5" i="39"/>
  <c r="AH39" i="39"/>
  <c r="AH34" i="39"/>
  <c r="AH43" i="39"/>
  <c r="AH86" i="39"/>
  <c r="AH19" i="39"/>
  <c r="AH26" i="39"/>
  <c r="AH111" i="39"/>
  <c r="AH50" i="39"/>
  <c r="AH58" i="39"/>
  <c r="AH72" i="39"/>
  <c r="AH45" i="39"/>
  <c r="AH78" i="39"/>
  <c r="AH103" i="39"/>
  <c r="AH102" i="39"/>
  <c r="AH107" i="39"/>
  <c r="AH28" i="39"/>
  <c r="AH18" i="39"/>
  <c r="AH105" i="39"/>
  <c r="AH55" i="39"/>
  <c r="AH82" i="39"/>
  <c r="AH113" i="39"/>
  <c r="AH117" i="39"/>
  <c r="AH33" i="39"/>
  <c r="AH65" i="39"/>
  <c r="AH52" i="39"/>
  <c r="AH38" i="39"/>
  <c r="AH100" i="39"/>
  <c r="AH4" i="39"/>
  <c r="AH104" i="39"/>
  <c r="AH42" i="39"/>
  <c r="AH121" i="39"/>
  <c r="AH97" i="39"/>
  <c r="AH48" i="39"/>
  <c r="AH41" i="39"/>
  <c r="AH23" i="39"/>
  <c r="AH13" i="39"/>
  <c r="AH53" i="39"/>
  <c r="AH115" i="39"/>
  <c r="AH84" i="39"/>
  <c r="AH25" i="39"/>
  <c r="AH44" i="39"/>
  <c r="AH120" i="39"/>
  <c r="AH30" i="39"/>
  <c r="AH66" i="39"/>
  <c r="AH91" i="39"/>
  <c r="AH92" i="39"/>
  <c r="AH127" i="39"/>
  <c r="AH61" i="39"/>
  <c r="AH119" i="39"/>
  <c r="AH96" i="39"/>
  <c r="AH29" i="39"/>
  <c r="AH98" i="39"/>
  <c r="AH11" i="39"/>
  <c r="AH15" i="39"/>
  <c r="AH62" i="39"/>
  <c r="AH60" i="39"/>
  <c r="AH7" i="39"/>
  <c r="AH54" i="39"/>
  <c r="AH89" i="39"/>
  <c r="AH129" i="39"/>
  <c r="AH101" i="39"/>
  <c r="AH32" i="39"/>
  <c r="AH77" i="39"/>
  <c r="AH130" i="39"/>
  <c r="AH46" i="39"/>
  <c r="AH73" i="39"/>
  <c r="AH14" i="39"/>
  <c r="AH108" i="39"/>
  <c r="AH122" i="39"/>
  <c r="AH81" i="39"/>
  <c r="AH56" i="39"/>
  <c r="Q39" i="32"/>
  <c r="J39" i="32" s="1"/>
  <c r="J30" i="33" s="1"/>
  <c r="Q41" i="32"/>
  <c r="J41" i="32" s="1"/>
  <c r="J32" i="33" s="1"/>
  <c r="Q43" i="32"/>
  <c r="J43" i="32"/>
  <c r="J34" i="33"/>
  <c r="Q38" i="32"/>
  <c r="J38" i="32" s="1"/>
  <c r="J29" i="33" s="1"/>
  <c r="W3" i="39" a="1"/>
  <c r="W3" i="39" s="1"/>
  <c r="Q45" i="32"/>
  <c r="J45" i="32"/>
  <c r="J36" i="33" s="1"/>
  <c r="Q46" i="32"/>
  <c r="J46" i="32"/>
  <c r="J37" i="33"/>
  <c r="Q47" i="32"/>
  <c r="J47" i="32" s="1"/>
  <c r="J38" i="33" s="1"/>
  <c r="Q37" i="32"/>
  <c r="J37" i="32" s="1"/>
  <c r="J28" i="33" s="1"/>
  <c r="Q40" i="32"/>
  <c r="J40" i="32"/>
  <c r="J31" i="33"/>
  <c r="Q44" i="32"/>
  <c r="J44" i="32" s="1"/>
  <c r="J35" i="33" s="1"/>
  <c r="Q35" i="32"/>
  <c r="J35" i="32" s="1"/>
  <c r="J26" i="33" s="1"/>
  <c r="Q49" i="32"/>
  <c r="J49" i="32" s="1"/>
  <c r="J40" i="33" s="1"/>
  <c r="Q36" i="32"/>
  <c r="J36" i="32" s="1"/>
  <c r="J27" i="33" s="1"/>
  <c r="Q48" i="32"/>
  <c r="J48" i="32"/>
  <c r="J39" i="33"/>
  <c r="Q42" i="32"/>
  <c r="J42" i="32" s="1"/>
  <c r="J33" i="33" s="1"/>
  <c r="Q34" i="32"/>
  <c r="J34" i="32" s="1"/>
  <c r="J25" i="33" s="1"/>
  <c r="W9" i="39" a="1"/>
  <c r="W9" i="39" s="1"/>
  <c r="N35" i="32"/>
  <c r="G35" i="32" s="1"/>
  <c r="J4" i="33" s="1"/>
  <c r="N36" i="32"/>
  <c r="G36" i="32" s="1"/>
  <c r="J5" i="33" s="1"/>
  <c r="N34" i="32"/>
  <c r="G34" i="32" s="1"/>
  <c r="J3" i="33" s="1"/>
  <c r="N37" i="32"/>
  <c r="G37" i="32" s="1"/>
  <c r="J6" i="33" s="1"/>
  <c r="AH16" i="39" l="1"/>
  <c r="M26" i="39"/>
  <c r="W4" i="39"/>
  <c r="AJ109" i="39" s="1"/>
  <c r="AH109" i="39"/>
  <c r="AH27" i="39"/>
  <c r="AH123" i="39"/>
  <c r="AH94" i="39"/>
  <c r="AH21" i="39"/>
  <c r="AH6" i="39"/>
  <c r="AH47" i="39"/>
  <c r="AH67" i="39"/>
  <c r="AH76" i="39"/>
  <c r="AH85" i="39"/>
  <c r="AH12" i="39"/>
  <c r="AH74" i="39"/>
  <c r="AH110" i="39"/>
  <c r="AH31" i="39"/>
  <c r="AH79" i="39"/>
  <c r="AH132" i="39"/>
  <c r="AH88" i="39"/>
  <c r="AH83" i="39"/>
  <c r="AH125" i="39"/>
  <c r="M27" i="39"/>
  <c r="W10" i="39"/>
  <c r="AI106" i="39" s="1"/>
  <c r="W5" i="39"/>
  <c r="AH90" i="39"/>
  <c r="M18" i="39"/>
  <c r="N18" i="39"/>
  <c r="AI84" i="39"/>
  <c r="AI81" i="39"/>
  <c r="AI15" i="39"/>
  <c r="AI92" i="39"/>
  <c r="AI125" i="39"/>
  <c r="AI103" i="39"/>
  <c r="AI102" i="39"/>
  <c r="AI36" i="39"/>
  <c r="AI62" i="39"/>
  <c r="AJ77" i="39"/>
  <c r="AH128" i="39"/>
  <c r="AH87" i="39"/>
  <c r="M21" i="39"/>
  <c r="M24" i="39"/>
  <c r="AJ117" i="39"/>
  <c r="AI105" i="39"/>
  <c r="AJ131" i="39"/>
  <c r="AJ18" i="39"/>
  <c r="AI49" i="39"/>
  <c r="AI12" i="39"/>
  <c r="AI83" i="39"/>
  <c r="AI96" i="39"/>
  <c r="AI5" i="39"/>
  <c r="AJ60" i="39"/>
  <c r="AJ87" i="39"/>
  <c r="AJ17" i="39"/>
  <c r="AJ120" i="39"/>
  <c r="AJ61" i="39"/>
  <c r="AI4" i="39"/>
  <c r="AI87" i="39"/>
  <c r="AI59" i="39"/>
  <c r="AI22" i="39"/>
  <c r="AI21" i="39"/>
  <c r="AI97" i="39"/>
  <c r="AI56" i="39"/>
  <c r="AI115" i="39"/>
  <c r="AI50" i="39"/>
  <c r="AI63" i="39"/>
  <c r="AJ80" i="39"/>
  <c r="AJ75" i="39"/>
  <c r="AJ30" i="39"/>
  <c r="AH17" i="39"/>
  <c r="AH68" i="39"/>
  <c r="AJ132" i="39" l="1"/>
  <c r="AJ105" i="39"/>
  <c r="AJ97" i="39"/>
  <c r="AJ84" i="39"/>
  <c r="AJ86" i="39"/>
  <c r="AJ88" i="39"/>
  <c r="AJ33" i="39"/>
  <c r="AJ104" i="39"/>
  <c r="AJ5" i="39"/>
  <c r="AJ101" i="39"/>
  <c r="AJ27" i="39"/>
  <c r="AJ89" i="39"/>
  <c r="AJ125" i="39"/>
  <c r="AI119" i="39"/>
  <c r="AJ50" i="39"/>
  <c r="O23" i="39"/>
  <c r="D37" i="39" s="1"/>
  <c r="J20" i="33" s="1"/>
  <c r="AJ68" i="39"/>
  <c r="AI42" i="39"/>
  <c r="AI118" i="39"/>
  <c r="AJ35" i="39"/>
  <c r="AI61" i="39"/>
  <c r="AI123" i="39"/>
  <c r="AJ26" i="39"/>
  <c r="AJ46" i="39"/>
  <c r="AI108" i="39"/>
  <c r="AI73" i="39"/>
  <c r="AJ8" i="39"/>
  <c r="AI91" i="39"/>
  <c r="AI3" i="39"/>
  <c r="AI37" i="39"/>
  <c r="AJ119" i="39"/>
  <c r="AI65" i="39"/>
  <c r="AI57" i="39"/>
  <c r="AJ16" i="39"/>
  <c r="AJ108" i="39"/>
  <c r="AI80" i="39"/>
  <c r="AI28" i="39"/>
  <c r="AJ7" i="39"/>
  <c r="AI122" i="39"/>
  <c r="AI128" i="39"/>
  <c r="AJ98" i="39"/>
  <c r="AJ95" i="39"/>
  <c r="AI18" i="39"/>
  <c r="AJ103" i="39"/>
  <c r="AJ22" i="39"/>
  <c r="AJ94" i="39"/>
  <c r="AJ6" i="39"/>
  <c r="AJ114" i="39"/>
  <c r="AJ124" i="39"/>
  <c r="AJ112" i="39"/>
  <c r="AI31" i="39"/>
  <c r="AI78" i="39"/>
  <c r="AJ25" i="39"/>
  <c r="AI26" i="39"/>
  <c r="AJ110" i="39"/>
  <c r="AJ11" i="39"/>
  <c r="N22" i="39"/>
  <c r="AI14" i="39"/>
  <c r="AI74" i="39"/>
  <c r="AI109" i="39"/>
  <c r="AJ62" i="39"/>
  <c r="AJ53" i="39"/>
  <c r="AJ102" i="39"/>
  <c r="N21" i="39"/>
  <c r="AI112" i="39"/>
  <c r="AJ45" i="39"/>
  <c r="AI76" i="39"/>
  <c r="O25" i="39"/>
  <c r="D39" i="39" s="1"/>
  <c r="J22" i="33" s="1"/>
  <c r="O19" i="39"/>
  <c r="D33" i="39" s="1"/>
  <c r="J16" i="33" s="1"/>
  <c r="O20" i="39"/>
  <c r="D34" i="39" s="1"/>
  <c r="J17" i="33" s="1"/>
  <c r="AJ49" i="39"/>
  <c r="AJ126" i="39"/>
  <c r="AJ130" i="39"/>
  <c r="AJ9" i="39"/>
  <c r="AI129" i="39"/>
  <c r="AI41" i="39"/>
  <c r="AJ73" i="39"/>
  <c r="AJ37" i="39"/>
  <c r="AJ29" i="39"/>
  <c r="AJ111" i="39"/>
  <c r="AI124" i="39"/>
  <c r="AI46" i="39"/>
  <c r="AI82" i="39"/>
  <c r="AI121" i="39"/>
  <c r="AJ34" i="39"/>
  <c r="AJ19" i="39"/>
  <c r="AJ74" i="39"/>
  <c r="AI100" i="39"/>
  <c r="AJ39" i="39"/>
  <c r="O21" i="39"/>
  <c r="D35" i="39" s="1"/>
  <c r="J18" i="33" s="1"/>
  <c r="O27" i="39"/>
  <c r="D41" i="39" s="1"/>
  <c r="J24" i="33" s="1"/>
  <c r="O24" i="39"/>
  <c r="D38" i="39" s="1"/>
  <c r="J21" i="33" s="1"/>
  <c r="AJ44" i="39"/>
  <c r="AJ4" i="39"/>
  <c r="AJ67" i="39"/>
  <c r="AJ41" i="39"/>
  <c r="AJ47" i="39"/>
  <c r="AJ51" i="39"/>
  <c r="AJ21" i="39"/>
  <c r="AJ107" i="39"/>
  <c r="AJ92" i="39"/>
  <c r="AJ28" i="39"/>
  <c r="AJ14" i="39"/>
  <c r="AJ31" i="39"/>
  <c r="AJ48" i="39"/>
  <c r="AJ93" i="39"/>
  <c r="AJ129" i="39"/>
  <c r="AJ78" i="39"/>
  <c r="AJ106" i="39"/>
  <c r="AJ20" i="39"/>
  <c r="AJ121" i="39"/>
  <c r="AJ79" i="39"/>
  <c r="AJ69" i="39"/>
  <c r="AJ116" i="39"/>
  <c r="AJ66" i="39"/>
  <c r="AJ23" i="39"/>
  <c r="AJ70" i="39"/>
  <c r="AJ63" i="39"/>
  <c r="AJ40" i="39"/>
  <c r="AJ32" i="39"/>
  <c r="AJ85" i="39"/>
  <c r="AJ57" i="39"/>
  <c r="AJ38" i="39"/>
  <c r="O18" i="39"/>
  <c r="D32" i="39" s="1"/>
  <c r="J15" i="33" s="1"/>
  <c r="AJ55" i="39"/>
  <c r="AJ15" i="39"/>
  <c r="AJ96" i="39"/>
  <c r="AJ123" i="39"/>
  <c r="AJ54" i="39"/>
  <c r="AJ64" i="39"/>
  <c r="AJ91" i="39"/>
  <c r="AJ36" i="39"/>
  <c r="O22" i="39"/>
  <c r="D36" i="39" s="1"/>
  <c r="J19" i="33" s="1"/>
  <c r="AJ12" i="39"/>
  <c r="O26" i="39"/>
  <c r="D40" i="39" s="1"/>
  <c r="J23" i="33" s="1"/>
  <c r="AJ71" i="39"/>
  <c r="AJ115" i="39"/>
  <c r="AJ13" i="39"/>
  <c r="AJ81" i="39"/>
  <c r="AJ83" i="39"/>
  <c r="AJ118" i="39"/>
  <c r="AJ52" i="39"/>
  <c r="AJ10" i="39"/>
  <c r="AJ3" i="39"/>
  <c r="AJ99" i="39"/>
  <c r="AJ59" i="39"/>
  <c r="AJ113" i="39"/>
  <c r="AJ56" i="39"/>
  <c r="N26" i="39"/>
  <c r="AI60" i="39"/>
  <c r="AI45" i="39"/>
  <c r="AI66" i="39"/>
  <c r="AI127" i="39"/>
  <c r="AI79" i="39"/>
  <c r="AI58" i="39"/>
  <c r="AI107" i="39"/>
  <c r="AI88" i="39"/>
  <c r="AI10" i="39"/>
  <c r="AI90" i="39"/>
  <c r="AI13" i="39"/>
  <c r="AI95" i="39"/>
  <c r="AI113" i="39"/>
  <c r="AI131" i="39"/>
  <c r="AI85" i="39"/>
  <c r="AI11" i="39"/>
  <c r="AI35" i="39"/>
  <c r="AI86" i="39"/>
  <c r="AI39" i="39"/>
  <c r="N24" i="39"/>
  <c r="AI53" i="39"/>
  <c r="AI69" i="39"/>
  <c r="AI75" i="39"/>
  <c r="AI120" i="39"/>
  <c r="AI17" i="39"/>
  <c r="AI116" i="39"/>
  <c r="AI55" i="39"/>
  <c r="AI101" i="39"/>
  <c r="AI51" i="39"/>
  <c r="AI104" i="39"/>
  <c r="AI6" i="39"/>
  <c r="AI32" i="39"/>
  <c r="N19" i="39"/>
  <c r="AI40" i="39"/>
  <c r="AI47" i="39"/>
  <c r="N20" i="39"/>
  <c r="AI34" i="39"/>
  <c r="AI9" i="39"/>
  <c r="N25" i="39"/>
  <c r="AI89" i="39"/>
  <c r="AI33" i="39"/>
  <c r="AI64" i="39"/>
  <c r="AI71" i="39"/>
  <c r="AI30" i="39"/>
  <c r="AI54" i="39"/>
  <c r="AI67" i="39"/>
  <c r="AI93" i="39"/>
  <c r="AI20" i="39"/>
  <c r="N27" i="39"/>
  <c r="AI24" i="39"/>
  <c r="AI19" i="39"/>
  <c r="AI110" i="39"/>
  <c r="AI111" i="39"/>
  <c r="AI8" i="39"/>
  <c r="AI68" i="39"/>
  <c r="AI77" i="39"/>
  <c r="AI99" i="39"/>
  <c r="AI52" i="39"/>
  <c r="AI70" i="39"/>
  <c r="AI27" i="39"/>
  <c r="AI25" i="39"/>
  <c r="AI44" i="39"/>
  <c r="AI48" i="39"/>
  <c r="AI126" i="39"/>
  <c r="AI114" i="39"/>
  <c r="N23" i="39"/>
  <c r="AI23" i="39"/>
  <c r="AI72" i="39"/>
  <c r="AI98" i="39"/>
  <c r="AI16" i="39"/>
  <c r="AI94" i="39"/>
  <c r="AJ24" i="39"/>
  <c r="AJ128" i="39"/>
  <c r="AI7" i="39"/>
  <c r="AI130" i="39"/>
  <c r="AJ90" i="39"/>
  <c r="AJ65" i="39"/>
  <c r="AJ42" i="39"/>
  <c r="AJ76" i="39"/>
  <c r="AI38" i="39"/>
  <c r="AI117" i="39"/>
  <c r="AJ122" i="39"/>
  <c r="AI43" i="39"/>
  <c r="AJ58" i="39"/>
  <c r="AJ127" i="39"/>
  <c r="AJ43" i="39"/>
  <c r="AI132" i="39"/>
  <c r="AI29" i="39"/>
  <c r="AJ72" i="39"/>
  <c r="AJ82" i="39"/>
  <c r="AJ100" i="39"/>
  <c r="H13" i="43"/>
  <c r="N4" i="43"/>
  <c r="Y3" i="43" a="1"/>
  <c r="Y4" i="43"/>
  <c r="Y5" i="43"/>
  <c r="Y3" i="43"/>
  <c r="T3" i="43" a="1"/>
  <c r="T5" i="43"/>
  <c r="T3" i="43"/>
  <c r="T4" i="43"/>
  <c r="U9" i="43" a="1"/>
  <c r="U9" i="43"/>
  <c r="U10" i="43"/>
  <c r="Y13" i="43"/>
  <c r="U13" i="43" a="1"/>
  <c r="U13" i="43"/>
  <c r="AA13" i="43"/>
  <c r="W13" i="43" s="1"/>
  <c r="T9" i="43" a="1"/>
  <c r="AH52" i="43" l="1"/>
  <c r="AH26" i="43"/>
  <c r="AH7" i="43"/>
  <c r="AH47" i="43"/>
  <c r="AH24" i="43"/>
  <c r="AH31" i="43"/>
  <c r="AH34" i="43"/>
  <c r="AH80" i="43"/>
  <c r="AH42" i="43"/>
  <c r="AH119" i="43"/>
  <c r="AH68" i="43"/>
  <c r="AH25" i="43"/>
  <c r="AH5" i="43"/>
  <c r="AH83" i="43"/>
  <c r="AH129" i="43"/>
  <c r="AH94" i="43"/>
  <c r="AH9" i="43"/>
  <c r="AH39" i="43"/>
  <c r="AH114" i="43"/>
  <c r="AH118" i="43"/>
  <c r="AH98" i="43"/>
  <c r="AH59" i="43"/>
  <c r="AH128" i="43"/>
  <c r="AH38" i="43"/>
  <c r="AH127" i="43"/>
  <c r="AH19" i="43"/>
  <c r="AH97" i="43"/>
  <c r="AH70" i="43"/>
  <c r="AH85" i="43"/>
  <c r="AH18" i="43"/>
  <c r="AH45" i="43"/>
  <c r="AH21" i="43"/>
  <c r="AH72" i="43"/>
  <c r="AH122" i="43"/>
  <c r="AH23" i="43"/>
  <c r="AH32" i="43"/>
  <c r="AH77" i="43"/>
  <c r="AH81" i="43"/>
  <c r="AH75" i="43"/>
  <c r="AH69" i="43"/>
  <c r="AH12" i="43"/>
  <c r="AH56" i="43"/>
  <c r="AH29" i="43"/>
  <c r="AH64" i="43"/>
  <c r="AH100" i="43"/>
  <c r="AH106" i="43"/>
  <c r="AH51" i="43"/>
  <c r="AH44" i="43"/>
  <c r="AH90" i="43"/>
  <c r="AH28" i="43"/>
  <c r="AH8" i="43"/>
  <c r="AH92" i="43"/>
  <c r="AH14" i="43"/>
  <c r="AH102" i="43"/>
  <c r="AH89" i="43"/>
  <c r="AH99" i="43"/>
  <c r="AH48" i="43"/>
  <c r="AH54" i="43"/>
  <c r="AH10" i="43"/>
  <c r="AH55" i="43"/>
  <c r="AH50" i="43"/>
  <c r="AH126" i="43"/>
  <c r="AH96" i="43"/>
  <c r="AH117" i="43"/>
  <c r="AH16" i="43"/>
  <c r="AH17" i="43"/>
  <c r="AH61" i="43"/>
  <c r="AH40" i="43"/>
  <c r="AH84" i="43"/>
  <c r="AH22" i="43"/>
  <c r="AH66" i="43"/>
  <c r="AH132" i="43"/>
  <c r="AH113" i="43"/>
  <c r="AH41" i="43"/>
  <c r="AH105" i="43"/>
  <c r="AH37" i="43"/>
  <c r="AH112" i="43"/>
  <c r="AH87" i="43"/>
  <c r="AH104" i="43"/>
  <c r="AH15" i="43"/>
  <c r="AH73" i="43"/>
  <c r="AH53" i="43"/>
  <c r="AH76" i="43"/>
  <c r="AH109" i="43"/>
  <c r="AH115" i="43"/>
  <c r="AH63" i="43"/>
  <c r="AH88" i="43"/>
  <c r="AH36" i="43"/>
  <c r="AH33" i="43"/>
  <c r="AH13" i="43"/>
  <c r="AH103" i="43"/>
  <c r="AH46" i="43"/>
  <c r="AH110" i="43"/>
  <c r="AH124" i="43"/>
  <c r="AH30" i="43"/>
  <c r="AH11" i="43"/>
  <c r="AH43" i="43"/>
  <c r="AH67" i="43"/>
  <c r="AH6" i="43"/>
  <c r="AH107" i="43"/>
  <c r="AH79" i="43"/>
  <c r="AH130" i="43"/>
  <c r="AH125" i="43"/>
  <c r="AH93" i="43"/>
  <c r="AH35" i="43"/>
  <c r="AH108" i="43"/>
  <c r="AH101" i="43"/>
  <c r="AH78" i="43"/>
  <c r="AH123" i="43"/>
  <c r="AH71" i="43"/>
  <c r="AH57" i="43"/>
  <c r="AH121" i="43"/>
  <c r="AH3" i="43"/>
  <c r="AH27" i="43"/>
  <c r="AH116" i="43"/>
  <c r="AH49" i="43"/>
  <c r="AH82" i="43"/>
  <c r="AH65" i="43"/>
  <c r="AH111" i="43"/>
  <c r="AH86" i="43"/>
  <c r="AH95" i="43"/>
  <c r="AH20" i="43"/>
  <c r="AH60" i="43"/>
  <c r="AH58" i="43"/>
  <c r="AH91" i="43"/>
  <c r="AH74" i="43"/>
  <c r="AH120" i="43"/>
  <c r="AH131" i="43"/>
  <c r="AH62" i="43"/>
  <c r="AH4" i="43"/>
  <c r="T9" i="43"/>
  <c r="T10" i="43"/>
  <c r="AA9" i="43" s="1" a="1"/>
  <c r="S3" i="43" a="1"/>
  <c r="AB9" i="43" l="1"/>
  <c r="AB10" i="43"/>
  <c r="AA9" i="43"/>
  <c r="AA10" i="43"/>
  <c r="S4" i="43"/>
  <c r="S5" i="43"/>
  <c r="S3" i="43"/>
  <c r="Y9" i="43" a="1"/>
  <c r="Y10" i="43" l="1"/>
  <c r="Y9" i="43"/>
  <c r="W9" i="43" s="1" a="1"/>
  <c r="U3" i="43" a="1"/>
  <c r="W10" i="43" l="1"/>
  <c r="W9" i="43"/>
  <c r="U3" i="43"/>
  <c r="U4" i="43"/>
  <c r="U5" i="43"/>
  <c r="M23" i="43"/>
  <c r="M18" i="43"/>
  <c r="M24" i="43"/>
  <c r="M19" i="43"/>
  <c r="M20" i="43"/>
  <c r="M21" i="43"/>
  <c r="M22" i="43"/>
  <c r="N24" i="43" l="1"/>
  <c r="N23" i="43"/>
  <c r="N20" i="43"/>
  <c r="N19" i="43"/>
  <c r="N18" i="43"/>
  <c r="N21" i="43"/>
  <c r="N22" i="43"/>
  <c r="AA3" i="43" a="1"/>
  <c r="AB5" i="43" s="1"/>
  <c r="AI122" i="43"/>
  <c r="AI126" i="43"/>
  <c r="AI31" i="43"/>
  <c r="AI47" i="43"/>
  <c r="AI114" i="43"/>
  <c r="AI6" i="43"/>
  <c r="AI109" i="43"/>
  <c r="AI80" i="43"/>
  <c r="AI117" i="43"/>
  <c r="AI123" i="43"/>
  <c r="AI77" i="43"/>
  <c r="AI48" i="43"/>
  <c r="AI124" i="43"/>
  <c r="AI23" i="43"/>
  <c r="AI49" i="43"/>
  <c r="AI113" i="43"/>
  <c r="AI34" i="43"/>
  <c r="AI127" i="43"/>
  <c r="AI36" i="43"/>
  <c r="AI70" i="43"/>
  <c r="AI62" i="43"/>
  <c r="AI51" i="43"/>
  <c r="AI58" i="43"/>
  <c r="AI45" i="43"/>
  <c r="AI90" i="43"/>
  <c r="AI38" i="43"/>
  <c r="AI91" i="43"/>
  <c r="AI84" i="43"/>
  <c r="AI11" i="43"/>
  <c r="AI37" i="43"/>
  <c r="AI78" i="43"/>
  <c r="AI93" i="43"/>
  <c r="AI71" i="43"/>
  <c r="AI28" i="43"/>
  <c r="AI105" i="43"/>
  <c r="AI13" i="43"/>
  <c r="AI107" i="43"/>
  <c r="AI35" i="43"/>
  <c r="AI50" i="43"/>
  <c r="AI56" i="43"/>
  <c r="AI130" i="43"/>
  <c r="AI29" i="43"/>
  <c r="AI118" i="43"/>
  <c r="AI92" i="43"/>
  <c r="AI10" i="43"/>
  <c r="AI125" i="43"/>
  <c r="AI99" i="43"/>
  <c r="AI59" i="43"/>
  <c r="AI132" i="43"/>
  <c r="AI24" i="43"/>
  <c r="AI57" i="43"/>
  <c r="AI121" i="43"/>
  <c r="AI26" i="43"/>
  <c r="AI30" i="43"/>
  <c r="AI14" i="43"/>
  <c r="AI104" i="43"/>
  <c r="AI76" i="43"/>
  <c r="AI12" i="43"/>
  <c r="AI53" i="43"/>
  <c r="AI39" i="43"/>
  <c r="AI119" i="43"/>
  <c r="AI19" i="43"/>
  <c r="AI81" i="43"/>
  <c r="AI85" i="43"/>
  <c r="AI74" i="43"/>
  <c r="AI64" i="43"/>
  <c r="AI20" i="43"/>
  <c r="AI63" i="43"/>
  <c r="AI43" i="43"/>
  <c r="AI111" i="43"/>
  <c r="AI67" i="43"/>
  <c r="AI83" i="43"/>
  <c r="AI86" i="43"/>
  <c r="AI55" i="43"/>
  <c r="AI101" i="43"/>
  <c r="AI97" i="43"/>
  <c r="AI120" i="43"/>
  <c r="AI100" i="43"/>
  <c r="AI106" i="43"/>
  <c r="AI22" i="43"/>
  <c r="AI72" i="43"/>
  <c r="AI98" i="43"/>
  <c r="AI60" i="43"/>
  <c r="AI52" i="43"/>
  <c r="AI87" i="43"/>
  <c r="AI94" i="43"/>
  <c r="AI32" i="43"/>
  <c r="AI128" i="43"/>
  <c r="AI115" i="43"/>
  <c r="AI46" i="43"/>
  <c r="AI15" i="43"/>
  <c r="AI108" i="43"/>
  <c r="AI68" i="43"/>
  <c r="AI17" i="43"/>
  <c r="AI25" i="43"/>
  <c r="AI65" i="43"/>
  <c r="AI129" i="43"/>
  <c r="AI5" i="43"/>
  <c r="AI9" i="43"/>
  <c r="AI69" i="43"/>
  <c r="AI102" i="43"/>
  <c r="AI96" i="43"/>
  <c r="AI7" i="43"/>
  <c r="AI131" i="43"/>
  <c r="AI88" i="43"/>
  <c r="AI110" i="43"/>
  <c r="AI73" i="43"/>
  <c r="AI3" i="43"/>
  <c r="AI16" i="43"/>
  <c r="AI42" i="43"/>
  <c r="AI79" i="43"/>
  <c r="AI27" i="43"/>
  <c r="AI8" i="43"/>
  <c r="AI116" i="43"/>
  <c r="AI82" i="43"/>
  <c r="AI75" i="43"/>
  <c r="AI33" i="43"/>
  <c r="AI54" i="43"/>
  <c r="AI21" i="43"/>
  <c r="AI40" i="43"/>
  <c r="AI61" i="43"/>
  <c r="AI103" i="43"/>
  <c r="AI95" i="43"/>
  <c r="AI112" i="43"/>
  <c r="AI18" i="43"/>
  <c r="AI4" i="43"/>
  <c r="AI89" i="43"/>
  <c r="AI66" i="43"/>
  <c r="AI41" i="43"/>
  <c r="AI44" i="43"/>
  <c r="AC3" i="43" l="1"/>
  <c r="AB3" i="43"/>
  <c r="AA3" i="43"/>
  <c r="AB4" i="43"/>
  <c r="AA5" i="43"/>
  <c r="AA4" i="43"/>
  <c r="AC5" i="43"/>
  <c r="AC4" i="43"/>
  <c r="W3" i="43" l="1" a="1"/>
  <c r="W5" i="43" s="1"/>
  <c r="N3" i="33" a="1"/>
  <c r="N18" i="33"/>
  <c r="O18" i="33"/>
  <c r="W3" i="43" l="1"/>
  <c r="AJ33" i="43"/>
  <c r="AJ74" i="43"/>
  <c r="AJ125" i="43"/>
  <c r="AJ45" i="43"/>
  <c r="AJ34" i="43"/>
  <c r="AJ110" i="43"/>
  <c r="AJ78" i="43"/>
  <c r="W4" i="43"/>
  <c r="AJ82" i="43" s="1"/>
  <c r="O19" i="43"/>
  <c r="D33" i="43" s="1"/>
  <c r="AJ14" i="43"/>
  <c r="AJ86" i="43"/>
  <c r="AJ85" i="43"/>
  <c r="AJ64" i="43"/>
  <c r="AJ100" i="43"/>
  <c r="AJ26" i="43"/>
  <c r="AJ75" i="43"/>
  <c r="AJ70" i="43"/>
  <c r="AJ69" i="43"/>
  <c r="AJ51" i="43"/>
  <c r="AJ114" i="43"/>
  <c r="AJ56" i="43"/>
  <c r="AJ132" i="43"/>
  <c r="AJ112" i="43"/>
  <c r="AJ40" i="43"/>
  <c r="AJ131" i="43"/>
  <c r="AJ36" i="43"/>
  <c r="AJ50" i="43"/>
  <c r="AJ81" i="43"/>
  <c r="AJ24" i="43"/>
  <c r="AJ121" i="43"/>
  <c r="AJ38" i="43"/>
  <c r="N26" i="33"/>
  <c r="O26" i="33"/>
  <c r="AJ25" i="43" l="1"/>
  <c r="AJ15" i="43"/>
  <c r="AJ10" i="43"/>
  <c r="O22" i="43"/>
  <c r="D36" i="43" s="1"/>
  <c r="AJ11" i="43"/>
  <c r="AJ90" i="43"/>
  <c r="AJ18" i="43"/>
  <c r="AJ104" i="43"/>
  <c r="AJ80" i="43"/>
  <c r="AJ42" i="43"/>
  <c r="AJ41" i="43"/>
  <c r="O23" i="43"/>
  <c r="D37" i="43" s="1"/>
  <c r="AJ12" i="43"/>
  <c r="AJ71" i="43"/>
  <c r="AJ20" i="43"/>
  <c r="AJ35" i="43"/>
  <c r="AJ109" i="43"/>
  <c r="AJ119" i="43"/>
  <c r="AJ55" i="43"/>
  <c r="AJ57" i="43"/>
  <c r="O24" i="43"/>
  <c r="D38" i="43" s="1"/>
  <c r="AJ68" i="43"/>
  <c r="AJ92" i="43"/>
  <c r="AJ97" i="43"/>
  <c r="AJ129" i="43"/>
  <c r="O18" i="43"/>
  <c r="D32" i="43" s="1"/>
  <c r="AJ111" i="43"/>
  <c r="AJ120" i="43"/>
  <c r="AJ113" i="43"/>
  <c r="AJ126" i="43"/>
  <c r="AJ101" i="43"/>
  <c r="AJ8" i="43"/>
  <c r="AJ89" i="43"/>
  <c r="AJ72" i="43"/>
  <c r="AJ79" i="43"/>
  <c r="AJ3" i="43"/>
  <c r="AJ122" i="43"/>
  <c r="AJ60" i="43"/>
  <c r="AJ49" i="43"/>
  <c r="AJ52" i="43"/>
  <c r="AJ59" i="43"/>
  <c r="AJ87" i="43"/>
  <c r="AJ37" i="43"/>
  <c r="AJ46" i="43"/>
  <c r="AJ77" i="43"/>
  <c r="AJ7" i="43"/>
  <c r="AJ107" i="43"/>
  <c r="AJ16" i="43"/>
  <c r="AJ47" i="43"/>
  <c r="AJ44" i="43"/>
  <c r="AJ63" i="43"/>
  <c r="AJ67" i="43"/>
  <c r="AJ128" i="43"/>
  <c r="AJ32" i="43"/>
  <c r="AJ54" i="43"/>
  <c r="AJ27" i="43"/>
  <c r="AJ39" i="43"/>
  <c r="AJ28" i="43"/>
  <c r="AJ96" i="43"/>
  <c r="O21" i="43"/>
  <c r="D35" i="43" s="1"/>
  <c r="AJ43" i="43"/>
  <c r="AJ88" i="43"/>
  <c r="AJ22" i="43"/>
  <c r="AJ103" i="43"/>
  <c r="AJ73" i="43"/>
  <c r="AJ115" i="43"/>
  <c r="AJ66" i="43"/>
  <c r="AJ62" i="43"/>
  <c r="AJ23" i="43"/>
  <c r="AJ17" i="43"/>
  <c r="AJ6" i="43"/>
  <c r="AJ58" i="43"/>
  <c r="AJ65" i="43"/>
  <c r="AJ118" i="43"/>
  <c r="O20" i="43"/>
  <c r="D34" i="43" s="1"/>
  <c r="AJ108" i="43"/>
  <c r="AJ48" i="43"/>
  <c r="AJ9" i="43"/>
  <c r="AJ123" i="43"/>
  <c r="AJ13" i="43"/>
  <c r="AJ19" i="43"/>
  <c r="AJ98" i="43"/>
  <c r="AJ83" i="43"/>
  <c r="AJ84" i="43"/>
  <c r="AJ117" i="43"/>
  <c r="AJ127" i="43"/>
  <c r="AJ21" i="43"/>
  <c r="AJ94" i="43"/>
  <c r="AJ30" i="43"/>
  <c r="AJ106" i="43"/>
  <c r="AJ130" i="43"/>
  <c r="AJ31" i="43"/>
  <c r="AJ91" i="43"/>
  <c r="AJ76" i="43"/>
  <c r="AJ93" i="43"/>
  <c r="AJ105" i="43"/>
  <c r="AJ61" i="43"/>
  <c r="AJ53" i="43"/>
  <c r="AJ5" i="43"/>
  <c r="AJ95" i="43"/>
  <c r="AJ99" i="43"/>
  <c r="AJ29" i="43"/>
  <c r="AJ116" i="43"/>
  <c r="AJ102" i="43"/>
  <c r="AJ124" i="43"/>
  <c r="AJ4" i="43"/>
  <c r="N34" i="33"/>
  <c r="O34" i="33"/>
  <c r="N19" i="33"/>
  <c r="O19" i="33"/>
  <c r="N27" i="33"/>
  <c r="O27" i="33"/>
  <c r="N35" i="33"/>
  <c r="O35" i="33"/>
  <c r="N20" i="33"/>
  <c r="O20" i="33"/>
  <c r="N28" i="33"/>
  <c r="O28" i="33"/>
  <c r="N36" i="33"/>
  <c r="O36" i="33"/>
  <c r="N4" i="33"/>
  <c r="O4" i="33"/>
  <c r="N3" i="33"/>
  <c r="O3" i="33"/>
  <c r="N5" i="33"/>
  <c r="O5" i="33"/>
  <c r="N21" i="33"/>
  <c r="O21" i="33"/>
  <c r="N29" i="33"/>
  <c r="O29" i="33"/>
  <c r="N37" i="33"/>
  <c r="O37" i="33"/>
  <c r="N6" i="33"/>
  <c r="O6" i="33"/>
  <c r="N13" i="33"/>
  <c r="O13" i="33"/>
  <c r="N12" i="33"/>
  <c r="O12" i="33"/>
  <c r="N11" i="33"/>
  <c r="O11" i="33"/>
  <c r="N10" i="33"/>
  <c r="O10" i="33"/>
  <c r="N14" i="33"/>
  <c r="O14" i="33"/>
  <c r="N22" i="33"/>
  <c r="O22" i="33"/>
  <c r="N30" i="33"/>
  <c r="O30" i="33"/>
  <c r="N38" i="33"/>
  <c r="O38" i="33"/>
  <c r="N7" i="33"/>
  <c r="O7" i="33"/>
  <c r="N15" i="33"/>
  <c r="O15" i="33"/>
  <c r="N23" i="33"/>
  <c r="O23" i="33"/>
  <c r="N31" i="33"/>
  <c r="O31" i="33"/>
  <c r="N39" i="33"/>
  <c r="O39" i="33"/>
  <c r="N8" i="33"/>
  <c r="O8" i="33"/>
  <c r="N16" i="33"/>
  <c r="O16" i="33"/>
  <c r="N24" i="33"/>
  <c r="O24" i="33"/>
  <c r="N32" i="33"/>
  <c r="O32" i="33"/>
  <c r="N40" i="33"/>
  <c r="O40" i="33"/>
  <c r="N9" i="33"/>
  <c r="O9" i="33"/>
  <c r="N17" i="33"/>
  <c r="O17" i="33"/>
  <c r="N33" i="33"/>
  <c r="O33" i="33"/>
  <c r="N25" i="33"/>
  <c r="O25" i="33"/>
  <c r="P15" i="33"/>
  <c r="P25" i="33"/>
  <c r="G16" i="36"/>
  <c r="I16" i="36"/>
  <c r="G48" i="36"/>
  <c r="I48" i="36"/>
  <c r="G54" i="36"/>
  <c r="I54" i="36"/>
  <c r="L6" i="35"/>
  <c r="M6" i="35"/>
  <c r="P6" i="35"/>
  <c r="I7" i="36"/>
  <c r="J7" i="36"/>
  <c r="H7" i="36"/>
  <c r="L3" i="35"/>
  <c r="M3" i="35"/>
  <c r="I4" i="36"/>
  <c r="J4" i="36" s="1"/>
  <c r="H4" i="36"/>
  <c r="G33" i="36"/>
  <c r="I33" i="36"/>
  <c r="L2" i="35"/>
  <c r="M2" i="35"/>
  <c r="P2" i="35"/>
  <c r="P3" i="35"/>
  <c r="L4" i="35"/>
  <c r="M4" i="35"/>
  <c r="P4" i="35"/>
  <c r="L5" i="35"/>
  <c r="M5" i="35"/>
  <c r="P5" i="35"/>
  <c r="G30" i="36"/>
  <c r="I30" i="36"/>
  <c r="G34" i="36"/>
  <c r="I34" i="36"/>
  <c r="G26" i="36"/>
  <c r="I26" i="36"/>
  <c r="G17" i="36"/>
  <c r="I17" i="36"/>
  <c r="G45" i="36"/>
  <c r="I45" i="36"/>
  <c r="G51" i="36"/>
  <c r="I51" i="36"/>
  <c r="G11" i="36"/>
  <c r="I11" i="36"/>
  <c r="H6" i="36"/>
  <c r="I6" i="36"/>
  <c r="J6" i="36" s="1"/>
  <c r="G43" i="36"/>
  <c r="I43" i="36"/>
  <c r="G49" i="36"/>
  <c r="I49" i="36"/>
  <c r="G35" i="36"/>
  <c r="I35" i="36"/>
  <c r="G42" i="36"/>
  <c r="I42" i="36"/>
  <c r="G20" i="36"/>
  <c r="I20" i="36"/>
  <c r="G28" i="36"/>
  <c r="I28" i="36"/>
  <c r="G37" i="36"/>
  <c r="I37" i="36"/>
  <c r="G13" i="36"/>
  <c r="I13" i="36"/>
  <c r="G14" i="36"/>
  <c r="I14" i="36"/>
  <c r="G29" i="36"/>
  <c r="I29" i="36"/>
  <c r="G56" i="36"/>
  <c r="I56" i="36"/>
  <c r="G27" i="36"/>
  <c r="I27" i="36"/>
  <c r="G44" i="36"/>
  <c r="I44" i="36"/>
  <c r="I5" i="36"/>
  <c r="J5" i="36" s="1"/>
  <c r="H3" i="36"/>
  <c r="H5" i="36"/>
  <c r="I3" i="36"/>
  <c r="J3" i="36"/>
  <c r="G46" i="36"/>
  <c r="I46" i="36"/>
  <c r="G50" i="36"/>
  <c r="I50" i="36"/>
  <c r="G23" i="36"/>
  <c r="I23" i="36"/>
  <c r="G57" i="36"/>
  <c r="I57" i="36"/>
  <c r="G53" i="36"/>
  <c r="I53" i="36"/>
  <c r="G40" i="36"/>
  <c r="I40" i="36"/>
  <c r="G15" i="36"/>
  <c r="I15" i="36"/>
  <c r="G52" i="36"/>
  <c r="I52" i="36"/>
  <c r="G47" i="36"/>
  <c r="I47" i="36"/>
  <c r="G55" i="36"/>
  <c r="I55" i="36"/>
  <c r="G58" i="36"/>
  <c r="I58" i="36"/>
  <c r="G24" i="36"/>
  <c r="I24" i="36"/>
  <c r="G25" i="36"/>
  <c r="I25" i="36"/>
  <c r="G38" i="36"/>
  <c r="I38" i="36"/>
  <c r="G12" i="36"/>
  <c r="I12" i="36"/>
  <c r="G36" i="36"/>
  <c r="I36" i="36"/>
  <c r="G41" i="36"/>
  <c r="I41" i="36"/>
  <c r="G21" i="36"/>
  <c r="I21" i="36"/>
  <c r="G19" i="36"/>
  <c r="I19" i="36"/>
  <c r="G22" i="36"/>
  <c r="I22" i="36"/>
  <c r="G18" i="36"/>
  <c r="I18" i="36"/>
  <c r="G39" i="36"/>
  <c r="I39" i="36"/>
  <c r="G31" i="36"/>
  <c r="I31" i="36"/>
  <c r="G32" i="36"/>
  <c r="I32" i="36"/>
  <c r="G59" i="36"/>
  <c r="I59" i="36"/>
  <c r="P2" i="33"/>
  <c r="P8" i="33"/>
  <c r="L30" i="35"/>
  <c r="M30" i="35"/>
  <c r="N30" i="35"/>
  <c r="J33" i="36"/>
  <c r="L27" i="35"/>
  <c r="M27" i="35"/>
  <c r="N27" i="35"/>
  <c r="J30" i="36"/>
  <c r="L31" i="35"/>
  <c r="M31" i="35"/>
  <c r="N31" i="35"/>
  <c r="J34" i="36"/>
  <c r="L23" i="35"/>
  <c r="M23" i="35"/>
  <c r="N23" i="35"/>
  <c r="J26" i="36"/>
  <c r="L14" i="35"/>
  <c r="M14" i="35"/>
  <c r="N14" i="35"/>
  <c r="J17" i="36" s="1"/>
  <c r="L48" i="35"/>
  <c r="M48" i="35"/>
  <c r="N48" i="35"/>
  <c r="J51" i="36"/>
  <c r="L46" i="35"/>
  <c r="M46" i="35"/>
  <c r="N46" i="35"/>
  <c r="J49" i="36"/>
  <c r="L32" i="35"/>
  <c r="M32" i="35"/>
  <c r="N32" i="35"/>
  <c r="J35" i="36"/>
  <c r="L17" i="35"/>
  <c r="M17" i="35"/>
  <c r="N17" i="35"/>
  <c r="J20" i="36"/>
  <c r="L28" i="35"/>
  <c r="M28" i="35"/>
  <c r="L25" i="35"/>
  <c r="M25" i="35"/>
  <c r="N25" i="35"/>
  <c r="J28" i="36" s="1"/>
  <c r="L34" i="35"/>
  <c r="M34" i="35"/>
  <c r="N34" i="35"/>
  <c r="J37" i="36" s="1"/>
  <c r="L53" i="35"/>
  <c r="M53" i="35"/>
  <c r="N53" i="35"/>
  <c r="J56" i="36" s="1"/>
  <c r="L43" i="35"/>
  <c r="M43" i="35"/>
  <c r="L19" i="35"/>
  <c r="M19" i="35"/>
  <c r="N43" i="35"/>
  <c r="J46" i="36"/>
  <c r="L47" i="35"/>
  <c r="M47" i="35"/>
  <c r="N47" i="35"/>
  <c r="J50" i="36"/>
  <c r="L20" i="35"/>
  <c r="M20" i="35"/>
  <c r="N20" i="35"/>
  <c r="J23" i="36" s="1"/>
  <c r="L29" i="35"/>
  <c r="M29" i="35"/>
  <c r="L12" i="35"/>
  <c r="M12" i="35"/>
  <c r="L36" i="35"/>
  <c r="M36" i="35"/>
  <c r="L9" i="35"/>
  <c r="M9" i="35"/>
  <c r="J73" i="33"/>
  <c r="N73" i="33"/>
  <c r="O73" i="33"/>
  <c r="N28" i="35"/>
  <c r="J59" i="33"/>
  <c r="N59" i="33"/>
  <c r="O59" i="33"/>
  <c r="N36" i="35"/>
  <c r="J66" i="33"/>
  <c r="N66" i="33"/>
  <c r="O66" i="33"/>
  <c r="J46" i="33"/>
  <c r="N46" i="33"/>
  <c r="O46" i="33"/>
  <c r="N12" i="35"/>
  <c r="J44" i="33"/>
  <c r="N44" i="33"/>
  <c r="O44" i="33"/>
  <c r="N9" i="35"/>
  <c r="J41" i="33"/>
  <c r="N41" i="33"/>
  <c r="O41" i="33"/>
  <c r="J75" i="33"/>
  <c r="N75" i="33"/>
  <c r="O75" i="33"/>
  <c r="N19" i="35"/>
  <c r="J51" i="33"/>
  <c r="N51" i="33"/>
  <c r="O51" i="33"/>
  <c r="N29" i="35"/>
  <c r="J60" i="33"/>
  <c r="N60" i="33"/>
  <c r="O60" i="33"/>
  <c r="J56" i="33"/>
  <c r="N56" i="33"/>
  <c r="O56" i="33"/>
  <c r="L55" i="35"/>
  <c r="M55" i="35"/>
  <c r="J15" i="36"/>
  <c r="J64" i="33"/>
  <c r="N64" i="33"/>
  <c r="O64" i="33"/>
  <c r="J76" i="33"/>
  <c r="N76" i="33"/>
  <c r="O76" i="33"/>
  <c r="N55" i="35"/>
  <c r="J84" i="33"/>
  <c r="N84" i="33"/>
  <c r="O84" i="33"/>
  <c r="L24" i="35"/>
  <c r="M24" i="35"/>
  <c r="N24" i="35"/>
  <c r="J27" i="36" s="1"/>
  <c r="J58" i="36"/>
  <c r="L35" i="35"/>
  <c r="M35" i="35"/>
  <c r="J55" i="33" l="1"/>
  <c r="N55" i="33" s="1"/>
  <c r="J12" i="36"/>
  <c r="N35" i="35"/>
  <c r="J38" i="36"/>
  <c r="J49" i="33"/>
  <c r="N49" i="33"/>
  <c r="O55" i="33"/>
  <c r="O49" i="33"/>
  <c r="L38" i="35"/>
  <c r="M38" i="35"/>
  <c r="N38" i="35"/>
  <c r="J68" i="33"/>
  <c r="N68" i="33"/>
  <c r="O68" i="33"/>
  <c r="J54" i="33"/>
  <c r="N54" i="33" s="1"/>
  <c r="O54" i="33"/>
  <c r="L15" i="35"/>
  <c r="M15" i="35"/>
  <c r="J41" i="36"/>
  <c r="J65" i="33"/>
  <c r="N65" i="33"/>
  <c r="O65" i="33"/>
  <c r="N15" i="35"/>
  <c r="J47" i="33"/>
  <c r="N47" i="33"/>
  <c r="O47" i="33"/>
  <c r="J77" i="33"/>
  <c r="N77" i="33"/>
  <c r="O77" i="33"/>
  <c r="J62" i="33"/>
  <c r="N62" i="33"/>
  <c r="O62" i="33"/>
  <c r="L40" i="35"/>
  <c r="M40" i="35"/>
  <c r="J18" i="36"/>
  <c r="N40" i="35"/>
  <c r="J43" i="36"/>
  <c r="J22" i="36"/>
  <c r="J82" i="33"/>
  <c r="N82" i="33"/>
  <c r="O82" i="33"/>
  <c r="J70" i="33"/>
  <c r="N70" i="33"/>
  <c r="O70" i="33"/>
  <c r="J58" i="33"/>
  <c r="N58" i="33"/>
  <c r="O58" i="33"/>
  <c r="J61" i="33"/>
  <c r="N61" i="33"/>
  <c r="O61" i="33"/>
  <c r="L52" i="35"/>
  <c r="M52" i="35"/>
  <c r="N52" i="35"/>
  <c r="J55" i="36"/>
  <c r="J39" i="36"/>
  <c r="J81" i="33"/>
  <c r="N81" i="33"/>
  <c r="O81" i="33"/>
  <c r="L11" i="35"/>
  <c r="M11" i="35"/>
  <c r="J31" i="36"/>
  <c r="N11" i="35"/>
  <c r="J14" i="36"/>
  <c r="J32" i="36"/>
  <c r="J43" i="33"/>
  <c r="N43" i="33"/>
  <c r="O43" i="33"/>
  <c r="L56" i="35"/>
  <c r="M56" i="35"/>
  <c r="N56" i="35"/>
  <c r="J59" i="36"/>
  <c r="L16" i="35"/>
  <c r="M16" i="35"/>
  <c r="L41" i="35"/>
  <c r="M41" i="35"/>
  <c r="N16" i="35"/>
  <c r="J19" i="36"/>
  <c r="L18" i="35"/>
  <c r="M18" i="35"/>
  <c r="N18" i="35"/>
  <c r="J21" i="36" s="1"/>
  <c r="L33" i="35"/>
  <c r="M33" i="35"/>
  <c r="N33" i="35"/>
  <c r="J36" i="36"/>
  <c r="L51" i="35"/>
  <c r="M51" i="35"/>
  <c r="L22" i="35"/>
  <c r="M22" i="35"/>
  <c r="N22" i="35"/>
  <c r="J25" i="36"/>
  <c r="L21" i="35"/>
  <c r="M21" i="35"/>
  <c r="N21" i="35"/>
  <c r="J24" i="36"/>
  <c r="L44" i="35"/>
  <c r="M44" i="35"/>
  <c r="N44" i="35"/>
  <c r="J47" i="36"/>
  <c r="L49" i="35"/>
  <c r="M49" i="35"/>
  <c r="N49" i="35"/>
  <c r="J52" i="36"/>
  <c r="L37" i="35"/>
  <c r="M37" i="35"/>
  <c r="N37" i="35"/>
  <c r="J40" i="36"/>
  <c r="L50" i="35"/>
  <c r="M50" i="35"/>
  <c r="N50" i="35"/>
  <c r="J53" i="36"/>
  <c r="L45" i="35"/>
  <c r="M45" i="35"/>
  <c r="L54" i="35"/>
  <c r="M54" i="35"/>
  <c r="N54" i="35"/>
  <c r="J57" i="36"/>
  <c r="L10" i="35"/>
  <c r="M10" i="35"/>
  <c r="N10" i="35"/>
  <c r="J42" i="33"/>
  <c r="N42" i="33"/>
  <c r="O42" i="33"/>
  <c r="L13" i="35"/>
  <c r="M13" i="35"/>
  <c r="J52" i="33"/>
  <c r="N52" i="33"/>
  <c r="O52" i="33"/>
  <c r="N13" i="35"/>
  <c r="J45" i="33"/>
  <c r="N45" i="33"/>
  <c r="O45" i="33"/>
  <c r="J53" i="33"/>
  <c r="N53" i="33"/>
  <c r="O53" i="33"/>
  <c r="J50" i="33"/>
  <c r="N50" i="33"/>
  <c r="O50" i="33"/>
  <c r="J48" i="33"/>
  <c r="N48" i="33"/>
  <c r="O48" i="33"/>
  <c r="L26" i="35"/>
  <c r="M26" i="35"/>
  <c r="N26" i="35"/>
  <c r="J57" i="33"/>
  <c r="N57" i="33"/>
  <c r="O57" i="33"/>
  <c r="J63" i="33"/>
  <c r="N63" i="33"/>
  <c r="O63" i="33"/>
  <c r="J67" i="33"/>
  <c r="N67" i="33"/>
  <c r="O67" i="33"/>
  <c r="L39" i="35"/>
  <c r="M39" i="35"/>
  <c r="N39" i="35"/>
  <c r="J69" i="33"/>
  <c r="N69" i="33"/>
  <c r="O69" i="33"/>
  <c r="N41" i="35"/>
  <c r="J71" i="33"/>
  <c r="N71" i="33"/>
  <c r="O71" i="33"/>
  <c r="L42" i="35"/>
  <c r="M42" i="35"/>
  <c r="J83" i="33"/>
  <c r="N83" i="33"/>
  <c r="O83" i="33"/>
  <c r="J79" i="33"/>
  <c r="N79" i="33" s="1"/>
  <c r="O79" i="33"/>
  <c r="N51" i="35"/>
  <c r="J80" i="33"/>
  <c r="N80" i="33"/>
  <c r="O80" i="33"/>
  <c r="J78" i="33"/>
  <c r="N78" i="33"/>
  <c r="O78" i="33"/>
  <c r="N42" i="35"/>
  <c r="J72" i="33"/>
  <c r="N72" i="33"/>
  <c r="O72" i="33"/>
  <c r="N45" i="35"/>
  <c r="J74" i="33" s="1"/>
  <c r="N74" i="33" s="1"/>
  <c r="O74" i="33"/>
  <c r="P41" i="33"/>
  <c r="J44" i="36"/>
  <c r="J42" i="36"/>
  <c r="J29" i="36"/>
  <c r="J13" i="36"/>
  <c r="L8" i="35"/>
  <c r="M8" i="35"/>
  <c r="J48" i="36"/>
  <c r="J16" i="36"/>
  <c r="J54" i="36"/>
  <c r="N8" i="35"/>
  <c r="J11" i="36"/>
  <c r="J45" i="36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<sst xmlns="http://schemas.openxmlformats.org/spreadsheetml/2006/main" count="451" uniqueCount="203">
  <si>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</si>
  <si>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</si>
  <si>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</si>
  <si>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</si>
  <si>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</si>
  <si>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</si>
  <si>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</si>
  <si>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</si>
  <si>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</si>
  <si>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</si>
  <si>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</si>
  <si>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</si>
  <si>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</si>
  <si>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</si>
  <si>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</si>
  <si>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</si>
  <si>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</si>
  <si>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</si>
  <si>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</si>
  <si>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</si>
  <si>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</si>
  <si>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</si>
  <si>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</si>
  <si>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</si>
  <si>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</si>
  <si>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</si>
  <si>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</si>
  <si>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</si>
  <si>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</si>
  <si>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</si>
  <si>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</si>
  <si>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</si>
  <si>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</si>
  <si>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</si>
  <si>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</si>
  <si>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</si>
  <si>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</si>
  <si>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</si>
  <si>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</si>
  <si>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</si>
  <si>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</si>
  <si>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</si>
  <si>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</si>
  <si>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</si>
  <si>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</si>
  <si>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</si>
  <si>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</si>
  <si>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</si>
  <si>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</si>
  <si>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</si>
  <si>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</si>
  <si>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</si>
  <si>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</si>
  <si>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</si>
  <si>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</si>
  <si>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</si>
  <si>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</si>
  <si>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</si>
  <si>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</si>
  <si>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</si>
  <si>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</si>
  <si>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</si>
  <si>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</si>
  <si>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</si>
  <si>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</si>
  <si>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</si>
  <si>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</si>
  <si>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</si>
  <si>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</si>
  <si>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</si>
  <si>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</si>
  <si>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</si>
  <si>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</si>
  <si>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</si>
  <si>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</si>
  <si>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</si>
  <si>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</si>
  <si>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</si>
  <si>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</si>
  <si>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</si>
  <si>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</si>
  <si>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</si>
  <si>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</si>
  <si>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</si>
  <si>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</si>
  <si>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</si>
  <si>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</si>
  <si>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</si>
  <si>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</si>
  <si>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</si>
  <si>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</si>
  <si>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</si>
  <si>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</si>
  <si>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</si>
  <si>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</si>
  <si>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</si>
  <si>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</si>
  <si>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</si>
  <si>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</si>
  <si>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</si>
  <si>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</si>
  <si>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</si>
  <si>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</si>
  <si>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</si>
  <si>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</si>
  <si>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</si>
  <si>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</si>
  <si>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</si>
  <si>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</si>
  <si>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</si>
  <si>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</si>
  <si>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</si>
  <si>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</si>
  <si>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</si>
  <si>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</si>
  <si>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</si>
  <si>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</si>
  <si>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</si>
  <si>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</si>
  <si>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</si>
  <si>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</si>
  <si>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</si>
  <si>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</si>
  <si>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</si>
  <si>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</si>
  <si>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</si>
  <si>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</si>
  <si>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</si>
  <si>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</si>
  <si>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</si>
  <si>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</si>
  <si>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</si>
  <si>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</si>
  <si>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</si>
  <si>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</si>
  <si>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</si>
  <si>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</si>
  <si>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</si>
  <si>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</si>
  <si>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</si>
  <si>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</si>
  <si>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Synt FRA</t>
  </si>
  <si>
    <t>Linear</t>
  </si>
  <si>
    <t>Quadratic</t>
  </si>
  <si>
    <t>EURFUT3MQ4_Quote</t>
  </si>
  <si>
    <t>EURFUT3MU4_Quote</t>
  </si>
  <si>
    <t>Euribor3M LastFixing</t>
  </si>
  <si>
    <t>Instruments</t>
  </si>
  <si>
    <t>Basis</t>
  </si>
  <si>
    <t>FRA 12x24</t>
  </si>
  <si>
    <t>IRS 3Y (vs 12M Euribor)</t>
  </si>
  <si>
    <t>IRS 4Y (vs 12M Euribor)</t>
  </si>
  <si>
    <t>IRS 5Y (vs 12M Euribor)</t>
  </si>
  <si>
    <t>Implied FRA</t>
  </si>
  <si>
    <t>Fixing 12M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</si>
  <si>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</si>
  <si>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</si>
  <si>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</si>
  <si>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</si>
  <si>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</si>
  <si>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</si>
  <si>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</si>
  <si>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</si>
  <si>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</si>
  <si>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</si>
  <si>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</si>
  <si>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</si>
  <si>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</si>
  <si>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6M Curve</t>
  </si>
  <si>
    <t>start date</t>
  </si>
  <si>
    <t>maturity date</t>
  </si>
  <si>
    <t>Discounting</t>
  </si>
  <si>
    <t>EURON</t>
  </si>
  <si>
    <t>OIS 6M ON curve</t>
  </si>
  <si>
    <t>6M Instruments</t>
  </si>
  <si>
    <t>3M Curve</t>
  </si>
  <si>
    <t>OIS 3M Curve</t>
  </si>
  <si>
    <t>diff</t>
  </si>
  <si>
    <t>3M Market quote</t>
  </si>
  <si>
    <t xml:space="preserve">OIS 3M </t>
  </si>
  <si>
    <t>Market 6M quote</t>
  </si>
  <si>
    <t>OIS 6M</t>
  </si>
  <si>
    <t>OIS 6M Curve</t>
  </si>
  <si>
    <t xml:space="preserve">   </t>
  </si>
  <si>
    <t>6M market day counter</t>
  </si>
  <si>
    <t>interp. basis</t>
  </si>
  <si>
    <t>Index</t>
  </si>
  <si>
    <t>Euribor6M</t>
  </si>
  <si>
    <t>Interpolated 6M basis</t>
  </si>
  <si>
    <t>OIS constructor</t>
  </si>
  <si>
    <t>Interpolator</t>
  </si>
  <si>
    <t>selected</t>
  </si>
  <si>
    <t>CubicNaturalSpline</t>
  </si>
  <si>
    <t>Basis Interpolation</t>
  </si>
  <si>
    <t>OIS Constructor</t>
  </si>
  <si>
    <t>Synthetic Deposits 6M</t>
  </si>
  <si>
    <t>INTERP+FRA</t>
  </si>
  <si>
    <t>Instruments Selection</t>
  </si>
  <si>
    <t>Contributions</t>
  </si>
  <si>
    <t>Euribor3M</t>
  </si>
  <si>
    <t>INTERP+FUT</t>
  </si>
  <si>
    <t>Synthetic Deposits 3M</t>
  </si>
  <si>
    <t>Interpolated 3M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</si>
</sst>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  <numFmt numFmtId="180" formatCode="0.E+00"/>
    <numFmt numFmtId="181" formatCode="0.0000E+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 New"/>
      <family val="3"/>
    </font>
    <font>
      <sz val="10"/>
      <color theme="0"/>
      <name val="Courier New"/>
      <family val="3"/>
    </font>
    <font>
      <sz val="8"/>
      <color theme="0"/>
      <name val="Courier New"/>
      <family val="3"/>
    </font>
    <font>
      <b/>
      <i/>
      <sz val="8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</fonts>
  <fills count="16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166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8" fillId="0" borderId="0"/>
    <xf numFmtId="165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0" borderId="0"/>
    <xf numFmtId="0" fontId="3" fillId="0" borderId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1" fillId="0" borderId="0"/>
    <xf numFmtId="9" fontId="11" fillId="0" borderId="0" applyFont="0" applyFill="0" applyBorder="0" applyAlignment="0" applyProtection="0"/>
    <xf numFmtId="0" fontId="5" fillId="0" borderId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537">
    <xf numFmtId="0" fontId="0" fillId="0" borderId="0" xfId="0"/>
    <xf numFmtId="0" fontId="10" fillId="3" borderId="0" xfId="15" applyFont="1" applyFill="1"/>
    <xf numFmtId="0" fontId="10" fillId="5" borderId="4" xfId="15" applyFont="1" applyFill="1" applyBorder="1"/>
    <xf numFmtId="0" fontId="10" fillId="5" borderId="0" xfId="15" applyFont="1" applyFill="1" applyBorder="1"/>
    <xf numFmtId="0" fontId="10" fillId="5" borderId="5" xfId="15" applyFont="1" applyFill="1" applyBorder="1"/>
    <xf numFmtId="0" fontId="10" fillId="6" borderId="6" xfId="15" applyFont="1" applyFill="1" applyBorder="1" applyAlignment="1">
      <alignment horizontal="right"/>
    </xf>
    <xf numFmtId="0" fontId="10" fillId="5" borderId="6" xfId="15" applyFont="1" applyFill="1" applyBorder="1" applyAlignment="1">
      <alignment horizontal="center"/>
    </xf>
    <xf numFmtId="168" fontId="10" fillId="5" borderId="6" xfId="15" applyNumberFormat="1" applyFont="1" applyFill="1" applyBorder="1" applyAlignment="1">
      <alignment horizontal="center"/>
    </xf>
    <xf numFmtId="0" fontId="10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0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0" fillId="5" borderId="7" xfId="17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0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0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0" fillId="5" borderId="10" xfId="15" applyFont="1" applyFill="1" applyBorder="1"/>
    <xf numFmtId="0" fontId="10" fillId="5" borderId="11" xfId="15" applyFont="1" applyFill="1" applyBorder="1"/>
    <xf numFmtId="0" fontId="10" fillId="5" borderId="12" xfId="15" applyFont="1" applyFill="1" applyBorder="1"/>
    <xf numFmtId="0" fontId="10" fillId="3" borderId="0" xfId="15" applyFont="1" applyFill="1" applyBorder="1"/>
    <xf numFmtId="0" fontId="10" fillId="5" borderId="0" xfId="0" applyFont="1" applyFill="1" applyBorder="1"/>
    <xf numFmtId="0" fontId="10" fillId="0" borderId="0" xfId="0" applyFont="1"/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169" fontId="10" fillId="0" borderId="21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22" xfId="0" applyFont="1" applyBorder="1"/>
    <xf numFmtId="0" fontId="10" fillId="0" borderId="18" xfId="0" applyFont="1" applyBorder="1"/>
    <xf numFmtId="0" fontId="10" fillId="8" borderId="22" xfId="0" applyFont="1" applyFill="1" applyBorder="1" applyAlignment="1"/>
    <xf numFmtId="171" fontId="10" fillId="8" borderId="23" xfId="0" applyNumberFormat="1" applyFont="1" applyFill="1" applyBorder="1" applyAlignment="1"/>
    <xf numFmtId="171" fontId="10" fillId="8" borderId="18" xfId="0" applyNumberFormat="1" applyFont="1" applyFill="1" applyBorder="1" applyAlignment="1"/>
    <xf numFmtId="172" fontId="10" fillId="8" borderId="22" xfId="0" applyNumberFormat="1" applyFont="1" applyFill="1" applyBorder="1" applyAlignment="1"/>
    <xf numFmtId="172" fontId="10" fillId="8" borderId="23" xfId="17" applyNumberFormat="1" applyFont="1" applyFill="1" applyBorder="1"/>
    <xf numFmtId="172" fontId="10" fillId="8" borderId="18" xfId="0" applyNumberFormat="1" applyFont="1" applyFill="1" applyBorder="1"/>
    <xf numFmtId="0" fontId="10" fillId="8" borderId="0" xfId="0" applyFont="1" applyFill="1"/>
    <xf numFmtId="0" fontId="10" fillId="8" borderId="0" xfId="0" applyFont="1" applyFill="1" applyBorder="1"/>
    <xf numFmtId="0" fontId="10" fillId="8" borderId="0" xfId="0" applyNumberFormat="1" applyFont="1" applyFill="1" applyBorder="1"/>
    <xf numFmtId="2" fontId="10" fillId="8" borderId="0" xfId="0" applyNumberFormat="1" applyFont="1" applyFill="1"/>
    <xf numFmtId="0" fontId="10" fillId="0" borderId="13" xfId="0" applyFont="1" applyFill="1" applyBorder="1"/>
    <xf numFmtId="0" fontId="10" fillId="0" borderId="9" xfId="0" applyFont="1" applyBorder="1"/>
    <xf numFmtId="0" fontId="10" fillId="8" borderId="13" xfId="0" applyFont="1" applyFill="1" applyBorder="1" applyAlignment="1"/>
    <xf numFmtId="171" fontId="10" fillId="8" borderId="0" xfId="0" applyNumberFormat="1" applyFont="1" applyFill="1" applyBorder="1" applyAlignment="1"/>
    <xf numFmtId="171" fontId="10" fillId="8" borderId="9" xfId="0" applyNumberFormat="1" applyFont="1" applyFill="1" applyBorder="1" applyAlignment="1"/>
    <xf numFmtId="172" fontId="10" fillId="8" borderId="13" xfId="0" applyNumberFormat="1" applyFont="1" applyFill="1" applyBorder="1" applyAlignment="1"/>
    <xf numFmtId="172" fontId="10" fillId="8" borderId="0" xfId="17" applyNumberFormat="1" applyFont="1" applyFill="1" applyBorder="1"/>
    <xf numFmtId="172" fontId="10" fillId="8" borderId="9" xfId="0" applyNumberFormat="1" applyFont="1" applyFill="1" applyBorder="1"/>
    <xf numFmtId="172" fontId="10" fillId="8" borderId="0" xfId="0" applyNumberFormat="1" applyFont="1" applyFill="1" applyBorder="1"/>
    <xf numFmtId="0" fontId="10" fillId="0" borderId="13" xfId="0" applyFont="1" applyBorder="1" applyAlignment="1"/>
    <xf numFmtId="171" fontId="10" fillId="0" borderId="0" xfId="0" applyNumberFormat="1" applyFont="1" applyBorder="1" applyAlignment="1"/>
    <xf numFmtId="171" fontId="10" fillId="0" borderId="9" xfId="0" applyNumberFormat="1" applyFont="1" applyBorder="1" applyAlignment="1"/>
    <xf numFmtId="172" fontId="10" fillId="0" borderId="13" xfId="0" applyNumberFormat="1" applyFont="1" applyBorder="1" applyAlignment="1"/>
    <xf numFmtId="172" fontId="10" fillId="0" borderId="0" xfId="17" applyNumberFormat="1" applyFont="1" applyBorder="1"/>
    <xf numFmtId="172" fontId="10" fillId="0" borderId="9" xfId="0" applyNumberFormat="1" applyFont="1" applyBorder="1"/>
    <xf numFmtId="0" fontId="10" fillId="0" borderId="0" xfId="0" applyFont="1" applyBorder="1"/>
    <xf numFmtId="0" fontId="10" fillId="0" borderId="0" xfId="0" applyNumberFormat="1" applyFont="1" applyBorder="1"/>
    <xf numFmtId="2" fontId="10" fillId="0" borderId="0" xfId="0" applyNumberFormat="1" applyFont="1"/>
    <xf numFmtId="0" fontId="10" fillId="0" borderId="14" xfId="0" applyFont="1" applyBorder="1" applyAlignment="1"/>
    <xf numFmtId="172" fontId="10" fillId="0" borderId="13" xfId="17" applyNumberFormat="1" applyFont="1" applyBorder="1" applyAlignment="1"/>
    <xf numFmtId="172" fontId="10" fillId="0" borderId="0" xfId="17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6" fillId="0" borderId="0" xfId="0" applyNumberFormat="1" applyFont="1" applyBorder="1"/>
    <xf numFmtId="0" fontId="10" fillId="8" borderId="0" xfId="0" quotePrefix="1" applyFont="1" applyFill="1" applyBorder="1"/>
    <xf numFmtId="0" fontId="10" fillId="0" borderId="13" xfId="0" applyFont="1" applyBorder="1"/>
    <xf numFmtId="172" fontId="10" fillId="8" borderId="13" xfId="17" applyNumberFormat="1" applyFont="1" applyFill="1" applyBorder="1" applyAlignment="1"/>
    <xf numFmtId="2" fontId="10" fillId="0" borderId="22" xfId="0" applyNumberFormat="1" applyFont="1" applyBorder="1"/>
    <xf numFmtId="2" fontId="10" fillId="0" borderId="13" xfId="0" applyNumberFormat="1" applyFont="1" applyBorder="1"/>
    <xf numFmtId="2" fontId="10" fillId="0" borderId="14" xfId="0" applyNumberFormat="1" applyFont="1" applyBorder="1"/>
    <xf numFmtId="2" fontId="10" fillId="0" borderId="23" xfId="0" applyNumberFormat="1" applyFont="1" applyBorder="1"/>
    <xf numFmtId="2" fontId="10" fillId="0" borderId="0" xfId="0" applyNumberFormat="1" applyFont="1" applyBorder="1"/>
    <xf numFmtId="2" fontId="10" fillId="0" borderId="15" xfId="0" applyNumberFormat="1" applyFont="1" applyBorder="1"/>
    <xf numFmtId="2" fontId="10" fillId="0" borderId="18" xfId="0" applyNumberFormat="1" applyFont="1" applyBorder="1"/>
    <xf numFmtId="2" fontId="10" fillId="0" borderId="9" xfId="0" applyNumberFormat="1" applyFont="1" applyBorder="1"/>
    <xf numFmtId="2" fontId="10" fillId="0" borderId="16" xfId="0" applyNumberFormat="1" applyFont="1" applyBorder="1"/>
    <xf numFmtId="172" fontId="10" fillId="0" borderId="17" xfId="0" applyNumberFormat="1" applyFont="1" applyBorder="1"/>
    <xf numFmtId="172" fontId="10" fillId="0" borderId="8" xfId="0" applyNumberFormat="1" applyFont="1" applyBorder="1"/>
    <xf numFmtId="172" fontId="10" fillId="0" borderId="19" xfId="0" applyNumberFormat="1" applyFont="1" applyBorder="1"/>
    <xf numFmtId="175" fontId="10" fillId="0" borderId="22" xfId="0" applyNumberFormat="1" applyFont="1" applyBorder="1"/>
    <xf numFmtId="175" fontId="10" fillId="0" borderId="23" xfId="0" applyNumberFormat="1" applyFont="1" applyBorder="1"/>
    <xf numFmtId="175" fontId="10" fillId="0" borderId="18" xfId="0" applyNumberFormat="1" applyFont="1" applyBorder="1"/>
    <xf numFmtId="175" fontId="10" fillId="0" borderId="13" xfId="0" applyNumberFormat="1" applyFont="1" applyBorder="1"/>
    <xf numFmtId="175" fontId="10" fillId="0" borderId="0" xfId="0" applyNumberFormat="1" applyFont="1" applyBorder="1"/>
    <xf numFmtId="175" fontId="10" fillId="0" borderId="9" xfId="0" applyNumberFormat="1" applyFont="1" applyBorder="1"/>
    <xf numFmtId="175" fontId="10" fillId="0" borderId="14" xfId="0" applyNumberFormat="1" applyFont="1" applyBorder="1"/>
    <xf numFmtId="175" fontId="10" fillId="0" borderId="15" xfId="0" applyNumberFormat="1" applyFont="1" applyBorder="1"/>
    <xf numFmtId="175" fontId="10" fillId="0" borderId="16" xfId="0" applyNumberFormat="1" applyFont="1" applyBorder="1"/>
    <xf numFmtId="175" fontId="10" fillId="0" borderId="17" xfId="0" applyNumberFormat="1" applyFont="1" applyBorder="1"/>
    <xf numFmtId="175" fontId="10" fillId="0" borderId="8" xfId="0" applyNumberFormat="1" applyFont="1" applyBorder="1"/>
    <xf numFmtId="175" fontId="10" fillId="0" borderId="19" xfId="0" applyNumberFormat="1" applyFont="1" applyBorder="1"/>
    <xf numFmtId="172" fontId="10" fillId="0" borderId="0" xfId="0" applyNumberFormat="1" applyFont="1"/>
    <xf numFmtId="0" fontId="10" fillId="0" borderId="23" xfId="0" applyFont="1" applyBorder="1"/>
    <xf numFmtId="169" fontId="10" fillId="0" borderId="23" xfId="0" applyNumberFormat="1" applyFont="1" applyBorder="1" applyAlignment="1"/>
    <xf numFmtId="172" fontId="10" fillId="0" borderId="23" xfId="0" applyNumberFormat="1" applyFont="1" applyBorder="1" applyAlignment="1"/>
    <xf numFmtId="172" fontId="10" fillId="0" borderId="0" xfId="17" applyNumberFormat="1" applyFont="1"/>
    <xf numFmtId="169" fontId="10" fillId="0" borderId="0" xfId="0" applyNumberFormat="1" applyFont="1" applyBorder="1" applyAlignment="1"/>
    <xf numFmtId="0" fontId="10" fillId="0" borderId="17" xfId="0" applyFont="1" applyBorder="1" applyAlignment="1">
      <alignment horizontal="center"/>
    </xf>
    <xf numFmtId="172" fontId="10" fillId="0" borderId="23" xfId="0" applyNumberFormat="1" applyFont="1" applyBorder="1"/>
    <xf numFmtId="172" fontId="10" fillId="0" borderId="18" xfId="0" applyNumberFormat="1" applyFont="1" applyBorder="1"/>
    <xf numFmtId="172" fontId="10" fillId="0" borderId="20" xfId="0" applyNumberFormat="1" applyFont="1" applyBorder="1"/>
    <xf numFmtId="172" fontId="10" fillId="0" borderId="21" xfId="0" applyNumberFormat="1" applyFont="1" applyBorder="1"/>
    <xf numFmtId="172" fontId="10" fillId="0" borderId="7" xfId="0" applyNumberFormat="1" applyFont="1" applyBorder="1"/>
    <xf numFmtId="0" fontId="10" fillId="0" borderId="8" xfId="0" applyFont="1" applyBorder="1" applyAlignment="1">
      <alignment horizontal="center"/>
    </xf>
    <xf numFmtId="172" fontId="10" fillId="0" borderId="0" xfId="0" applyNumberFormat="1" applyFont="1" applyBorder="1"/>
    <xf numFmtId="0" fontId="10" fillId="0" borderId="6" xfId="0" applyFont="1" applyBorder="1"/>
    <xf numFmtId="0" fontId="10" fillId="0" borderId="22" xfId="0" applyFont="1" applyBorder="1" applyAlignment="1">
      <alignment horizontal="right"/>
    </xf>
    <xf numFmtId="171" fontId="10" fillId="0" borderId="23" xfId="0" applyNumberFormat="1" applyFont="1" applyBorder="1" applyAlignment="1"/>
    <xf numFmtId="171" fontId="10" fillId="0" borderId="18" xfId="0" applyNumberFormat="1" applyFont="1" applyBorder="1"/>
    <xf numFmtId="172" fontId="16" fillId="0" borderId="0" xfId="17" applyNumberFormat="1" applyFont="1" applyBorder="1"/>
    <xf numFmtId="0" fontId="10" fillId="0" borderId="17" xfId="0" applyFont="1" applyBorder="1"/>
    <xf numFmtId="172" fontId="10" fillId="0" borderId="17" xfId="17" applyNumberFormat="1" applyFont="1" applyBorder="1"/>
    <xf numFmtId="172" fontId="10" fillId="0" borderId="13" xfId="0" applyNumberFormat="1" applyFont="1" applyBorder="1"/>
    <xf numFmtId="0" fontId="10" fillId="0" borderId="17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171" fontId="10" fillId="0" borderId="9" xfId="0" applyNumberFormat="1" applyFont="1" applyBorder="1"/>
    <xf numFmtId="0" fontId="10" fillId="0" borderId="8" xfId="0" applyFont="1" applyBorder="1"/>
    <xf numFmtId="172" fontId="10" fillId="0" borderId="8" xfId="17" applyNumberFormat="1" applyFont="1" applyBorder="1"/>
    <xf numFmtId="0" fontId="10" fillId="0" borderId="8" xfId="0" applyFont="1" applyBorder="1" applyAlignment="1">
      <alignment horizontal="right"/>
    </xf>
    <xf numFmtId="0" fontId="10" fillId="0" borderId="14" xfId="0" applyFont="1" applyBorder="1"/>
    <xf numFmtId="0" fontId="10" fillId="0" borderId="15" xfId="0" applyFont="1" applyBorder="1"/>
    <xf numFmtId="0" fontId="10" fillId="0" borderId="14" xfId="0" applyFont="1" applyBorder="1" applyAlignment="1">
      <alignment horizontal="right"/>
    </xf>
    <xf numFmtId="171" fontId="10" fillId="0" borderId="15" xfId="0" applyNumberFormat="1" applyFont="1" applyBorder="1" applyAlignment="1"/>
    <xf numFmtId="171" fontId="10" fillId="0" borderId="16" xfId="0" applyNumberFormat="1" applyFont="1" applyBorder="1"/>
    <xf numFmtId="172" fontId="16" fillId="0" borderId="15" xfId="17" applyNumberFormat="1" applyFont="1" applyBorder="1"/>
    <xf numFmtId="0" fontId="10" fillId="0" borderId="19" xfId="0" applyFont="1" applyBorder="1"/>
    <xf numFmtId="172" fontId="10" fillId="0" borderId="19" xfId="17" applyNumberFormat="1" applyFont="1" applyBorder="1"/>
    <xf numFmtId="172" fontId="10" fillId="0" borderId="14" xfId="0" applyNumberFormat="1" applyFont="1" applyBorder="1"/>
    <xf numFmtId="172" fontId="10" fillId="0" borderId="15" xfId="0" applyNumberFormat="1" applyFont="1" applyBorder="1"/>
    <xf numFmtId="172" fontId="10" fillId="0" borderId="16" xfId="0" applyNumberFormat="1" applyFont="1" applyBorder="1"/>
    <xf numFmtId="0" fontId="10" fillId="0" borderId="19" xfId="0" applyFont="1" applyBorder="1" applyAlignment="1">
      <alignment horizontal="right"/>
    </xf>
    <xf numFmtId="172" fontId="16" fillId="0" borderId="23" xfId="17" applyNumberFormat="1" applyFont="1" applyBorder="1"/>
    <xf numFmtId="172" fontId="16" fillId="9" borderId="17" xfId="17" applyNumberFormat="1" applyFont="1" applyFill="1" applyBorder="1" applyAlignment="1"/>
    <xf numFmtId="172" fontId="16" fillId="9" borderId="8" xfId="17" applyNumberFormat="1" applyFont="1" applyFill="1" applyBorder="1" applyAlignment="1"/>
    <xf numFmtId="172" fontId="16" fillId="9" borderId="13" xfId="17" applyNumberFormat="1" applyFont="1" applyFill="1" applyBorder="1" applyAlignment="1"/>
    <xf numFmtId="172" fontId="16" fillId="9" borderId="18" xfId="17" applyNumberFormat="1" applyFont="1" applyFill="1" applyBorder="1"/>
    <xf numFmtId="172" fontId="16" fillId="9" borderId="9" xfId="17" applyNumberFormat="1" applyFont="1" applyFill="1" applyBorder="1"/>
    <xf numFmtId="0" fontId="10" fillId="0" borderId="13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172" fontId="16" fillId="9" borderId="16" xfId="17" applyNumberFormat="1" applyFont="1" applyFill="1" applyBorder="1"/>
    <xf numFmtId="172" fontId="16" fillId="9" borderId="0" xfId="17" applyNumberFormat="1" applyFont="1" applyFill="1" applyBorder="1"/>
    <xf numFmtId="172" fontId="16" fillId="10" borderId="13" xfId="17" applyNumberFormat="1" applyFont="1" applyFill="1" applyBorder="1" applyAlignment="1">
      <alignment horizontal="left"/>
    </xf>
    <xf numFmtId="172" fontId="16" fillId="10" borderId="0" xfId="17" applyNumberFormat="1" applyFont="1" applyFill="1" applyBorder="1"/>
    <xf numFmtId="172" fontId="16" fillId="10" borderId="13" xfId="17" applyNumberFormat="1" applyFont="1" applyFill="1" applyBorder="1" applyAlignment="1"/>
    <xf numFmtId="172" fontId="16" fillId="10" borderId="0" xfId="17" applyNumberFormat="1" applyFont="1" applyFill="1" applyBorder="1" applyAlignment="1">
      <alignment horizontal="center"/>
    </xf>
    <xf numFmtId="172" fontId="16" fillId="10" borderId="9" xfId="17" applyNumberFormat="1" applyFont="1" applyFill="1" applyBorder="1"/>
    <xf numFmtId="172" fontId="16" fillId="10" borderId="9" xfId="17" applyNumberFormat="1" applyFont="1" applyFill="1" applyBorder="1" applyAlignment="1">
      <alignment horizontal="right"/>
    </xf>
    <xf numFmtId="172" fontId="16" fillId="9" borderId="14" xfId="17" applyNumberFormat="1" applyFont="1" applyFill="1" applyBorder="1" applyAlignment="1"/>
    <xf numFmtId="172" fontId="16" fillId="9" borderId="15" xfId="17" applyNumberFormat="1" applyFont="1" applyFill="1" applyBorder="1"/>
    <xf numFmtId="176" fontId="10" fillId="0" borderId="0" xfId="0" applyNumberFormat="1" applyFont="1"/>
    <xf numFmtId="0" fontId="10" fillId="5" borderId="24" xfId="14" applyFont="1" applyFill="1" applyBorder="1"/>
    <xf numFmtId="0" fontId="10" fillId="5" borderId="25" xfId="14" applyFont="1" applyFill="1" applyBorder="1"/>
    <xf numFmtId="0" fontId="10" fillId="5" borderId="26" xfId="14" applyFont="1" applyFill="1" applyBorder="1"/>
    <xf numFmtId="0" fontId="10" fillId="0" borderId="0" xfId="14" applyFont="1"/>
    <xf numFmtId="0" fontId="10" fillId="5" borderId="24" xfId="20" applyFont="1" applyFill="1" applyBorder="1" applyAlignment="1">
      <alignment horizontal="center"/>
    </xf>
    <xf numFmtId="0" fontId="10" fillId="5" borderId="25" xfId="20" applyFont="1" applyFill="1" applyBorder="1"/>
    <xf numFmtId="0" fontId="10" fillId="5" borderId="25" xfId="20" applyFont="1" applyFill="1" applyBorder="1" applyAlignment="1">
      <alignment horizontal="center"/>
    </xf>
    <xf numFmtId="0" fontId="10" fillId="5" borderId="26" xfId="18" applyFont="1" applyFill="1" applyBorder="1"/>
    <xf numFmtId="0" fontId="11" fillId="0" borderId="0" xfId="14" applyFont="1"/>
    <xf numFmtId="0" fontId="10" fillId="5" borderId="5" xfId="14" applyFont="1" applyFill="1" applyBorder="1" applyAlignment="1">
      <alignment horizontal="center"/>
    </xf>
    <xf numFmtId="0" fontId="10" fillId="5" borderId="4" xfId="20" applyFont="1" applyFill="1" applyBorder="1" applyAlignment="1">
      <alignment horizontal="center"/>
    </xf>
    <xf numFmtId="0" fontId="10" fillId="5" borderId="0" xfId="20" applyFont="1" applyFill="1" applyBorder="1" applyAlignment="1">
      <alignment horizontal="center"/>
    </xf>
    <xf numFmtId="0" fontId="10" fillId="5" borderId="5" xfId="18" applyFont="1" applyFill="1" applyBorder="1"/>
    <xf numFmtId="0" fontId="10" fillId="5" borderId="17" xfId="14" applyNumberFormat="1" applyFont="1" applyFill="1" applyBorder="1" applyAlignment="1"/>
    <xf numFmtId="0" fontId="10" fillId="5" borderId="0" xfId="20" quotePrefix="1" applyFont="1" applyFill="1" applyBorder="1" applyAlignment="1">
      <alignment horizontal="center"/>
    </xf>
    <xf numFmtId="0" fontId="10" fillId="5" borderId="8" xfId="14" applyNumberFormat="1" applyFont="1" applyFill="1" applyBorder="1" applyAlignment="1"/>
    <xf numFmtId="0" fontId="11" fillId="5" borderId="4" xfId="14" applyFont="1" applyFill="1" applyBorder="1" applyAlignment="1">
      <alignment horizontal="center"/>
    </xf>
    <xf numFmtId="0" fontId="11" fillId="5" borderId="5" xfId="14" applyFont="1" applyFill="1" applyBorder="1" applyAlignment="1">
      <alignment horizontal="center"/>
    </xf>
    <xf numFmtId="0" fontId="10" fillId="5" borderId="4" xfId="0" applyFont="1" applyFill="1" applyBorder="1"/>
    <xf numFmtId="0" fontId="10" fillId="5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10" fillId="5" borderId="0" xfId="0" quotePrefix="1" applyFont="1" applyFill="1" applyBorder="1" applyAlignment="1">
      <alignment horizontal="center"/>
    </xf>
    <xf numFmtId="0" fontId="10" fillId="5" borderId="5" xfId="0" applyFont="1" applyFill="1" applyBorder="1"/>
    <xf numFmtId="0" fontId="10" fillId="5" borderId="10" xfId="0" applyFont="1" applyFill="1" applyBorder="1"/>
    <xf numFmtId="0" fontId="10" fillId="5" borderId="11" xfId="0" applyFont="1" applyFill="1" applyBorder="1"/>
    <xf numFmtId="0" fontId="10" fillId="5" borderId="12" xfId="0" applyFont="1" applyFill="1" applyBorder="1"/>
    <xf numFmtId="0" fontId="4" fillId="5" borderId="5" xfId="14" applyFont="1" applyFill="1" applyBorder="1"/>
    <xf numFmtId="0" fontId="11" fillId="5" borderId="10" xfId="14" applyFont="1" applyFill="1" applyBorder="1" applyAlignment="1">
      <alignment horizontal="center"/>
    </xf>
    <xf numFmtId="0" fontId="4" fillId="5" borderId="12" xfId="14" applyFont="1" applyFill="1" applyBorder="1"/>
    <xf numFmtId="0" fontId="17" fillId="10" borderId="21" xfId="8" applyFont="1" applyFill="1" applyBorder="1" applyAlignment="1">
      <alignment horizontal="center" vertical="center" wrapText="1"/>
    </xf>
    <xf numFmtId="0" fontId="17" fillId="10" borderId="7" xfId="8" applyFont="1" applyFill="1" applyBorder="1" applyAlignment="1">
      <alignment horizontal="center" vertical="center" wrapText="1"/>
    </xf>
    <xf numFmtId="0" fontId="10" fillId="0" borderId="0" xfId="8" applyFont="1"/>
    <xf numFmtId="0" fontId="17" fillId="5" borderId="14" xfId="8" applyFont="1" applyFill="1" applyBorder="1" applyAlignment="1">
      <alignment vertical="center" textRotation="90"/>
    </xf>
    <xf numFmtId="0" fontId="10" fillId="5" borderId="15" xfId="8" applyNumberFormat="1" applyFont="1" applyFill="1" applyBorder="1" applyAlignment="1"/>
    <xf numFmtId="0" fontId="10" fillId="5" borderId="15" xfId="8" applyFont="1" applyFill="1" applyBorder="1" applyAlignment="1"/>
    <xf numFmtId="172" fontId="10" fillId="5" borderId="15" xfId="11" applyNumberFormat="1" applyFont="1" applyFill="1" applyBorder="1" applyAlignment="1">
      <alignment horizontal="right"/>
    </xf>
    <xf numFmtId="0" fontId="10" fillId="5" borderId="15" xfId="8" applyFont="1" applyFill="1" applyBorder="1" applyAlignment="1">
      <alignment horizontal="center"/>
    </xf>
    <xf numFmtId="169" fontId="10" fillId="5" borderId="15" xfId="8" applyNumberFormat="1" applyFont="1" applyFill="1" applyBorder="1" applyAlignment="1">
      <alignment horizontal="right"/>
    </xf>
    <xf numFmtId="169" fontId="10" fillId="5" borderId="16" xfId="8" applyNumberFormat="1" applyFont="1" applyFill="1" applyBorder="1" applyAlignment="1">
      <alignment horizontal="right"/>
    </xf>
    <xf numFmtId="0" fontId="10" fillId="5" borderId="20" xfId="8" applyNumberFormat="1" applyFont="1" applyFill="1" applyBorder="1" applyAlignment="1"/>
    <xf numFmtId="0" fontId="10" fillId="5" borderId="21" xfId="8" applyNumberFormat="1" applyFont="1" applyFill="1" applyBorder="1" applyAlignment="1"/>
    <xf numFmtId="172" fontId="10" fillId="5" borderId="21" xfId="11" applyNumberFormat="1" applyFont="1" applyFill="1" applyBorder="1" applyAlignment="1">
      <alignment horizontal="right"/>
    </xf>
    <xf numFmtId="0" fontId="10" fillId="5" borderId="21" xfId="8" applyFont="1" applyFill="1" applyBorder="1" applyAlignment="1">
      <alignment horizontal="center"/>
    </xf>
    <xf numFmtId="169" fontId="10" fillId="5" borderId="21" xfId="8" applyNumberFormat="1" applyFont="1" applyFill="1" applyBorder="1" applyAlignment="1">
      <alignment horizontal="right"/>
    </xf>
    <xf numFmtId="169" fontId="10" fillId="5" borderId="7" xfId="8" applyNumberFormat="1" applyFont="1" applyFill="1" applyBorder="1" applyAlignment="1">
      <alignment horizontal="right"/>
    </xf>
    <xf numFmtId="172" fontId="10" fillId="0" borderId="0" xfId="8" applyNumberFormat="1" applyFont="1"/>
    <xf numFmtId="0" fontId="10" fillId="5" borderId="22" xfId="8" applyNumberFormat="1" applyFont="1" applyFill="1" applyBorder="1" applyAlignment="1"/>
    <xf numFmtId="0" fontId="10" fillId="5" borderId="23" xfId="8" applyNumberFormat="1" applyFont="1" applyFill="1" applyBorder="1" applyAlignment="1"/>
    <xf numFmtId="0" fontId="10" fillId="5" borderId="23" xfId="8" applyFont="1" applyFill="1" applyBorder="1" applyAlignment="1"/>
    <xf numFmtId="172" fontId="10" fillId="5" borderId="23" xfId="11" applyNumberFormat="1" applyFont="1" applyFill="1" applyBorder="1" applyAlignment="1">
      <alignment horizontal="right"/>
    </xf>
    <xf numFmtId="0" fontId="10" fillId="5" borderId="23" xfId="8" applyFont="1" applyFill="1" applyBorder="1" applyAlignment="1">
      <alignment horizontal="center"/>
    </xf>
    <xf numFmtId="169" fontId="10" fillId="5" borderId="23" xfId="8" applyNumberFormat="1" applyFont="1" applyFill="1" applyBorder="1" applyAlignment="1">
      <alignment horizontal="right"/>
    </xf>
    <xf numFmtId="169" fontId="10" fillId="5" borderId="18" xfId="8" applyNumberFormat="1" applyFont="1" applyFill="1" applyBorder="1" applyAlignment="1">
      <alignment horizontal="right"/>
    </xf>
    <xf numFmtId="0" fontId="10" fillId="5" borderId="13" xfId="8" applyNumberFormat="1" applyFont="1" applyFill="1" applyBorder="1" applyAlignment="1"/>
    <xf numFmtId="0" fontId="10" fillId="5" borderId="0" xfId="8" applyNumberFormat="1" applyFont="1" applyFill="1" applyBorder="1" applyAlignment="1"/>
    <xf numFmtId="0" fontId="10" fillId="5" borderId="0" xfId="8" applyFont="1" applyFill="1" applyBorder="1" applyAlignment="1"/>
    <xf numFmtId="172" fontId="10" fillId="5" borderId="0" xfId="11" applyNumberFormat="1" applyFont="1" applyFill="1" applyBorder="1" applyAlignment="1">
      <alignment horizontal="right"/>
    </xf>
    <xf numFmtId="0" fontId="10" fillId="5" borderId="0" xfId="8" applyFont="1" applyFill="1" applyBorder="1" applyAlignment="1">
      <alignment horizontal="center"/>
    </xf>
    <xf numFmtId="169" fontId="10" fillId="5" borderId="0" xfId="8" applyNumberFormat="1" applyFont="1" applyFill="1" applyBorder="1" applyAlignment="1">
      <alignment horizontal="right"/>
    </xf>
    <xf numFmtId="169" fontId="10" fillId="5" borderId="9" xfId="8" applyNumberFormat="1" applyFont="1" applyFill="1" applyBorder="1" applyAlignment="1">
      <alignment horizontal="right"/>
    </xf>
    <xf numFmtId="0" fontId="10" fillId="5" borderId="14" xfId="8" applyNumberFormat="1" applyFont="1" applyFill="1" applyBorder="1" applyAlignment="1"/>
    <xf numFmtId="0" fontId="10" fillId="0" borderId="0" xfId="8" applyFont="1" applyAlignment="1">
      <alignment horizontal="left"/>
    </xf>
    <xf numFmtId="0" fontId="17" fillId="10" borderId="20" xfId="8" applyFont="1" applyFill="1" applyBorder="1" applyAlignment="1">
      <alignment horizontal="center" vertical="center" wrapText="1"/>
    </xf>
    <xf numFmtId="0" fontId="10" fillId="0" borderId="0" xfId="8" applyFont="1" applyAlignment="1">
      <alignment horizontal="center" vertical="center" wrapText="1"/>
    </xf>
    <xf numFmtId="0" fontId="10" fillId="9" borderId="20" xfId="8" applyFont="1" applyFill="1" applyBorder="1"/>
    <xf numFmtId="0" fontId="10" fillId="9" borderId="21" xfId="8" applyFont="1" applyFill="1" applyBorder="1"/>
    <xf numFmtId="171" fontId="10" fillId="9" borderId="7" xfId="8" applyNumberFormat="1" applyFont="1" applyFill="1" applyBorder="1"/>
    <xf numFmtId="171" fontId="10" fillId="5" borderId="9" xfId="8" applyNumberFormat="1" applyFont="1" applyFill="1" applyBorder="1" applyAlignment="1"/>
    <xf numFmtId="172" fontId="10" fillId="0" borderId="0" xfId="11" applyNumberFormat="1" applyFont="1"/>
    <xf numFmtId="171" fontId="10" fillId="0" borderId="0" xfId="8" applyNumberFormat="1" applyFont="1"/>
    <xf numFmtId="0" fontId="10" fillId="5" borderId="13" xfId="8" applyFont="1" applyFill="1" applyBorder="1" applyAlignment="1"/>
    <xf numFmtId="172" fontId="10" fillId="5" borderId="0" xfId="8" applyNumberFormat="1" applyFont="1" applyFill="1" applyBorder="1" applyAlignment="1"/>
    <xf numFmtId="171" fontId="10" fillId="5" borderId="0" xfId="8" applyNumberFormat="1" applyFont="1" applyFill="1" applyBorder="1" applyAlignment="1"/>
    <xf numFmtId="0" fontId="10" fillId="5" borderId="14" xfId="8" applyFont="1" applyFill="1" applyBorder="1" applyAlignment="1"/>
    <xf numFmtId="172" fontId="10" fillId="5" borderId="15" xfId="8" applyNumberFormat="1" applyFont="1" applyFill="1" applyBorder="1" applyAlignment="1"/>
    <xf numFmtId="171" fontId="10" fillId="5" borderId="15" xfId="8" applyNumberFormat="1" applyFont="1" applyFill="1" applyBorder="1" applyAlignment="1"/>
    <xf numFmtId="171" fontId="10" fillId="5" borderId="16" xfId="8" applyNumberFormat="1" applyFont="1" applyFill="1" applyBorder="1" applyAlignment="1"/>
    <xf numFmtId="0" fontId="10" fillId="5" borderId="0" xfId="19" quotePrefix="1" applyFont="1" applyFill="1" applyBorder="1" applyAlignment="1">
      <alignment horizontal="center"/>
    </xf>
    <xf numFmtId="0" fontId="10" fillId="5" borderId="0" xfId="19" applyFont="1" applyFill="1" applyBorder="1" applyAlignment="1">
      <alignment horizontal="center"/>
    </xf>
    <xf numFmtId="0" fontId="10" fillId="11" borderId="4" xfId="15" applyFont="1" applyFill="1" applyBorder="1"/>
    <xf numFmtId="0" fontId="10" fillId="11" borderId="0" xfId="15" applyFont="1" applyFill="1" applyBorder="1" applyAlignment="1">
      <alignment horizontal="right"/>
    </xf>
    <xf numFmtId="171" fontId="10" fillId="11" borderId="0" xfId="17" applyNumberFormat="1" applyFont="1" applyFill="1" applyBorder="1" applyAlignment="1">
      <alignment horizontal="center"/>
    </xf>
    <xf numFmtId="0" fontId="10" fillId="11" borderId="0" xfId="15" applyFont="1" applyFill="1" applyBorder="1"/>
    <xf numFmtId="0" fontId="10" fillId="11" borderId="5" xfId="15" applyFont="1" applyFill="1" applyBorder="1"/>
    <xf numFmtId="168" fontId="11" fillId="5" borderId="6" xfId="15" applyNumberFormat="1" applyFont="1" applyFill="1" applyBorder="1" applyAlignment="1">
      <alignment horizontal="center"/>
    </xf>
    <xf numFmtId="1" fontId="10" fillId="5" borderId="6" xfId="15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6" borderId="6" xfId="15" applyFont="1" applyFill="1" applyBorder="1" applyAlignment="1">
      <alignment horizontal="right" vertical="center"/>
    </xf>
    <xf numFmtId="169" fontId="10" fillId="12" borderId="6" xfId="11" applyNumberFormat="1" applyFont="1" applyFill="1" applyBorder="1" applyAlignment="1">
      <alignment horizontal="center"/>
    </xf>
    <xf numFmtId="0" fontId="10" fillId="5" borderId="6" xfId="0" applyNumberFormat="1" applyFont="1" applyFill="1" applyBorder="1" applyAlignment="1">
      <alignment horizontal="center"/>
    </xf>
    <xf numFmtId="169" fontId="10" fillId="5" borderId="17" xfId="0" applyNumberFormat="1" applyFont="1" applyFill="1" applyBorder="1" applyAlignment="1">
      <alignment horizontal="right"/>
    </xf>
    <xf numFmtId="178" fontId="10" fillId="5" borderId="18" xfId="0" applyNumberFormat="1" applyFont="1" applyFill="1" applyBorder="1" applyAlignment="1">
      <alignment horizontal="center"/>
    </xf>
    <xf numFmtId="169" fontId="10" fillId="5" borderId="19" xfId="0" applyNumberFormat="1" applyFont="1" applyFill="1" applyBorder="1" applyAlignment="1">
      <alignment horizontal="right"/>
    </xf>
    <xf numFmtId="0" fontId="10" fillId="5" borderId="16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79" fontId="10" fillId="7" borderId="18" xfId="0" quotePrefix="1" applyNumberFormat="1" applyFont="1" applyFill="1" applyBorder="1" applyAlignment="1">
      <alignment horizontal="center"/>
    </xf>
    <xf numFmtId="0" fontId="17" fillId="6" borderId="19" xfId="0" applyFont="1" applyFill="1" applyBorder="1" applyAlignment="1">
      <alignment horizontal="right"/>
    </xf>
    <xf numFmtId="1" fontId="16" fillId="7" borderId="16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1" fillId="5" borderId="11" xfId="14" applyNumberFormat="1" applyFont="1" applyFill="1" applyBorder="1" applyAlignment="1"/>
    <xf numFmtId="0" fontId="10" fillId="11" borderId="15" xfId="8" applyFont="1" applyFill="1" applyBorder="1"/>
    <xf numFmtId="0" fontId="10" fillId="11" borderId="21" xfId="8" applyFont="1" applyFill="1" applyBorder="1"/>
    <xf numFmtId="0" fontId="10" fillId="11" borderId="23" xfId="8" applyFont="1" applyFill="1" applyBorder="1"/>
    <xf numFmtId="0" fontId="10" fillId="11" borderId="0" xfId="8" applyFont="1" applyFill="1" applyBorder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1" fontId="10" fillId="0" borderId="17" xfId="0" applyNumberFormat="1" applyFont="1" applyBorder="1"/>
    <xf numFmtId="0" fontId="10" fillId="7" borderId="30" xfId="14" applyNumberFormat="1" applyFont="1" applyFill="1" applyBorder="1" applyAlignment="1" applyProtection="1"/>
    <xf numFmtId="0" fontId="10" fillId="5" borderId="32" xfId="14" applyNumberFormat="1" applyFont="1" applyFill="1" applyBorder="1" applyAlignment="1"/>
    <xf numFmtId="172" fontId="17" fillId="0" borderId="29" xfId="21" applyNumberFormat="1" applyFont="1" applyFill="1" applyBorder="1" applyAlignment="1">
      <alignment horizontal="center" vertical="center" wrapText="1"/>
    </xf>
    <xf numFmtId="173" fontId="17" fillId="0" borderId="30" xfId="21" applyNumberFormat="1" applyFont="1" applyFill="1" applyBorder="1" applyAlignment="1">
      <alignment horizontal="center" vertical="center" wrapText="1"/>
    </xf>
    <xf numFmtId="0" fontId="10" fillId="0" borderId="4" xfId="21" applyNumberFormat="1" applyFont="1" applyFill="1" applyBorder="1" applyAlignment="1">
      <alignment vertical="center"/>
    </xf>
    <xf numFmtId="172" fontId="10" fillId="0" borderId="5" xfId="21" quotePrefix="1" applyNumberFormat="1" applyFont="1" applyFill="1" applyBorder="1" applyAlignment="1"/>
    <xf numFmtId="0" fontId="10" fillId="0" borderId="34" xfId="21" applyNumberFormat="1" applyFont="1" applyFill="1" applyBorder="1" applyAlignment="1">
      <alignment vertical="center"/>
    </xf>
    <xf numFmtId="172" fontId="10" fillId="0" borderId="35" xfId="21" quotePrefix="1" applyNumberFormat="1" applyFont="1" applyFill="1" applyBorder="1" applyAlignment="1"/>
    <xf numFmtId="0" fontId="10" fillId="0" borderId="10" xfId="21" applyNumberFormat="1" applyFont="1" applyFill="1" applyBorder="1" applyAlignment="1">
      <alignment vertical="center"/>
    </xf>
    <xf numFmtId="172" fontId="10" fillId="0" borderId="12" xfId="21" quotePrefix="1" applyNumberFormat="1" applyFont="1" applyFill="1" applyBorder="1" applyAlignment="1"/>
    <xf numFmtId="172" fontId="17" fillId="0" borderId="27" xfId="21" applyNumberFormat="1" applyFont="1" applyFill="1" applyBorder="1" applyAlignment="1">
      <alignment horizontal="center" vertical="center" wrapText="1"/>
    </xf>
    <xf numFmtId="172" fontId="10" fillId="0" borderId="36" xfId="21" applyNumberFormat="1" applyFont="1" applyBorder="1" applyAlignment="1"/>
    <xf numFmtId="172" fontId="10" fillId="0" borderId="37" xfId="21" applyNumberFormat="1" applyFont="1" applyBorder="1" applyAlignment="1"/>
    <xf numFmtId="172" fontId="10" fillId="0" borderId="38" xfId="21" applyNumberFormat="1" applyFont="1" applyBorder="1" applyAlignment="1"/>
    <xf numFmtId="172" fontId="17" fillId="0" borderId="30" xfId="21" applyNumberFormat="1" applyFont="1" applyFill="1" applyBorder="1" applyAlignment="1">
      <alignment horizontal="center" vertical="center" wrapText="1"/>
    </xf>
    <xf numFmtId="172" fontId="10" fillId="0" borderId="4" xfId="21" applyNumberFormat="1" applyFont="1" applyFill="1" applyBorder="1" applyAlignment="1"/>
    <xf numFmtId="172" fontId="10" fillId="0" borderId="5" xfId="21" applyNumberFormat="1" applyFont="1" applyFill="1" applyBorder="1" applyAlignment="1"/>
    <xf numFmtId="172" fontId="10" fillId="0" borderId="34" xfId="21" applyNumberFormat="1" applyFont="1" applyFill="1" applyBorder="1" applyAlignment="1"/>
    <xf numFmtId="172" fontId="10" fillId="0" borderId="35" xfId="21" applyNumberFormat="1" applyFont="1" applyFill="1" applyBorder="1" applyAlignment="1"/>
    <xf numFmtId="172" fontId="10" fillId="0" borderId="10" xfId="21" applyNumberFormat="1" applyFont="1" applyFill="1" applyBorder="1" applyAlignment="1"/>
    <xf numFmtId="172" fontId="10" fillId="0" borderId="12" xfId="21" applyNumberFormat="1" applyFont="1" applyFill="1" applyBorder="1" applyAlignment="1"/>
    <xf numFmtId="0" fontId="10" fillId="0" borderId="4" xfId="21" applyNumberFormat="1" applyFont="1" applyFill="1" applyBorder="1" applyAlignment="1"/>
    <xf numFmtId="0" fontId="10" fillId="0" borderId="34" xfId="21" applyNumberFormat="1" applyFont="1" applyFill="1" applyBorder="1" applyAlignment="1"/>
    <xf numFmtId="0" fontId="10" fillId="0" borderId="10" xfId="21" applyNumberFormat="1" applyFont="1" applyFill="1" applyBorder="1" applyAlignment="1"/>
    <xf numFmtId="0" fontId="10" fillId="5" borderId="36" xfId="20" applyFont="1" applyFill="1" applyBorder="1" applyAlignment="1">
      <alignment horizontal="center"/>
    </xf>
    <xf numFmtId="0" fontId="10" fillId="5" borderId="36" xfId="20" quotePrefix="1" applyFont="1" applyFill="1" applyBorder="1" applyAlignment="1">
      <alignment horizontal="center"/>
    </xf>
    <xf numFmtId="0" fontId="10" fillId="0" borderId="24" xfId="21" applyNumberFormat="1" applyFont="1" applyFill="1" applyBorder="1" applyAlignment="1"/>
    <xf numFmtId="172" fontId="10" fillId="0" borderId="26" xfId="21" quotePrefix="1" applyNumberFormat="1" applyFont="1" applyFill="1" applyBorder="1" applyAlignment="1"/>
    <xf numFmtId="172" fontId="10" fillId="0" borderId="39" xfId="21" applyNumberFormat="1" applyFont="1" applyBorder="1" applyAlignment="1"/>
    <xf numFmtId="172" fontId="10" fillId="0" borderId="24" xfId="21" applyNumberFormat="1" applyFont="1" applyFill="1" applyBorder="1" applyAlignment="1"/>
    <xf numFmtId="172" fontId="10" fillId="0" borderId="26" xfId="21" applyNumberFormat="1" applyFont="1" applyFill="1" applyBorder="1" applyAlignment="1"/>
    <xf numFmtId="0" fontId="10" fillId="0" borderId="24" xfId="21" applyNumberFormat="1" applyFont="1" applyFill="1" applyBorder="1" applyAlignment="1">
      <alignment horizontal="left"/>
    </xf>
    <xf numFmtId="0" fontId="10" fillId="0" borderId="4" xfId="21" applyNumberFormat="1" applyFont="1" applyFill="1" applyBorder="1" applyAlignment="1">
      <alignment horizontal="left"/>
    </xf>
    <xf numFmtId="0" fontId="10" fillId="0" borderId="34" xfId="21" applyNumberFormat="1" applyFont="1" applyFill="1" applyBorder="1" applyAlignment="1">
      <alignment horizontal="left"/>
    </xf>
    <xf numFmtId="0" fontId="10" fillId="0" borderId="4" xfId="19" applyFont="1" applyBorder="1" applyAlignment="1">
      <alignment horizontal="left"/>
    </xf>
    <xf numFmtId="172" fontId="10" fillId="0" borderId="5" xfId="19" quotePrefix="1" applyNumberFormat="1" applyFont="1" applyFill="1" applyBorder="1"/>
    <xf numFmtId="0" fontId="10" fillId="0" borderId="10" xfId="19" applyFont="1" applyBorder="1" applyAlignment="1">
      <alignment horizontal="left"/>
    </xf>
    <xf numFmtId="172" fontId="10" fillId="0" borderId="12" xfId="19" quotePrefix="1" applyNumberFormat="1" applyFont="1" applyFill="1" applyBorder="1"/>
    <xf numFmtId="172" fontId="10" fillId="0" borderId="36" xfId="11" applyNumberFormat="1" applyFont="1" applyBorder="1" applyAlignment="1"/>
    <xf numFmtId="172" fontId="10" fillId="0" borderId="38" xfId="11" applyNumberFormat="1" applyFont="1" applyBorder="1" applyAlignment="1"/>
    <xf numFmtId="172" fontId="10" fillId="0" borderId="4" xfId="11" applyNumberFormat="1" applyFont="1" applyBorder="1"/>
    <xf numFmtId="172" fontId="10" fillId="0" borderId="5" xfId="11" applyNumberFormat="1" applyFont="1" applyFill="1" applyBorder="1" applyAlignment="1"/>
    <xf numFmtId="0" fontId="10" fillId="11" borderId="43" xfId="14" applyFont="1" applyFill="1" applyBorder="1"/>
    <xf numFmtId="0" fontId="10" fillId="11" borderId="44" xfId="14" applyFont="1" applyFill="1" applyBorder="1"/>
    <xf numFmtId="0" fontId="10" fillId="5" borderId="45" xfId="14" applyFont="1" applyFill="1" applyBorder="1" applyAlignment="1">
      <alignment horizontal="left"/>
    </xf>
    <xf numFmtId="0" fontId="10" fillId="5" borderId="20" xfId="14" applyFont="1" applyFill="1" applyBorder="1" applyAlignment="1">
      <alignment horizontal="left"/>
    </xf>
    <xf numFmtId="177" fontId="10" fillId="7" borderId="41" xfId="14" applyNumberFormat="1" applyFont="1" applyFill="1" applyBorder="1" applyAlignment="1" applyProtection="1">
      <alignment horizontal="left"/>
    </xf>
    <xf numFmtId="177" fontId="10" fillId="7" borderId="5" xfId="14" applyNumberFormat="1" applyFont="1" applyFill="1" applyBorder="1" applyAlignment="1" applyProtection="1">
      <alignment horizontal="left"/>
    </xf>
    <xf numFmtId="177" fontId="14" fillId="7" borderId="5" xfId="14" applyNumberFormat="1" applyFont="1" applyFill="1" applyBorder="1" applyAlignment="1" applyProtection="1">
      <alignment horizontal="left"/>
    </xf>
    <xf numFmtId="177" fontId="14" fillId="7" borderId="12" xfId="14" applyNumberFormat="1" applyFont="1" applyFill="1" applyBorder="1" applyAlignment="1" applyProtection="1">
      <alignment horizontal="left"/>
    </xf>
    <xf numFmtId="0" fontId="17" fillId="5" borderId="24" xfId="14" applyFont="1" applyFill="1" applyBorder="1" applyAlignment="1"/>
    <xf numFmtId="0" fontId="10" fillId="5" borderId="28" xfId="14" applyNumberFormat="1" applyFont="1" applyFill="1" applyBorder="1" applyAlignment="1"/>
    <xf numFmtId="0" fontId="10" fillId="5" borderId="26" xfId="14" applyNumberFormat="1" applyFont="1" applyFill="1" applyBorder="1" applyAlignment="1"/>
    <xf numFmtId="0" fontId="17" fillId="5" borderId="4" xfId="14" applyFont="1" applyFill="1" applyBorder="1" applyAlignment="1"/>
    <xf numFmtId="0" fontId="10" fillId="5" borderId="5" xfId="14" applyNumberFormat="1" applyFont="1" applyFill="1" applyBorder="1" applyAlignment="1"/>
    <xf numFmtId="0" fontId="10" fillId="5" borderId="31" xfId="14" applyNumberFormat="1" applyFont="1" applyFill="1" applyBorder="1" applyAlignment="1"/>
    <xf numFmtId="0" fontId="17" fillId="5" borderId="10" xfId="14" applyFont="1" applyFill="1" applyBorder="1" applyAlignment="1"/>
    <xf numFmtId="0" fontId="10" fillId="5" borderId="33" xfId="14" applyNumberFormat="1" applyFont="1" applyFill="1" applyBorder="1" applyAlignment="1"/>
    <xf numFmtId="177" fontId="10" fillId="7" borderId="12" xfId="14" applyNumberFormat="1" applyFont="1" applyFill="1" applyBorder="1" applyAlignment="1" applyProtection="1">
      <alignment horizontal="left"/>
    </xf>
    <xf numFmtId="0" fontId="19" fillId="5" borderId="28" xfId="14" applyFont="1" applyFill="1" applyBorder="1" applyAlignment="1">
      <alignment horizontal="left"/>
    </xf>
    <xf numFmtId="0" fontId="10" fillId="7" borderId="28" xfId="14" applyNumberFormat="1" applyFont="1" applyFill="1" applyBorder="1" applyAlignment="1" applyProtection="1">
      <alignment horizontal="center"/>
    </xf>
    <xf numFmtId="0" fontId="17" fillId="5" borderId="46" xfId="14" applyFont="1" applyFill="1" applyBorder="1" applyAlignment="1"/>
    <xf numFmtId="0" fontId="10" fillId="5" borderId="27" xfId="14" applyFont="1" applyFill="1" applyBorder="1" applyAlignment="1">
      <alignment horizontal="left"/>
    </xf>
    <xf numFmtId="0" fontId="10" fillId="5" borderId="47" xfId="14" applyFont="1" applyFill="1" applyBorder="1" applyAlignment="1">
      <alignment horizontal="left"/>
    </xf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17" fillId="5" borderId="48" xfId="14" applyFont="1" applyFill="1" applyBorder="1" applyAlignment="1"/>
    <xf numFmtId="0" fontId="17" fillId="5" borderId="40" xfId="14" applyFont="1" applyFill="1" applyBorder="1" applyAlignment="1"/>
    <xf numFmtId="0" fontId="10" fillId="5" borderId="12" xfId="14" applyNumberFormat="1" applyFont="1" applyFill="1" applyBorder="1" applyAlignment="1"/>
    <xf numFmtId="0" fontId="11" fillId="0" borderId="36" xfId="14" applyFont="1" applyBorder="1"/>
    <xf numFmtId="0" fontId="11" fillId="5" borderId="36" xfId="14" applyFont="1" applyFill="1" applyBorder="1" applyAlignment="1">
      <alignment horizontal="center"/>
    </xf>
    <xf numFmtId="0" fontId="11" fillId="5" borderId="38" xfId="14" applyFont="1" applyFill="1" applyBorder="1" applyAlignment="1">
      <alignment horizontal="center"/>
    </xf>
    <xf numFmtId="0" fontId="10" fillId="5" borderId="41" xfId="14" applyNumberFormat="1" applyFont="1" applyFill="1" applyBorder="1" applyAlignment="1"/>
    <xf numFmtId="0" fontId="17" fillId="5" borderId="42" xfId="14" applyFont="1" applyFill="1" applyBorder="1" applyAlignment="1"/>
    <xf numFmtId="0" fontId="11" fillId="5" borderId="36" xfId="14" applyFont="1" applyFill="1" applyBorder="1"/>
    <xf numFmtId="0" fontId="4" fillId="5" borderId="36" xfId="14" applyFont="1" applyFill="1" applyBorder="1"/>
    <xf numFmtId="0" fontId="11" fillId="5" borderId="37" xfId="14" applyFont="1" applyFill="1" applyBorder="1" applyAlignment="1">
      <alignment horizontal="center"/>
    </xf>
    <xf numFmtId="0" fontId="10" fillId="0" borderId="10" xfId="21" applyNumberFormat="1" applyFont="1" applyFill="1" applyBorder="1" applyAlignment="1">
      <alignment horizontal="left"/>
    </xf>
    <xf numFmtId="172" fontId="10" fillId="0" borderId="10" xfId="11" applyNumberFormat="1" applyFont="1" applyBorder="1"/>
    <xf numFmtId="172" fontId="10" fillId="0" borderId="12" xfId="11" applyNumberFormat="1" applyFont="1" applyFill="1" applyBorder="1" applyAlignment="1"/>
    <xf numFmtId="0" fontId="10" fillId="0" borderId="36" xfId="20" applyFont="1" applyFill="1" applyBorder="1" applyAlignment="1">
      <alignment horizontal="center"/>
    </xf>
    <xf numFmtId="0" fontId="10" fillId="5" borderId="5" xfId="18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1" fillId="5" borderId="0" xfId="17" applyNumberFormat="1" applyFont="1" applyFill="1" applyBorder="1" applyAlignment="1">
      <alignment horizontal="center" vertical="center"/>
    </xf>
    <xf numFmtId="0" fontId="12" fillId="4" borderId="1" xfId="16" applyFont="1" applyFill="1" applyBorder="1" applyAlignment="1">
      <alignment horizontal="centerContinuous" vertical="center"/>
    </xf>
    <xf numFmtId="0" fontId="12" fillId="4" borderId="49" xfId="16" applyFont="1" applyFill="1" applyBorder="1" applyAlignment="1">
      <alignment horizontal="centerContinuous" vertical="center"/>
    </xf>
    <xf numFmtId="171" fontId="10" fillId="5" borderId="6" xfId="15" applyNumberFormat="1" applyFont="1" applyFill="1" applyBorder="1" applyAlignment="1">
      <alignment horizontal="center"/>
    </xf>
    <xf numFmtId="1" fontId="10" fillId="5" borderId="6" xfId="17" applyNumberFormat="1" applyFont="1" applyFill="1" applyBorder="1" applyAlignment="1">
      <alignment horizontal="center"/>
    </xf>
    <xf numFmtId="1" fontId="10" fillId="5" borderId="7" xfId="17" applyNumberFormat="1" applyFont="1" applyFill="1" applyBorder="1" applyAlignment="1">
      <alignment horizontal="center"/>
    </xf>
    <xf numFmtId="0" fontId="10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0" fontId="13" fillId="4" borderId="1" xfId="14" applyFont="1" applyFill="1" applyBorder="1" applyAlignment="1">
      <alignment horizontal="centerContinuous"/>
    </xf>
    <xf numFmtId="0" fontId="13" fillId="4" borderId="2" xfId="14" applyFont="1" applyFill="1" applyBorder="1" applyAlignment="1">
      <alignment horizontal="centerContinuous"/>
    </xf>
    <xf numFmtId="0" fontId="13" fillId="4" borderId="3" xfId="14" applyFont="1" applyFill="1" applyBorder="1" applyAlignment="1">
      <alignment horizontal="centerContinuous"/>
    </xf>
    <xf numFmtId="180" fontId="10" fillId="0" borderId="0" xfId="8" applyNumberFormat="1" applyFont="1"/>
    <xf numFmtId="0" fontId="10" fillId="13" borderId="0" xfId="8" applyFont="1" applyFill="1"/>
    <xf numFmtId="171" fontId="10" fillId="13" borderId="0" xfId="8" applyNumberFormat="1" applyFont="1" applyFill="1"/>
    <xf numFmtId="172" fontId="10" fillId="13" borderId="0" xfId="11" applyNumberFormat="1" applyFont="1" applyFill="1"/>
    <xf numFmtId="172" fontId="10" fillId="13" borderId="0" xfId="8" applyNumberFormat="1" applyFont="1" applyFill="1"/>
    <xf numFmtId="0" fontId="10" fillId="14" borderId="0" xfId="8" applyFont="1" applyFill="1"/>
    <xf numFmtId="171" fontId="10" fillId="14" borderId="0" xfId="8" applyNumberFormat="1" applyFont="1" applyFill="1"/>
    <xf numFmtId="172" fontId="10" fillId="14" borderId="0" xfId="11" applyNumberFormat="1" applyFont="1" applyFill="1"/>
    <xf numFmtId="172" fontId="10" fillId="14" borderId="0" xfId="8" applyNumberFormat="1" applyFont="1" applyFill="1"/>
    <xf numFmtId="171" fontId="10" fillId="0" borderId="0" xfId="0" applyNumberFormat="1" applyFont="1"/>
    <xf numFmtId="0" fontId="23" fillId="15" borderId="51" xfId="0" applyFont="1" applyFill="1" applyBorder="1" applyAlignment="1">
      <alignment horizontal="center" vertical="center" wrapText="1"/>
    </xf>
    <xf numFmtId="0" fontId="23" fillId="15" borderId="52" xfId="0" applyFont="1" applyFill="1" applyBorder="1" applyAlignment="1">
      <alignment horizontal="center" vertical="center" wrapText="1"/>
    </xf>
    <xf numFmtId="0" fontId="10" fillId="11" borderId="0" xfId="0" applyFont="1" applyFill="1"/>
    <xf numFmtId="0" fontId="22" fillId="11" borderId="48" xfId="0" applyFont="1" applyFill="1" applyBorder="1"/>
    <xf numFmtId="171" fontId="22" fillId="11" borderId="28" xfId="0" applyNumberFormat="1" applyFont="1" applyFill="1" applyBorder="1"/>
    <xf numFmtId="172" fontId="22" fillId="11" borderId="28" xfId="0" applyNumberFormat="1" applyFont="1" applyFill="1" applyBorder="1"/>
    <xf numFmtId="172" fontId="22" fillId="11" borderId="50" xfId="0" applyNumberFormat="1" applyFont="1" applyFill="1" applyBorder="1"/>
    <xf numFmtId="0" fontId="22" fillId="11" borderId="40" xfId="0" applyFont="1" applyFill="1" applyBorder="1"/>
    <xf numFmtId="171" fontId="22" fillId="11" borderId="8" xfId="0" applyNumberFormat="1" applyFont="1" applyFill="1" applyBorder="1"/>
    <xf numFmtId="172" fontId="22" fillId="11" borderId="8" xfId="0" applyNumberFormat="1" applyFont="1" applyFill="1" applyBorder="1"/>
    <xf numFmtId="172" fontId="22" fillId="11" borderId="31" xfId="0" applyNumberFormat="1" applyFont="1" applyFill="1" applyBorder="1"/>
    <xf numFmtId="0" fontId="22" fillId="11" borderId="46" xfId="0" applyFont="1" applyFill="1" applyBorder="1"/>
    <xf numFmtId="171" fontId="22" fillId="11" borderId="32" xfId="0" applyNumberFormat="1" applyFont="1" applyFill="1" applyBorder="1"/>
    <xf numFmtId="172" fontId="22" fillId="11" borderId="32" xfId="0" applyNumberFormat="1" applyFont="1" applyFill="1" applyBorder="1"/>
    <xf numFmtId="172" fontId="22" fillId="11" borderId="33" xfId="0" applyNumberFormat="1" applyFont="1" applyFill="1" applyBorder="1"/>
    <xf numFmtId="0" fontId="24" fillId="15" borderId="51" xfId="23" applyFont="1" applyFill="1" applyBorder="1" applyAlignment="1">
      <alignment horizontal="center" vertical="center" wrapText="1"/>
    </xf>
    <xf numFmtId="0" fontId="24" fillId="15" borderId="52" xfId="23" applyFont="1" applyFill="1" applyBorder="1" applyAlignment="1">
      <alignment horizontal="center" vertical="center" wrapText="1"/>
    </xf>
    <xf numFmtId="0" fontId="24" fillId="15" borderId="53" xfId="23" applyFont="1" applyFill="1" applyBorder="1" applyAlignment="1">
      <alignment horizontal="center" vertical="center" wrapText="1"/>
    </xf>
    <xf numFmtId="171" fontId="10" fillId="11" borderId="40" xfId="23" applyNumberFormat="1" applyFont="1" applyFill="1" applyBorder="1"/>
    <xf numFmtId="171" fontId="10" fillId="11" borderId="8" xfId="23" applyNumberFormat="1" applyFont="1" applyFill="1" applyBorder="1"/>
    <xf numFmtId="172" fontId="10" fillId="11" borderId="8" xfId="23" applyNumberFormat="1" applyFont="1" applyFill="1" applyBorder="1" applyAlignment="1">
      <alignment horizontal="center" vertical="center"/>
    </xf>
    <xf numFmtId="172" fontId="10" fillId="11" borderId="31" xfId="23" applyNumberFormat="1" applyFont="1" applyFill="1" applyBorder="1" applyAlignment="1">
      <alignment horizontal="center" vertical="center"/>
    </xf>
    <xf numFmtId="0" fontId="10" fillId="11" borderId="4" xfId="8" applyFont="1" applyFill="1" applyBorder="1"/>
    <xf numFmtId="0" fontId="10" fillId="11" borderId="5" xfId="8" applyFont="1" applyFill="1" applyBorder="1"/>
    <xf numFmtId="0" fontId="10" fillId="11" borderId="10" xfId="8" applyFont="1" applyFill="1" applyBorder="1"/>
    <xf numFmtId="0" fontId="25" fillId="11" borderId="38" xfId="8" applyFont="1" applyFill="1" applyBorder="1"/>
    <xf numFmtId="0" fontId="25" fillId="11" borderId="4" xfId="8" applyFont="1" applyFill="1" applyBorder="1"/>
    <xf numFmtId="171" fontId="25" fillId="11" borderId="42" xfId="23" applyNumberFormat="1" applyFont="1" applyFill="1" applyBorder="1"/>
    <xf numFmtId="171" fontId="25" fillId="11" borderId="19" xfId="23" applyNumberFormat="1" applyFont="1" applyFill="1" applyBorder="1"/>
    <xf numFmtId="172" fontId="25" fillId="11" borderId="19" xfId="23" applyNumberFormat="1" applyFont="1" applyFill="1" applyBorder="1" applyAlignment="1">
      <alignment horizontal="center" vertical="center"/>
    </xf>
    <xf numFmtId="172" fontId="25" fillId="11" borderId="54" xfId="23" applyNumberFormat="1" applyFont="1" applyFill="1" applyBorder="1" applyAlignment="1">
      <alignment horizontal="center" vertical="center"/>
    </xf>
    <xf numFmtId="171" fontId="25" fillId="11" borderId="40" xfId="23" applyNumberFormat="1" applyFont="1" applyFill="1" applyBorder="1"/>
    <xf numFmtId="171" fontId="25" fillId="11" borderId="8" xfId="23" applyNumberFormat="1" applyFont="1" applyFill="1" applyBorder="1"/>
    <xf numFmtId="172" fontId="25" fillId="11" borderId="8" xfId="23" applyNumberFormat="1" applyFont="1" applyFill="1" applyBorder="1" applyAlignment="1">
      <alignment horizontal="center" vertical="center"/>
    </xf>
    <xf numFmtId="172" fontId="25" fillId="11" borderId="31" xfId="23" applyNumberFormat="1" applyFont="1" applyFill="1" applyBorder="1" applyAlignment="1">
      <alignment horizontal="center" vertical="center"/>
    </xf>
    <xf numFmtId="171" fontId="25" fillId="11" borderId="48" xfId="23" applyNumberFormat="1" applyFont="1" applyFill="1" applyBorder="1"/>
    <xf numFmtId="171" fontId="25" fillId="11" borderId="28" xfId="23" applyNumberFormat="1" applyFont="1" applyFill="1" applyBorder="1"/>
    <xf numFmtId="172" fontId="25" fillId="11" borderId="28" xfId="23" applyNumberFormat="1" applyFont="1" applyFill="1" applyBorder="1" applyAlignment="1">
      <alignment horizontal="center" vertical="center"/>
    </xf>
    <xf numFmtId="172" fontId="25" fillId="11" borderId="50" xfId="23" applyNumberFormat="1" applyFont="1" applyFill="1" applyBorder="1" applyAlignment="1">
      <alignment horizontal="center" vertical="center"/>
    </xf>
    <xf numFmtId="0" fontId="24" fillId="15" borderId="55" xfId="23" applyFont="1" applyFill="1" applyBorder="1" applyAlignment="1">
      <alignment horizontal="center" vertical="center" wrapText="1"/>
    </xf>
    <xf numFmtId="172" fontId="25" fillId="11" borderId="28" xfId="23" applyNumberFormat="1" applyFont="1" applyFill="1" applyBorder="1"/>
    <xf numFmtId="172" fontId="10" fillId="11" borderId="8" xfId="23" applyNumberFormat="1" applyFont="1" applyFill="1" applyBorder="1"/>
    <xf numFmtId="172" fontId="25" fillId="11" borderId="8" xfId="23" applyNumberFormat="1" applyFont="1" applyFill="1" applyBorder="1"/>
    <xf numFmtId="172" fontId="25" fillId="11" borderId="19" xfId="23" applyNumberFormat="1" applyFont="1" applyFill="1" applyBorder="1"/>
    <xf numFmtId="0" fontId="10" fillId="11" borderId="13" xfId="8" applyFont="1" applyFill="1" applyBorder="1"/>
    <xf numFmtId="180" fontId="10" fillId="11" borderId="0" xfId="8" applyNumberFormat="1" applyFont="1" applyFill="1" applyBorder="1"/>
    <xf numFmtId="172" fontId="10" fillId="11" borderId="0" xfId="0" applyNumberFormat="1" applyFont="1" applyFill="1"/>
    <xf numFmtId="171" fontId="10" fillId="11" borderId="32" xfId="23" applyNumberFormat="1" applyFont="1" applyFill="1" applyBorder="1"/>
    <xf numFmtId="172" fontId="10" fillId="11" borderId="32" xfId="23" applyNumberFormat="1" applyFont="1" applyFill="1" applyBorder="1"/>
    <xf numFmtId="172" fontId="10" fillId="11" borderId="33" xfId="23" applyNumberFormat="1" applyFont="1" applyFill="1" applyBorder="1" applyAlignment="1">
      <alignment horizontal="center" vertical="center"/>
    </xf>
    <xf numFmtId="0" fontId="24" fillId="15" borderId="49" xfId="23" applyFont="1" applyFill="1" applyBorder="1" applyAlignment="1">
      <alignment horizontal="center" vertical="center" wrapText="1"/>
    </xf>
    <xf numFmtId="172" fontId="10" fillId="11" borderId="36" xfId="23" applyNumberFormat="1" applyFont="1" applyFill="1" applyBorder="1" applyAlignment="1">
      <alignment horizontal="center" vertical="center"/>
    </xf>
    <xf numFmtId="172" fontId="10" fillId="11" borderId="38" xfId="23" applyNumberFormat="1" applyFont="1" applyFill="1" applyBorder="1" applyAlignment="1">
      <alignment horizontal="center" vertical="center"/>
    </xf>
    <xf numFmtId="0" fontId="10" fillId="11" borderId="40" xfId="0" applyFont="1" applyFill="1" applyBorder="1" applyAlignment="1"/>
    <xf numFmtId="171" fontId="10" fillId="11" borderId="8" xfId="0" applyNumberFormat="1" applyFont="1" applyFill="1" applyBorder="1" applyAlignment="1"/>
    <xf numFmtId="172" fontId="10" fillId="11" borderId="8" xfId="0" applyNumberFormat="1" applyFont="1" applyFill="1" applyBorder="1" applyAlignment="1"/>
    <xf numFmtId="172" fontId="10" fillId="11" borderId="8" xfId="17" applyNumberFormat="1" applyFont="1" applyFill="1" applyBorder="1"/>
    <xf numFmtId="172" fontId="10" fillId="11" borderId="31" xfId="0" applyNumberFormat="1" applyFont="1" applyFill="1" applyBorder="1"/>
    <xf numFmtId="0" fontId="10" fillId="11" borderId="46" xfId="0" applyFont="1" applyFill="1" applyBorder="1" applyAlignment="1"/>
    <xf numFmtId="171" fontId="10" fillId="11" borderId="32" xfId="0" applyNumberFormat="1" applyFont="1" applyFill="1" applyBorder="1" applyAlignment="1"/>
    <xf numFmtId="172" fontId="10" fillId="11" borderId="32" xfId="0" applyNumberFormat="1" applyFont="1" applyFill="1" applyBorder="1" applyAlignment="1"/>
    <xf numFmtId="172" fontId="10" fillId="11" borderId="32" xfId="17" applyNumberFormat="1" applyFont="1" applyFill="1" applyBorder="1"/>
    <xf numFmtId="172" fontId="10" fillId="11" borderId="33" xfId="0" applyNumberFormat="1" applyFont="1" applyFill="1" applyBorder="1"/>
    <xf numFmtId="0" fontId="24" fillId="15" borderId="56" xfId="0" applyFont="1" applyFill="1" applyBorder="1" applyAlignment="1">
      <alignment horizontal="center" vertical="center" wrapText="1"/>
    </xf>
    <xf numFmtId="0" fontId="24" fillId="15" borderId="57" xfId="0" applyFont="1" applyFill="1" applyBorder="1" applyAlignment="1">
      <alignment horizontal="center" vertical="center" wrapText="1"/>
    </xf>
    <xf numFmtId="0" fontId="24" fillId="15" borderId="58" xfId="0" applyFont="1" applyFill="1" applyBorder="1" applyAlignment="1">
      <alignment horizontal="center" vertical="center" wrapText="1"/>
    </xf>
    <xf numFmtId="2" fontId="10" fillId="11" borderId="0" xfId="0" applyNumberFormat="1" applyFont="1" applyFill="1" applyBorder="1"/>
    <xf numFmtId="0" fontId="10" fillId="11" borderId="0" xfId="0" applyFont="1" applyFill="1" applyBorder="1" applyAlignment="1">
      <alignment horizontal="center"/>
    </xf>
    <xf numFmtId="172" fontId="10" fillId="11" borderId="0" xfId="0" applyNumberFormat="1" applyFont="1" applyFill="1" applyBorder="1"/>
    <xf numFmtId="0" fontId="10" fillId="11" borderId="0" xfId="0" applyFont="1" applyFill="1" applyBorder="1"/>
    <xf numFmtId="2" fontId="10" fillId="11" borderId="13" xfId="0" applyNumberFormat="1" applyFont="1" applyFill="1" applyBorder="1" applyAlignment="1">
      <alignment horizontal="center" vertical="center"/>
    </xf>
    <xf numFmtId="2" fontId="10" fillId="11" borderId="0" xfId="0" applyNumberFormat="1" applyFont="1" applyFill="1" applyBorder="1" applyAlignment="1">
      <alignment horizontal="center" vertical="center"/>
    </xf>
    <xf numFmtId="2" fontId="10" fillId="11" borderId="9" xfId="0" applyNumberFormat="1" applyFont="1" applyFill="1" applyBorder="1" applyAlignment="1">
      <alignment horizontal="center" vertical="center"/>
    </xf>
    <xf numFmtId="2" fontId="10" fillId="11" borderId="8" xfId="0" applyNumberFormat="1" applyFont="1" applyFill="1" applyBorder="1" applyAlignment="1">
      <alignment horizontal="center" vertical="center"/>
    </xf>
    <xf numFmtId="172" fontId="10" fillId="11" borderId="8" xfId="0" applyNumberFormat="1" applyFont="1" applyFill="1" applyBorder="1" applyAlignment="1">
      <alignment vertical="center"/>
    </xf>
    <xf numFmtId="2" fontId="10" fillId="11" borderId="0" xfId="0" applyNumberFormat="1" applyFont="1" applyFill="1" applyBorder="1" applyAlignment="1"/>
    <xf numFmtId="0" fontId="10" fillId="11" borderId="0" xfId="0" applyFont="1" applyFill="1" applyAlignment="1">
      <alignment vertical="center"/>
    </xf>
    <xf numFmtId="0" fontId="10" fillId="11" borderId="0" xfId="0" applyFont="1" applyFill="1" applyAlignment="1"/>
    <xf numFmtId="0" fontId="24" fillId="15" borderId="45" xfId="0" applyFont="1" applyFill="1" applyBorder="1" applyAlignment="1">
      <alignment horizontal="center" vertical="center" wrapText="1"/>
    </xf>
    <xf numFmtId="172" fontId="10" fillId="11" borderId="13" xfId="17" applyNumberFormat="1" applyFont="1" applyFill="1" applyBorder="1"/>
    <xf numFmtId="172" fontId="10" fillId="11" borderId="59" xfId="17" applyNumberFormat="1" applyFont="1" applyFill="1" applyBorder="1"/>
    <xf numFmtId="0" fontId="24" fillId="15" borderId="60" xfId="0" applyFont="1" applyFill="1" applyBorder="1" applyAlignment="1">
      <alignment horizontal="center" vertical="center" wrapText="1"/>
    </xf>
    <xf numFmtId="0" fontId="24" fillId="15" borderId="62" xfId="0" applyFont="1" applyFill="1" applyBorder="1" applyAlignment="1">
      <alignment horizontal="center" vertical="center" wrapText="1"/>
    </xf>
    <xf numFmtId="171" fontId="10" fillId="11" borderId="64" xfId="0" applyNumberFormat="1" applyFont="1" applyFill="1" applyBorder="1"/>
    <xf numFmtId="172" fontId="10" fillId="11" borderId="17" xfId="0" applyNumberFormat="1" applyFont="1" applyFill="1" applyBorder="1"/>
    <xf numFmtId="172" fontId="10" fillId="11" borderId="65" xfId="0" applyNumberFormat="1" applyFont="1" applyFill="1" applyBorder="1"/>
    <xf numFmtId="171" fontId="10" fillId="11" borderId="40" xfId="0" applyNumberFormat="1" applyFont="1" applyFill="1" applyBorder="1"/>
    <xf numFmtId="172" fontId="10" fillId="11" borderId="8" xfId="0" applyNumberFormat="1" applyFont="1" applyFill="1" applyBorder="1"/>
    <xf numFmtId="171" fontId="10" fillId="11" borderId="46" xfId="0" applyNumberFormat="1" applyFont="1" applyFill="1" applyBorder="1"/>
    <xf numFmtId="172" fontId="10" fillId="11" borderId="32" xfId="0" applyNumberFormat="1" applyFont="1" applyFill="1" applyBorder="1"/>
    <xf numFmtId="172" fontId="10" fillId="11" borderId="31" xfId="17" applyNumberFormat="1" applyFont="1" applyFill="1" applyBorder="1"/>
    <xf numFmtId="172" fontId="10" fillId="11" borderId="33" xfId="17" applyNumberFormat="1" applyFont="1" applyFill="1" applyBorder="1"/>
    <xf numFmtId="172" fontId="10" fillId="11" borderId="17" xfId="17" applyNumberFormat="1" applyFont="1" applyFill="1" applyBorder="1"/>
    <xf numFmtId="171" fontId="10" fillId="11" borderId="17" xfId="0" applyNumberFormat="1" applyFont="1" applyFill="1" applyBorder="1" applyAlignment="1"/>
    <xf numFmtId="171" fontId="10" fillId="11" borderId="17" xfId="0" applyNumberFormat="1" applyFont="1" applyFill="1" applyBorder="1"/>
    <xf numFmtId="0" fontId="10" fillId="11" borderId="17" xfId="0" applyFont="1" applyFill="1" applyBorder="1"/>
    <xf numFmtId="171" fontId="10" fillId="11" borderId="8" xfId="0" applyNumberFormat="1" applyFont="1" applyFill="1" applyBorder="1"/>
    <xf numFmtId="0" fontId="10" fillId="11" borderId="8" xfId="0" applyFont="1" applyFill="1" applyBorder="1"/>
    <xf numFmtId="171" fontId="10" fillId="11" borderId="32" xfId="0" applyNumberFormat="1" applyFont="1" applyFill="1" applyBorder="1"/>
    <xf numFmtId="0" fontId="10" fillId="11" borderId="32" xfId="0" applyFont="1" applyFill="1" applyBorder="1"/>
    <xf numFmtId="0" fontId="10" fillId="11" borderId="40" xfId="0" applyFont="1" applyFill="1" applyBorder="1" applyAlignment="1">
      <alignment horizontal="center" vertical="center"/>
    </xf>
    <xf numFmtId="0" fontId="10" fillId="11" borderId="46" xfId="0" applyFont="1" applyFill="1" applyBorder="1" applyAlignment="1">
      <alignment horizontal="center" vertical="center"/>
    </xf>
    <xf numFmtId="0" fontId="10" fillId="11" borderId="64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6" fillId="15" borderId="48" xfId="0" applyFont="1" applyFill="1" applyBorder="1" applyAlignment="1">
      <alignment horizontal="center" vertical="center" wrapText="1"/>
    </xf>
    <xf numFmtId="0" fontId="26" fillId="15" borderId="28" xfId="0" applyFont="1" applyFill="1" applyBorder="1" applyAlignment="1">
      <alignment horizontal="center" vertical="center" wrapText="1"/>
    </xf>
    <xf numFmtId="0" fontId="26" fillId="15" borderId="50" xfId="0" applyFont="1" applyFill="1" applyBorder="1" applyAlignment="1">
      <alignment horizontal="center" vertical="center" wrapText="1"/>
    </xf>
    <xf numFmtId="0" fontId="0" fillId="0" borderId="40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31" xfId="0" applyNumberFormat="1" applyBorder="1"/>
    <xf numFmtId="0" fontId="0" fillId="0" borderId="46" xfId="0" applyBorder="1"/>
    <xf numFmtId="171" fontId="0" fillId="0" borderId="32" xfId="0" applyNumberFormat="1" applyBorder="1"/>
    <xf numFmtId="172" fontId="0" fillId="0" borderId="32" xfId="0" applyNumberFormat="1" applyBorder="1"/>
    <xf numFmtId="0" fontId="0" fillId="0" borderId="32" xfId="0" applyBorder="1"/>
    <xf numFmtId="172" fontId="0" fillId="0" borderId="33" xfId="0" applyNumberFormat="1" applyBorder="1"/>
    <xf numFmtId="171" fontId="0" fillId="0" borderId="40" xfId="0" applyNumberFormat="1" applyBorder="1"/>
    <xf numFmtId="171" fontId="0" fillId="0" borderId="46" xfId="0" applyNumberFormat="1" applyBorder="1"/>
    <xf numFmtId="0" fontId="0" fillId="0" borderId="25" xfId="0" applyBorder="1"/>
    <xf numFmtId="0" fontId="4" fillId="0" borderId="0" xfId="0" applyFont="1"/>
    <xf numFmtId="0" fontId="10" fillId="11" borderId="0" xfId="0" applyFont="1" applyFill="1" applyAlignment="1">
      <alignment horizontal="center" vertical="center"/>
    </xf>
    <xf numFmtId="0" fontId="10" fillId="11" borderId="22" xfId="0" applyFont="1" applyFill="1" applyBorder="1"/>
    <xf numFmtId="0" fontId="10" fillId="11" borderId="13" xfId="0" applyFont="1" applyFill="1" applyBorder="1"/>
    <xf numFmtId="0" fontId="10" fillId="11" borderId="59" xfId="0" applyFont="1" applyFill="1" applyBorder="1"/>
    <xf numFmtId="0" fontId="10" fillId="11" borderId="0" xfId="0" applyFont="1" applyFill="1" applyAlignment="1">
      <alignment horizontal="center" vertical="center"/>
    </xf>
    <xf numFmtId="171" fontId="10" fillId="11" borderId="58" xfId="0" applyNumberFormat="1" applyFont="1" applyFill="1" applyBorder="1" applyAlignment="1">
      <alignment horizontal="center" vertical="center"/>
    </xf>
    <xf numFmtId="171" fontId="10" fillId="11" borderId="61" xfId="0" applyNumberFormat="1" applyFont="1" applyFill="1" applyBorder="1" applyAlignment="1">
      <alignment horizontal="center" vertical="center"/>
    </xf>
    <xf numFmtId="0" fontId="10" fillId="11" borderId="5" xfId="0" applyFont="1" applyFill="1" applyBorder="1" applyAlignment="1"/>
    <xf numFmtId="0" fontId="27" fillId="11" borderId="40" xfId="0" applyFont="1" applyFill="1" applyBorder="1" applyAlignment="1"/>
    <xf numFmtId="0" fontId="0" fillId="0" borderId="0" xfId="0" applyBorder="1"/>
    <xf numFmtId="172" fontId="27" fillId="11" borderId="31" xfId="17" applyNumberFormat="1" applyFont="1" applyFill="1" applyBorder="1"/>
    <xf numFmtId="171" fontId="10" fillId="11" borderId="49" xfId="0" applyNumberFormat="1" applyFont="1" applyFill="1" applyBorder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22" fillId="11" borderId="0" xfId="0" applyFont="1" applyFill="1" applyAlignment="1">
      <alignment horizontal="center" vertical="center"/>
    </xf>
    <xf numFmtId="2" fontId="10" fillId="11" borderId="0" xfId="0" applyNumberFormat="1" applyFont="1" applyFill="1"/>
    <xf numFmtId="173" fontId="10" fillId="11" borderId="40" xfId="0" applyNumberFormat="1" applyFont="1" applyFill="1" applyBorder="1"/>
    <xf numFmtId="173" fontId="10" fillId="11" borderId="8" xfId="0" applyNumberFormat="1" applyFont="1" applyFill="1" applyBorder="1"/>
    <xf numFmtId="173" fontId="10" fillId="11" borderId="31" xfId="0" applyNumberFormat="1" applyFont="1" applyFill="1" applyBorder="1"/>
    <xf numFmtId="173" fontId="10" fillId="11" borderId="46" xfId="0" applyNumberFormat="1" applyFont="1" applyFill="1" applyBorder="1"/>
    <xf numFmtId="173" fontId="10" fillId="11" borderId="32" xfId="0" applyNumberFormat="1" applyFont="1" applyFill="1" applyBorder="1"/>
    <xf numFmtId="173" fontId="10" fillId="11" borderId="33" xfId="0" applyNumberFormat="1" applyFont="1" applyFill="1" applyBorder="1"/>
    <xf numFmtId="0" fontId="24" fillId="15" borderId="1" xfId="0" applyFont="1" applyFill="1" applyBorder="1" applyAlignment="1">
      <alignment horizontal="centerContinuous" vertical="center" wrapText="1"/>
    </xf>
    <xf numFmtId="0" fontId="24" fillId="15" borderId="2" xfId="0" applyFont="1" applyFill="1" applyBorder="1" applyAlignment="1">
      <alignment horizontal="centerContinuous" vertical="center" wrapText="1"/>
    </xf>
    <xf numFmtId="0" fontId="24" fillId="15" borderId="3" xfId="0" applyFont="1" applyFill="1" applyBorder="1" applyAlignment="1">
      <alignment horizontal="centerContinuous" vertical="center" wrapText="1"/>
    </xf>
    <xf numFmtId="0" fontId="24" fillId="15" borderId="30" xfId="0" applyFont="1" applyFill="1" applyBorder="1" applyAlignment="1">
      <alignment horizontal="center" vertical="center" wrapText="1"/>
    </xf>
    <xf numFmtId="0" fontId="24" fillId="15" borderId="51" xfId="0" applyFont="1" applyFill="1" applyBorder="1" applyAlignment="1">
      <alignment horizontal="center" vertical="center" wrapText="1"/>
    </xf>
    <xf numFmtId="181" fontId="10" fillId="11" borderId="0" xfId="0" applyNumberFormat="1" applyFont="1" applyFill="1"/>
    <xf numFmtId="171" fontId="10" fillId="13" borderId="63" xfId="0" applyNumberFormat="1" applyFont="1" applyFill="1" applyBorder="1" applyAlignment="1">
      <alignment horizontal="center" vertical="center"/>
    </xf>
    <xf numFmtId="172" fontId="10" fillId="11" borderId="6" xfId="0" applyNumberFormat="1" applyFont="1" applyFill="1" applyBorder="1" applyAlignment="1">
      <alignment horizontal="center" vertical="center"/>
    </xf>
    <xf numFmtId="0" fontId="17" fillId="10" borderId="20" xfId="8" applyFont="1" applyFill="1" applyBorder="1" applyAlignment="1">
      <alignment horizontal="center" vertical="center" wrapText="1"/>
    </xf>
    <xf numFmtId="0" fontId="17" fillId="10" borderId="21" xfId="8" applyFont="1" applyFill="1" applyBorder="1" applyAlignment="1">
      <alignment horizontal="center" vertical="center" wrapText="1"/>
    </xf>
    <xf numFmtId="0" fontId="10" fillId="11" borderId="0" xfId="0" applyFont="1" applyFill="1" applyBorder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172" fontId="10" fillId="11" borderId="19" xfId="0" applyNumberFormat="1" applyFont="1" applyFill="1" applyBorder="1"/>
  </cellXfs>
  <cellStyles count="4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21303587051618"/>
          <c:y val="5.1400554097404488E-2"/>
          <c:w val="0.83818328958880128"/>
          <c:h val="0.76329323417906092"/>
        </c:manualLayout>
      </c:layout>
      <c:lineChart>
        <c:grouping val="standard"/>
        <c:varyColors val="0"/>
        <c:ser>
          <c:idx val="0"/>
          <c:order val="0"/>
          <c:tx>
            <c:strRef>
              <c:f>SynthDepo!$AC$29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</c:numCache>
            </c:numRef>
          </c:cat>
          <c:val>
            <c:numRef>
              <c:f>SynthDepo!$AC$30:$AC$128</c:f>
              <c:numCache>
                <c:formatCode>0.0000%</c:formatCode>
                <c:ptCount val="99"/>
                <c:pt idx="0">
                  <c:v>1.7325973963707724E-3</c:v>
                </c:pt>
                <c:pt idx="1">
                  <c:v>1.7325973963707724E-3</c:v>
                </c:pt>
                <c:pt idx="2">
                  <c:v>1.7325973963707724E-3</c:v>
                </c:pt>
                <c:pt idx="3">
                  <c:v>1.7325973963707724E-3</c:v>
                </c:pt>
                <c:pt idx="4">
                  <c:v>1.7325973963707724E-3</c:v>
                </c:pt>
                <c:pt idx="5">
                  <c:v>1.7325973963707724E-3</c:v>
                </c:pt>
                <c:pt idx="6">
                  <c:v>1.7325973963707724E-3</c:v>
                </c:pt>
                <c:pt idx="7">
                  <c:v>1.7325973963707724E-3</c:v>
                </c:pt>
                <c:pt idx="8">
                  <c:v>1.7325973963707724E-3</c:v>
                </c:pt>
                <c:pt idx="9">
                  <c:v>1.7325973963707724E-3</c:v>
                </c:pt>
                <c:pt idx="10">
                  <c:v>1.7325973963707724E-3</c:v>
                </c:pt>
                <c:pt idx="11">
                  <c:v>1.7325973963707724E-3</c:v>
                </c:pt>
                <c:pt idx="12">
                  <c:v>1.7325973963707724E-3</c:v>
                </c:pt>
                <c:pt idx="13">
                  <c:v>1.7325973963707724E-3</c:v>
                </c:pt>
                <c:pt idx="14">
                  <c:v>1.7325973963707724E-3</c:v>
                </c:pt>
                <c:pt idx="15">
                  <c:v>1.7325973963707724E-3</c:v>
                </c:pt>
                <c:pt idx="16">
                  <c:v>1.7325973963707724E-3</c:v>
                </c:pt>
                <c:pt idx="17">
                  <c:v>1.7325973963707724E-3</c:v>
                </c:pt>
                <c:pt idx="18">
                  <c:v>1.7325973963707724E-3</c:v>
                </c:pt>
                <c:pt idx="19">
                  <c:v>1.7325973963707724E-3</c:v>
                </c:pt>
                <c:pt idx="20">
                  <c:v>1.7325973963707724E-3</c:v>
                </c:pt>
                <c:pt idx="21">
                  <c:v>1.7325973963707724E-3</c:v>
                </c:pt>
                <c:pt idx="22">
                  <c:v>1.7325973963707724E-3</c:v>
                </c:pt>
                <c:pt idx="23">
                  <c:v>1.7325973963707724E-3</c:v>
                </c:pt>
                <c:pt idx="24">
                  <c:v>1.7325973963707724E-3</c:v>
                </c:pt>
                <c:pt idx="25">
                  <c:v>1.7325973963707724E-3</c:v>
                </c:pt>
                <c:pt idx="26">
                  <c:v>1.7325973963707724E-3</c:v>
                </c:pt>
                <c:pt idx="27">
                  <c:v>1.7325973963707724E-3</c:v>
                </c:pt>
                <c:pt idx="28">
                  <c:v>1.7325973963707724E-3</c:v>
                </c:pt>
                <c:pt idx="29">
                  <c:v>1.7325973963707724E-3</c:v>
                </c:pt>
                <c:pt idx="30">
                  <c:v>1.7325973963707724E-3</c:v>
                </c:pt>
                <c:pt idx="31">
                  <c:v>1.7325973963707724E-3</c:v>
                </c:pt>
                <c:pt idx="32">
                  <c:v>1.7325973963707724E-3</c:v>
                </c:pt>
                <c:pt idx="33">
                  <c:v>1.7325973963707724E-3</c:v>
                </c:pt>
                <c:pt idx="34">
                  <c:v>1.7325973963707724E-3</c:v>
                </c:pt>
                <c:pt idx="35">
                  <c:v>1.7325973963707724E-3</c:v>
                </c:pt>
                <c:pt idx="36">
                  <c:v>1.7325973963707724E-3</c:v>
                </c:pt>
                <c:pt idx="37">
                  <c:v>1.7325973963707724E-3</c:v>
                </c:pt>
                <c:pt idx="38">
                  <c:v>1.7325973963707724E-3</c:v>
                </c:pt>
                <c:pt idx="39">
                  <c:v>1.7325973963707724E-3</c:v>
                </c:pt>
                <c:pt idx="40">
                  <c:v>1.7325973963707724E-3</c:v>
                </c:pt>
                <c:pt idx="41">
                  <c:v>1.7325973963707724E-3</c:v>
                </c:pt>
                <c:pt idx="42">
                  <c:v>1.7325973963707724E-3</c:v>
                </c:pt>
                <c:pt idx="43">
                  <c:v>1.7325973963707724E-3</c:v>
                </c:pt>
                <c:pt idx="44">
                  <c:v>1.7325973963707724E-3</c:v>
                </c:pt>
                <c:pt idx="45">
                  <c:v>1.7325973963707724E-3</c:v>
                </c:pt>
                <c:pt idx="46">
                  <c:v>1.7325973963707724E-3</c:v>
                </c:pt>
                <c:pt idx="47">
                  <c:v>1.7325973963707724E-3</c:v>
                </c:pt>
                <c:pt idx="48">
                  <c:v>1.7325973963707724E-3</c:v>
                </c:pt>
                <c:pt idx="49">
                  <c:v>1.7325973963707724E-3</c:v>
                </c:pt>
                <c:pt idx="50">
                  <c:v>1.7325973963707724E-3</c:v>
                </c:pt>
                <c:pt idx="51">
                  <c:v>1.7325973963707724E-3</c:v>
                </c:pt>
                <c:pt idx="52">
                  <c:v>1.7325973963707724E-3</c:v>
                </c:pt>
                <c:pt idx="53">
                  <c:v>1.7325973963707724E-3</c:v>
                </c:pt>
                <c:pt idx="54">
                  <c:v>1.7325973963707724E-3</c:v>
                </c:pt>
                <c:pt idx="55">
                  <c:v>1.7325973963707724E-3</c:v>
                </c:pt>
                <c:pt idx="56">
                  <c:v>1.7325973963707724E-3</c:v>
                </c:pt>
                <c:pt idx="57">
                  <c:v>1.7325973963707724E-3</c:v>
                </c:pt>
                <c:pt idx="58">
                  <c:v>1.7325973963707724E-3</c:v>
                </c:pt>
                <c:pt idx="59">
                  <c:v>1.7325973963707724E-3</c:v>
                </c:pt>
                <c:pt idx="60">
                  <c:v>1.7325973963707724E-3</c:v>
                </c:pt>
                <c:pt idx="61">
                  <c:v>1.7325973963707724E-3</c:v>
                </c:pt>
                <c:pt idx="62">
                  <c:v>1.7325973963707724E-3</c:v>
                </c:pt>
                <c:pt idx="63">
                  <c:v>1.7325973963707724E-3</c:v>
                </c:pt>
                <c:pt idx="64">
                  <c:v>1.7325973963707724E-3</c:v>
                </c:pt>
                <c:pt idx="65">
                  <c:v>1.7325973963707724E-3</c:v>
                </c:pt>
                <c:pt idx="66">
                  <c:v>1.7325973963707724E-3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SynthDepo!$AD$29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</c:numCache>
            </c:numRef>
          </c:cat>
          <c:val>
            <c:numRef>
              <c:f>SynthDepo!$AD$30:$AD$128</c:f>
              <c:numCache>
                <c:formatCode>0.0000%</c:formatCode>
                <c:ptCount val="99"/>
                <c:pt idx="0">
                  <c:v>2.1945166844024857E-3</c:v>
                </c:pt>
                <c:pt idx="1">
                  <c:v>2.1893265800425788E-3</c:v>
                </c:pt>
                <c:pt idx="2">
                  <c:v>2.1841364756826718E-3</c:v>
                </c:pt>
                <c:pt idx="3">
                  <c:v>2.1685661626029513E-3</c:v>
                </c:pt>
                <c:pt idx="4">
                  <c:v>2.1633760582430443E-3</c:v>
                </c:pt>
                <c:pt idx="5">
                  <c:v>2.1581859538831374E-3</c:v>
                </c:pt>
                <c:pt idx="6">
                  <c:v>2.1529958495232304E-3</c:v>
                </c:pt>
                <c:pt idx="7">
                  <c:v>2.1478057451633239E-3</c:v>
                </c:pt>
                <c:pt idx="8">
                  <c:v>2.132235432083603E-3</c:v>
                </c:pt>
                <c:pt idx="9">
                  <c:v>2.127045327723696E-3</c:v>
                </c:pt>
                <c:pt idx="10">
                  <c:v>2.1218552233637895E-3</c:v>
                </c:pt>
                <c:pt idx="11">
                  <c:v>2.1166651190038825E-3</c:v>
                </c:pt>
                <c:pt idx="12">
                  <c:v>2.1114750146439755E-3</c:v>
                </c:pt>
                <c:pt idx="13">
                  <c:v>2.0959047015642546E-3</c:v>
                </c:pt>
                <c:pt idx="14">
                  <c:v>2.0907145972043481E-3</c:v>
                </c:pt>
                <c:pt idx="15">
                  <c:v>2.0855244928444411E-3</c:v>
                </c:pt>
                <c:pt idx="16">
                  <c:v>2.0803343884845341E-3</c:v>
                </c:pt>
                <c:pt idx="17">
                  <c:v>2.0751442841246272E-3</c:v>
                </c:pt>
                <c:pt idx="18">
                  <c:v>2.0595739710449067E-3</c:v>
                </c:pt>
                <c:pt idx="19">
                  <c:v>2.0543838666849997E-3</c:v>
                </c:pt>
                <c:pt idx="20">
                  <c:v>2.0491937623250927E-3</c:v>
                </c:pt>
                <c:pt idx="21">
                  <c:v>2.0440036579651858E-3</c:v>
                </c:pt>
                <c:pt idx="22">
                  <c:v>2.0388135536052788E-3</c:v>
                </c:pt>
                <c:pt idx="23">
                  <c:v>2.0232432405255583E-3</c:v>
                </c:pt>
                <c:pt idx="24">
                  <c:v>2.0180531361656514E-3</c:v>
                </c:pt>
                <c:pt idx="25">
                  <c:v>2.0128630318057444E-3</c:v>
                </c:pt>
                <c:pt idx="26">
                  <c:v>2.0076729274458379E-3</c:v>
                </c:pt>
                <c:pt idx="27">
                  <c:v>2.0024828230859309E-3</c:v>
                </c:pt>
                <c:pt idx="28">
                  <c:v>1.98691251000621E-3</c:v>
                </c:pt>
                <c:pt idx="29">
                  <c:v>1.981722405646303E-3</c:v>
                </c:pt>
                <c:pt idx="30">
                  <c:v>1.9765323012863965E-3</c:v>
                </c:pt>
                <c:pt idx="31">
                  <c:v>1.9713421969264895E-3</c:v>
                </c:pt>
                <c:pt idx="32">
                  <c:v>1.9661520925665825E-3</c:v>
                </c:pt>
                <c:pt idx="33">
                  <c:v>1.9505817794868618E-3</c:v>
                </c:pt>
                <c:pt idx="34">
                  <c:v>1.9453916751269551E-3</c:v>
                </c:pt>
                <c:pt idx="35">
                  <c:v>1.9402015707670481E-3</c:v>
                </c:pt>
                <c:pt idx="36">
                  <c:v>1.9350114664071411E-3</c:v>
                </c:pt>
                <c:pt idx="37">
                  <c:v>1.9298213620472342E-3</c:v>
                </c:pt>
                <c:pt idx="38">
                  <c:v>1.9142510489675137E-3</c:v>
                </c:pt>
                <c:pt idx="39">
                  <c:v>1.9090609446076067E-3</c:v>
                </c:pt>
                <c:pt idx="40">
                  <c:v>1.9038708402476998E-3</c:v>
                </c:pt>
                <c:pt idx="41">
                  <c:v>1.898680735887793E-3</c:v>
                </c:pt>
                <c:pt idx="42">
                  <c:v>1.893490631527886E-3</c:v>
                </c:pt>
                <c:pt idx="43">
                  <c:v>1.8779203184481653E-3</c:v>
                </c:pt>
                <c:pt idx="44">
                  <c:v>1.8727302140882584E-3</c:v>
                </c:pt>
                <c:pt idx="45">
                  <c:v>1.8675401097283516E-3</c:v>
                </c:pt>
                <c:pt idx="46">
                  <c:v>1.8623500053684447E-3</c:v>
                </c:pt>
                <c:pt idx="47">
                  <c:v>1.8571599010085379E-3</c:v>
                </c:pt>
                <c:pt idx="48">
                  <c:v>1.8415895879288172E-3</c:v>
                </c:pt>
                <c:pt idx="49">
                  <c:v>1.8363994835689102E-3</c:v>
                </c:pt>
                <c:pt idx="50">
                  <c:v>1.8312093792090035E-3</c:v>
                </c:pt>
                <c:pt idx="51">
                  <c:v>1.8260192748490965E-3</c:v>
                </c:pt>
                <c:pt idx="52">
                  <c:v>1.8208291704891895E-3</c:v>
                </c:pt>
                <c:pt idx="53">
                  <c:v>1.8052588574094689E-3</c:v>
                </c:pt>
                <c:pt idx="54">
                  <c:v>1.8000687530495621E-3</c:v>
                </c:pt>
                <c:pt idx="55">
                  <c:v>1.7948786486896551E-3</c:v>
                </c:pt>
                <c:pt idx="56">
                  <c:v>1.7896885443297482E-3</c:v>
                </c:pt>
                <c:pt idx="57">
                  <c:v>1.7844984399698414E-3</c:v>
                </c:pt>
                <c:pt idx="58">
                  <c:v>1.7689281268901207E-3</c:v>
                </c:pt>
                <c:pt idx="59">
                  <c:v>1.7637380225302137E-3</c:v>
                </c:pt>
                <c:pt idx="60">
                  <c:v>1.7585479181703068E-3</c:v>
                </c:pt>
                <c:pt idx="61">
                  <c:v>1.7533578138104E-3</c:v>
                </c:pt>
                <c:pt idx="62">
                  <c:v>1.7481677094504931E-3</c:v>
                </c:pt>
                <c:pt idx="63">
                  <c:v>1.7325973963707724E-3</c:v>
                </c:pt>
                <c:pt idx="64">
                  <c:v>1.7274072920108656E-3</c:v>
                </c:pt>
                <c:pt idx="65">
                  <c:v>1.7222171876509586E-3</c:v>
                </c:pt>
                <c:pt idx="66">
                  <c:v>1.7170270832910519E-3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SynthDepo!$AE$29</c:f>
              <c:strCache>
                <c:ptCount val="1"/>
                <c:pt idx="0">
                  <c:v>Quadratic</c:v>
                </c:pt>
              </c:strCache>
            </c:strRef>
          </c:tx>
          <c:marker>
            <c:symbol val="none"/>
          </c:marker>
          <c:cat>
            <c:numRef>
              <c:f>SynthDepo!$AB$30:$AB$128</c:f>
              <c:numCache>
                <c:formatCode>ddd\,\ dd\-mmm\-yyyy</c:formatCode>
                <c:ptCount val="99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</c:numCache>
            </c:numRef>
          </c:cat>
          <c:val>
            <c:numRef>
              <c:f>SynthDepo!$AE$30:$AE$128</c:f>
              <c:numCache>
                <c:formatCode>0.0000%</c:formatCode>
                <c:ptCount val="99"/>
                <c:pt idx="0">
                  <c:v>2.8558661407348906E-3</c:v>
                </c:pt>
                <c:pt idx="1">
                  <c:v>2.819951151978391E-3</c:v>
                </c:pt>
                <c:pt idx="2">
                  <c:v>2.7843979137178359E-3</c:v>
                </c:pt>
                <c:pt idx="3">
                  <c:v>2.6799087019118359E-3</c:v>
                </c:pt>
                <c:pt idx="4">
                  <c:v>2.6458024656350575E-3</c:v>
                </c:pt>
                <c:pt idx="5">
                  <c:v>2.6120579798542235E-3</c:v>
                </c:pt>
                <c:pt idx="6">
                  <c:v>2.5786752445693334E-3</c:v>
                </c:pt>
                <c:pt idx="7">
                  <c:v>2.5456542597803878E-3</c:v>
                </c:pt>
                <c:pt idx="8">
                  <c:v>2.4487618083892165E-3</c:v>
                </c:pt>
                <c:pt idx="9">
                  <c:v>2.4171878255840481E-3</c:v>
                </c:pt>
                <c:pt idx="10">
                  <c:v>2.3859755932748236E-3</c:v>
                </c:pt>
                <c:pt idx="11">
                  <c:v>2.3551251114615431E-3</c:v>
                </c:pt>
                <c:pt idx="12">
                  <c:v>2.3246363801442071E-3</c:v>
                </c:pt>
                <c:pt idx="13">
                  <c:v>2.235340689167864E-3</c:v>
                </c:pt>
                <c:pt idx="14">
                  <c:v>2.2062989598343056E-3</c:v>
                </c:pt>
                <c:pt idx="15">
                  <c:v>2.1776189809966898E-3</c:v>
                </c:pt>
                <c:pt idx="16">
                  <c:v>2.1493007526550197E-3</c:v>
                </c:pt>
                <c:pt idx="17">
                  <c:v>2.1213442748092932E-3</c:v>
                </c:pt>
                <c:pt idx="18">
                  <c:v>2.0396453442477788E-3</c:v>
                </c:pt>
                <c:pt idx="19">
                  <c:v>2.0131358683858295E-3</c:v>
                </c:pt>
                <c:pt idx="20">
                  <c:v>1.9869881430198241E-3</c:v>
                </c:pt>
                <c:pt idx="21">
                  <c:v>1.9612021681497628E-3</c:v>
                </c:pt>
                <c:pt idx="22">
                  <c:v>1.9357779437756462E-3</c:v>
                </c:pt>
                <c:pt idx="23">
                  <c:v>1.8616757736289607E-3</c:v>
                </c:pt>
                <c:pt idx="24">
                  <c:v>1.8376985512386207E-3</c:v>
                </c:pt>
                <c:pt idx="25">
                  <c:v>1.814083079344225E-3</c:v>
                </c:pt>
                <c:pt idx="26">
                  <c:v>1.7908293579457736E-3</c:v>
                </c:pt>
                <c:pt idx="27">
                  <c:v>1.7679373870432662E-3</c:v>
                </c:pt>
                <c:pt idx="28">
                  <c:v>1.7014319773114095E-3</c:v>
                </c:pt>
                <c:pt idx="29">
                  <c:v>1.6799870083926791E-3</c:v>
                </c:pt>
                <c:pt idx="30">
                  <c:v>1.6589037899698929E-3</c:v>
                </c:pt>
                <c:pt idx="31">
                  <c:v>1.638182322043051E-3</c:v>
                </c:pt>
                <c:pt idx="32">
                  <c:v>1.6178226046121532E-3</c:v>
                </c:pt>
                <c:pt idx="33">
                  <c:v>1.5589139552951254E-3</c:v>
                </c:pt>
                <c:pt idx="34">
                  <c:v>1.5400012398480043E-3</c:v>
                </c:pt>
                <c:pt idx="35">
                  <c:v>1.5214502748968277E-3</c:v>
                </c:pt>
                <c:pt idx="36">
                  <c:v>1.5032610604415954E-3</c:v>
                </c:pt>
                <c:pt idx="37">
                  <c:v>1.4854335964823073E-3</c:v>
                </c:pt>
                <c:pt idx="38">
                  <c:v>1.4341217075801082E-3</c:v>
                </c:pt>
                <c:pt idx="39">
                  <c:v>1.4177412456045969E-3</c:v>
                </c:pt>
                <c:pt idx="40">
                  <c:v>1.4017225341250298E-3</c:v>
                </c:pt>
                <c:pt idx="41">
                  <c:v>1.3860655731414069E-3</c:v>
                </c:pt>
                <c:pt idx="42">
                  <c:v>1.3707703626537283E-3</c:v>
                </c:pt>
                <c:pt idx="43">
                  <c:v>1.3270552341663581E-3</c:v>
                </c:pt>
                <c:pt idx="44">
                  <c:v>1.3132070256624564E-3</c:v>
                </c:pt>
                <c:pt idx="45">
                  <c:v>1.2997205676544988E-3</c:v>
                </c:pt>
                <c:pt idx="46">
                  <c:v>1.2865958601424856E-3</c:v>
                </c:pt>
                <c:pt idx="47">
                  <c:v>1.2738329031264164E-3</c:v>
                </c:pt>
                <c:pt idx="48">
                  <c:v>1.2377145350538745E-3</c:v>
                </c:pt>
                <c:pt idx="49">
                  <c:v>1.2263985800215829E-3</c:v>
                </c:pt>
                <c:pt idx="50">
                  <c:v>1.2154443754852349E-3</c:v>
                </c:pt>
                <c:pt idx="51">
                  <c:v>1.2048519214448313E-3</c:v>
                </c:pt>
                <c:pt idx="52">
                  <c:v>1.1946212179003717E-3</c:v>
                </c:pt>
                <c:pt idx="53">
                  <c:v>1.1660996102426586E-3</c:v>
                </c:pt>
                <c:pt idx="54">
                  <c:v>1.1573159086819764E-3</c:v>
                </c:pt>
                <c:pt idx="55">
                  <c:v>1.1488939576172379E-3</c:v>
                </c:pt>
                <c:pt idx="56">
                  <c:v>1.1408337570484439E-3</c:v>
                </c:pt>
                <c:pt idx="57">
                  <c:v>1.1331353069755938E-3</c:v>
                </c:pt>
                <c:pt idx="58">
                  <c:v>1.1122104597327093E-3</c:v>
                </c:pt>
                <c:pt idx="59">
                  <c:v>1.1059590116436363E-3</c:v>
                </c:pt>
                <c:pt idx="60">
                  <c:v>1.1000693140505076E-3</c:v>
                </c:pt>
                <c:pt idx="61">
                  <c:v>1.0945413669533235E-3</c:v>
                </c:pt>
                <c:pt idx="62">
                  <c:v>1.089375170352083E-3</c:v>
                </c:pt>
                <c:pt idx="63">
                  <c:v>1.0760470835240272E-3</c:v>
                </c:pt>
                <c:pt idx="64">
                  <c:v>1.0723278889065639E-3</c:v>
                </c:pt>
                <c:pt idx="65">
                  <c:v>1.0689704447850445E-3</c:v>
                </c:pt>
                <c:pt idx="66">
                  <c:v>1.06597475115947E-3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508864"/>
        <c:axId val="361510400"/>
      </c:lineChart>
      <c:dateAx>
        <c:axId val="3615088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61510400"/>
        <c:crosses val="autoZero"/>
        <c:auto val="1"/>
        <c:lblOffset val="100"/>
        <c:baseTimeUnit val="days"/>
        <c:majorUnit val="1"/>
        <c:majorTimeUnit val="months"/>
      </c:dateAx>
      <c:valAx>
        <c:axId val="361510400"/>
        <c:scaling>
          <c:orientation val="minMax"/>
          <c:min val="1.0000000000000002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1508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561067366579174"/>
          <c:y val="0.56886847477398661"/>
          <c:w val="0.19494488188976378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112532808398948E-2"/>
          <c:y val="4.4835137795275593E-2"/>
          <c:w val="0.87582112131816858"/>
          <c:h val="0.78842960797471506"/>
        </c:manualLayout>
      </c:layout>
      <c:lineChart>
        <c:grouping val="standard"/>
        <c:varyColors val="0"/>
        <c:ser>
          <c:idx val="0"/>
          <c:order val="0"/>
          <c:tx>
            <c:strRef>
              <c:f>FRACharts!$I$10</c:f>
              <c:strCache>
                <c:ptCount val="1"/>
                <c:pt idx="0">
                  <c:v>Synt FRA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(FRACharts!$D$12:$D$22,FRACharts!$D$24:$D$34,FRACharts!$D$36:$D$46,FRACharts!$D$48:$D$58)</c:f>
              <c:numCache>
                <c:formatCode>ddd\,\ dd\-mmm\-yyyy</c:formatCode>
                <c:ptCount val="44"/>
                <c:pt idx="0">
                  <c:v>41922</c:v>
                </c:pt>
                <c:pt idx="1">
                  <c:v>41953</c:v>
                </c:pt>
                <c:pt idx="2">
                  <c:v>41983</c:v>
                </c:pt>
                <c:pt idx="3">
                  <c:v>42016</c:v>
                </c:pt>
                <c:pt idx="4">
                  <c:v>42045</c:v>
                </c:pt>
                <c:pt idx="5">
                  <c:v>42073</c:v>
                </c:pt>
                <c:pt idx="6">
                  <c:v>42104</c:v>
                </c:pt>
                <c:pt idx="7">
                  <c:v>42135</c:v>
                </c:pt>
                <c:pt idx="8">
                  <c:v>42165</c:v>
                </c:pt>
                <c:pt idx="9">
                  <c:v>42195</c:v>
                </c:pt>
                <c:pt idx="10">
                  <c:v>42226</c:v>
                </c:pt>
                <c:pt idx="11">
                  <c:v>42289</c:v>
                </c:pt>
                <c:pt idx="12">
                  <c:v>42318</c:v>
                </c:pt>
                <c:pt idx="13">
                  <c:v>42348</c:v>
                </c:pt>
                <c:pt idx="14">
                  <c:v>42380</c:v>
                </c:pt>
                <c:pt idx="15">
                  <c:v>42410</c:v>
                </c:pt>
                <c:pt idx="16">
                  <c:v>42439</c:v>
                </c:pt>
                <c:pt idx="17">
                  <c:v>42471</c:v>
                </c:pt>
                <c:pt idx="18">
                  <c:v>42500</c:v>
                </c:pt>
                <c:pt idx="19">
                  <c:v>42531</c:v>
                </c:pt>
                <c:pt idx="20">
                  <c:v>42562</c:v>
                </c:pt>
                <c:pt idx="21">
                  <c:v>42592</c:v>
                </c:pt>
                <c:pt idx="22">
                  <c:v>42653</c:v>
                </c:pt>
                <c:pt idx="23">
                  <c:v>42684</c:v>
                </c:pt>
                <c:pt idx="24">
                  <c:v>42716</c:v>
                </c:pt>
                <c:pt idx="25">
                  <c:v>42745</c:v>
                </c:pt>
                <c:pt idx="26">
                  <c:v>42776</c:v>
                </c:pt>
                <c:pt idx="27">
                  <c:v>42804</c:v>
                </c:pt>
                <c:pt idx="28">
                  <c:v>42835</c:v>
                </c:pt>
                <c:pt idx="29">
                  <c:v>42865</c:v>
                </c:pt>
                <c:pt idx="30">
                  <c:v>42898</c:v>
                </c:pt>
                <c:pt idx="31">
                  <c:v>42926</c:v>
                </c:pt>
                <c:pt idx="32">
                  <c:v>42957</c:v>
                </c:pt>
                <c:pt idx="33">
                  <c:v>43018</c:v>
                </c:pt>
                <c:pt idx="34">
                  <c:v>43049</c:v>
                </c:pt>
                <c:pt idx="35">
                  <c:v>43080</c:v>
                </c:pt>
                <c:pt idx="36">
                  <c:v>43110</c:v>
                </c:pt>
                <c:pt idx="37">
                  <c:v>43143</c:v>
                </c:pt>
                <c:pt idx="38">
                  <c:v>43171</c:v>
                </c:pt>
                <c:pt idx="39">
                  <c:v>43200</c:v>
                </c:pt>
                <c:pt idx="40">
                  <c:v>43230</c:v>
                </c:pt>
                <c:pt idx="41">
                  <c:v>43262</c:v>
                </c:pt>
                <c:pt idx="42">
                  <c:v>43291</c:v>
                </c:pt>
                <c:pt idx="43">
                  <c:v>43322</c:v>
                </c:pt>
              </c:numCache>
            </c:numRef>
          </c:cat>
          <c:val>
            <c:numRef>
              <c:f>(FRACharts!$I$12:$I$22,FRACharts!$I$24:$I$34,FRACharts!$I$36:$I$46,FRACharts!$I$48:$I$58)</c:f>
              <c:numCache>
                <c:formatCode>0.0000%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093952"/>
        <c:axId val="362108416"/>
      </c:lineChart>
      <c:scatterChart>
        <c:scatterStyle val="lineMarker"/>
        <c:varyColors val="0"/>
        <c:ser>
          <c:idx val="1"/>
          <c:order val="1"/>
          <c:tx>
            <c:v>Swap Implied FRA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(FRACharts!$D$35,FRACharts!$D$47,FRACharts!$D$59)</c:f>
              <c:numCache>
                <c:formatCode>ddd\,\ dd\-mmm\-yyyy</c:formatCode>
                <c:ptCount val="3"/>
                <c:pt idx="0">
                  <c:v>42625</c:v>
                </c:pt>
                <c:pt idx="1">
                  <c:v>42989</c:v>
                </c:pt>
                <c:pt idx="2">
                  <c:v>43353</c:v>
                </c:pt>
              </c:numCache>
            </c:numRef>
          </c:xVal>
          <c:yVal>
            <c:numRef>
              <c:f>(FRACharts!$I$35,FRACharts!$I$47,FRACharts!$I$59)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Market 12x24 FRA</c:v>
          </c:tx>
          <c:spPr>
            <a:ln w="28575">
              <a:noFill/>
            </a:ln>
          </c:spPr>
          <c:marker>
            <c:symbol val="diamond"/>
            <c:size val="7"/>
            <c:spPr>
              <a:blipFill>
                <a:blip xmlns:r="http://schemas.openxmlformats.org/officeDocument/2006/relationships" r:embed="rId1"/>
                <a:tile tx="0" ty="0" sx="100000" sy="100000" flip="none" algn="tl"/>
              </a:blipFill>
            </c:spPr>
          </c:marker>
          <c:dPt>
            <c:idx val="0"/>
            <c:marker>
              <c:spPr>
                <a:blipFill>
                  <a:blip xmlns:r="http://schemas.openxmlformats.org/officeDocument/2006/relationships" r:embed="rId1"/>
                  <a:tile tx="0" ty="0" sx="100000" sy="100000" flip="none" algn="tl"/>
                </a:blipFill>
                <a:ln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FRACharts!$D$23</c:f>
              <c:numCache>
                <c:formatCode>ddd\,\ dd\-mmm\-yyyy</c:formatCode>
                <c:ptCount val="1"/>
                <c:pt idx="0">
                  <c:v>42257</c:v>
                </c:pt>
              </c:numCache>
            </c:numRef>
          </c:xVal>
          <c:yVal>
            <c:numRef>
              <c:f>FRACharts!$I$23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12M Libor Fixing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</c:spPr>
          </c:marker>
          <c:xVal>
            <c:numRef>
              <c:f>FRACharts!$D$11</c:f>
              <c:numCache>
                <c:formatCode>ddd\,\ dd\-mmm\-yyyy</c:formatCode>
                <c:ptCount val="1"/>
                <c:pt idx="0">
                  <c:v>41892</c:v>
                </c:pt>
              </c:numCache>
            </c:numRef>
          </c:xVal>
          <c:yVal>
            <c:numRef>
              <c:f>FRACharts!$I$11</c:f>
              <c:numCache>
                <c:formatCode>0.0000%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111744"/>
        <c:axId val="362109952"/>
      </c:scatterChart>
      <c:dateAx>
        <c:axId val="362093952"/>
        <c:scaling>
          <c:orientation val="minMax"/>
          <c:min val="41852"/>
        </c:scaling>
        <c:delete val="0"/>
        <c:axPos val="b"/>
        <c:numFmt formatCode="[$-409]mmm\-yy;@" sourceLinked="0"/>
        <c:majorTickMark val="none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62108416"/>
        <c:crosses val="autoZero"/>
        <c:auto val="1"/>
        <c:lblOffset val="100"/>
        <c:baseTimeUnit val="months"/>
      </c:dateAx>
      <c:valAx>
        <c:axId val="362108416"/>
        <c:scaling>
          <c:orientation val="minMax"/>
        </c:scaling>
        <c:delete val="0"/>
        <c:axPos val="l"/>
        <c:majorGridlines/>
        <c:numFmt formatCode="0.00%" sourceLinked="0"/>
        <c:majorTickMark val="none"/>
        <c:minorTickMark val="none"/>
        <c:tickLblPos val="nextTo"/>
        <c:crossAx val="362093952"/>
        <c:crosses val="autoZero"/>
        <c:crossBetween val="between"/>
      </c:valAx>
      <c:valAx>
        <c:axId val="362109952"/>
        <c:scaling>
          <c:orientation val="minMax"/>
        </c:scaling>
        <c:delete val="1"/>
        <c:axPos val="r"/>
        <c:numFmt formatCode="0.0000%" sourceLinked="1"/>
        <c:majorTickMark val="out"/>
        <c:minorTickMark val="none"/>
        <c:tickLblPos val="nextTo"/>
        <c:crossAx val="362111744"/>
        <c:crosses val="max"/>
        <c:crossBetween val="midCat"/>
      </c:valAx>
      <c:valAx>
        <c:axId val="362111744"/>
        <c:scaling>
          <c:orientation val="minMax"/>
        </c:scaling>
        <c:delete val="1"/>
        <c:axPos val="t"/>
        <c:numFmt formatCode="ddd\,\ dd\-mmm\-yyyy" sourceLinked="1"/>
        <c:majorTickMark val="out"/>
        <c:minorTickMark val="none"/>
        <c:tickLblPos val="nextTo"/>
        <c:crossAx val="362109952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76359026305245292"/>
          <c:y val="0.55533154509532467"/>
          <c:w val="0.21208260425780112"/>
          <c:h val="0.254464920117175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92900524458038E-2"/>
          <c:y val="4.7069497962520523E-2"/>
          <c:w val="0.87339211455192423"/>
          <c:h val="0.76875183810458825"/>
        </c:manualLayout>
      </c:layout>
      <c:lineChart>
        <c:grouping val="standard"/>
        <c:varyColors val="0"/>
        <c:ser>
          <c:idx val="2"/>
          <c:order val="0"/>
          <c:tx>
            <c:v>Interpolated Basis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FRACharts!$D$11:$D$59</c:f>
              <c:numCache>
                <c:formatCode>ddd\,\ dd\-mmm\-yyyy</c:formatCode>
                <c:ptCount val="49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42045</c:v>
                </c:pt>
                <c:pt idx="6">
                  <c:v>42073</c:v>
                </c:pt>
                <c:pt idx="7">
                  <c:v>42104</c:v>
                </c:pt>
                <c:pt idx="8">
                  <c:v>42135</c:v>
                </c:pt>
                <c:pt idx="9">
                  <c:v>42165</c:v>
                </c:pt>
                <c:pt idx="10">
                  <c:v>42195</c:v>
                </c:pt>
                <c:pt idx="11">
                  <c:v>42226</c:v>
                </c:pt>
                <c:pt idx="12">
                  <c:v>42257</c:v>
                </c:pt>
                <c:pt idx="13">
                  <c:v>42289</c:v>
                </c:pt>
                <c:pt idx="14">
                  <c:v>42318</c:v>
                </c:pt>
                <c:pt idx="15">
                  <c:v>42348</c:v>
                </c:pt>
                <c:pt idx="16">
                  <c:v>42380</c:v>
                </c:pt>
                <c:pt idx="17">
                  <c:v>42410</c:v>
                </c:pt>
                <c:pt idx="18">
                  <c:v>42439</c:v>
                </c:pt>
                <c:pt idx="19">
                  <c:v>42471</c:v>
                </c:pt>
                <c:pt idx="20">
                  <c:v>42500</c:v>
                </c:pt>
                <c:pt idx="21">
                  <c:v>42531</c:v>
                </c:pt>
                <c:pt idx="22">
                  <c:v>42562</c:v>
                </c:pt>
                <c:pt idx="23">
                  <c:v>42592</c:v>
                </c:pt>
                <c:pt idx="24">
                  <c:v>42625</c:v>
                </c:pt>
                <c:pt idx="25">
                  <c:v>42653</c:v>
                </c:pt>
                <c:pt idx="26">
                  <c:v>42684</c:v>
                </c:pt>
                <c:pt idx="27">
                  <c:v>42716</c:v>
                </c:pt>
                <c:pt idx="28">
                  <c:v>42745</c:v>
                </c:pt>
                <c:pt idx="29">
                  <c:v>42776</c:v>
                </c:pt>
                <c:pt idx="30">
                  <c:v>42804</c:v>
                </c:pt>
                <c:pt idx="31">
                  <c:v>42835</c:v>
                </c:pt>
                <c:pt idx="32">
                  <c:v>42865</c:v>
                </c:pt>
                <c:pt idx="33">
                  <c:v>42898</c:v>
                </c:pt>
                <c:pt idx="34">
                  <c:v>42926</c:v>
                </c:pt>
                <c:pt idx="35">
                  <c:v>42957</c:v>
                </c:pt>
                <c:pt idx="36">
                  <c:v>42989</c:v>
                </c:pt>
                <c:pt idx="37">
                  <c:v>43018</c:v>
                </c:pt>
                <c:pt idx="38">
                  <c:v>43049</c:v>
                </c:pt>
                <c:pt idx="39">
                  <c:v>43080</c:v>
                </c:pt>
                <c:pt idx="40">
                  <c:v>43110</c:v>
                </c:pt>
                <c:pt idx="41">
                  <c:v>43143</c:v>
                </c:pt>
                <c:pt idx="42">
                  <c:v>43171</c:v>
                </c:pt>
                <c:pt idx="43">
                  <c:v>43200</c:v>
                </c:pt>
                <c:pt idx="44">
                  <c:v>43230</c:v>
                </c:pt>
                <c:pt idx="45">
                  <c:v>43262</c:v>
                </c:pt>
                <c:pt idx="46">
                  <c:v>43291</c:v>
                </c:pt>
                <c:pt idx="47">
                  <c:v>43322</c:v>
                </c:pt>
                <c:pt idx="48">
                  <c:v>43353</c:v>
                </c:pt>
              </c:numCache>
            </c:numRef>
          </c:cat>
          <c:val>
            <c:numRef>
              <c:f>FRACharts!$H$11:$H$59</c:f>
              <c:numCache>
                <c:formatCode>0.0000%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136704"/>
        <c:axId val="362138624"/>
      </c:lineChart>
      <c:scatterChart>
        <c:scatterStyle val="lineMarker"/>
        <c:varyColors val="0"/>
        <c:ser>
          <c:idx val="0"/>
          <c:order val="1"/>
          <c:tx>
            <c:v>Basis Value</c:v>
          </c:tx>
          <c:spPr>
            <a:ln w="28575">
              <a:noFill/>
            </a:ln>
          </c:spPr>
          <c:marker>
            <c:spPr>
              <a:solidFill>
                <a:schemeClr val="accent2"/>
              </a:solidFill>
            </c:spPr>
          </c:marker>
          <c:xVal>
            <c:numRef>
              <c:f>(SynthFra!$I$2,SynthFra!$I$3,SynthFra!$I$4,SynthFra!$I$5,SynthFra!$I$6)</c:f>
              <c:numCache>
                <c:formatCode>ddd\,\ dd\-mmm\-yyyy</c:formatCode>
                <c:ptCount val="5"/>
                <c:pt idx="0">
                  <c:v>41892</c:v>
                </c:pt>
                <c:pt idx="1">
                  <c:v>42257</c:v>
                </c:pt>
                <c:pt idx="2">
                  <c:v>42625</c:v>
                </c:pt>
                <c:pt idx="3">
                  <c:v>42989</c:v>
                </c:pt>
                <c:pt idx="4">
                  <c:v>43353</c:v>
                </c:pt>
              </c:numCache>
            </c:numRef>
          </c:xVal>
          <c:yVal>
            <c:numRef>
              <c:f>(SynthFra!$M$2,SynthFra!$M$3,SynthFra!$M$4,SynthFra!$M$5,SynthFra!$M$6)</c:f>
              <c:numCache>
                <c:formatCode>0.0000%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136704"/>
        <c:axId val="362138624"/>
      </c:scatterChart>
      <c:dateAx>
        <c:axId val="3621367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62138624"/>
        <c:crosses val="autoZero"/>
        <c:auto val="1"/>
        <c:lblOffset val="100"/>
        <c:baseTimeUnit val="months"/>
      </c:dateAx>
      <c:valAx>
        <c:axId val="3621386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2136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60538786818316"/>
          <c:y val="0.64554543963254596"/>
          <c:w val="0.23931794983960339"/>
          <c:h val="0.12557578740157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1.0399999999999999E-3</c:v>
                </c:pt>
                <c:pt idx="1">
                  <c:v>8.7500000000007017E-4</c:v>
                </c:pt>
                <c:pt idx="2">
                  <c:v>7.7499999999985913E-4</c:v>
                </c:pt>
                <c:pt idx="3">
                  <c:v>7.7499999999997016E-4</c:v>
                </c:pt>
                <c:pt idx="4">
                  <c:v>6.2499999999998668E-4</c:v>
                </c:pt>
                <c:pt idx="5">
                  <c:v>6.2499999999998668E-4</c:v>
                </c:pt>
                <c:pt idx="6">
                  <c:v>7.2499999999986464E-4</c:v>
                </c:pt>
                <c:pt idx="7">
                  <c:v>8.7500000000007017E-4</c:v>
                </c:pt>
                <c:pt idx="8">
                  <c:v>1.0750000000000481E-3</c:v>
                </c:pt>
                <c:pt idx="9">
                  <c:v>1.3750000000000151E-3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-7.0303535509186332E-4</c:v>
                </c:pt>
                <c:pt idx="1">
                  <c:v>-7.0918967676128876E-4</c:v>
                </c:pt>
                <c:pt idx="2">
                  <c:v>-6.5605401593804092E-4</c:v>
                </c:pt>
                <c:pt idx="3">
                  <c:v>-7.3996632625838998E-4</c:v>
                </c:pt>
                <c:pt idx="4">
                  <c:v>-7.6592347361893807E-4</c:v>
                </c:pt>
                <c:pt idx="5">
                  <c:v>-9.2878485124239449E-4</c:v>
                </c:pt>
                <c:pt idx="6">
                  <c:v>-8.2350486430104032E-4</c:v>
                </c:pt>
                <c:pt idx="7">
                  <c:v>-7.1962569090688996E-4</c:v>
                </c:pt>
                <c:pt idx="8">
                  <c:v>-5.5812815890910893E-4</c:v>
                </c:pt>
                <c:pt idx="9">
                  <c:v>-3.302336839731183E-4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41892</c:v>
                </c:pt>
                <c:pt idx="1">
                  <c:v>41899</c:v>
                </c:pt>
                <c:pt idx="2">
                  <c:v>41927</c:v>
                </c:pt>
                <c:pt idx="3">
                  <c:v>41990</c:v>
                </c:pt>
                <c:pt idx="4">
                  <c:v>42081</c:v>
                </c:pt>
                <c:pt idx="5">
                  <c:v>42172</c:v>
                </c:pt>
                <c:pt idx="6">
                  <c:v>42263</c:v>
                </c:pt>
                <c:pt idx="7">
                  <c:v>42354</c:v>
                </c:pt>
                <c:pt idx="8">
                  <c:v>42445</c:v>
                </c:pt>
                <c:pt idx="9">
                  <c:v>42536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1.7430353550918632E-3</c:v>
                </c:pt>
                <c:pt idx="1">
                  <c:v>1.5841896767613589E-3</c:v>
                </c:pt>
                <c:pt idx="2">
                  <c:v>1.4310540159379001E-3</c:v>
                </c:pt>
                <c:pt idx="3">
                  <c:v>1.5149663262583601E-3</c:v>
                </c:pt>
                <c:pt idx="4">
                  <c:v>1.3909234736189248E-3</c:v>
                </c:pt>
                <c:pt idx="5">
                  <c:v>1.5537848512423812E-3</c:v>
                </c:pt>
                <c:pt idx="6">
                  <c:v>1.548504864300905E-3</c:v>
                </c:pt>
                <c:pt idx="7">
                  <c:v>1.5946256909069602E-3</c:v>
                </c:pt>
                <c:pt idx="8">
                  <c:v>1.6331281589091571E-3</c:v>
                </c:pt>
                <c:pt idx="9">
                  <c:v>1.7052336839731333E-3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302912"/>
        <c:axId val="363304448"/>
      </c:scatterChart>
      <c:valAx>
        <c:axId val="3633029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3304448"/>
        <c:crosses val="autoZero"/>
        <c:crossBetween val="midCat"/>
      </c:valAx>
      <c:valAx>
        <c:axId val="3633044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3302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1.6827572324694441E-3</c:v>
                </c:pt>
                <c:pt idx="1">
                  <c:v>1.330149041157242E-3</c:v>
                </c:pt>
                <c:pt idx="2">
                  <c:v>1.2672037651059128E-3</c:v>
                </c:pt>
                <c:pt idx="3">
                  <c:v>1.4500709772322651E-3</c:v>
                </c:pt>
                <c:pt idx="4">
                  <c:v>1.6544053048985008E-3</c:v>
                </c:pt>
                <c:pt idx="5">
                  <c:v>1.5873993659112E-3</c:v>
                </c:pt>
                <c:pt idx="6">
                  <c:v>1.4120295387738502E-3</c:v>
                </c:pt>
                <c:pt idx="7">
                  <c:v>1.3341755916693268E-3</c:v>
                </c:pt>
                <c:pt idx="8">
                  <c:v>1.3845378057524671E-3</c:v>
                </c:pt>
                <c:pt idx="9">
                  <c:v>1.5514038555419774E-3</c:v>
                </c:pt>
                <c:pt idx="10">
                  <c:v>1.5835444536723168E-3</c:v>
                </c:pt>
                <c:pt idx="11">
                  <c:v>1.5920424498508028E-3</c:v>
                </c:pt>
                <c:pt idx="12">
                  <c:v>1.5487063043920499E-3</c:v>
                </c:pt>
                <c:pt idx="13">
                  <c:v>1.5604758623460168E-3</c:v>
                </c:pt>
                <c:pt idx="14">
                  <c:v>1.5794235125018384E-3</c:v>
                </c:pt>
                <c:pt idx="15">
                  <c:v>1.5952870917042299E-3</c:v>
                </c:pt>
                <c:pt idx="16">
                  <c:v>1.6016755623415625E-3</c:v>
                </c:pt>
                <c:pt idx="17">
                  <c:v>1.6163154468348177E-3</c:v>
                </c:pt>
                <c:pt idx="18">
                  <c:v>1.6360986425691176E-3</c:v>
                </c:pt>
                <c:pt idx="19">
                  <c:v>1.6595042273137817E-3</c:v>
                </c:pt>
                <c:pt idx="20">
                  <c:v>1.6944906489236231E-3</c:v>
                </c:pt>
                <c:pt idx="21">
                  <c:v>1.6536764055812185E-3</c:v>
                </c:pt>
                <c:pt idx="22">
                  <c:v>1.4491585112247594E-3</c:v>
                </c:pt>
                <c:pt idx="23">
                  <c:v>1.2551399447892895E-3</c:v>
                </c:pt>
                <c:pt idx="24">
                  <c:v>1.2021353947280404E-3</c:v>
                </c:pt>
                <c:pt idx="25">
                  <c:v>1.3293624636073031E-3</c:v>
                </c:pt>
                <c:pt idx="26">
                  <c:v>1.4772386599596877E-3</c:v>
                </c:pt>
                <c:pt idx="27">
                  <c:v>1.6139183762922116E-3</c:v>
                </c:pt>
                <c:pt idx="28">
                  <c:v>1.7721930072288716E-3</c:v>
                </c:pt>
                <c:pt idx="29">
                  <c:v>1.9333534805128904E-3</c:v>
                </c:pt>
                <c:pt idx="30">
                  <c:v>2.084985059369025E-3</c:v>
                </c:pt>
                <c:pt idx="31">
                  <c:v>2.2657446327500287E-3</c:v>
                </c:pt>
                <c:pt idx="32">
                  <c:v>2.442030325970998E-3</c:v>
                </c:pt>
                <c:pt idx="33">
                  <c:v>2.2073972019723397E-3</c:v>
                </c:pt>
                <c:pt idx="34">
                  <c:v>1.6560543619087193E-3</c:v>
                </c:pt>
                <c:pt idx="35">
                  <c:v>1.1273982777667228E-3</c:v>
                </c:pt>
                <c:pt idx="36">
                  <c:v>1.0831358907920328E-3</c:v>
                </c:pt>
                <c:pt idx="37">
                  <c:v>1.2959339300373618E-3</c:v>
                </c:pt>
                <c:pt idx="38">
                  <c:v>1.5171089707462365E-3</c:v>
                </c:pt>
                <c:pt idx="39">
                  <c:v>1.7360575290785718E-3</c:v>
                </c:pt>
                <c:pt idx="40">
                  <c:v>1.9746777318371679E-3</c:v>
                </c:pt>
                <c:pt idx="41">
                  <c:v>2.1883580896942946E-3</c:v>
                </c:pt>
                <c:pt idx="42">
                  <c:v>2.4214767959512403E-3</c:v>
                </c:pt>
                <c:pt idx="43">
                  <c:v>2.6752190799912523E-3</c:v>
                </c:pt>
                <c:pt idx="44">
                  <c:v>2.9221907633901903E-3</c:v>
                </c:pt>
                <c:pt idx="45">
                  <c:v>2.3286351529282637E-3</c:v>
                </c:pt>
                <c:pt idx="46">
                  <c:v>1.6715229773989681E-3</c:v>
                </c:pt>
                <c:pt idx="47">
                  <c:v>9.9102491358216572E-4</c:v>
                </c:pt>
                <c:pt idx="48">
                  <c:v>1.2453106303286655E-3</c:v>
                </c:pt>
                <c:pt idx="49">
                  <c:v>1.5211369061299881E-3</c:v>
                </c:pt>
                <c:pt idx="50">
                  <c:v>1.7640760724875193E-3</c:v>
                </c:pt>
                <c:pt idx="51">
                  <c:v>2.0455466071934211E-3</c:v>
                </c:pt>
                <c:pt idx="52">
                  <c:v>2.2981387170486626E-3</c:v>
                </c:pt>
                <c:pt idx="53">
                  <c:v>2.5473641939450396E-3</c:v>
                </c:pt>
                <c:pt idx="54">
                  <c:v>2.8139383154766433E-3</c:v>
                </c:pt>
                <c:pt idx="55">
                  <c:v>3.0728162073573552E-3</c:v>
                </c:pt>
                <c:pt idx="56">
                  <c:v>3.1005271290954813E-3</c:v>
                </c:pt>
                <c:pt idx="57">
                  <c:v>2.2719254320403412E-3</c:v>
                </c:pt>
                <c:pt idx="58">
                  <c:v>1.361693870836166E-3</c:v>
                </c:pt>
                <c:pt idx="59">
                  <c:v>8.2971265481388522E-4</c:v>
                </c:pt>
                <c:pt idx="60">
                  <c:v>1.1136941825160371E-3</c:v>
                </c:pt>
                <c:pt idx="61">
                  <c:v>1.3871821042747891E-3</c:v>
                </c:pt>
                <c:pt idx="62">
                  <c:v>1.667670045699652E-3</c:v>
                </c:pt>
                <c:pt idx="63">
                  <c:v>1.9463736151471914E-3</c:v>
                </c:pt>
                <c:pt idx="64">
                  <c:v>2.2367859239196455E-3</c:v>
                </c:pt>
                <c:pt idx="65">
                  <c:v>2.5070466717824775E-3</c:v>
                </c:pt>
                <c:pt idx="66">
                  <c:v>2.7887540599481724E-3</c:v>
                </c:pt>
                <c:pt idx="67">
                  <c:v>3.0825344290186709E-3</c:v>
                </c:pt>
                <c:pt idx="68">
                  <c:v>2.814348872224412E-3</c:v>
                </c:pt>
                <c:pt idx="69">
                  <c:v>1.9231251174386364E-3</c:v>
                </c:pt>
                <c:pt idx="70">
                  <c:v>1.0607599995269574E-3</c:v>
                </c:pt>
                <c:pt idx="71">
                  <c:v>8.3830950013829252E-4</c:v>
                </c:pt>
                <c:pt idx="72">
                  <c:v>1.1293690526996102E-3</c:v>
                </c:pt>
                <c:pt idx="73">
                  <c:v>1.425069584845411E-3</c:v>
                </c:pt>
                <c:pt idx="74">
                  <c:v>1.7211655731701487E-3</c:v>
                </c:pt>
                <c:pt idx="75">
                  <c:v>2.0412246889222416E-3</c:v>
                </c:pt>
                <c:pt idx="76">
                  <c:v>2.3136454698812828E-3</c:v>
                </c:pt>
                <c:pt idx="77">
                  <c:v>2.6051053878218561E-3</c:v>
                </c:pt>
                <c:pt idx="78">
                  <c:v>2.9159952911201985E-3</c:v>
                </c:pt>
                <c:pt idx="79">
                  <c:v>3.2125532181233631E-3</c:v>
                </c:pt>
                <c:pt idx="80">
                  <c:v>2.5720408165998705E-3</c:v>
                </c:pt>
                <c:pt idx="81">
                  <c:v>1.6928317837688143E-3</c:v>
                </c:pt>
                <c:pt idx="82">
                  <c:v>7.7791932964321568E-4</c:v>
                </c:pt>
                <c:pt idx="83">
                  <c:v>9.053290550848532E-4</c:v>
                </c:pt>
                <c:pt idx="84">
                  <c:v>1.2021131854640481E-3</c:v>
                </c:pt>
                <c:pt idx="85">
                  <c:v>1.456990315968909E-3</c:v>
                </c:pt>
                <c:pt idx="86">
                  <c:v>1.7445856368731895E-3</c:v>
                </c:pt>
                <c:pt idx="87">
                  <c:v>1.9957788738938984E-3</c:v>
                </c:pt>
                <c:pt idx="88">
                  <c:v>2.2372463160362684E-3</c:v>
                </c:pt>
                <c:pt idx="89">
                  <c:v>2.4885704340242669E-3</c:v>
                </c:pt>
                <c:pt idx="90">
                  <c:v>2.7258353128815152E-3</c:v>
                </c:pt>
                <c:pt idx="91">
                  <c:v>2.9475753523462538E-3</c:v>
                </c:pt>
                <c:pt idx="92">
                  <c:v>2.32775313934349E-3</c:v>
                </c:pt>
                <c:pt idx="93">
                  <c:v>1.6382931773638761E-3</c:v>
                </c:pt>
                <c:pt idx="94">
                  <c:v>1.0634682895614908E-3</c:v>
                </c:pt>
                <c:pt idx="95">
                  <c:v>1.2788801145402033E-3</c:v>
                </c:pt>
                <c:pt idx="96">
                  <c:v>1.476210120241947E-3</c:v>
                </c:pt>
                <c:pt idx="97">
                  <c:v>1.6685482964403538E-3</c:v>
                </c:pt>
                <c:pt idx="98">
                  <c:v>1.8469304651267393E-3</c:v>
                </c:pt>
                <c:pt idx="99">
                  <c:v>2.0286060958480644E-3</c:v>
                </c:pt>
                <c:pt idx="100">
                  <c:v>2.1807450806737155E-3</c:v>
                </c:pt>
                <c:pt idx="101">
                  <c:v>2.3359966700277277E-3</c:v>
                </c:pt>
                <c:pt idx="102">
                  <c:v>2.4930769513003444E-3</c:v>
                </c:pt>
                <c:pt idx="103">
                  <c:v>2.4226175824904536E-3</c:v>
                </c:pt>
                <c:pt idx="104">
                  <c:v>1.944335677751978E-3</c:v>
                </c:pt>
                <c:pt idx="105">
                  <c:v>1.4758362994702137E-3</c:v>
                </c:pt>
                <c:pt idx="106">
                  <c:v>1.2613186450855136E-3</c:v>
                </c:pt>
                <c:pt idx="107">
                  <c:v>1.3800879637693199E-3</c:v>
                </c:pt>
                <c:pt idx="108">
                  <c:v>1.5113473603577017E-3</c:v>
                </c:pt>
                <c:pt idx="109">
                  <c:v>1.6271124145366966E-3</c:v>
                </c:pt>
                <c:pt idx="110">
                  <c:v>1.7550276033093185E-3</c:v>
                </c:pt>
                <c:pt idx="111">
                  <c:v>1.8766952709588537E-3</c:v>
                </c:pt>
                <c:pt idx="112">
                  <c:v>1.9980835159875594E-3</c:v>
                </c:pt>
                <c:pt idx="113">
                  <c:v>2.1116939852834429E-3</c:v>
                </c:pt>
                <c:pt idx="114">
                  <c:v>2.2291642607130194E-3</c:v>
                </c:pt>
                <c:pt idx="115">
                  <c:v>1.9956168089195446E-3</c:v>
                </c:pt>
                <c:pt idx="116">
                  <c:v>1.6220290679568039E-3</c:v>
                </c:pt>
                <c:pt idx="117">
                  <c:v>1.2675713325775891E-3</c:v>
                </c:pt>
                <c:pt idx="118">
                  <c:v>1.3023202387331435E-3</c:v>
                </c:pt>
                <c:pt idx="119">
                  <c:v>1.4040848131499466E-3</c:v>
                </c:pt>
                <c:pt idx="120">
                  <c:v>1.5043459273539755E-3</c:v>
                </c:pt>
                <c:pt idx="121">
                  <c:v>1.5984546819876044E-3</c:v>
                </c:pt>
                <c:pt idx="122">
                  <c:v>1.6956892198031794E-3</c:v>
                </c:pt>
                <c:pt idx="123">
                  <c:v>1.7782598805801582E-3</c:v>
                </c:pt>
                <c:pt idx="124">
                  <c:v>1.8636344752578707E-3</c:v>
                </c:pt>
                <c:pt idx="125">
                  <c:v>1.95159585847033E-3</c:v>
                </c:pt>
                <c:pt idx="126">
                  <c:v>2.0106434816056992E-3</c:v>
                </c:pt>
                <c:pt idx="127">
                  <c:v>1.743784600420812E-3</c:v>
                </c:pt>
                <c:pt idx="128">
                  <c:v>1.4821825076457053E-3</c:v>
                </c:pt>
                <c:pt idx="129">
                  <c:v>1.2620107554474173E-3</c:v>
                </c:pt>
                <c:pt idx="130">
                  <c:v>1.329557128967658E-3</c:v>
                </c:pt>
                <c:pt idx="131">
                  <c:v>1.3993020804522471E-3</c:v>
                </c:pt>
                <c:pt idx="132">
                  <c:v>1.4576420953638092E-3</c:v>
                </c:pt>
                <c:pt idx="133">
                  <c:v>1.521987148055369E-3</c:v>
                </c:pt>
                <c:pt idx="134">
                  <c:v>1.5764123845020336E-3</c:v>
                </c:pt>
                <c:pt idx="135">
                  <c:v>1.6275750306519697E-3</c:v>
                </c:pt>
                <c:pt idx="136">
                  <c:v>1.6788679408514494E-3</c:v>
                </c:pt>
                <c:pt idx="137">
                  <c:v>1.7257406068658457E-3</c:v>
                </c:pt>
                <c:pt idx="138">
                  <c:v>1.6484371151944607E-3</c:v>
                </c:pt>
                <c:pt idx="139">
                  <c:v>1.3770875872629422E-3</c:v>
                </c:pt>
                <c:pt idx="140">
                  <c:v>1.0761336893689959E-3</c:v>
                </c:pt>
                <c:pt idx="141">
                  <c:v>9.3643914740252146E-4</c:v>
                </c:pt>
                <c:pt idx="142">
                  <c:v>9.7439188397450624E-4</c:v>
                </c:pt>
                <c:pt idx="143">
                  <c:v>1.0091085163251336E-3</c:v>
                </c:pt>
                <c:pt idx="144">
                  <c:v>1.0434742456395633E-3</c:v>
                </c:pt>
                <c:pt idx="145">
                  <c:v>1.0742150243316928E-3</c:v>
                </c:pt>
                <c:pt idx="146">
                  <c:v>1.106765205899217E-3</c:v>
                </c:pt>
                <c:pt idx="147">
                  <c:v>1.1352612949456289E-3</c:v>
                </c:pt>
                <c:pt idx="148">
                  <c:v>1.1642644854386423E-3</c:v>
                </c:pt>
                <c:pt idx="149">
                  <c:v>1.1904316063999845E-3</c:v>
                </c:pt>
                <c:pt idx="150">
                  <c:v>1.2159718305095116E-3</c:v>
                </c:pt>
                <c:pt idx="151">
                  <c:v>1.2392888666088279E-3</c:v>
                </c:pt>
                <c:pt idx="152">
                  <c:v>1.2614727150510041E-3</c:v>
                </c:pt>
                <c:pt idx="153">
                  <c:v>1.2817155315909164E-3</c:v>
                </c:pt>
                <c:pt idx="154">
                  <c:v>1.3020098300083396E-3</c:v>
                </c:pt>
                <c:pt idx="155">
                  <c:v>1.3187296728247172E-3</c:v>
                </c:pt>
                <c:pt idx="156">
                  <c:v>1.3360126615765133E-3</c:v>
                </c:pt>
                <c:pt idx="157">
                  <c:v>1.3504942028399469E-3</c:v>
                </c:pt>
                <c:pt idx="158">
                  <c:v>1.3642198068272646E-3</c:v>
                </c:pt>
                <c:pt idx="159">
                  <c:v>1.3754379036145792E-3</c:v>
                </c:pt>
                <c:pt idx="160">
                  <c:v>1.3860289391513965E-3</c:v>
                </c:pt>
                <c:pt idx="161">
                  <c:v>1.3958717783837601E-3</c:v>
                </c:pt>
                <c:pt idx="162">
                  <c:v>1.4034405385736533E-3</c:v>
                </c:pt>
                <c:pt idx="163">
                  <c:v>1.4102489624235777E-3</c:v>
                </c:pt>
                <c:pt idx="164">
                  <c:v>1.4150449896817227E-3</c:v>
                </c:pt>
                <c:pt idx="165">
                  <c:v>1.4188331263875753E-3</c:v>
                </c:pt>
                <c:pt idx="166">
                  <c:v>1.420930478916619E-3</c:v>
                </c:pt>
                <c:pt idx="167">
                  <c:v>1.4215412420898153E-3</c:v>
                </c:pt>
                <c:pt idx="168">
                  <c:v>1.4207499082496966E-3</c:v>
                </c:pt>
                <c:pt idx="169">
                  <c:v>1.4185854573862226E-3</c:v>
                </c:pt>
                <c:pt idx="170">
                  <c:v>1.4154285602663748E-3</c:v>
                </c:pt>
                <c:pt idx="171">
                  <c:v>1.4105646871782167E-3</c:v>
                </c:pt>
                <c:pt idx="172">
                  <c:v>1.4040588578894016E-3</c:v>
                </c:pt>
                <c:pt idx="173">
                  <c:v>1.3795976616312947E-3</c:v>
                </c:pt>
                <c:pt idx="174">
                  <c:v>1.3216168421022502E-3</c:v>
                </c:pt>
                <c:pt idx="175">
                  <c:v>1.264557904704703E-3</c:v>
                </c:pt>
                <c:pt idx="176">
                  <c:v>1.2265439342918523E-3</c:v>
                </c:pt>
                <c:pt idx="177">
                  <c:v>1.216148819241876E-3</c:v>
                </c:pt>
                <c:pt idx="178">
                  <c:v>1.2045256846601148E-3</c:v>
                </c:pt>
                <c:pt idx="179">
                  <c:v>1.1935428615146293E-3</c:v>
                </c:pt>
                <c:pt idx="180">
                  <c:v>1.1816105323756848E-3</c:v>
                </c:pt>
                <c:pt idx="181">
                  <c:v>1.1720644370052033E-3</c:v>
                </c:pt>
                <c:pt idx="182">
                  <c:v>1.1589418873320344E-3</c:v>
                </c:pt>
                <c:pt idx="183">
                  <c:v>1.1464297332420062E-3</c:v>
                </c:pt>
                <c:pt idx="184">
                  <c:v>1.1341997624344478E-3</c:v>
                </c:pt>
                <c:pt idx="185">
                  <c:v>1.1205973184962685E-3</c:v>
                </c:pt>
                <c:pt idx="186">
                  <c:v>1.1075450853220009E-3</c:v>
                </c:pt>
                <c:pt idx="187">
                  <c:v>1.0939395095895602E-3</c:v>
                </c:pt>
                <c:pt idx="188">
                  <c:v>1.0806437947816112E-3</c:v>
                </c:pt>
                <c:pt idx="189">
                  <c:v>1.0658921350860939E-3</c:v>
                </c:pt>
                <c:pt idx="190">
                  <c:v>1.0525441904878363E-3</c:v>
                </c:pt>
                <c:pt idx="191">
                  <c:v>1.0370616854836028E-3</c:v>
                </c:pt>
                <c:pt idx="192">
                  <c:v>1.0227407729683433E-3</c:v>
                </c:pt>
                <c:pt idx="193">
                  <c:v>1.0087425568615326E-3</c:v>
                </c:pt>
                <c:pt idx="194">
                  <c:v>9.9325465423713913E-4</c:v>
                </c:pt>
                <c:pt idx="195">
                  <c:v>9.7812291818131711E-4</c:v>
                </c:pt>
                <c:pt idx="196">
                  <c:v>9.6139217135249311E-4</c:v>
                </c:pt>
                <c:pt idx="197">
                  <c:v>9.4592124373870864E-4</c:v>
                </c:pt>
                <c:pt idx="198">
                  <c:v>9.286159534327397E-4</c:v>
                </c:pt>
                <c:pt idx="199">
                  <c:v>9.122956328153943E-4</c:v>
                </c:pt>
                <c:pt idx="200">
                  <c:v>8.9474290076822782E-4</c:v>
                </c:pt>
                <c:pt idx="201">
                  <c:v>8.7767257424894995E-4</c:v>
                </c:pt>
                <c:pt idx="202">
                  <c:v>8.6000000384791817E-4</c:v>
                </c:pt>
                <c:pt idx="203">
                  <c:v>8.4239546009284849E-4</c:v>
                </c:pt>
                <c:pt idx="204">
                  <c:v>8.2394450280685871E-4</c:v>
                </c:pt>
                <c:pt idx="205">
                  <c:v>8.0673567911884389E-4</c:v>
                </c:pt>
                <c:pt idx="206">
                  <c:v>7.885863434956529E-4</c:v>
                </c:pt>
                <c:pt idx="207">
                  <c:v>7.696739285538122E-4</c:v>
                </c:pt>
                <c:pt idx="208">
                  <c:v>7.5074474050635873E-4</c:v>
                </c:pt>
                <c:pt idx="209">
                  <c:v>7.3092641007048778E-4</c:v>
                </c:pt>
                <c:pt idx="210">
                  <c:v>7.114575868881895E-4</c:v>
                </c:pt>
                <c:pt idx="211">
                  <c:v>6.9135920744619467E-4</c:v>
                </c:pt>
                <c:pt idx="212">
                  <c:v>6.7172335810617573E-4</c:v>
                </c:pt>
                <c:pt idx="213">
                  <c:v>6.5014139786376268E-4</c:v>
                </c:pt>
                <c:pt idx="214">
                  <c:v>6.3084800799906304E-4</c:v>
                </c:pt>
                <c:pt idx="215">
                  <c:v>6.0840391211695183E-4</c:v>
                </c:pt>
                <c:pt idx="216">
                  <c:v>5.8793282580832038E-4</c:v>
                </c:pt>
                <c:pt idx="217">
                  <c:v>5.6774124552323377E-4</c:v>
                </c:pt>
                <c:pt idx="218">
                  <c:v>5.4576402827790846E-4</c:v>
                </c:pt>
                <c:pt idx="219">
                  <c:v>5.2428987261567486E-4</c:v>
                </c:pt>
                <c:pt idx="220">
                  <c:v>5.0072948090678499E-4</c:v>
                </c:pt>
                <c:pt idx="221">
                  <c:v>4.7904987685393891E-4</c:v>
                </c:pt>
                <c:pt idx="222">
                  <c:v>4.5491514470723249E-4</c:v>
                </c:pt>
                <c:pt idx="223">
                  <c:v>4.3231499535036771E-4</c:v>
                </c:pt>
                <c:pt idx="224">
                  <c:v>4.0800436967839554E-4</c:v>
                </c:pt>
                <c:pt idx="225">
                  <c:v>3.8599554008911241E-4</c:v>
                </c:pt>
                <c:pt idx="226">
                  <c:v>3.6343699073688659E-4</c:v>
                </c:pt>
                <c:pt idx="227">
                  <c:v>3.3978428247674608E-4</c:v>
                </c:pt>
                <c:pt idx="228">
                  <c:v>3.1714875435982781E-4</c:v>
                </c:pt>
                <c:pt idx="229">
                  <c:v>2.9348812686125561E-4</c:v>
                </c:pt>
                <c:pt idx="230">
                  <c:v>2.7026027996110771E-4</c:v>
                </c:pt>
                <c:pt idx="231">
                  <c:v>2.4371690496955561E-4</c:v>
                </c:pt>
                <c:pt idx="232">
                  <c:v>4.5304653370999495E-4</c:v>
                </c:pt>
                <c:pt idx="233">
                  <c:v>8.4378490909147244E-4</c:v>
                </c:pt>
                <c:pt idx="234">
                  <c:v>1.2209218265850016E-3</c:v>
                </c:pt>
                <c:pt idx="235">
                  <c:v>1.3390625954363793E-3</c:v>
                </c:pt>
                <c:pt idx="236">
                  <c:v>1.3134811594876956E-3</c:v>
                </c:pt>
                <c:pt idx="237">
                  <c:v>1.2874338516787077E-3</c:v>
                </c:pt>
                <c:pt idx="238">
                  <c:v>1.2622417713394896E-3</c:v>
                </c:pt>
                <c:pt idx="239">
                  <c:v>1.2355937619465858E-3</c:v>
                </c:pt>
                <c:pt idx="240">
                  <c:v>1.2122575542681535E-3</c:v>
                </c:pt>
                <c:pt idx="241">
                  <c:v>1.1871503231512467E-3</c:v>
                </c:pt>
                <c:pt idx="242">
                  <c:v>1.1605826262072322E-3</c:v>
                </c:pt>
                <c:pt idx="243">
                  <c:v>1.1351978793235872E-3</c:v>
                </c:pt>
                <c:pt idx="244">
                  <c:v>1.1090237400163371E-3</c:v>
                </c:pt>
                <c:pt idx="245">
                  <c:v>1.0836960914318225E-3</c:v>
                </c:pt>
                <c:pt idx="246">
                  <c:v>1.05792158254428E-3</c:v>
                </c:pt>
                <c:pt idx="247">
                  <c:v>1.0331250792322347E-3</c:v>
                </c:pt>
                <c:pt idx="248">
                  <c:v>1.0062540750817618E-3</c:v>
                </c:pt>
                <c:pt idx="249">
                  <c:v>9.8219773906291913E-4</c:v>
                </c:pt>
                <c:pt idx="250">
                  <c:v>9.55043287286194E-4</c:v>
                </c:pt>
                <c:pt idx="251">
                  <c:v>9.3058015362413107E-4</c:v>
                </c:pt>
                <c:pt idx="252">
                  <c:v>9.0568341192485274E-4</c:v>
                </c:pt>
                <c:pt idx="253">
                  <c:v>8.8081662734804111E-4</c:v>
                </c:pt>
                <c:pt idx="254">
                  <c:v>8.5620307496794834E-4</c:v>
                </c:pt>
                <c:pt idx="255">
                  <c:v>8.3034979815987953E-4</c:v>
                </c:pt>
                <c:pt idx="256">
                  <c:v>8.0613953480666162E-4</c:v>
                </c:pt>
                <c:pt idx="257">
                  <c:v>7.7953862884174926E-4</c:v>
                </c:pt>
                <c:pt idx="258">
                  <c:v>7.5493359684125974E-4</c:v>
                </c:pt>
                <c:pt idx="259">
                  <c:v>7.2884346782745371E-4</c:v>
                </c:pt>
                <c:pt idx="260">
                  <c:v>7.0394081457230209E-4</c:v>
                </c:pt>
                <c:pt idx="261">
                  <c:v>6.7862249120450788E-4</c:v>
                </c:pt>
                <c:pt idx="262">
                  <c:v>6.5413731484831317E-4</c:v>
                </c:pt>
                <c:pt idx="263">
                  <c:v>6.281616214703703E-4</c:v>
                </c:pt>
                <c:pt idx="264">
                  <c:v>6.0541031593224631E-4</c:v>
                </c:pt>
                <c:pt idx="265">
                  <c:v>5.8100978515801538E-4</c:v>
                </c:pt>
                <c:pt idx="266">
                  <c:v>5.5511470495621731E-4</c:v>
                </c:pt>
                <c:pt idx="267">
                  <c:v>5.3040865006908494E-4</c:v>
                </c:pt>
                <c:pt idx="268">
                  <c:v>5.0493508251548899E-4</c:v>
                </c:pt>
                <c:pt idx="269">
                  <c:v>4.8028609972844416E-4</c:v>
                </c:pt>
                <c:pt idx="270">
                  <c:v>4.5523968437921614E-4</c:v>
                </c:pt>
                <c:pt idx="271">
                  <c:v>4.3107238052685071E-4</c:v>
                </c:pt>
                <c:pt idx="272">
                  <c:v>4.0640541410265352E-4</c:v>
                </c:pt>
                <c:pt idx="273">
                  <c:v>3.8192294881334021E-4</c:v>
                </c:pt>
                <c:pt idx="274">
                  <c:v>3.5546477763468212E-4</c:v>
                </c:pt>
                <c:pt idx="275">
                  <c:v>3.3298191294186402E-4</c:v>
                </c:pt>
                <c:pt idx="276">
                  <c:v>3.0890422803071457E-4</c:v>
                </c:pt>
                <c:pt idx="277">
                  <c:v>2.8331774176802368E-4</c:v>
                </c:pt>
                <c:pt idx="278">
                  <c:v>2.5892238656426841E-4</c:v>
                </c:pt>
                <c:pt idx="279">
                  <c:v>2.3376953518949514E-4</c:v>
                </c:pt>
                <c:pt idx="280">
                  <c:v>2.0943124032567206E-4</c:v>
                </c:pt>
                <c:pt idx="281">
                  <c:v>1.8471747074603334E-4</c:v>
                </c:pt>
                <c:pt idx="282">
                  <c:v>1.6083887964957883E-4</c:v>
                </c:pt>
                <c:pt idx="283">
                  <c:v>1.3502099837235659E-4</c:v>
                </c:pt>
                <c:pt idx="284">
                  <c:v>1.1234446304886347E-4</c:v>
                </c:pt>
                <c:pt idx="285">
                  <c:v>8.5820659435485724E-5</c:v>
                </c:pt>
                <c:pt idx="286">
                  <c:v>6.2809947326807752E-5</c:v>
                </c:pt>
                <c:pt idx="287">
                  <c:v>3.9849289940004085E-5</c:v>
                </c:pt>
                <c:pt idx="288">
                  <c:v>1.4568391086895033E-5</c:v>
                </c:pt>
                <c:pt idx="289">
                  <c:v>-9.1265202430239334E-6</c:v>
                </c:pt>
                <c:pt idx="290">
                  <c:v>-2.5460348963026597E-5</c:v>
                </c:pt>
                <c:pt idx="291">
                  <c:v>2.0626847938817403E-4</c:v>
                </c:pt>
                <c:pt idx="292">
                  <c:v>4.6144450417337848E-4</c:v>
                </c:pt>
                <c:pt idx="293">
                  <c:v>6.7649477167426933E-4</c:v>
                </c:pt>
                <c:pt idx="294">
                  <c:v>6.5297151396002603E-4</c:v>
                </c:pt>
                <c:pt idx="295">
                  <c:v>6.3123409294466026E-4</c:v>
                </c:pt>
                <c:pt idx="296">
                  <c:v>6.0984823338700381E-4</c:v>
                </c:pt>
                <c:pt idx="297">
                  <c:v>5.8957801416695266E-4</c:v>
                </c:pt>
                <c:pt idx="298">
                  <c:v>5.6941652824618258E-4</c:v>
                </c:pt>
                <c:pt idx="299">
                  <c:v>5.5155551327483454E-4</c:v>
                </c:pt>
                <c:pt idx="300">
                  <c:v>5.3370180429870157E-4</c:v>
                </c:pt>
                <c:pt idx="301">
                  <c:v>5.1607873291619963E-4</c:v>
                </c:pt>
                <c:pt idx="302">
                  <c:v>4.9943093463714755E-4</c:v>
                </c:pt>
                <c:pt idx="303">
                  <c:v>4.8300871739628479E-4</c:v>
                </c:pt>
                <c:pt idx="304">
                  <c:v>4.6783846071500254E-4</c:v>
                </c:pt>
                <c:pt idx="305">
                  <c:v>4.5313516878006666E-4</c:v>
                </c:pt>
                <c:pt idx="306">
                  <c:v>4.396790333068834E-4</c:v>
                </c:pt>
                <c:pt idx="307">
                  <c:v>4.2587679993761826E-4</c:v>
                </c:pt>
                <c:pt idx="308">
                  <c:v>4.1398290530558768E-4</c:v>
                </c:pt>
                <c:pt idx="309">
                  <c:v>4.0196395787104114E-4</c:v>
                </c:pt>
                <c:pt idx="310">
                  <c:v>3.930033855778052E-4</c:v>
                </c:pt>
                <c:pt idx="311">
                  <c:v>3.8200312082179583E-4</c:v>
                </c:pt>
                <c:pt idx="312">
                  <c:v>3.7247582835745613E-4</c:v>
                </c:pt>
                <c:pt idx="313">
                  <c:v>3.6402168398488866E-4</c:v>
                </c:pt>
                <c:pt idx="314">
                  <c:v>3.5563669834689365E-4</c:v>
                </c:pt>
                <c:pt idx="315">
                  <c:v>3.4851031350204703E-4</c:v>
                </c:pt>
                <c:pt idx="316">
                  <c:v>3.4198731475446054E-4</c:v>
                </c:pt>
                <c:pt idx="317">
                  <c:v>3.3643843581587785E-4</c:v>
                </c:pt>
                <c:pt idx="318">
                  <c:v>3.3119883492358296E-4</c:v>
                </c:pt>
                <c:pt idx="319">
                  <c:v>3.2722360258752303E-4</c:v>
                </c:pt>
                <c:pt idx="320">
                  <c:v>3.234834854303828E-4</c:v>
                </c:pt>
                <c:pt idx="321">
                  <c:v>3.2082789806752235E-4</c:v>
                </c:pt>
                <c:pt idx="322">
                  <c:v>3.1898047430118856E-4</c:v>
                </c:pt>
                <c:pt idx="323">
                  <c:v>3.1759990623282316E-4</c:v>
                </c:pt>
                <c:pt idx="324">
                  <c:v>3.1707921332644468E-4</c:v>
                </c:pt>
                <c:pt idx="325">
                  <c:v>3.1726329654989047E-4</c:v>
                </c:pt>
                <c:pt idx="326">
                  <c:v>3.1813937249819749E-4</c:v>
                </c:pt>
                <c:pt idx="327">
                  <c:v>3.1988938573426426E-4</c:v>
                </c:pt>
                <c:pt idx="328">
                  <c:v>3.2221422762726201E-4</c:v>
                </c:pt>
                <c:pt idx="329">
                  <c:v>3.2551782900050452E-4</c:v>
                </c:pt>
                <c:pt idx="330">
                  <c:v>3.2938953323945544E-4</c:v>
                </c:pt>
                <c:pt idx="331">
                  <c:v>3.340424824143165E-4</c:v>
                </c:pt>
                <c:pt idx="332">
                  <c:v>3.3926156038965871E-4</c:v>
                </c:pt>
                <c:pt idx="333">
                  <c:v>3.4565114774003439E-4</c:v>
                </c:pt>
                <c:pt idx="334">
                  <c:v>3.5191588171731153E-4</c:v>
                </c:pt>
                <c:pt idx="335">
                  <c:v>3.5924510972864046E-4</c:v>
                </c:pt>
                <c:pt idx="336">
                  <c:v>3.6788590828977161E-4</c:v>
                </c:pt>
                <c:pt idx="337">
                  <c:v>3.7684636225727985E-4</c:v>
                </c:pt>
                <c:pt idx="338">
                  <c:v>3.8685839880927761E-4</c:v>
                </c:pt>
                <c:pt idx="339">
                  <c:v>3.9729627118352887E-4</c:v>
                </c:pt>
                <c:pt idx="340">
                  <c:v>4.0861681004877165E-4</c:v>
                </c:pt>
                <c:pt idx="341">
                  <c:v>4.2035299878982399E-4</c:v>
                </c:pt>
                <c:pt idx="342">
                  <c:v>4.3381095227014096E-4</c:v>
                </c:pt>
                <c:pt idx="343">
                  <c:v>4.4650629501280861E-4</c:v>
                </c:pt>
                <c:pt idx="344">
                  <c:v>4.6152365734932616E-4</c:v>
                </c:pt>
                <c:pt idx="345">
                  <c:v>4.761014981058409E-4</c:v>
                </c:pt>
                <c:pt idx="346">
                  <c:v>4.9181527546770382E-4</c:v>
                </c:pt>
                <c:pt idx="347">
                  <c:v>5.0720329551016269E-4</c:v>
                </c:pt>
                <c:pt idx="348">
                  <c:v>5.2395259974865119E-4</c:v>
                </c:pt>
                <c:pt idx="349">
                  <c:v>4.4517997234159654E-4</c:v>
                </c:pt>
                <c:pt idx="350">
                  <c:v>2.6758785261507198E-4</c:v>
                </c:pt>
                <c:pt idx="351">
                  <c:v>7.2434251855678367E-5</c:v>
                </c:pt>
                <c:pt idx="352">
                  <c:v>-6.8152699659804195E-7</c:v>
                </c:pt>
                <c:pt idx="353">
                  <c:v>1.8165664515231578E-5</c:v>
                </c:pt>
                <c:pt idx="354">
                  <c:v>3.4670502547129445E-5</c:v>
                </c:pt>
                <c:pt idx="355">
                  <c:v>5.2382827845573465E-5</c:v>
                </c:pt>
                <c:pt idx="356">
                  <c:v>6.7862108362737317E-5</c:v>
                </c:pt>
                <c:pt idx="357">
                  <c:v>8.5877329057720136E-5</c:v>
                </c:pt>
                <c:pt idx="358">
                  <c:v>9.9268620960716453E-5</c:v>
                </c:pt>
                <c:pt idx="359">
                  <c:v>1.1782697619625374E-4</c:v>
                </c:pt>
                <c:pt idx="360">
                  <c:v>1.3093548058306856E-4</c:v>
                </c:pt>
                <c:pt idx="361">
                  <c:v>1.4625768122437585E-4</c:v>
                </c:pt>
                <c:pt idx="362">
                  <c:v>1.6171665272293051E-4</c:v>
                </c:pt>
                <c:pt idx="363">
                  <c:v>1.7610481979932549E-4</c:v>
                </c:pt>
                <c:pt idx="364">
                  <c:v>1.9109017717569565E-4</c:v>
                </c:pt>
                <c:pt idx="365">
                  <c:v>2.0502706611165433E-4</c:v>
                </c:pt>
                <c:pt idx="366">
                  <c:v>2.1882884240301964E-4</c:v>
                </c:pt>
                <c:pt idx="367">
                  <c:v>2.3185513592771656E-4</c:v>
                </c:pt>
                <c:pt idx="368">
                  <c:v>2.4539650581907949E-4</c:v>
                </c:pt>
                <c:pt idx="369">
                  <c:v>2.5696590965769428E-4</c:v>
                </c:pt>
                <c:pt idx="370">
                  <c:v>2.6900090665564827E-4</c:v>
                </c:pt>
                <c:pt idx="371">
                  <c:v>2.8149063798584006E-4</c:v>
                </c:pt>
                <c:pt idx="372">
                  <c:v>2.9304157543150883E-4</c:v>
                </c:pt>
                <c:pt idx="373">
                  <c:v>3.0460759008621788E-4</c:v>
                </c:pt>
                <c:pt idx="374">
                  <c:v>3.1546580304367758E-4</c:v>
                </c:pt>
                <c:pt idx="375">
                  <c:v>3.2613256191023343E-4</c:v>
                </c:pt>
                <c:pt idx="376">
                  <c:v>3.3615961995764679E-4</c:v>
                </c:pt>
                <c:pt idx="377">
                  <c:v>3.4661806787316882E-4</c:v>
                </c:pt>
                <c:pt idx="378">
                  <c:v>3.5545140792425656E-4</c:v>
                </c:pt>
                <c:pt idx="379">
                  <c:v>3.6551154847058384E-4</c:v>
                </c:pt>
                <c:pt idx="380">
                  <c:v>3.7381325541053015E-4</c:v>
                </c:pt>
                <c:pt idx="381">
                  <c:v>3.8192882175315523E-4</c:v>
                </c:pt>
                <c:pt idx="382">
                  <c:v>3.9042338172796953E-4</c:v>
                </c:pt>
                <c:pt idx="383">
                  <c:v>3.9809594084445551E-4</c:v>
                </c:pt>
                <c:pt idx="384">
                  <c:v>4.0576863071312141E-4</c:v>
                </c:pt>
                <c:pt idx="385">
                  <c:v>4.1263188180579169E-4</c:v>
                </c:pt>
                <c:pt idx="386">
                  <c:v>4.1981271776034279E-4</c:v>
                </c:pt>
                <c:pt idx="387">
                  <c:v>4.2608238396864631E-4</c:v>
                </c:pt>
                <c:pt idx="388">
                  <c:v>4.3244888012637303E-4</c:v>
                </c:pt>
                <c:pt idx="389">
                  <c:v>4.3814982802187208E-4</c:v>
                </c:pt>
                <c:pt idx="390">
                  <c:v>4.4356878653282333E-4</c:v>
                </c:pt>
                <c:pt idx="391">
                  <c:v>4.4858211995507311E-4</c:v>
                </c:pt>
                <c:pt idx="392">
                  <c:v>4.5339962003392714E-4</c:v>
                </c:pt>
                <c:pt idx="393">
                  <c:v>4.5754459975832357E-4</c:v>
                </c:pt>
                <c:pt idx="394">
                  <c:v>4.6145341191611983E-4</c:v>
                </c:pt>
                <c:pt idx="395">
                  <c:v>4.6519655639099683E-4</c:v>
                </c:pt>
                <c:pt idx="396">
                  <c:v>4.6851117368641379E-4</c:v>
                </c:pt>
                <c:pt idx="397">
                  <c:v>4.7157513263991827E-4</c:v>
                </c:pt>
                <c:pt idx="398">
                  <c:v>4.7419693502381496E-4</c:v>
                </c:pt>
                <c:pt idx="399">
                  <c:v>4.7648501597165674E-4</c:v>
                </c:pt>
                <c:pt idx="400">
                  <c:v>4.7841780919312057E-4</c:v>
                </c:pt>
                <c:pt idx="401">
                  <c:v>4.7990860837924046E-4</c:v>
                </c:pt>
                <c:pt idx="402">
                  <c:v>4.8122080188228722E-4</c:v>
                </c:pt>
                <c:pt idx="403">
                  <c:v>4.8222423721759958E-4</c:v>
                </c:pt>
                <c:pt idx="404">
                  <c:v>4.827686216260646E-4</c:v>
                </c:pt>
                <c:pt idx="405">
                  <c:v>4.8297573971212149E-4</c:v>
                </c:pt>
                <c:pt idx="406">
                  <c:v>4.8288947652953829E-4</c:v>
                </c:pt>
                <c:pt idx="407">
                  <c:v>4.8243207782193084E-4</c:v>
                </c:pt>
                <c:pt idx="408">
                  <c:v>4.8160233905467434E-4</c:v>
                </c:pt>
                <c:pt idx="409">
                  <c:v>4.8045211911538002E-4</c:v>
                </c:pt>
                <c:pt idx="410">
                  <c:v>4.7890718538615151E-4</c:v>
                </c:pt>
                <c:pt idx="411">
                  <c:v>4.77128944733618E-4</c:v>
                </c:pt>
                <c:pt idx="412">
                  <c:v>4.7480409400516357E-4</c:v>
                </c:pt>
                <c:pt idx="413">
                  <c:v>4.7238899588553096E-4</c:v>
                </c:pt>
                <c:pt idx="414">
                  <c:v>4.6929299372729799E-4</c:v>
                </c:pt>
                <c:pt idx="415">
                  <c:v>4.6614982220676351E-4</c:v>
                </c:pt>
                <c:pt idx="416">
                  <c:v>4.6285508182980148E-4</c:v>
                </c:pt>
                <c:pt idx="417">
                  <c:v>4.5875561992105018E-4</c:v>
                </c:pt>
                <c:pt idx="418">
                  <c:v>4.5461742809934508E-4</c:v>
                </c:pt>
                <c:pt idx="419">
                  <c:v>4.4989401800585652E-4</c:v>
                </c:pt>
                <c:pt idx="420">
                  <c:v>4.4513591422618362E-4</c:v>
                </c:pt>
                <c:pt idx="421">
                  <c:v>4.3953325079038388E-4</c:v>
                </c:pt>
                <c:pt idx="422">
                  <c:v>4.3398736550305864E-4</c:v>
                </c:pt>
                <c:pt idx="423">
                  <c:v>4.2776453772804326E-4</c:v>
                </c:pt>
                <c:pt idx="424">
                  <c:v>4.2145673761364091E-4</c:v>
                </c:pt>
                <c:pt idx="425">
                  <c:v>4.1467506785364261E-4</c:v>
                </c:pt>
                <c:pt idx="426">
                  <c:v>4.0777339494812992E-4</c:v>
                </c:pt>
                <c:pt idx="427">
                  <c:v>4.0010258575614091E-4</c:v>
                </c:pt>
                <c:pt idx="428">
                  <c:v>3.9306937645103984E-4</c:v>
                </c:pt>
                <c:pt idx="429">
                  <c:v>3.8517876405068374E-4</c:v>
                </c:pt>
                <c:pt idx="430">
                  <c:v>3.7645117824394378E-4</c:v>
                </c:pt>
                <c:pt idx="431">
                  <c:v>3.6775714342752661E-4</c:v>
                </c:pt>
                <c:pt idx="432">
                  <c:v>3.5842510189321511E-4</c:v>
                </c:pt>
                <c:pt idx="433">
                  <c:v>3.4903830864878652E-4</c:v>
                </c:pt>
                <c:pt idx="434">
                  <c:v>3.3884948482035271E-4</c:v>
                </c:pt>
                <c:pt idx="435">
                  <c:v>3.2924209225221324E-4</c:v>
                </c:pt>
                <c:pt idx="436">
                  <c:v>3.1814939365688508E-4</c:v>
                </c:pt>
                <c:pt idx="437">
                  <c:v>3.0788990879903125E-4</c:v>
                </c:pt>
                <c:pt idx="438">
                  <c:v>2.9606637277625886E-4</c:v>
                </c:pt>
                <c:pt idx="439">
                  <c:v>2.8579152342858224E-4</c:v>
                </c:pt>
                <c:pt idx="440">
                  <c:v>2.7357949312121696E-4</c:v>
                </c:pt>
                <c:pt idx="441">
                  <c:v>2.6146100963682362E-4</c:v>
                </c:pt>
                <c:pt idx="442">
                  <c:v>2.492180048330149E-4</c:v>
                </c:pt>
                <c:pt idx="443">
                  <c:v>2.3558534418309865E-4</c:v>
                </c:pt>
                <c:pt idx="444">
                  <c:v>2.2242706222168687E-4</c:v>
                </c:pt>
                <c:pt idx="445">
                  <c:v>2.0869727094957949E-4</c:v>
                </c:pt>
                <c:pt idx="446">
                  <c:v>1.9508796807401335E-4</c:v>
                </c:pt>
                <c:pt idx="447">
                  <c:v>1.799805683297788E-4</c:v>
                </c:pt>
                <c:pt idx="448">
                  <c:v>1.6637043742662172E-4</c:v>
                </c:pt>
                <c:pt idx="449">
                  <c:v>1.5006666417342537E-4</c:v>
                </c:pt>
                <c:pt idx="450">
                  <c:v>1.3555849990386226E-4</c:v>
                </c:pt>
                <c:pt idx="451">
                  <c:v>1.2077564293623208E-4</c:v>
                </c:pt>
                <c:pt idx="452">
                  <c:v>1.0410974725393388E-4</c:v>
                </c:pt>
                <c:pt idx="453">
                  <c:v>8.8135872531508452E-5</c:v>
                </c:pt>
                <c:pt idx="454">
                  <c:v>7.10178854914853E-5</c:v>
                </c:pt>
                <c:pt idx="455">
                  <c:v>5.463996103398025E-5</c:v>
                </c:pt>
                <c:pt idx="456">
                  <c:v>3.6255604723641616E-5</c:v>
                </c:pt>
                <c:pt idx="457">
                  <c:v>1.8922135621893266E-5</c:v>
                </c:pt>
                <c:pt idx="458">
                  <c:v>8.5810914027262264E-8</c:v>
                </c:pt>
                <c:pt idx="459">
                  <c:v>-1.8228703336349572E-5</c:v>
                </c:pt>
                <c:pt idx="460">
                  <c:v>-3.7182702909612647E-5</c:v>
                </c:pt>
                <c:pt idx="461">
                  <c:v>-5.5867855064839489E-5</c:v>
                </c:pt>
                <c:pt idx="462">
                  <c:v>-7.6153852970474445E-5</c:v>
                </c:pt>
                <c:pt idx="463">
                  <c:v>-9.4254451263008077E-5</c:v>
                </c:pt>
                <c:pt idx="464">
                  <c:v>-1.1392676292727721E-4</c:v>
                </c:pt>
                <c:pt idx="465">
                  <c:v>-1.352720390180237E-4</c:v>
                </c:pt>
                <c:pt idx="466">
                  <c:v>-5.6866805665280185E-5</c:v>
                </c:pt>
                <c:pt idx="467">
                  <c:v>3.1786516033652928E-4</c:v>
                </c:pt>
                <c:pt idx="468">
                  <c:v>6.8073502918336928E-4</c:v>
                </c:pt>
                <c:pt idx="469">
                  <c:v>9.1939699814061818E-4</c:v>
                </c:pt>
                <c:pt idx="470">
                  <c:v>8.9894154197249845E-4</c:v>
                </c:pt>
                <c:pt idx="471">
                  <c:v>8.7695600268946142E-4</c:v>
                </c:pt>
                <c:pt idx="472">
                  <c:v>8.5770850431376999E-4</c:v>
                </c:pt>
                <c:pt idx="473">
                  <c:v>8.3585615367780253E-4</c:v>
                </c:pt>
                <c:pt idx="474">
                  <c:v>8.1632871955745687E-4</c:v>
                </c:pt>
                <c:pt idx="475">
                  <c:v>7.9754688472824173E-4</c:v>
                </c:pt>
                <c:pt idx="476">
                  <c:v>7.7747450752912659E-4</c:v>
                </c:pt>
                <c:pt idx="477">
                  <c:v>7.5831997727986503E-4</c:v>
                </c:pt>
                <c:pt idx="478">
                  <c:v>7.3775126105049549E-4</c:v>
                </c:pt>
                <c:pt idx="479">
                  <c:v>7.1923938766499038E-4</c:v>
                </c:pt>
                <c:pt idx="480">
                  <c:v>6.9908197935899738E-4</c:v>
                </c:pt>
                <c:pt idx="481">
                  <c:v>6.8095282903629303E-4</c:v>
                </c:pt>
                <c:pt idx="482">
                  <c:v>6.6119790430894942E-4</c:v>
                </c:pt>
                <c:pt idx="483">
                  <c:v>6.4368895310533761E-4</c:v>
                </c:pt>
                <c:pt idx="484">
                  <c:v>6.2409901322803968E-4</c:v>
                </c:pt>
                <c:pt idx="485">
                  <c:v>6.0663429558083584E-4</c:v>
                </c:pt>
                <c:pt idx="486">
                  <c:v>5.8899852682212095E-4</c:v>
                </c:pt>
                <c:pt idx="487">
                  <c:v>5.7158039125584231E-4</c:v>
                </c:pt>
                <c:pt idx="488">
                  <c:v>5.5448913595092242E-4</c:v>
                </c:pt>
                <c:pt idx="489">
                  <c:v>5.3671822518277373E-4</c:v>
                </c:pt>
                <c:pt idx="490">
                  <c:v>5.202419600531423E-4</c:v>
                </c:pt>
                <c:pt idx="491">
                  <c:v>5.0232368964049992E-4</c:v>
                </c:pt>
                <c:pt idx="492">
                  <c:v>4.8592433336443891E-4</c:v>
                </c:pt>
                <c:pt idx="493">
                  <c:v>4.6871424298691733E-4</c:v>
                </c:pt>
                <c:pt idx="494">
                  <c:v>4.5246445734202154E-4</c:v>
                </c:pt>
                <c:pt idx="495">
                  <c:v>4.3612016372504905E-4</c:v>
                </c:pt>
                <c:pt idx="496">
                  <c:v>4.2048276097617424E-4</c:v>
                </c:pt>
                <c:pt idx="497">
                  <c:v>4.0407650437711967E-4</c:v>
                </c:pt>
                <c:pt idx="498">
                  <c:v>3.8986282072835457E-4</c:v>
                </c:pt>
                <c:pt idx="499">
                  <c:v>3.7477916641400974E-4</c:v>
                </c:pt>
                <c:pt idx="500">
                  <c:v>3.5895741809824355E-4</c:v>
                </c:pt>
                <c:pt idx="501">
                  <c:v>3.4403816958425426E-4</c:v>
                </c:pt>
                <c:pt idx="502">
                  <c:v>3.2883701855501365E-4</c:v>
                </c:pt>
                <c:pt idx="503">
                  <c:v>3.143040347568897E-4</c:v>
                </c:pt>
                <c:pt idx="504">
                  <c:v>2.9971228082996057E-4</c:v>
                </c:pt>
                <c:pt idx="505">
                  <c:v>2.8580825575262939E-4</c:v>
                </c:pt>
                <c:pt idx="506">
                  <c:v>2.7095115710041792E-4</c:v>
                </c:pt>
                <c:pt idx="507">
                  <c:v>2.5803953164427185E-4</c:v>
                </c:pt>
                <c:pt idx="508">
                  <c:v>2.4338719418244559E-4</c:v>
                </c:pt>
                <c:pt idx="509">
                  <c:v>2.304093085080984E-4</c:v>
                </c:pt>
                <c:pt idx="510">
                  <c:v>2.178948133072546E-4</c:v>
                </c:pt>
                <c:pt idx="511">
                  <c:v>2.0466049694264563E-4</c:v>
                </c:pt>
                <c:pt idx="512">
                  <c:v>1.9205979702618947E-4</c:v>
                </c:pt>
                <c:pt idx="513">
                  <c:v>1.786188885365067E-4</c:v>
                </c:pt>
                <c:pt idx="514">
                  <c:v>1.6658676067115782E-4</c:v>
                </c:pt>
                <c:pt idx="515">
                  <c:v>1.5355698584337135E-4</c:v>
                </c:pt>
                <c:pt idx="516">
                  <c:v>1.4151306497492758E-4</c:v>
                </c:pt>
                <c:pt idx="517">
                  <c:v>1.292799633180533E-4</c:v>
                </c:pt>
                <c:pt idx="518">
                  <c:v>1.1762224796326229E-4</c:v>
                </c:pt>
                <c:pt idx="519">
                  <c:v>1.0666662287784137E-4</c:v>
                </c:pt>
                <c:pt idx="520">
                  <c:v>9.486286837212532E-5</c:v>
                </c:pt>
                <c:pt idx="521">
                  <c:v>8.5535627812407394E-5</c:v>
                </c:pt>
                <c:pt idx="522">
                  <c:v>7.3060218536136895E-5</c:v>
                </c:pt>
                <c:pt idx="523">
                  <c:v>6.185218828858724E-5</c:v>
                </c:pt>
                <c:pt idx="524">
                  <c:v>5.166663486695991E-5</c:v>
                </c:pt>
                <c:pt idx="525">
                  <c:v>4.1669310234478119E-5</c:v>
                </c:pt>
                <c:pt idx="526">
                  <c:v>3.0877799395631622E-5</c:v>
                </c:pt>
                <c:pt idx="527">
                  <c:v>2.1092573851921176E-5</c:v>
                </c:pt>
                <c:pt idx="528">
                  <c:v>1.0873770677790467E-5</c:v>
                </c:pt>
                <c:pt idx="529">
                  <c:v>1.3186134062946608E-6</c:v>
                </c:pt>
                <c:pt idx="530">
                  <c:v>-8.1970502842539095E-6</c:v>
                </c:pt>
                <c:pt idx="531">
                  <c:v>-1.7368574909734646E-5</c:v>
                </c:pt>
                <c:pt idx="532">
                  <c:v>-2.6636658334848462E-5</c:v>
                </c:pt>
                <c:pt idx="533">
                  <c:v>-3.5001847039878992E-5</c:v>
                </c:pt>
                <c:pt idx="534">
                  <c:v>-4.3468625914581949E-5</c:v>
                </c:pt>
                <c:pt idx="535">
                  <c:v>-5.2021994404415767E-5</c:v>
                </c:pt>
                <c:pt idx="536">
                  <c:v>-6.0247051760487641E-5</c:v>
                </c:pt>
                <c:pt idx="537">
                  <c:v>-6.8538131414629111E-5</c:v>
                </c:pt>
                <c:pt idx="538">
                  <c:v>-7.6377042086503422E-5</c:v>
                </c:pt>
                <c:pt idx="539">
                  <c:v>-8.4144384219015517E-5</c:v>
                </c:pt>
                <c:pt idx="540">
                  <c:v>-9.1484843688420525E-5</c:v>
                </c:pt>
                <c:pt idx="541">
                  <c:v>-9.9216173064249624E-5</c:v>
                </c:pt>
                <c:pt idx="542">
                  <c:v>-1.058233524355856E-4</c:v>
                </c:pt>
                <c:pt idx="543">
                  <c:v>-1.1326373038149026E-4</c:v>
                </c:pt>
                <c:pt idx="544">
                  <c:v>-1.1972337130582156E-4</c:v>
                </c:pt>
                <c:pt idx="545">
                  <c:v>-1.2592928233929115E-4</c:v>
                </c:pt>
                <c:pt idx="546">
                  <c:v>-1.3234236614194719E-4</c:v>
                </c:pt>
                <c:pt idx="547">
                  <c:v>-1.3837705261643407E-4</c:v>
                </c:pt>
                <c:pt idx="548">
                  <c:v>-1.446925700454571E-4</c:v>
                </c:pt>
                <c:pt idx="549">
                  <c:v>-1.5024711577143676E-4</c:v>
                </c:pt>
                <c:pt idx="550">
                  <c:v>-1.5615159986787433E-4</c:v>
                </c:pt>
                <c:pt idx="551">
                  <c:v>-1.6140948191824961E-4</c:v>
                </c:pt>
                <c:pt idx="552">
                  <c:v>-1.6682593485683322E-4</c:v>
                </c:pt>
                <c:pt idx="553">
                  <c:v>-1.7179032983280842E-4</c:v>
                </c:pt>
                <c:pt idx="554">
                  <c:v>-1.7678220654030602E-4</c:v>
                </c:pt>
                <c:pt idx="555">
                  <c:v>-1.8127587582839055E-4</c:v>
                </c:pt>
                <c:pt idx="556">
                  <c:v>-1.8574213096204592E-4</c:v>
                </c:pt>
                <c:pt idx="557">
                  <c:v>-1.8974798527024786E-4</c:v>
                </c:pt>
                <c:pt idx="558">
                  <c:v>-1.9207702444488939E-4</c:v>
                </c:pt>
                <c:pt idx="559">
                  <c:v>-1.9758686731632599E-4</c:v>
                </c:pt>
                <c:pt idx="560">
                  <c:v>-2.0122132398152012E-4</c:v>
                </c:pt>
                <c:pt idx="561">
                  <c:v>-2.0477374046945149E-4</c:v>
                </c:pt>
                <c:pt idx="562">
                  <c:v>-2.0796068456648345E-4</c:v>
                </c:pt>
                <c:pt idx="563">
                  <c:v>-2.1117594788583674E-4</c:v>
                </c:pt>
                <c:pt idx="564">
                  <c:v>-2.140381947505765E-4</c:v>
                </c:pt>
                <c:pt idx="565">
                  <c:v>-2.1674097208243884E-4</c:v>
                </c:pt>
                <c:pt idx="566">
                  <c:v>-2.1917037787755334E-4</c:v>
                </c:pt>
                <c:pt idx="567">
                  <c:v>-2.215798081334E-4</c:v>
                </c:pt>
                <c:pt idx="568">
                  <c:v>-2.2352246518306598E-4</c:v>
                </c:pt>
                <c:pt idx="569">
                  <c:v>-2.2539994928977639E-4</c:v>
                </c:pt>
                <c:pt idx="570">
                  <c:v>-2.2722196145065487E-4</c:v>
                </c:pt>
                <c:pt idx="571">
                  <c:v>-2.2875430645805453E-4</c:v>
                </c:pt>
                <c:pt idx="572">
                  <c:v>-2.3013680541598622E-4</c:v>
                </c:pt>
                <c:pt idx="573">
                  <c:v>-2.3128305233771282E-4</c:v>
                </c:pt>
                <c:pt idx="574">
                  <c:v>-2.3224126345374949E-4</c:v>
                </c:pt>
                <c:pt idx="575">
                  <c:v>-2.330055928036201E-4</c:v>
                </c:pt>
                <c:pt idx="576">
                  <c:v>-2.3361254293204417E-4</c:v>
                </c:pt>
                <c:pt idx="577">
                  <c:v>-2.3396085328602698E-4</c:v>
                </c:pt>
                <c:pt idx="578">
                  <c:v>-2.3416004763934795E-4</c:v>
                </c:pt>
                <c:pt idx="579">
                  <c:v>-2.3414067665417093E-4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328640"/>
        <c:axId val="363330176"/>
      </c:lineChart>
      <c:dateAx>
        <c:axId val="3633286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3330176"/>
        <c:crosses val="autoZero"/>
        <c:auto val="1"/>
        <c:lblOffset val="100"/>
        <c:baseTimeUnit val="months"/>
      </c:dateAx>
      <c:valAx>
        <c:axId val="36333017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3328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9.7972187737758076E-4</c:v>
                </c:pt>
                <c:pt idx="1">
                  <c:v>6.7146029931250341E-4</c:v>
                </c:pt>
                <c:pt idx="2">
                  <c:v>5.913668738230395E-4</c:v>
                </c:pt>
                <c:pt idx="3">
                  <c:v>7.3343546856285968E-4</c:v>
                </c:pt>
                <c:pt idx="4">
                  <c:v>8.2719779528622696E-4</c:v>
                </c:pt>
                <c:pt idx="5">
                  <c:v>7.5377741341462064E-4</c:v>
                </c:pt>
                <c:pt idx="6">
                  <c:v>6.4293998492909426E-4</c:v>
                </c:pt>
                <c:pt idx="7">
                  <c:v>5.8228720832482442E-4</c:v>
                </c:pt>
                <c:pt idx="8">
                  <c:v>5.8655628290959572E-4</c:v>
                </c:pt>
                <c:pt idx="9">
                  <c:v>6.2259073899731041E-4</c:v>
                </c:pt>
                <c:pt idx="10">
                  <c:v>6.5606880434679934E-4</c:v>
                </c:pt>
                <c:pt idx="11">
                  <c:v>6.9051654780105665E-4</c:v>
                </c:pt>
                <c:pt idx="12">
                  <c:v>7.2630087607809552E-4</c:v>
                </c:pt>
                <c:pt idx="13">
                  <c:v>7.7387483239338666E-4</c:v>
                </c:pt>
                <c:pt idx="14">
                  <c:v>8.2653491744855156E-4</c:v>
                </c:pt>
                <c:pt idx="15">
                  <c:v>8.8434977469372105E-4</c:v>
                </c:pt>
                <c:pt idx="16">
                  <c:v>9.4460658946848364E-4</c:v>
                </c:pt>
                <c:pt idx="17">
                  <c:v>1.0148532761443808E-3</c:v>
                </c:pt>
                <c:pt idx="18">
                  <c:v>1.0917626581177424E-3</c:v>
                </c:pt>
                <c:pt idx="19">
                  <c:v>1.1851904891849205E-3</c:v>
                </c:pt>
                <c:pt idx="20">
                  <c:v>1.2926766475214761E-3</c:v>
                </c:pt>
                <c:pt idx="21">
                  <c:v>1.403982514927016E-3</c:v>
                </c:pt>
                <c:pt idx="22">
                  <c:v>1.5216403725985034E-3</c:v>
                </c:pt>
                <c:pt idx="23">
                  <c:v>1.6397548630363724E-3</c:v>
                </c:pt>
                <c:pt idx="24">
                  <c:v>1.7680002874164303E-3</c:v>
                </c:pt>
                <c:pt idx="25">
                  <c:v>1.8952273562948241E-3</c:v>
                </c:pt>
                <c:pt idx="26">
                  <c:v>2.0431035526480776E-3</c:v>
                </c:pt>
                <c:pt idx="27">
                  <c:v>2.1797823795708382E-3</c:v>
                </c:pt>
                <c:pt idx="28">
                  <c:v>2.3380561210994966E-3</c:v>
                </c:pt>
                <c:pt idx="29">
                  <c:v>2.499217483791517E-3</c:v>
                </c:pt>
                <c:pt idx="30">
                  <c:v>2.6508499520574149E-3</c:v>
                </c:pt>
                <c:pt idx="31">
                  <c:v>2.8316090807337631E-3</c:v>
                </c:pt>
                <c:pt idx="32">
                  <c:v>3.0078952186585188E-3</c:v>
                </c:pt>
                <c:pt idx="33">
                  <c:v>3.1973913986660389E-3</c:v>
                </c:pt>
                <c:pt idx="34">
                  <c:v>3.4001697050470899E-3</c:v>
                </c:pt>
                <c:pt idx="35">
                  <c:v>3.5993490765748163E-3</c:v>
                </c:pt>
                <c:pt idx="36">
                  <c:v>3.8172557431497183E-3</c:v>
                </c:pt>
                <c:pt idx="37">
                  <c:v>4.0300537823950476E-3</c:v>
                </c:pt>
                <c:pt idx="38">
                  <c:v>4.2512184430308188E-3</c:v>
                </c:pt>
                <c:pt idx="39">
                  <c:v>4.4701566213438682E-3</c:v>
                </c:pt>
                <c:pt idx="40">
                  <c:v>4.7087872041226284E-3</c:v>
                </c:pt>
                <c:pt idx="41">
                  <c:v>4.9224779420511114E-3</c:v>
                </c:pt>
                <c:pt idx="42">
                  <c:v>5.1555862682367013E-3</c:v>
                </c:pt>
                <c:pt idx="43">
                  <c:v>5.4093389323480691E-3</c:v>
                </c:pt>
                <c:pt idx="44">
                  <c:v>5.6563106157470075E-3</c:v>
                </c:pt>
                <c:pt idx="45">
                  <c:v>5.9161792629419917E-3</c:v>
                </c:pt>
                <c:pt idx="46">
                  <c:v>6.1715538746931961E-3</c:v>
                </c:pt>
                <c:pt idx="47">
                  <c:v>6.4331595265564329E-3</c:v>
                </c:pt>
                <c:pt idx="48">
                  <c:v>6.6874863591464872E-3</c:v>
                </c:pt>
                <c:pt idx="49">
                  <c:v>6.9633126349478089E-3</c:v>
                </c:pt>
                <c:pt idx="50">
                  <c:v>7.2061695700336159E-3</c:v>
                </c:pt>
                <c:pt idx="51">
                  <c:v>7.4876812201676891E-3</c:v>
                </c:pt>
                <c:pt idx="52">
                  <c:v>7.7401910995798058E-3</c:v>
                </c:pt>
                <c:pt idx="53">
                  <c:v>7.9895399227619922E-3</c:v>
                </c:pt>
                <c:pt idx="54">
                  <c:v>8.2560729284509114E-3</c:v>
                </c:pt>
                <c:pt idx="55">
                  <c:v>8.5149919361743077E-3</c:v>
                </c:pt>
                <c:pt idx="56">
                  <c:v>8.7957488268685258E-3</c:v>
                </c:pt>
                <c:pt idx="57">
                  <c:v>9.0518149546693696E-3</c:v>
                </c:pt>
                <c:pt idx="58">
                  <c:v>9.3350647641654103E-3</c:v>
                </c:pt>
                <c:pt idx="59">
                  <c:v>9.5988329438968997E-3</c:v>
                </c:pt>
                <c:pt idx="60">
                  <c:v>9.8829211956802162E-3</c:v>
                </c:pt>
                <c:pt idx="61">
                  <c:v>1.0156409117439836E-2</c:v>
                </c:pt>
                <c:pt idx="62">
                  <c:v>1.0436790334782666E-2</c:v>
                </c:pt>
                <c:pt idx="63">
                  <c:v>1.0715493904230206E-2</c:v>
                </c:pt>
                <c:pt idx="64">
                  <c:v>1.100590621300266E-2</c:v>
                </c:pt>
                <c:pt idx="65">
                  <c:v>1.1276273684947524E-2</c:v>
                </c:pt>
                <c:pt idx="66">
                  <c:v>1.1557874349031187E-2</c:v>
                </c:pt>
                <c:pt idx="67">
                  <c:v>1.1851761442183719E-2</c:v>
                </c:pt>
                <c:pt idx="68">
                  <c:v>1.2143380336285091E-2</c:v>
                </c:pt>
                <c:pt idx="69">
                  <c:v>1.2446673158724383E-2</c:v>
                </c:pt>
                <c:pt idx="70">
                  <c:v>1.2741842876708504E-2</c:v>
                </c:pt>
                <c:pt idx="71">
                  <c:v>1.3042055337108116E-2</c:v>
                </c:pt>
                <c:pt idx="72">
                  <c:v>1.3333321528814696E-2</c:v>
                </c:pt>
                <c:pt idx="73">
                  <c:v>1.3628195532363507E-2</c:v>
                </c:pt>
                <c:pt idx="74">
                  <c:v>1.3924704775659436E-2</c:v>
                </c:pt>
                <c:pt idx="75">
                  <c:v>1.4244970525892067E-2</c:v>
                </c:pt>
                <c:pt idx="76">
                  <c:v>1.4517597945996368E-2</c:v>
                </c:pt>
                <c:pt idx="77">
                  <c:v>1.480885122479168E-2</c:v>
                </c:pt>
                <c:pt idx="78">
                  <c:v>1.5119947767235282E-2</c:v>
                </c:pt>
                <c:pt idx="79">
                  <c:v>1.5416505694238447E-2</c:v>
                </c:pt>
                <c:pt idx="80">
                  <c:v>1.5722554383268323E-2</c:v>
                </c:pt>
                <c:pt idx="81">
                  <c:v>1.6017398116652259E-2</c:v>
                </c:pt>
                <c:pt idx="82">
                  <c:v>1.6312779102707953E-2</c:v>
                </c:pt>
                <c:pt idx="83">
                  <c:v>1.659375209331421E-2</c:v>
                </c:pt>
                <c:pt idx="84">
                  <c:v>1.6890536223693405E-2</c:v>
                </c:pt>
                <c:pt idx="85">
                  <c:v>1.7144730600816338E-2</c:v>
                </c:pt>
                <c:pt idx="86">
                  <c:v>1.7432667293460862E-2</c:v>
                </c:pt>
                <c:pt idx="87">
                  <c:v>1.7683177796902167E-2</c:v>
                </c:pt>
                <c:pt idx="88">
                  <c:v>1.7925669354264758E-2</c:v>
                </c:pt>
                <c:pt idx="89">
                  <c:v>1.817665209061194E-2</c:v>
                </c:pt>
                <c:pt idx="90">
                  <c:v>1.8414258351110002E-2</c:v>
                </c:pt>
                <c:pt idx="91">
                  <c:v>1.8664014313211318E-2</c:v>
                </c:pt>
                <c:pt idx="92">
                  <c:v>1.8884762684566691E-2</c:v>
                </c:pt>
                <c:pt idx="93">
                  <c:v>1.9120138085215059E-2</c:v>
                </c:pt>
                <c:pt idx="94">
                  <c:v>1.9329729971081403E-2</c:v>
                </c:pt>
                <c:pt idx="95">
                  <c:v>1.9545604503825493E-2</c:v>
                </c:pt>
                <c:pt idx="96">
                  <c:v>1.9742934509527237E-2</c:v>
                </c:pt>
                <c:pt idx="97">
                  <c:v>1.9934809977961147E-2</c:v>
                </c:pt>
                <c:pt idx="98">
                  <c:v>2.0112729454503153E-2</c:v>
                </c:pt>
                <c:pt idx="99">
                  <c:v>2.029486777736798E-2</c:v>
                </c:pt>
                <c:pt idx="100">
                  <c:v>2.0447469469959005E-2</c:v>
                </c:pt>
                <c:pt idx="101">
                  <c:v>2.0602258351547643E-2</c:v>
                </c:pt>
                <c:pt idx="102">
                  <c:v>2.075980134058563E-2</c:v>
                </c:pt>
                <c:pt idx="103">
                  <c:v>2.0901433419421061E-2</c:v>
                </c:pt>
                <c:pt idx="104">
                  <c:v>2.1040209878858154E-2</c:v>
                </c:pt>
                <c:pt idx="105">
                  <c:v>2.1169578146491373E-2</c:v>
                </c:pt>
                <c:pt idx="106">
                  <c:v>2.1302808054640292E-2</c:v>
                </c:pt>
                <c:pt idx="107">
                  <c:v>2.1421020480995277E-2</c:v>
                </c:pt>
                <c:pt idx="108">
                  <c:v>2.1552279877583666E-2</c:v>
                </c:pt>
                <c:pt idx="109">
                  <c:v>2.1667488060056535E-2</c:v>
                </c:pt>
                <c:pt idx="110">
                  <c:v>2.179540324882916E-2</c:v>
                </c:pt>
                <c:pt idx="111">
                  <c:v>2.1916514065396134E-2</c:v>
                </c:pt>
                <c:pt idx="112">
                  <c:v>2.2038459161507401E-2</c:v>
                </c:pt>
                <c:pt idx="113">
                  <c:v>2.2152626502509407E-2</c:v>
                </c:pt>
                <c:pt idx="114">
                  <c:v>2.227009677793898E-2</c:v>
                </c:pt>
                <c:pt idx="115">
                  <c:v>2.2378686759756794E-2</c:v>
                </c:pt>
                <c:pt idx="116">
                  <c:v>2.2496043844716328E-2</c:v>
                </c:pt>
                <c:pt idx="117">
                  <c:v>2.2601383944649913E-2</c:v>
                </c:pt>
                <c:pt idx="118">
                  <c:v>2.2711981075146916E-2</c:v>
                </c:pt>
                <c:pt idx="119">
                  <c:v>2.2813745649563719E-2</c:v>
                </c:pt>
                <c:pt idx="120">
                  <c:v>2.2913371304279447E-2</c:v>
                </c:pt>
                <c:pt idx="121">
                  <c:v>2.300684462456104E-2</c:v>
                </c:pt>
                <c:pt idx="122">
                  <c:v>2.3104714596728648E-2</c:v>
                </c:pt>
                <c:pt idx="123">
                  <c:v>2.3187920716993923E-2</c:v>
                </c:pt>
                <c:pt idx="124">
                  <c:v>2.3272659852183339E-2</c:v>
                </c:pt>
                <c:pt idx="125">
                  <c:v>2.3361256694884099E-2</c:v>
                </c:pt>
                <c:pt idx="126">
                  <c:v>2.3441993851400104E-2</c:v>
                </c:pt>
                <c:pt idx="127">
                  <c:v>2.3522183766044293E-2</c:v>
                </c:pt>
                <c:pt idx="128">
                  <c:v>2.3596814386387052E-2</c:v>
                </c:pt>
                <c:pt idx="129">
                  <c:v>2.3668817876452364E-2</c:v>
                </c:pt>
                <c:pt idx="130">
                  <c:v>2.3737060264089473E-2</c:v>
                </c:pt>
                <c:pt idx="131">
                  <c:v>2.3806805215574059E-2</c:v>
                </c:pt>
                <c:pt idx="132">
                  <c:v>2.3863753231064599E-2</c:v>
                </c:pt>
                <c:pt idx="133">
                  <c:v>2.392879426906119E-2</c:v>
                </c:pt>
                <c:pt idx="134">
                  <c:v>2.3981827563709004E-2</c:v>
                </c:pt>
                <c:pt idx="135">
                  <c:v>2.4035078165773788E-2</c:v>
                </c:pt>
                <c:pt idx="136">
                  <c:v>2.4085675061856392E-2</c:v>
                </c:pt>
                <c:pt idx="137">
                  <c:v>2.4133243741987657E-2</c:v>
                </c:pt>
                <c:pt idx="138">
                  <c:v>2.4180594835106317E-2</c:v>
                </c:pt>
                <c:pt idx="139">
                  <c:v>2.4220899043705585E-2</c:v>
                </c:pt>
                <c:pt idx="140">
                  <c:v>2.4262792760897427E-2</c:v>
                </c:pt>
                <c:pt idx="141">
                  <c:v>2.4298971747344873E-2</c:v>
                </c:pt>
                <c:pt idx="142">
                  <c:v>2.4337681078941627E-2</c:v>
                </c:pt>
                <c:pt idx="143">
                  <c:v>2.4372397711291384E-2</c:v>
                </c:pt>
                <c:pt idx="144">
                  <c:v>2.4406763440605814E-2</c:v>
                </c:pt>
                <c:pt idx="145">
                  <c:v>2.4435991061902307E-2</c:v>
                </c:pt>
                <c:pt idx="146">
                  <c:v>2.4470054400865467E-2</c:v>
                </c:pt>
                <c:pt idx="147">
                  <c:v>2.4497793894887977E-2</c:v>
                </c:pt>
                <c:pt idx="148">
                  <c:v>2.452755368040576E-2</c:v>
                </c:pt>
                <c:pt idx="149">
                  <c:v>2.4553720801367106E-2</c:v>
                </c:pt>
                <c:pt idx="150">
                  <c:v>2.4579261025476629E-2</c:v>
                </c:pt>
                <c:pt idx="151">
                  <c:v>2.4602578061575946E-2</c:v>
                </c:pt>
                <c:pt idx="152">
                  <c:v>2.4624005314993355E-2</c:v>
                </c:pt>
                <c:pt idx="153">
                  <c:v>2.4645004726557167E-2</c:v>
                </c:pt>
                <c:pt idx="154">
                  <c:v>2.4665299024974587E-2</c:v>
                </c:pt>
                <c:pt idx="155">
                  <c:v>2.4681262272766191E-2</c:v>
                </c:pt>
                <c:pt idx="156">
                  <c:v>2.4698545261518861E-2</c:v>
                </c:pt>
                <c:pt idx="157">
                  <c:v>2.4712270240409673E-2</c:v>
                </c:pt>
                <c:pt idx="158">
                  <c:v>2.4729022289805676E-2</c:v>
                </c:pt>
                <c:pt idx="159">
                  <c:v>2.4737970503556053E-2</c:v>
                </c:pt>
                <c:pt idx="160">
                  <c:v>2.4749318134117647E-2</c:v>
                </c:pt>
                <c:pt idx="161">
                  <c:v>2.4759160973350878E-2</c:v>
                </c:pt>
                <c:pt idx="162">
                  <c:v>2.4766729733539904E-2</c:v>
                </c:pt>
                <c:pt idx="163">
                  <c:v>2.4773538157390692E-2</c:v>
                </c:pt>
                <c:pt idx="164">
                  <c:v>2.477757758962407E-2</c:v>
                </c:pt>
                <c:pt idx="165">
                  <c:v>2.4782122321353826E-2</c:v>
                </c:pt>
                <c:pt idx="166">
                  <c:v>2.4784219673883737E-2</c:v>
                </c:pt>
                <c:pt idx="167">
                  <c:v>2.4784073842032163E-2</c:v>
                </c:pt>
                <c:pt idx="168">
                  <c:v>2.4782525945819422E-2</c:v>
                </c:pt>
                <c:pt idx="169">
                  <c:v>2.4781118057328574E-2</c:v>
                </c:pt>
                <c:pt idx="170">
                  <c:v>2.4778717755233496E-2</c:v>
                </c:pt>
                <c:pt idx="171">
                  <c:v>2.4773097287120568E-2</c:v>
                </c:pt>
                <c:pt idx="172">
                  <c:v>2.4767348052855652E-2</c:v>
                </c:pt>
                <c:pt idx="173">
                  <c:v>2.4759629707486731E-2</c:v>
                </c:pt>
                <c:pt idx="174">
                  <c:v>2.4750355768182405E-2</c:v>
                </c:pt>
                <c:pt idx="175">
                  <c:v>2.4740482195716694E-2</c:v>
                </c:pt>
                <c:pt idx="176">
                  <c:v>2.4729100756019171E-2</c:v>
                </c:pt>
                <c:pt idx="177">
                  <c:v>2.4719471323635393E-2</c:v>
                </c:pt>
                <c:pt idx="178">
                  <c:v>2.4707848189053628E-2</c:v>
                </c:pt>
                <c:pt idx="179">
                  <c:v>2.4695334033819627E-2</c:v>
                </c:pt>
                <c:pt idx="180">
                  <c:v>2.4684167354103E-2</c:v>
                </c:pt>
                <c:pt idx="181">
                  <c:v>2.4673089993126944E-2</c:v>
                </c:pt>
                <c:pt idx="182">
                  <c:v>2.4662264391725548E-2</c:v>
                </c:pt>
                <c:pt idx="183">
                  <c:v>2.4648986554970206E-2</c:v>
                </c:pt>
                <c:pt idx="184">
                  <c:v>2.4637522266827961E-2</c:v>
                </c:pt>
                <c:pt idx="185">
                  <c:v>2.4623919822889785E-2</c:v>
                </c:pt>
                <c:pt idx="186">
                  <c:v>2.4610867589715514E-2</c:v>
                </c:pt>
                <c:pt idx="187">
                  <c:v>2.4596496331317757E-2</c:v>
                </c:pt>
                <c:pt idx="188">
                  <c:v>2.4583966299175124E-2</c:v>
                </c:pt>
                <c:pt idx="189">
                  <c:v>2.4569214639479607E-2</c:v>
                </c:pt>
                <c:pt idx="190">
                  <c:v>2.4554335362792834E-2</c:v>
                </c:pt>
                <c:pt idx="191">
                  <c:v>2.4539618507211799E-2</c:v>
                </c:pt>
                <c:pt idx="192">
                  <c:v>2.4523766329090087E-2</c:v>
                </c:pt>
                <c:pt idx="193">
                  <c:v>2.4512065061255046E-2</c:v>
                </c:pt>
                <c:pt idx="194">
                  <c:v>2.4495811475965332E-2</c:v>
                </c:pt>
                <c:pt idx="195">
                  <c:v>2.448144542257483E-2</c:v>
                </c:pt>
                <c:pt idx="196">
                  <c:v>2.4464714675746006E-2</c:v>
                </c:pt>
                <c:pt idx="197">
                  <c:v>2.4449243748132222E-2</c:v>
                </c:pt>
                <c:pt idx="198">
                  <c:v>2.4431938457826256E-2</c:v>
                </c:pt>
                <c:pt idx="199">
                  <c:v>2.441485245454271E-2</c:v>
                </c:pt>
                <c:pt idx="200">
                  <c:v>2.439806540516087E-2</c:v>
                </c:pt>
                <c:pt idx="201">
                  <c:v>2.4380995078641596E-2</c:v>
                </c:pt>
                <c:pt idx="202">
                  <c:v>2.4362556825576118E-2</c:v>
                </c:pt>
                <c:pt idx="203">
                  <c:v>2.4344952281820167E-2</c:v>
                </c:pt>
                <c:pt idx="204">
                  <c:v>2.4326501324534178E-2</c:v>
                </c:pt>
                <c:pt idx="205">
                  <c:v>2.4310058183511486E-2</c:v>
                </c:pt>
                <c:pt idx="206">
                  <c:v>2.4291143165222972E-2</c:v>
                </c:pt>
                <c:pt idx="207">
                  <c:v>2.4272996432947329E-2</c:v>
                </c:pt>
                <c:pt idx="208">
                  <c:v>2.4254067244899872E-2</c:v>
                </c:pt>
                <c:pt idx="209">
                  <c:v>2.4234248914463134E-2</c:v>
                </c:pt>
                <c:pt idx="210">
                  <c:v>2.4214780091281706E-2</c:v>
                </c:pt>
                <c:pt idx="211">
                  <c:v>2.4193916029174391E-2</c:v>
                </c:pt>
                <c:pt idx="212">
                  <c:v>2.4175045862499692E-2</c:v>
                </c:pt>
                <c:pt idx="213">
                  <c:v>2.4153463902257279E-2</c:v>
                </c:pt>
                <c:pt idx="214">
                  <c:v>2.4132639180303173E-2</c:v>
                </c:pt>
                <c:pt idx="215">
                  <c:v>2.4110960733845149E-2</c:v>
                </c:pt>
                <c:pt idx="216">
                  <c:v>2.4088958381929159E-2</c:v>
                </c:pt>
                <c:pt idx="217">
                  <c:v>2.407106374991588E-2</c:v>
                </c:pt>
                <c:pt idx="218">
                  <c:v>2.4048320850006105E-2</c:v>
                </c:pt>
                <c:pt idx="219">
                  <c:v>2.4027612377009192E-2</c:v>
                </c:pt>
                <c:pt idx="220">
                  <c:v>2.4004051985300298E-2</c:v>
                </c:pt>
                <c:pt idx="221">
                  <c:v>2.3982372381246588E-2</c:v>
                </c:pt>
                <c:pt idx="222">
                  <c:v>2.3958237649099882E-2</c:v>
                </c:pt>
                <c:pt idx="223">
                  <c:v>2.3934871817078564E-2</c:v>
                </c:pt>
                <c:pt idx="224">
                  <c:v>2.3911326874071905E-2</c:v>
                </c:pt>
                <c:pt idx="225">
                  <c:v>2.3887786712393222E-2</c:v>
                </c:pt>
                <c:pt idx="226">
                  <c:v>2.3865228163040996E-2</c:v>
                </c:pt>
                <c:pt idx="227">
                  <c:v>2.3840044255653812E-2</c:v>
                </c:pt>
                <c:pt idx="228">
                  <c:v>2.3818939926663934E-2</c:v>
                </c:pt>
                <c:pt idx="229">
                  <c:v>2.3796810631254765E-2</c:v>
                </c:pt>
                <c:pt idx="230">
                  <c:v>2.3772817101689301E-2</c:v>
                </c:pt>
                <c:pt idx="231">
                  <c:v>2.3747039409363072E-2</c:v>
                </c:pt>
                <c:pt idx="232">
                  <c:v>2.3721758871699809E-2</c:v>
                </c:pt>
                <c:pt idx="233">
                  <c:v>2.3695447030441845E-2</c:v>
                </c:pt>
                <c:pt idx="234">
                  <c:v>2.3669485229882024E-2</c:v>
                </c:pt>
                <c:pt idx="235">
                  <c:v>2.3643413362796798E-2</c:v>
                </c:pt>
                <c:pt idx="236">
                  <c:v>2.3617831926847247E-2</c:v>
                </c:pt>
                <c:pt idx="237">
                  <c:v>2.3591094992235859E-2</c:v>
                </c:pt>
                <c:pt idx="238">
                  <c:v>2.3565213313510469E-2</c:v>
                </c:pt>
                <c:pt idx="239">
                  <c:v>2.3539254902503737E-2</c:v>
                </c:pt>
                <c:pt idx="240">
                  <c:v>2.3516608321627705E-2</c:v>
                </c:pt>
                <c:pt idx="241">
                  <c:v>2.3490811463709273E-2</c:v>
                </c:pt>
                <c:pt idx="242">
                  <c:v>2.3464933393567654E-2</c:v>
                </c:pt>
                <c:pt idx="243">
                  <c:v>2.3439548646684006E-2</c:v>
                </c:pt>
                <c:pt idx="244">
                  <c:v>2.3413374507375889E-2</c:v>
                </c:pt>
                <c:pt idx="245">
                  <c:v>2.3388046858791374E-2</c:v>
                </c:pt>
                <c:pt idx="246">
                  <c:v>2.3361582723102309E-2</c:v>
                </c:pt>
                <c:pt idx="247">
                  <c:v>2.333747584659265E-2</c:v>
                </c:pt>
                <c:pt idx="248">
                  <c:v>2.3310604842441313E-2</c:v>
                </c:pt>
                <c:pt idx="249">
                  <c:v>2.3285858879620071E-2</c:v>
                </c:pt>
                <c:pt idx="250">
                  <c:v>2.3259394054645742E-2</c:v>
                </c:pt>
                <c:pt idx="251">
                  <c:v>2.3233551695795995E-2</c:v>
                </c:pt>
                <c:pt idx="252">
                  <c:v>2.3211413518144833E-2</c:v>
                </c:pt>
                <c:pt idx="253">
                  <c:v>2.3184477767906071E-2</c:v>
                </c:pt>
                <c:pt idx="254">
                  <c:v>2.31605538423275E-2</c:v>
                </c:pt>
                <c:pt idx="255">
                  <c:v>2.3134700565519431E-2</c:v>
                </c:pt>
                <c:pt idx="256">
                  <c:v>2.3110490302167084E-2</c:v>
                </c:pt>
                <c:pt idx="257">
                  <c:v>2.3083889396201301E-2</c:v>
                </c:pt>
                <c:pt idx="258">
                  <c:v>2.3058594737398404E-2</c:v>
                </c:pt>
                <c:pt idx="259">
                  <c:v>2.3033194235187002E-2</c:v>
                </c:pt>
                <c:pt idx="260">
                  <c:v>2.3008291581931854E-2</c:v>
                </c:pt>
                <c:pt idx="261">
                  <c:v>2.2982283631761656E-2</c:v>
                </c:pt>
                <c:pt idx="262">
                  <c:v>2.2957108857019293E-2</c:v>
                </c:pt>
                <c:pt idx="263">
                  <c:v>2.29318227620284E-2</c:v>
                </c:pt>
                <c:pt idx="264">
                  <c:v>2.2909761083291794E-2</c:v>
                </c:pt>
                <c:pt idx="265">
                  <c:v>2.2884670925715167E-2</c:v>
                </c:pt>
                <c:pt idx="266">
                  <c:v>2.2859465472315769E-2</c:v>
                </c:pt>
                <c:pt idx="267">
                  <c:v>2.2834759417428636E-2</c:v>
                </c:pt>
                <c:pt idx="268">
                  <c:v>2.280928584987504E-2</c:v>
                </c:pt>
                <c:pt idx="269">
                  <c:v>2.2784636867087999E-2</c:v>
                </c:pt>
                <c:pt idx="270">
                  <c:v>2.2758900824937246E-2</c:v>
                </c:pt>
                <c:pt idx="271">
                  <c:v>2.273542314788727E-2</c:v>
                </c:pt>
                <c:pt idx="272">
                  <c:v>2.2707997844745309E-2</c:v>
                </c:pt>
                <c:pt idx="273">
                  <c:v>2.268489449098432E-2</c:v>
                </c:pt>
                <c:pt idx="274">
                  <c:v>2.2659125918191834E-2</c:v>
                </c:pt>
                <c:pt idx="275">
                  <c:v>2.2637332680301415E-2</c:v>
                </c:pt>
                <c:pt idx="276">
                  <c:v>2.2612565368587866E-2</c:v>
                </c:pt>
                <c:pt idx="277">
                  <c:v>2.2587668509128443E-2</c:v>
                </c:pt>
                <c:pt idx="278">
                  <c:v>2.2563273153923816E-2</c:v>
                </c:pt>
                <c:pt idx="279">
                  <c:v>2.2538120302549917E-2</c:v>
                </c:pt>
                <c:pt idx="280">
                  <c:v>2.2513782007685224E-2</c:v>
                </c:pt>
                <c:pt idx="281">
                  <c:v>2.2488378611303185E-2</c:v>
                </c:pt>
                <c:pt idx="282">
                  <c:v>2.2465189647009127E-2</c:v>
                </c:pt>
                <c:pt idx="283">
                  <c:v>2.2439371765731912E-2</c:v>
                </c:pt>
                <c:pt idx="284">
                  <c:v>2.2415316005219843E-2</c:v>
                </c:pt>
                <c:pt idx="285">
                  <c:v>2.2390171426795037E-2</c:v>
                </c:pt>
                <c:pt idx="286">
                  <c:v>2.2365091919526466E-2</c:v>
                </c:pt>
                <c:pt idx="287">
                  <c:v>2.2344200057299556E-2</c:v>
                </c:pt>
                <c:pt idx="288">
                  <c:v>2.2318229531644047E-2</c:v>
                </c:pt>
                <c:pt idx="289">
                  <c:v>2.2295224247116531E-2</c:v>
                </c:pt>
                <c:pt idx="290">
                  <c:v>2.2270392047570333E-2</c:v>
                </c:pt>
                <c:pt idx="291">
                  <c:v>2.2247178284740085E-2</c:v>
                </c:pt>
                <c:pt idx="292">
                  <c:v>2.2221936535065295E-2</c:v>
                </c:pt>
                <c:pt idx="293">
                  <c:v>2.2198430066502132E-2</c:v>
                </c:pt>
                <c:pt idx="294">
                  <c:v>2.2175548982681662E-2</c:v>
                </c:pt>
                <c:pt idx="295">
                  <c:v>2.2153811561667167E-2</c:v>
                </c:pt>
                <c:pt idx="296">
                  <c:v>2.2131783528215748E-2</c:v>
                </c:pt>
                <c:pt idx="297">
                  <c:v>2.2111513308995693E-2</c:v>
                </c:pt>
                <c:pt idx="298">
                  <c:v>2.2091351823074049E-2</c:v>
                </c:pt>
                <c:pt idx="299">
                  <c:v>2.2074132981997341E-2</c:v>
                </c:pt>
                <c:pt idx="300">
                  <c:v>2.2055637099127442E-2</c:v>
                </c:pt>
                <c:pt idx="301">
                  <c:v>2.2038656201638702E-2</c:v>
                </c:pt>
                <c:pt idx="302">
                  <c:v>2.2022008403359647E-2</c:v>
                </c:pt>
                <c:pt idx="303">
                  <c:v>2.2005586186118791E-2</c:v>
                </c:pt>
                <c:pt idx="304">
                  <c:v>2.1990415929437505E-2</c:v>
                </c:pt>
                <c:pt idx="305">
                  <c:v>2.1975070463608807E-2</c:v>
                </c:pt>
                <c:pt idx="306">
                  <c:v>2.1962256502029386E-2</c:v>
                </c:pt>
                <c:pt idx="307">
                  <c:v>2.1948454268660121E-2</c:v>
                </c:pt>
                <c:pt idx="308">
                  <c:v>2.1935276051776142E-2</c:v>
                </c:pt>
                <c:pt idx="309">
                  <c:v>2.1923899252699781E-2</c:v>
                </c:pt>
                <c:pt idx="310">
                  <c:v>2.1913654409224274E-2</c:v>
                </c:pt>
                <c:pt idx="311">
                  <c:v>2.1904580589544299E-2</c:v>
                </c:pt>
                <c:pt idx="312">
                  <c:v>2.18944111231862E-2</c:v>
                </c:pt>
                <c:pt idx="313">
                  <c:v>2.1886599152707395E-2</c:v>
                </c:pt>
                <c:pt idx="314">
                  <c:v>2.18782141670694E-2</c:v>
                </c:pt>
                <c:pt idx="315">
                  <c:v>2.1871087782224557E-2</c:v>
                </c:pt>
                <c:pt idx="316">
                  <c:v>2.1863922609582323E-2</c:v>
                </c:pt>
                <c:pt idx="317">
                  <c:v>2.1859015904538381E-2</c:v>
                </c:pt>
                <c:pt idx="318">
                  <c:v>2.1853776303646089E-2</c:v>
                </c:pt>
                <c:pt idx="319">
                  <c:v>2.1848516749058078E-2</c:v>
                </c:pt>
                <c:pt idx="320">
                  <c:v>2.1846060954152889E-2</c:v>
                </c:pt>
                <c:pt idx="321">
                  <c:v>2.1841478921714889E-2</c:v>
                </c:pt>
                <c:pt idx="322">
                  <c:v>2.1841557943023695E-2</c:v>
                </c:pt>
                <c:pt idx="323">
                  <c:v>2.1839535201060693E-2</c:v>
                </c:pt>
                <c:pt idx="324">
                  <c:v>2.1839656682048951E-2</c:v>
                </c:pt>
                <c:pt idx="325">
                  <c:v>2.18398407652724E-2</c:v>
                </c:pt>
                <c:pt idx="326">
                  <c:v>2.1840716841220707E-2</c:v>
                </c:pt>
                <c:pt idx="327">
                  <c:v>2.1842466854457638E-2</c:v>
                </c:pt>
                <c:pt idx="328">
                  <c:v>2.1844149522456002E-2</c:v>
                </c:pt>
                <c:pt idx="329">
                  <c:v>2.1848095297723011E-2</c:v>
                </c:pt>
                <c:pt idx="330">
                  <c:v>2.1851967001961962E-2</c:v>
                </c:pt>
                <c:pt idx="331">
                  <c:v>2.1855977777242179E-2</c:v>
                </c:pt>
                <c:pt idx="332">
                  <c:v>2.1860554706861102E-2</c:v>
                </c:pt>
                <c:pt idx="333">
                  <c:v>2.1867586442569652E-2</c:v>
                </c:pt>
                <c:pt idx="334">
                  <c:v>2.1874493350439814E-2</c:v>
                </c:pt>
                <c:pt idx="335">
                  <c:v>2.1881180404557381E-2</c:v>
                </c:pt>
                <c:pt idx="336">
                  <c:v>2.1890463377012281E-2</c:v>
                </c:pt>
                <c:pt idx="337">
                  <c:v>2.1899423830978919E-2</c:v>
                </c:pt>
                <c:pt idx="338">
                  <c:v>2.1909435867531784E-2</c:v>
                </c:pt>
                <c:pt idx="339">
                  <c:v>2.1919873739906035E-2</c:v>
                </c:pt>
                <c:pt idx="340">
                  <c:v>2.1930552104877512E-2</c:v>
                </c:pt>
                <c:pt idx="341">
                  <c:v>2.1942930467511459E-2</c:v>
                </c:pt>
                <c:pt idx="342">
                  <c:v>2.1956388420991776E-2</c:v>
                </c:pt>
                <c:pt idx="343">
                  <c:v>2.1968441589841545E-2</c:v>
                </c:pt>
                <c:pt idx="344">
                  <c:v>2.1983458952177189E-2</c:v>
                </c:pt>
                <c:pt idx="345">
                  <c:v>2.1997394644576396E-2</c:v>
                </c:pt>
                <c:pt idx="346">
                  <c:v>2.2015677168589244E-2</c:v>
                </c:pt>
                <c:pt idx="347">
                  <c:v>2.2029138590338903E-2</c:v>
                </c:pt>
                <c:pt idx="348">
                  <c:v>2.2046530068470287E-2</c:v>
                </c:pt>
                <c:pt idx="349">
                  <c:v>2.2065398822355722E-2</c:v>
                </c:pt>
                <c:pt idx="350">
                  <c:v>2.2083096734564503E-2</c:v>
                </c:pt>
                <c:pt idx="351">
                  <c:v>2.2102773364221437E-2</c:v>
                </c:pt>
                <c:pt idx="352">
                  <c:v>2.2120122850930457E-2</c:v>
                </c:pt>
                <c:pt idx="353">
                  <c:v>2.2139648418074458E-2</c:v>
                </c:pt>
                <c:pt idx="354">
                  <c:v>2.2154796532566579E-2</c:v>
                </c:pt>
                <c:pt idx="355">
                  <c:v>2.2172508857864134E-2</c:v>
                </c:pt>
                <c:pt idx="356">
                  <c:v>2.2186631525734333E-2</c:v>
                </c:pt>
                <c:pt idx="357">
                  <c:v>2.2206003359076281E-2</c:v>
                </c:pt>
                <c:pt idx="358">
                  <c:v>2.222075137451994E-2</c:v>
                </c:pt>
                <c:pt idx="359">
                  <c:v>2.2238631354123309E-2</c:v>
                </c:pt>
                <c:pt idx="360">
                  <c:v>2.2252418234142292E-2</c:v>
                </c:pt>
                <c:pt idx="361">
                  <c:v>2.2267740434783603E-2</c:v>
                </c:pt>
                <c:pt idx="362">
                  <c:v>2.228319940628129E-2</c:v>
                </c:pt>
                <c:pt idx="363">
                  <c:v>2.2296909197726377E-2</c:v>
                </c:pt>
                <c:pt idx="364">
                  <c:v>2.2312572930734919E-2</c:v>
                </c:pt>
                <c:pt idx="365">
                  <c:v>2.2326509819671748E-2</c:v>
                </c:pt>
                <c:pt idx="366">
                  <c:v>2.2339633220330956E-2</c:v>
                </c:pt>
                <c:pt idx="367">
                  <c:v>2.2351981165946277E-2</c:v>
                </c:pt>
                <c:pt idx="368">
                  <c:v>2.2366200883746135E-2</c:v>
                </c:pt>
                <c:pt idx="369">
                  <c:v>2.237844866321605E-2</c:v>
                </c:pt>
                <c:pt idx="370">
                  <c:v>2.2389805284581822E-2</c:v>
                </c:pt>
                <c:pt idx="371">
                  <c:v>2.2402973391545063E-2</c:v>
                </c:pt>
                <c:pt idx="372">
                  <c:v>2.2414524328990732E-2</c:v>
                </c:pt>
                <c:pt idx="373">
                  <c:v>2.2426090343645445E-2</c:v>
                </c:pt>
                <c:pt idx="374">
                  <c:v>2.2436948556602904E-2</c:v>
                </c:pt>
                <c:pt idx="375">
                  <c:v>2.2446936939838166E-2</c:v>
                </c:pt>
                <c:pt idx="376">
                  <c:v>2.2457642373517741E-2</c:v>
                </c:pt>
                <c:pt idx="377">
                  <c:v>2.2468100821432392E-2</c:v>
                </c:pt>
                <c:pt idx="378">
                  <c:v>2.2475577437942817E-2</c:v>
                </c:pt>
                <c:pt idx="379">
                  <c:v>2.2486994302029811E-2</c:v>
                </c:pt>
                <c:pt idx="380">
                  <c:v>2.2493260965244701E-2</c:v>
                </c:pt>
                <c:pt idx="381">
                  <c:v>2.2503411575312382E-2</c:v>
                </c:pt>
                <c:pt idx="382">
                  <c:v>2.2511227759655902E-2</c:v>
                </c:pt>
                <c:pt idx="383">
                  <c:v>2.2519578694403679E-2</c:v>
                </c:pt>
                <c:pt idx="384">
                  <c:v>2.2527251384272348E-2</c:v>
                </c:pt>
                <c:pt idx="385">
                  <c:v>2.2534114635365015E-2</c:v>
                </c:pt>
                <c:pt idx="386">
                  <c:v>2.2541295471319566E-2</c:v>
                </c:pt>
                <c:pt idx="387">
                  <c:v>2.2546886761895701E-2</c:v>
                </c:pt>
                <c:pt idx="388">
                  <c:v>2.2553931633685596E-2</c:v>
                </c:pt>
                <c:pt idx="389">
                  <c:v>2.2559632581580228E-2</c:v>
                </c:pt>
                <c:pt idx="390">
                  <c:v>2.2564373164459878E-2</c:v>
                </c:pt>
                <c:pt idx="391">
                  <c:v>2.2569386497882125E-2</c:v>
                </c:pt>
                <c:pt idx="392">
                  <c:v>2.257420399796186E-2</c:v>
                </c:pt>
                <c:pt idx="393">
                  <c:v>2.2579027353317547E-2</c:v>
                </c:pt>
                <c:pt idx="394">
                  <c:v>2.2582257789843175E-2</c:v>
                </c:pt>
                <c:pt idx="395">
                  <c:v>2.2586679309949353E-2</c:v>
                </c:pt>
                <c:pt idx="396">
                  <c:v>2.2589993927245637E-2</c:v>
                </c:pt>
                <c:pt idx="397">
                  <c:v>2.2593057886198278E-2</c:v>
                </c:pt>
                <c:pt idx="398">
                  <c:v>2.2595679688583038E-2</c:v>
                </c:pt>
                <c:pt idx="399">
                  <c:v>2.2597289393897834E-2</c:v>
                </c:pt>
                <c:pt idx="400">
                  <c:v>2.259990056275148E-2</c:v>
                </c:pt>
                <c:pt idx="401">
                  <c:v>2.2598678025750836E-2</c:v>
                </c:pt>
                <c:pt idx="402">
                  <c:v>2.2601346831901736E-2</c:v>
                </c:pt>
                <c:pt idx="403">
                  <c:v>2.2603028615144651E-2</c:v>
                </c:pt>
                <c:pt idx="404">
                  <c:v>2.2604251375185288E-2</c:v>
                </c:pt>
                <c:pt idx="405">
                  <c:v>2.2603780117639173E-2</c:v>
                </c:pt>
                <c:pt idx="406">
                  <c:v>2.2604372230088765E-2</c:v>
                </c:pt>
                <c:pt idx="407">
                  <c:v>2.2603914831381158E-2</c:v>
                </c:pt>
                <c:pt idx="408">
                  <c:v>2.260308509261303E-2</c:v>
                </c:pt>
                <c:pt idx="409">
                  <c:v>2.2601934872673736E-2</c:v>
                </c:pt>
                <c:pt idx="410">
                  <c:v>2.2599711563313203E-2</c:v>
                </c:pt>
                <c:pt idx="411">
                  <c:v>2.2598611698292845E-2</c:v>
                </c:pt>
                <c:pt idx="412">
                  <c:v>2.259628684756439E-2</c:v>
                </c:pt>
                <c:pt idx="413">
                  <c:v>2.2592515025904092E-2</c:v>
                </c:pt>
                <c:pt idx="414">
                  <c:v>2.2590775747286521E-2</c:v>
                </c:pt>
                <c:pt idx="415">
                  <c:v>2.2585597532041833E-2</c:v>
                </c:pt>
                <c:pt idx="416">
                  <c:v>2.2584337835389025E-2</c:v>
                </c:pt>
                <c:pt idx="417">
                  <c:v>2.2579559997848102E-2</c:v>
                </c:pt>
                <c:pt idx="418">
                  <c:v>2.2576100181657701E-2</c:v>
                </c:pt>
                <c:pt idx="419">
                  <c:v>2.2571376771565951E-2</c:v>
                </c:pt>
                <c:pt idx="420">
                  <c:v>2.2566618667785407E-2</c:v>
                </c:pt>
                <c:pt idx="421">
                  <c:v>2.2561016004349611E-2</c:v>
                </c:pt>
                <c:pt idx="422">
                  <c:v>2.2554791743430114E-2</c:v>
                </c:pt>
                <c:pt idx="423">
                  <c:v>2.2549247291288141E-2</c:v>
                </c:pt>
                <c:pt idx="424">
                  <c:v>2.2542939491172864E-2</c:v>
                </c:pt>
                <c:pt idx="425">
                  <c:v>2.2535479445780694E-2</c:v>
                </c:pt>
                <c:pt idx="426">
                  <c:v>2.2527899424967579E-2</c:v>
                </c:pt>
                <c:pt idx="427">
                  <c:v>2.2520906963683193E-2</c:v>
                </c:pt>
                <c:pt idx="428">
                  <c:v>2.2514552130010263E-2</c:v>
                </c:pt>
                <c:pt idx="429">
                  <c:v>2.2505983141977735E-2</c:v>
                </c:pt>
                <c:pt idx="430">
                  <c:v>2.2497933931803171E-2</c:v>
                </c:pt>
                <c:pt idx="431">
                  <c:v>2.248923989698675E-2</c:v>
                </c:pt>
                <c:pt idx="432">
                  <c:v>2.2479907855452442E-2</c:v>
                </c:pt>
                <c:pt idx="433">
                  <c:v>2.247052106220801E-2</c:v>
                </c:pt>
                <c:pt idx="434">
                  <c:v>2.2461010641736737E-2</c:v>
                </c:pt>
                <c:pt idx="435">
                  <c:v>2.2450724845811437E-2</c:v>
                </c:pt>
                <c:pt idx="436">
                  <c:v>2.2439632147216112E-2</c:v>
                </c:pt>
                <c:pt idx="437">
                  <c:v>2.2428694286726086E-2</c:v>
                </c:pt>
                <c:pt idx="438">
                  <c:v>2.241687075070331E-2</c:v>
                </c:pt>
                <c:pt idx="439">
                  <c:v>2.2405917553448031E-2</c:v>
                </c:pt>
                <c:pt idx="440">
                  <c:v>2.2394383871048272E-2</c:v>
                </c:pt>
                <c:pt idx="441">
                  <c:v>2.2382265387564756E-2</c:v>
                </c:pt>
                <c:pt idx="442">
                  <c:v>2.2370700758391374E-2</c:v>
                </c:pt>
                <c:pt idx="443">
                  <c:v>2.2357068097742325E-2</c:v>
                </c:pt>
                <c:pt idx="444">
                  <c:v>2.234390981578091E-2</c:v>
                </c:pt>
                <c:pt idx="445">
                  <c:v>2.2329501648876631E-2</c:v>
                </c:pt>
                <c:pt idx="446">
                  <c:v>2.2316570721632373E-2</c:v>
                </c:pt>
                <c:pt idx="447">
                  <c:v>2.2301463321888135E-2</c:v>
                </c:pt>
                <c:pt idx="448">
                  <c:v>2.2286496467446071E-2</c:v>
                </c:pt>
                <c:pt idx="449">
                  <c:v>2.227154941773352E-2</c:v>
                </c:pt>
                <c:pt idx="450">
                  <c:v>2.225500620973803E-2</c:v>
                </c:pt>
                <c:pt idx="451">
                  <c:v>2.2242258396495455E-2</c:v>
                </c:pt>
                <c:pt idx="452">
                  <c:v>2.2224914125180111E-2</c:v>
                </c:pt>
                <c:pt idx="453">
                  <c:v>2.2209618626089864E-2</c:v>
                </c:pt>
                <c:pt idx="454">
                  <c:v>2.2192500639049841E-2</c:v>
                </c:pt>
                <c:pt idx="455">
                  <c:v>2.2176122714592336E-2</c:v>
                </c:pt>
                <c:pt idx="456">
                  <c:v>2.2157738358282865E-2</c:v>
                </c:pt>
                <c:pt idx="457">
                  <c:v>2.2139726513548948E-2</c:v>
                </c:pt>
                <c:pt idx="458">
                  <c:v>2.2121568564474121E-2</c:v>
                </c:pt>
                <c:pt idx="459">
                  <c:v>2.2103254050222874E-2</c:v>
                </c:pt>
                <c:pt idx="460">
                  <c:v>2.208362167501832E-2</c:v>
                </c:pt>
                <c:pt idx="461">
                  <c:v>2.206425817495461E-2</c:v>
                </c:pt>
                <c:pt idx="462">
                  <c:v>2.2044650524956577E-2</c:v>
                </c:pt>
                <c:pt idx="463">
                  <c:v>2.2027228302295351E-2</c:v>
                </c:pt>
                <c:pt idx="464">
                  <c:v>2.2006877614998897E-2</c:v>
                </c:pt>
                <c:pt idx="465">
                  <c:v>2.1986210714541203E-2</c:v>
                </c:pt>
                <c:pt idx="466">
                  <c:v>2.1965511343285903E-2</c:v>
                </c:pt>
                <c:pt idx="467">
                  <c:v>2.1943849849086677E-2</c:v>
                </c:pt>
                <c:pt idx="468">
                  <c:v>2.1922751631327727E-2</c:v>
                </c:pt>
                <c:pt idx="469">
                  <c:v>2.1900717131186812E-2</c:v>
                </c:pt>
                <c:pt idx="470">
                  <c:v>2.1880872019637867E-2</c:v>
                </c:pt>
                <c:pt idx="471">
                  <c:v>2.1858886480354833E-2</c:v>
                </c:pt>
                <c:pt idx="472">
                  <c:v>2.1838418316401764E-2</c:v>
                </c:pt>
                <c:pt idx="473">
                  <c:v>2.1817176286723115E-2</c:v>
                </c:pt>
                <c:pt idx="474">
                  <c:v>2.1796428234349123E-2</c:v>
                </c:pt>
                <c:pt idx="475">
                  <c:v>2.1779477362392739E-2</c:v>
                </c:pt>
                <c:pt idx="476">
                  <c:v>2.175879464057532E-2</c:v>
                </c:pt>
                <c:pt idx="477">
                  <c:v>2.1740250454944366E-2</c:v>
                </c:pt>
                <c:pt idx="478">
                  <c:v>2.1719681738714993E-2</c:v>
                </c:pt>
                <c:pt idx="479">
                  <c:v>2.1701169865330362E-2</c:v>
                </c:pt>
                <c:pt idx="480">
                  <c:v>2.1681012457023495E-2</c:v>
                </c:pt>
                <c:pt idx="481">
                  <c:v>2.1662272962081609E-2</c:v>
                </c:pt>
                <c:pt idx="482">
                  <c:v>2.1643128381973444E-2</c:v>
                </c:pt>
                <c:pt idx="483">
                  <c:v>2.162500908615065E-2</c:v>
                </c:pt>
                <c:pt idx="484">
                  <c:v>2.1606029490892537E-2</c:v>
                </c:pt>
                <c:pt idx="485">
                  <c:v>2.1587344107669715E-2</c:v>
                </c:pt>
                <c:pt idx="486">
                  <c:v>2.1572149764713878E-2</c:v>
                </c:pt>
                <c:pt idx="487">
                  <c:v>2.1552900524301154E-2</c:v>
                </c:pt>
                <c:pt idx="488">
                  <c:v>2.153641961361542E-2</c:v>
                </c:pt>
                <c:pt idx="489">
                  <c:v>2.1518648702847271E-2</c:v>
                </c:pt>
                <c:pt idx="490">
                  <c:v>2.1502172437716773E-2</c:v>
                </c:pt>
                <c:pt idx="491">
                  <c:v>2.1484254167305001E-2</c:v>
                </c:pt>
                <c:pt idx="492">
                  <c:v>2.1467244466409751E-2</c:v>
                </c:pt>
                <c:pt idx="493">
                  <c:v>2.1450644720651415E-2</c:v>
                </c:pt>
                <c:pt idx="494">
                  <c:v>2.1434394935006519E-2</c:v>
                </c:pt>
                <c:pt idx="495">
                  <c:v>2.1417440296771239E-2</c:v>
                </c:pt>
                <c:pt idx="496">
                  <c:v>2.1401192573065053E-2</c:v>
                </c:pt>
                <c:pt idx="497">
                  <c:v>2.1385396637422435E-2</c:v>
                </c:pt>
                <c:pt idx="498">
                  <c:v>2.1371793298392852E-2</c:v>
                </c:pt>
                <c:pt idx="499">
                  <c:v>2.1356099299459322E-2</c:v>
                </c:pt>
                <c:pt idx="500">
                  <c:v>2.1340887895761874E-2</c:v>
                </c:pt>
                <c:pt idx="501">
                  <c:v>2.1325968647248752E-2</c:v>
                </c:pt>
                <c:pt idx="502">
                  <c:v>2.1310767496219515E-2</c:v>
                </c:pt>
                <c:pt idx="503">
                  <c:v>2.1296234512421387E-2</c:v>
                </c:pt>
                <c:pt idx="504">
                  <c:v>2.1281032413876154E-2</c:v>
                </c:pt>
                <c:pt idx="505">
                  <c:v>2.1267738733417127E-2</c:v>
                </c:pt>
                <c:pt idx="506">
                  <c:v>2.1252881634764915E-2</c:v>
                </c:pt>
                <c:pt idx="507">
                  <c:v>2.1238749343732266E-2</c:v>
                </c:pt>
                <c:pt idx="508">
                  <c:v>2.1224707327228639E-2</c:v>
                </c:pt>
                <c:pt idx="509">
                  <c:v>2.1210508823300667E-2</c:v>
                </c:pt>
                <c:pt idx="510">
                  <c:v>2.1199825290971752E-2</c:v>
                </c:pt>
                <c:pt idx="511">
                  <c:v>2.1185980629987958E-2</c:v>
                </c:pt>
                <c:pt idx="512">
                  <c:v>2.1173990274690687E-2</c:v>
                </c:pt>
                <c:pt idx="513">
                  <c:v>2.1160549366201004E-2</c:v>
                </c:pt>
                <c:pt idx="514">
                  <c:v>2.1148517238335655E-2</c:v>
                </c:pt>
                <c:pt idx="515">
                  <c:v>2.1135487463507869E-2</c:v>
                </c:pt>
                <c:pt idx="516">
                  <c:v>2.1123443542639422E-2</c:v>
                </c:pt>
                <c:pt idx="517">
                  <c:v>2.1111210440982551E-2</c:v>
                </c:pt>
                <c:pt idx="518">
                  <c:v>2.1099552725626892E-2</c:v>
                </c:pt>
                <c:pt idx="519">
                  <c:v>2.1085545614056154E-2</c:v>
                </c:pt>
                <c:pt idx="520">
                  <c:v>2.1075572680461008E-2</c:v>
                </c:pt>
                <c:pt idx="521">
                  <c:v>2.1065635142605874E-2</c:v>
                </c:pt>
                <c:pt idx="522">
                  <c:v>2.1054380351581449E-2</c:v>
                </c:pt>
                <c:pt idx="523">
                  <c:v>2.1045003426180341E-2</c:v>
                </c:pt>
                <c:pt idx="524">
                  <c:v>2.1033597112531461E-2</c:v>
                </c:pt>
                <c:pt idx="525">
                  <c:v>2.1023599787898976E-2</c:v>
                </c:pt>
                <c:pt idx="526">
                  <c:v>2.1012808277060126E-2</c:v>
                </c:pt>
                <c:pt idx="527">
                  <c:v>2.1002412706898111E-2</c:v>
                </c:pt>
                <c:pt idx="528">
                  <c:v>2.0992804248341421E-2</c:v>
                </c:pt>
                <c:pt idx="529">
                  <c:v>2.0983249091070789E-2</c:v>
                </c:pt>
                <c:pt idx="530">
                  <c:v>2.0973123082761936E-2</c:v>
                </c:pt>
                <c:pt idx="531">
                  <c:v>2.0963951558136459E-2</c:v>
                </c:pt>
                <c:pt idx="532">
                  <c:v>2.0954683474710467E-2</c:v>
                </c:pt>
                <c:pt idx="533">
                  <c:v>2.0946928630624619E-2</c:v>
                </c:pt>
                <c:pt idx="534">
                  <c:v>2.0937851507131611E-2</c:v>
                </c:pt>
                <c:pt idx="535">
                  <c:v>2.0929908483260953E-2</c:v>
                </c:pt>
                <c:pt idx="536">
                  <c:v>2.0921683425904881E-2</c:v>
                </c:pt>
                <c:pt idx="537">
                  <c:v>2.0913392346249875E-2</c:v>
                </c:pt>
                <c:pt idx="538">
                  <c:v>2.0905553435577994E-2</c:v>
                </c:pt>
                <c:pt idx="539">
                  <c:v>2.0897175748827178E-2</c:v>
                </c:pt>
                <c:pt idx="540">
                  <c:v>2.0890445633976077E-2</c:v>
                </c:pt>
                <c:pt idx="541">
                  <c:v>2.0882714304600244E-2</c:v>
                </c:pt>
                <c:pt idx="542">
                  <c:v>2.0874886459653297E-2</c:v>
                </c:pt>
                <c:pt idx="543">
                  <c:v>2.0868056402664703E-2</c:v>
                </c:pt>
                <c:pt idx="544">
                  <c:v>2.0860376143486743E-2</c:v>
                </c:pt>
                <c:pt idx="545">
                  <c:v>2.0856001195326077E-2</c:v>
                </c:pt>
                <c:pt idx="546">
                  <c:v>2.0848977766904246E-2</c:v>
                </c:pt>
                <c:pt idx="547">
                  <c:v>2.0843553425048934E-2</c:v>
                </c:pt>
                <c:pt idx="548">
                  <c:v>2.083723790761904E-2</c:v>
                </c:pt>
                <c:pt idx="549">
                  <c:v>2.0831683361893061E-2</c:v>
                </c:pt>
                <c:pt idx="550">
                  <c:v>2.0825778877796623E-2</c:v>
                </c:pt>
                <c:pt idx="551">
                  <c:v>2.0819910651127062E-2</c:v>
                </c:pt>
                <c:pt idx="552">
                  <c:v>2.0815104542808535E-2</c:v>
                </c:pt>
                <c:pt idx="553">
                  <c:v>2.0810140147832563E-2</c:v>
                </c:pt>
                <c:pt idx="554">
                  <c:v>2.0804537926505006E-2</c:v>
                </c:pt>
                <c:pt idx="555">
                  <c:v>2.0799433936260492E-2</c:v>
                </c:pt>
                <c:pt idx="556">
                  <c:v>2.0795578002083263E-2</c:v>
                </c:pt>
                <c:pt idx="557">
                  <c:v>2.079218249239425E-2</c:v>
                </c:pt>
                <c:pt idx="558">
                  <c:v>2.0789243108601304E-2</c:v>
                </c:pt>
                <c:pt idx="559">
                  <c:v>2.0784343610348168E-2</c:v>
                </c:pt>
                <c:pt idx="560">
                  <c:v>2.0780709153682977E-2</c:v>
                </c:pt>
                <c:pt idx="561">
                  <c:v>2.0777156737194179E-2</c:v>
                </c:pt>
                <c:pt idx="562">
                  <c:v>2.077335944847971E-2</c:v>
                </c:pt>
                <c:pt idx="563">
                  <c:v>2.0770754529778661E-2</c:v>
                </c:pt>
                <c:pt idx="564">
                  <c:v>2.0767892282913925E-2</c:v>
                </c:pt>
                <c:pt idx="565">
                  <c:v>2.0764579160963758E-2</c:v>
                </c:pt>
                <c:pt idx="566">
                  <c:v>2.0761539434210441E-2</c:v>
                </c:pt>
                <c:pt idx="567">
                  <c:v>2.075974032491279E-2</c:v>
                </c:pt>
                <c:pt idx="568">
                  <c:v>2.0758408012480564E-2</c:v>
                </c:pt>
                <c:pt idx="569">
                  <c:v>2.0755920183756413E-2</c:v>
                </c:pt>
                <c:pt idx="570">
                  <c:v>2.0754708516212972E-2</c:v>
                </c:pt>
                <c:pt idx="571">
                  <c:v>2.075317617120644E-2</c:v>
                </c:pt>
                <c:pt idx="572">
                  <c:v>2.0751793672249386E-2</c:v>
                </c:pt>
                <c:pt idx="573">
                  <c:v>2.0750647425326788E-2</c:v>
                </c:pt>
                <c:pt idx="574">
                  <c:v>2.0749078869590692E-2</c:v>
                </c:pt>
                <c:pt idx="575">
                  <c:v>2.0748924884860871E-2</c:v>
                </c:pt>
                <c:pt idx="576">
                  <c:v>2.0748317934732453E-2</c:v>
                </c:pt>
                <c:pt idx="577">
                  <c:v>2.0747359279759285E-2</c:v>
                </c:pt>
                <c:pt idx="578">
                  <c:v>2.0747160085405086E-2</c:v>
                </c:pt>
                <c:pt idx="579">
                  <c:v>2.0746569135434711E-2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-7.0303535509186332E-4</c:v>
                </c:pt>
                <c:pt idx="1">
                  <c:v>-6.5868874184473857E-4</c:v>
                </c:pt>
                <c:pt idx="2">
                  <c:v>-6.7583689128287332E-4</c:v>
                </c:pt>
                <c:pt idx="3">
                  <c:v>-7.166355086694054E-4</c:v>
                </c:pt>
                <c:pt idx="4">
                  <c:v>-8.2720750961227387E-4</c:v>
                </c:pt>
                <c:pt idx="5">
                  <c:v>-8.3362195249657943E-4</c:v>
                </c:pt>
                <c:pt idx="6">
                  <c:v>-7.6908955384475579E-4</c:v>
                </c:pt>
                <c:pt idx="7">
                  <c:v>-7.5188838334450244E-4</c:v>
                </c:pt>
                <c:pt idx="8">
                  <c:v>-7.9798152284287134E-4</c:v>
                </c:pt>
                <c:pt idx="9">
                  <c:v>-9.2881311654466705E-4</c:v>
                </c:pt>
                <c:pt idx="10">
                  <c:v>-9.2747564932551738E-4</c:v>
                </c:pt>
                <c:pt idx="11">
                  <c:v>-9.0152590204974612E-4</c:v>
                </c:pt>
                <c:pt idx="12">
                  <c:v>-8.2240542831395441E-4</c:v>
                </c:pt>
                <c:pt idx="13">
                  <c:v>-7.8660102995263017E-4</c:v>
                </c:pt>
                <c:pt idx="14">
                  <c:v>-7.5288859505328687E-4</c:v>
                </c:pt>
                <c:pt idx="15">
                  <c:v>-7.109373170105088E-4</c:v>
                </c:pt>
                <c:pt idx="16">
                  <c:v>-6.5706897287307877E-4</c:v>
                </c:pt>
                <c:pt idx="17">
                  <c:v>-6.0146217069043692E-4</c:v>
                </c:pt>
                <c:pt idx="18">
                  <c:v>-5.4433598445137519E-4</c:v>
                </c:pt>
                <c:pt idx="19">
                  <c:v>-4.7431373812886123E-4</c:v>
                </c:pt>
                <c:pt idx="20">
                  <c:v>-4.0181400140214686E-4</c:v>
                </c:pt>
                <c:pt idx="21">
                  <c:v>-2.4969389065420268E-4</c:v>
                </c:pt>
                <c:pt idx="22">
                  <c:v>7.2481861373743925E-5</c:v>
                </c:pt>
                <c:pt idx="23">
                  <c:v>3.8461491824708278E-4</c:v>
                </c:pt>
                <c:pt idx="24">
                  <c:v>5.6586489268838991E-4</c:v>
                </c:pt>
                <c:pt idx="25">
                  <c:v>5.6586489268752103E-4</c:v>
                </c:pt>
                <c:pt idx="26">
                  <c:v>5.6586489268838991E-4</c:v>
                </c:pt>
                <c:pt idx="27">
                  <c:v>5.6586400327862663E-4</c:v>
                </c:pt>
                <c:pt idx="28">
                  <c:v>5.6586311387062484E-4</c:v>
                </c:pt>
                <c:pt idx="29">
                  <c:v>5.6586400327862663E-4</c:v>
                </c:pt>
                <c:pt idx="30">
                  <c:v>5.658648926883898E-4</c:v>
                </c:pt>
                <c:pt idx="31">
                  <c:v>5.6586444798373454E-4</c:v>
                </c:pt>
                <c:pt idx="32">
                  <c:v>5.6586489268752103E-4</c:v>
                </c:pt>
                <c:pt idx="33">
                  <c:v>9.8999419669369899E-4</c:v>
                </c:pt>
                <c:pt idx="34">
                  <c:v>1.7441153431383707E-3</c:v>
                </c:pt>
                <c:pt idx="35">
                  <c:v>2.4719507988080936E-3</c:v>
                </c:pt>
                <c:pt idx="36">
                  <c:v>2.7341198523576854E-3</c:v>
                </c:pt>
                <c:pt idx="37">
                  <c:v>2.7341198523576859E-3</c:v>
                </c:pt>
                <c:pt idx="38">
                  <c:v>2.7341094722845823E-3</c:v>
                </c:pt>
                <c:pt idx="39">
                  <c:v>2.7340990922652963E-3</c:v>
                </c:pt>
                <c:pt idx="40">
                  <c:v>2.7341094722854605E-3</c:v>
                </c:pt>
                <c:pt idx="41">
                  <c:v>2.7341198523568168E-3</c:v>
                </c:pt>
                <c:pt idx="42">
                  <c:v>2.7341094722854609E-3</c:v>
                </c:pt>
                <c:pt idx="43">
                  <c:v>2.7341198523568168E-3</c:v>
                </c:pt>
                <c:pt idx="44">
                  <c:v>2.7341198523568172E-3</c:v>
                </c:pt>
                <c:pt idx="45">
                  <c:v>3.587544110013728E-3</c:v>
                </c:pt>
                <c:pt idx="46">
                  <c:v>4.500030897294228E-3</c:v>
                </c:pt>
                <c:pt idx="47">
                  <c:v>5.4421346129742672E-3</c:v>
                </c:pt>
                <c:pt idx="48">
                  <c:v>5.4421757288178217E-3</c:v>
                </c:pt>
                <c:pt idx="49">
                  <c:v>5.4421757288178208E-3</c:v>
                </c:pt>
                <c:pt idx="50">
                  <c:v>5.4420934975460966E-3</c:v>
                </c:pt>
                <c:pt idx="51">
                  <c:v>5.4421346129742681E-3</c:v>
                </c:pt>
                <c:pt idx="52">
                  <c:v>5.4420523825311432E-3</c:v>
                </c:pt>
                <c:pt idx="53">
                  <c:v>5.4421757288169526E-3</c:v>
                </c:pt>
                <c:pt idx="54">
                  <c:v>5.4421346129742681E-3</c:v>
                </c:pt>
                <c:pt idx="55">
                  <c:v>5.4421757288169526E-3</c:v>
                </c:pt>
                <c:pt idx="56">
                  <c:v>5.6952216977730445E-3</c:v>
                </c:pt>
                <c:pt idx="57">
                  <c:v>6.7798895226290285E-3</c:v>
                </c:pt>
                <c:pt idx="58">
                  <c:v>7.9733708933292444E-3</c:v>
                </c:pt>
                <c:pt idx="59">
                  <c:v>8.7691202890830145E-3</c:v>
                </c:pt>
                <c:pt idx="60">
                  <c:v>8.769227013164179E-3</c:v>
                </c:pt>
                <c:pt idx="61">
                  <c:v>8.7692270131650464E-3</c:v>
                </c:pt>
                <c:pt idx="62">
                  <c:v>8.7691202890830145E-3</c:v>
                </c:pt>
                <c:pt idx="63">
                  <c:v>8.7691202890830145E-3</c:v>
                </c:pt>
                <c:pt idx="64">
                  <c:v>8.7691202890830145E-3</c:v>
                </c:pt>
                <c:pt idx="65">
                  <c:v>8.7692270131650464E-3</c:v>
                </c:pt>
                <c:pt idx="66">
                  <c:v>8.7691202890830145E-3</c:v>
                </c:pt>
                <c:pt idx="67">
                  <c:v>8.7692270131650481E-3</c:v>
                </c:pt>
                <c:pt idx="68">
                  <c:v>9.3290314640606786E-3</c:v>
                </c:pt>
                <c:pt idx="69">
                  <c:v>1.0523548041285746E-2</c:v>
                </c:pt>
                <c:pt idx="70">
                  <c:v>1.1681082877181547E-2</c:v>
                </c:pt>
                <c:pt idx="71">
                  <c:v>1.2203745836969824E-2</c:v>
                </c:pt>
                <c:pt idx="72">
                  <c:v>1.2203952476115085E-2</c:v>
                </c:pt>
                <c:pt idx="73">
                  <c:v>1.2203125947518096E-2</c:v>
                </c:pt>
                <c:pt idx="74">
                  <c:v>1.2203539202489287E-2</c:v>
                </c:pt>
                <c:pt idx="75">
                  <c:v>1.2203745836969825E-2</c:v>
                </c:pt>
                <c:pt idx="76">
                  <c:v>1.2203952476115085E-2</c:v>
                </c:pt>
                <c:pt idx="77">
                  <c:v>1.2203745836969824E-2</c:v>
                </c:pt>
                <c:pt idx="78">
                  <c:v>1.2203952476115084E-2</c:v>
                </c:pt>
                <c:pt idx="79">
                  <c:v>1.2203952476115084E-2</c:v>
                </c:pt>
                <c:pt idx="80">
                  <c:v>1.3150513566668453E-2</c:v>
                </c:pt>
                <c:pt idx="81">
                  <c:v>1.4324566332883445E-2</c:v>
                </c:pt>
                <c:pt idx="82">
                  <c:v>1.5534859773064737E-2</c:v>
                </c:pt>
                <c:pt idx="83">
                  <c:v>1.5688423038229357E-2</c:v>
                </c:pt>
                <c:pt idx="84">
                  <c:v>1.5688423038229357E-2</c:v>
                </c:pt>
                <c:pt idx="85">
                  <c:v>1.5687740284847429E-2</c:v>
                </c:pt>
                <c:pt idx="86">
                  <c:v>1.5688081656587673E-2</c:v>
                </c:pt>
                <c:pt idx="87">
                  <c:v>1.5687398923008269E-2</c:v>
                </c:pt>
                <c:pt idx="88">
                  <c:v>1.568842303822849E-2</c:v>
                </c:pt>
                <c:pt idx="89">
                  <c:v>1.5688081656587673E-2</c:v>
                </c:pt>
                <c:pt idx="90">
                  <c:v>1.5688423038228486E-2</c:v>
                </c:pt>
                <c:pt idx="91">
                  <c:v>1.5716438960865064E-2</c:v>
                </c:pt>
                <c:pt idx="92">
                  <c:v>1.6557009545223201E-2</c:v>
                </c:pt>
                <c:pt idx="93">
                  <c:v>1.7481844907851183E-2</c:v>
                </c:pt>
                <c:pt idx="94">
                  <c:v>1.8266261681519912E-2</c:v>
                </c:pt>
                <c:pt idx="95">
                  <c:v>1.826672438928529E-2</c:v>
                </c:pt>
                <c:pt idx="96">
                  <c:v>1.826672438928529E-2</c:v>
                </c:pt>
                <c:pt idx="97">
                  <c:v>1.8266261681520794E-2</c:v>
                </c:pt>
                <c:pt idx="98">
                  <c:v>1.8265798989376414E-2</c:v>
                </c:pt>
                <c:pt idx="99">
                  <c:v>1.8266261681519916E-2</c:v>
                </c:pt>
                <c:pt idx="100">
                  <c:v>1.826672438928529E-2</c:v>
                </c:pt>
                <c:pt idx="101">
                  <c:v>1.8266261681519916E-2</c:v>
                </c:pt>
                <c:pt idx="102">
                  <c:v>1.8266724389285286E-2</c:v>
                </c:pt>
                <c:pt idx="103">
                  <c:v>1.8478815836930607E-2</c:v>
                </c:pt>
                <c:pt idx="104">
                  <c:v>1.9095874201106176E-2</c:v>
                </c:pt>
                <c:pt idx="105">
                  <c:v>1.9693741847021159E-2</c:v>
                </c:pt>
                <c:pt idx="106">
                  <c:v>2.0041489409554778E-2</c:v>
                </c:pt>
                <c:pt idx="107">
                  <c:v>2.0040932517225957E-2</c:v>
                </c:pt>
                <c:pt idx="108">
                  <c:v>2.0040932517225964E-2</c:v>
                </c:pt>
                <c:pt idx="109">
                  <c:v>2.0040375645519838E-2</c:v>
                </c:pt>
                <c:pt idx="110">
                  <c:v>2.0040375645519842E-2</c:v>
                </c:pt>
                <c:pt idx="111">
                  <c:v>2.0039818794437281E-2</c:v>
                </c:pt>
                <c:pt idx="112">
                  <c:v>2.0040375645519842E-2</c:v>
                </c:pt>
                <c:pt idx="113">
                  <c:v>2.0040932517225964E-2</c:v>
                </c:pt>
                <c:pt idx="114">
                  <c:v>2.0040932517225961E-2</c:v>
                </c:pt>
                <c:pt idx="115">
                  <c:v>2.0383069950837249E-2</c:v>
                </c:pt>
                <c:pt idx="116">
                  <c:v>2.0874014776759525E-2</c:v>
                </c:pt>
                <c:pt idx="117">
                  <c:v>2.1333812612072324E-2</c:v>
                </c:pt>
                <c:pt idx="118">
                  <c:v>2.1409660836413772E-2</c:v>
                </c:pt>
                <c:pt idx="119">
                  <c:v>2.1409660836413772E-2</c:v>
                </c:pt>
                <c:pt idx="120">
                  <c:v>2.1409025376925472E-2</c:v>
                </c:pt>
                <c:pt idx="121">
                  <c:v>2.1408389942573436E-2</c:v>
                </c:pt>
                <c:pt idx="122">
                  <c:v>2.1409025376925468E-2</c:v>
                </c:pt>
                <c:pt idx="123">
                  <c:v>2.1409660836413765E-2</c:v>
                </c:pt>
                <c:pt idx="124">
                  <c:v>2.1409025376925468E-2</c:v>
                </c:pt>
                <c:pt idx="125">
                  <c:v>2.1409660836413769E-2</c:v>
                </c:pt>
                <c:pt idx="126">
                  <c:v>2.1431350369794405E-2</c:v>
                </c:pt>
                <c:pt idx="127">
                  <c:v>2.1778399165623481E-2</c:v>
                </c:pt>
                <c:pt idx="128">
                  <c:v>2.2114631878741346E-2</c:v>
                </c:pt>
                <c:pt idx="129">
                  <c:v>2.2406807121004946E-2</c:v>
                </c:pt>
                <c:pt idx="130">
                  <c:v>2.2407503135121815E-2</c:v>
                </c:pt>
                <c:pt idx="131">
                  <c:v>2.2407503135121812E-2</c:v>
                </c:pt>
                <c:pt idx="132">
                  <c:v>2.240611113570079E-2</c:v>
                </c:pt>
                <c:pt idx="133">
                  <c:v>2.2406807121005821E-2</c:v>
                </c:pt>
                <c:pt idx="134">
                  <c:v>2.240541517920697E-2</c:v>
                </c:pt>
                <c:pt idx="135">
                  <c:v>2.2407503135121819E-2</c:v>
                </c:pt>
                <c:pt idx="136">
                  <c:v>2.2406807121004943E-2</c:v>
                </c:pt>
                <c:pt idx="137">
                  <c:v>2.2407503135121812E-2</c:v>
                </c:pt>
                <c:pt idx="138">
                  <c:v>2.2532157719911856E-2</c:v>
                </c:pt>
                <c:pt idx="139">
                  <c:v>2.2843811456442643E-2</c:v>
                </c:pt>
                <c:pt idx="140">
                  <c:v>2.3186659071528431E-2</c:v>
                </c:pt>
                <c:pt idx="141">
                  <c:v>2.3362532599942351E-2</c:v>
                </c:pt>
                <c:pt idx="142">
                  <c:v>2.3363289194967121E-2</c:v>
                </c:pt>
                <c:pt idx="143">
                  <c:v>2.336328919496625E-2</c:v>
                </c:pt>
                <c:pt idx="144">
                  <c:v>2.336328919496625E-2</c:v>
                </c:pt>
                <c:pt idx="145">
                  <c:v>2.3361776037570614E-2</c:v>
                </c:pt>
                <c:pt idx="146">
                  <c:v>2.336328919496625E-2</c:v>
                </c:pt>
                <c:pt idx="147">
                  <c:v>2.3362532599942348E-2</c:v>
                </c:pt>
                <c:pt idx="148">
                  <c:v>2.3363289194967118E-2</c:v>
                </c:pt>
                <c:pt idx="149">
                  <c:v>2.3363289194967121E-2</c:v>
                </c:pt>
                <c:pt idx="150">
                  <c:v>2.3363289194967118E-2</c:v>
                </c:pt>
                <c:pt idx="151">
                  <c:v>2.3363289194967118E-2</c:v>
                </c:pt>
                <c:pt idx="152">
                  <c:v>2.3362532599942351E-2</c:v>
                </c:pt>
                <c:pt idx="153">
                  <c:v>2.336328919496625E-2</c:v>
                </c:pt>
                <c:pt idx="154">
                  <c:v>2.3363289194966247E-2</c:v>
                </c:pt>
                <c:pt idx="155">
                  <c:v>2.3362532599941473E-2</c:v>
                </c:pt>
                <c:pt idx="156">
                  <c:v>2.3362532599942348E-2</c:v>
                </c:pt>
                <c:pt idx="157">
                  <c:v>2.3361776037569726E-2</c:v>
                </c:pt>
                <c:pt idx="158">
                  <c:v>2.3364802482978411E-2</c:v>
                </c:pt>
                <c:pt idx="159">
                  <c:v>2.3362532599941473E-2</c:v>
                </c:pt>
                <c:pt idx="160">
                  <c:v>2.336328919496625E-2</c:v>
                </c:pt>
                <c:pt idx="161">
                  <c:v>2.3363289194967118E-2</c:v>
                </c:pt>
                <c:pt idx="162">
                  <c:v>2.336328919496625E-2</c:v>
                </c:pt>
                <c:pt idx="163">
                  <c:v>2.3363289194967114E-2</c:v>
                </c:pt>
                <c:pt idx="164">
                  <c:v>2.3362532599942348E-2</c:v>
                </c:pt>
                <c:pt idx="165">
                  <c:v>2.336328919496625E-2</c:v>
                </c:pt>
                <c:pt idx="166">
                  <c:v>2.3363289194967118E-2</c:v>
                </c:pt>
                <c:pt idx="167">
                  <c:v>2.3362532599942348E-2</c:v>
                </c:pt>
                <c:pt idx="168">
                  <c:v>2.3361776037569726E-2</c:v>
                </c:pt>
                <c:pt idx="169">
                  <c:v>2.3362532599942351E-2</c:v>
                </c:pt>
                <c:pt idx="170">
                  <c:v>2.3363289194967121E-2</c:v>
                </c:pt>
                <c:pt idx="171">
                  <c:v>2.3362532599942351E-2</c:v>
                </c:pt>
                <c:pt idx="172">
                  <c:v>2.336328919496625E-2</c:v>
                </c:pt>
                <c:pt idx="173">
                  <c:v>2.3380032045855436E-2</c:v>
                </c:pt>
                <c:pt idx="174">
                  <c:v>2.3428738926080155E-2</c:v>
                </c:pt>
                <c:pt idx="175">
                  <c:v>2.3475924291011991E-2</c:v>
                </c:pt>
                <c:pt idx="176">
                  <c:v>2.3502556821727319E-2</c:v>
                </c:pt>
                <c:pt idx="177">
                  <c:v>2.3503322504393517E-2</c:v>
                </c:pt>
                <c:pt idx="178">
                  <c:v>2.3503322504393513E-2</c:v>
                </c:pt>
                <c:pt idx="179">
                  <c:v>2.3501791172304998E-2</c:v>
                </c:pt>
                <c:pt idx="180">
                  <c:v>2.3502556821727316E-2</c:v>
                </c:pt>
                <c:pt idx="181">
                  <c:v>2.3501025556121741E-2</c:v>
                </c:pt>
                <c:pt idx="182">
                  <c:v>2.3503322504393513E-2</c:v>
                </c:pt>
                <c:pt idx="183">
                  <c:v>2.35025568217282E-2</c:v>
                </c:pt>
                <c:pt idx="184">
                  <c:v>2.3503322504393513E-2</c:v>
                </c:pt>
                <c:pt idx="185">
                  <c:v>2.3503322504393517E-2</c:v>
                </c:pt>
                <c:pt idx="186">
                  <c:v>2.3503322504393513E-2</c:v>
                </c:pt>
                <c:pt idx="187">
                  <c:v>2.3502556821728197E-2</c:v>
                </c:pt>
                <c:pt idx="188">
                  <c:v>2.3503322504393513E-2</c:v>
                </c:pt>
                <c:pt idx="189">
                  <c:v>2.3503322504393513E-2</c:v>
                </c:pt>
                <c:pt idx="190">
                  <c:v>2.3501791172304998E-2</c:v>
                </c:pt>
                <c:pt idx="191">
                  <c:v>2.3502556821728197E-2</c:v>
                </c:pt>
                <c:pt idx="192">
                  <c:v>2.3501025556121744E-2</c:v>
                </c:pt>
                <c:pt idx="193">
                  <c:v>2.3503322504393513E-2</c:v>
                </c:pt>
                <c:pt idx="194">
                  <c:v>2.3502556821728193E-2</c:v>
                </c:pt>
                <c:pt idx="195">
                  <c:v>2.3503322504393513E-2</c:v>
                </c:pt>
                <c:pt idx="196">
                  <c:v>2.3503322504393513E-2</c:v>
                </c:pt>
                <c:pt idx="197">
                  <c:v>2.3503322504393513E-2</c:v>
                </c:pt>
                <c:pt idx="198">
                  <c:v>2.3503322504393517E-2</c:v>
                </c:pt>
                <c:pt idx="199">
                  <c:v>2.3502556821727316E-2</c:v>
                </c:pt>
                <c:pt idx="200">
                  <c:v>2.3503322504392642E-2</c:v>
                </c:pt>
                <c:pt idx="201">
                  <c:v>2.3503322504392646E-2</c:v>
                </c:pt>
                <c:pt idx="202">
                  <c:v>2.35025568217282E-2</c:v>
                </c:pt>
                <c:pt idx="203">
                  <c:v>2.3502556821727319E-2</c:v>
                </c:pt>
                <c:pt idx="204">
                  <c:v>2.3502556821727319E-2</c:v>
                </c:pt>
                <c:pt idx="205">
                  <c:v>2.3503322504392642E-2</c:v>
                </c:pt>
                <c:pt idx="206">
                  <c:v>2.3502556821727319E-2</c:v>
                </c:pt>
                <c:pt idx="207">
                  <c:v>2.3503322504393517E-2</c:v>
                </c:pt>
                <c:pt idx="208">
                  <c:v>2.3503322504393513E-2</c:v>
                </c:pt>
                <c:pt idx="209">
                  <c:v>2.3503322504392646E-2</c:v>
                </c:pt>
                <c:pt idx="210">
                  <c:v>2.3503322504393517E-2</c:v>
                </c:pt>
                <c:pt idx="211">
                  <c:v>2.3502556821728197E-2</c:v>
                </c:pt>
                <c:pt idx="212">
                  <c:v>2.3503322504393517E-2</c:v>
                </c:pt>
                <c:pt idx="213">
                  <c:v>2.3503322504393517E-2</c:v>
                </c:pt>
                <c:pt idx="214">
                  <c:v>2.350179117230411E-2</c:v>
                </c:pt>
                <c:pt idx="215">
                  <c:v>2.3502556821728197E-2</c:v>
                </c:pt>
                <c:pt idx="216">
                  <c:v>2.3501025556120839E-2</c:v>
                </c:pt>
                <c:pt idx="217">
                  <c:v>2.3503322504392646E-2</c:v>
                </c:pt>
                <c:pt idx="218">
                  <c:v>2.3502556821728197E-2</c:v>
                </c:pt>
                <c:pt idx="219">
                  <c:v>2.3503322504393517E-2</c:v>
                </c:pt>
                <c:pt idx="220">
                  <c:v>2.3503322504393513E-2</c:v>
                </c:pt>
                <c:pt idx="221">
                  <c:v>2.3503322504392649E-2</c:v>
                </c:pt>
                <c:pt idx="222">
                  <c:v>2.3503322504392649E-2</c:v>
                </c:pt>
                <c:pt idx="223">
                  <c:v>2.3502556821728197E-2</c:v>
                </c:pt>
                <c:pt idx="224">
                  <c:v>2.350332250439351E-2</c:v>
                </c:pt>
                <c:pt idx="225">
                  <c:v>2.350179117230411E-2</c:v>
                </c:pt>
                <c:pt idx="226">
                  <c:v>2.350179117230411E-2</c:v>
                </c:pt>
                <c:pt idx="227">
                  <c:v>2.3500259973177066E-2</c:v>
                </c:pt>
                <c:pt idx="228">
                  <c:v>2.3501791172304106E-2</c:v>
                </c:pt>
                <c:pt idx="229">
                  <c:v>2.350332250439351E-2</c:v>
                </c:pt>
                <c:pt idx="230">
                  <c:v>2.3502556821728193E-2</c:v>
                </c:pt>
                <c:pt idx="231">
                  <c:v>2.3503322504393517E-2</c:v>
                </c:pt>
                <c:pt idx="232">
                  <c:v>2.3268712337989814E-2</c:v>
                </c:pt>
                <c:pt idx="233">
                  <c:v>2.2851662121350372E-2</c:v>
                </c:pt>
                <c:pt idx="234">
                  <c:v>2.2448563403297022E-2</c:v>
                </c:pt>
                <c:pt idx="235">
                  <c:v>2.2304350767360419E-2</c:v>
                </c:pt>
                <c:pt idx="236">
                  <c:v>2.2304350767359551E-2</c:v>
                </c:pt>
                <c:pt idx="237">
                  <c:v>2.2303661140557152E-2</c:v>
                </c:pt>
                <c:pt idx="238">
                  <c:v>2.230297154217098E-2</c:v>
                </c:pt>
                <c:pt idx="239">
                  <c:v>2.2303661140557152E-2</c:v>
                </c:pt>
                <c:pt idx="240">
                  <c:v>2.2304350767359551E-2</c:v>
                </c:pt>
                <c:pt idx="241">
                  <c:v>2.2303661140558026E-2</c:v>
                </c:pt>
                <c:pt idx="242">
                  <c:v>2.2304350767360422E-2</c:v>
                </c:pt>
                <c:pt idx="243">
                  <c:v>2.2304350767360419E-2</c:v>
                </c:pt>
                <c:pt idx="244">
                  <c:v>2.2304350767359551E-2</c:v>
                </c:pt>
                <c:pt idx="245">
                  <c:v>2.2304350767359551E-2</c:v>
                </c:pt>
                <c:pt idx="246">
                  <c:v>2.2303661140558029E-2</c:v>
                </c:pt>
                <c:pt idx="247">
                  <c:v>2.2304350767360415E-2</c:v>
                </c:pt>
                <c:pt idx="248">
                  <c:v>2.2304350767359551E-2</c:v>
                </c:pt>
                <c:pt idx="249">
                  <c:v>2.2303661140557152E-2</c:v>
                </c:pt>
                <c:pt idx="250">
                  <c:v>2.2304350767359548E-2</c:v>
                </c:pt>
                <c:pt idx="251">
                  <c:v>2.2302971542171864E-2</c:v>
                </c:pt>
                <c:pt idx="252">
                  <c:v>2.230573010621998E-2</c:v>
                </c:pt>
                <c:pt idx="253">
                  <c:v>2.2303661140558029E-2</c:v>
                </c:pt>
                <c:pt idx="254">
                  <c:v>2.2304350767359551E-2</c:v>
                </c:pt>
                <c:pt idx="255">
                  <c:v>2.2304350767359551E-2</c:v>
                </c:pt>
                <c:pt idx="256">
                  <c:v>2.2304350767360422E-2</c:v>
                </c:pt>
                <c:pt idx="257">
                  <c:v>2.2304350767359551E-2</c:v>
                </c:pt>
                <c:pt idx="258">
                  <c:v>2.2303661140557145E-2</c:v>
                </c:pt>
                <c:pt idx="259">
                  <c:v>2.2304350767359548E-2</c:v>
                </c:pt>
                <c:pt idx="260">
                  <c:v>2.2304350767359551E-2</c:v>
                </c:pt>
                <c:pt idx="261">
                  <c:v>2.2303661140557148E-2</c:v>
                </c:pt>
                <c:pt idx="262">
                  <c:v>2.230297154217098E-2</c:v>
                </c:pt>
                <c:pt idx="263">
                  <c:v>2.2303661140558029E-2</c:v>
                </c:pt>
                <c:pt idx="264">
                  <c:v>2.2304350767359548E-2</c:v>
                </c:pt>
                <c:pt idx="265">
                  <c:v>2.2303661140557152E-2</c:v>
                </c:pt>
                <c:pt idx="266">
                  <c:v>2.2304350767359551E-2</c:v>
                </c:pt>
                <c:pt idx="267">
                  <c:v>2.2304350767359551E-2</c:v>
                </c:pt>
                <c:pt idx="268">
                  <c:v>2.2304350767359551E-2</c:v>
                </c:pt>
                <c:pt idx="269">
                  <c:v>2.2304350767359555E-2</c:v>
                </c:pt>
                <c:pt idx="270">
                  <c:v>2.2303661140558029E-2</c:v>
                </c:pt>
                <c:pt idx="271">
                  <c:v>2.2304350767360419E-2</c:v>
                </c:pt>
                <c:pt idx="272">
                  <c:v>2.2301592430642656E-2</c:v>
                </c:pt>
                <c:pt idx="273">
                  <c:v>2.230297154217098E-2</c:v>
                </c:pt>
                <c:pt idx="274">
                  <c:v>2.2303661140557152E-2</c:v>
                </c:pt>
                <c:pt idx="275">
                  <c:v>2.2304350767359551E-2</c:v>
                </c:pt>
                <c:pt idx="276">
                  <c:v>2.2303661140557152E-2</c:v>
                </c:pt>
                <c:pt idx="277">
                  <c:v>2.2304350767360419E-2</c:v>
                </c:pt>
                <c:pt idx="278">
                  <c:v>2.2304350767359548E-2</c:v>
                </c:pt>
                <c:pt idx="279">
                  <c:v>2.2304350767360422E-2</c:v>
                </c:pt>
                <c:pt idx="280">
                  <c:v>2.2304350767359551E-2</c:v>
                </c:pt>
                <c:pt idx="281">
                  <c:v>2.2303661140557152E-2</c:v>
                </c:pt>
                <c:pt idx="282">
                  <c:v>2.2304350767359548E-2</c:v>
                </c:pt>
                <c:pt idx="283">
                  <c:v>2.2304350767359555E-2</c:v>
                </c:pt>
                <c:pt idx="284">
                  <c:v>2.230297154217098E-2</c:v>
                </c:pt>
                <c:pt idx="285">
                  <c:v>2.2304350767359551E-2</c:v>
                </c:pt>
                <c:pt idx="286">
                  <c:v>2.2302281972199658E-2</c:v>
                </c:pt>
                <c:pt idx="287">
                  <c:v>2.2304350767359551E-2</c:v>
                </c:pt>
                <c:pt idx="288">
                  <c:v>2.2303661140557152E-2</c:v>
                </c:pt>
                <c:pt idx="289">
                  <c:v>2.2304350767359555E-2</c:v>
                </c:pt>
                <c:pt idx="290">
                  <c:v>2.229585239653336E-2</c:v>
                </c:pt>
                <c:pt idx="291">
                  <c:v>2.2040909805351911E-2</c:v>
                </c:pt>
                <c:pt idx="292">
                  <c:v>2.1760492030891917E-2</c:v>
                </c:pt>
                <c:pt idx="293">
                  <c:v>2.1521935294827862E-2</c:v>
                </c:pt>
                <c:pt idx="294">
                  <c:v>2.1522577468721635E-2</c:v>
                </c:pt>
                <c:pt idx="295">
                  <c:v>2.1522577468722506E-2</c:v>
                </c:pt>
                <c:pt idx="296">
                  <c:v>2.1521935294828744E-2</c:v>
                </c:pt>
                <c:pt idx="297">
                  <c:v>2.152193529482874E-2</c:v>
                </c:pt>
                <c:pt idx="298">
                  <c:v>2.1521935294827866E-2</c:v>
                </c:pt>
                <c:pt idx="299">
                  <c:v>2.1522577468722506E-2</c:v>
                </c:pt>
                <c:pt idx="300">
                  <c:v>2.152193529482874E-2</c:v>
                </c:pt>
                <c:pt idx="301">
                  <c:v>2.1522577468722503E-2</c:v>
                </c:pt>
                <c:pt idx="302">
                  <c:v>2.1522577468722499E-2</c:v>
                </c:pt>
                <c:pt idx="303">
                  <c:v>2.1522577468722506E-2</c:v>
                </c:pt>
                <c:pt idx="304">
                  <c:v>2.1522577468722503E-2</c:v>
                </c:pt>
                <c:pt idx="305">
                  <c:v>2.152193529482874E-2</c:v>
                </c:pt>
                <c:pt idx="306">
                  <c:v>2.1522577468722503E-2</c:v>
                </c:pt>
                <c:pt idx="307">
                  <c:v>2.1522577468722503E-2</c:v>
                </c:pt>
                <c:pt idx="308">
                  <c:v>2.1521293146470555E-2</c:v>
                </c:pt>
                <c:pt idx="309">
                  <c:v>2.152193529482874E-2</c:v>
                </c:pt>
                <c:pt idx="310">
                  <c:v>2.1520651023646468E-2</c:v>
                </c:pt>
                <c:pt idx="311">
                  <c:v>2.1522577468722503E-2</c:v>
                </c:pt>
                <c:pt idx="312">
                  <c:v>2.1521935294828744E-2</c:v>
                </c:pt>
                <c:pt idx="313">
                  <c:v>2.1522577468722506E-2</c:v>
                </c:pt>
                <c:pt idx="314">
                  <c:v>2.1522577468722506E-2</c:v>
                </c:pt>
                <c:pt idx="315">
                  <c:v>2.152257746872251E-2</c:v>
                </c:pt>
                <c:pt idx="316">
                  <c:v>2.1521935294827862E-2</c:v>
                </c:pt>
                <c:pt idx="317">
                  <c:v>2.1522577468722503E-2</c:v>
                </c:pt>
                <c:pt idx="318">
                  <c:v>2.1522577468722506E-2</c:v>
                </c:pt>
                <c:pt idx="319">
                  <c:v>2.1521293146470555E-2</c:v>
                </c:pt>
                <c:pt idx="320">
                  <c:v>2.1522577468722506E-2</c:v>
                </c:pt>
                <c:pt idx="321">
                  <c:v>2.1520651023647367E-2</c:v>
                </c:pt>
                <c:pt idx="322">
                  <c:v>2.1522577468722506E-2</c:v>
                </c:pt>
                <c:pt idx="323">
                  <c:v>2.1521935294827869E-2</c:v>
                </c:pt>
                <c:pt idx="324">
                  <c:v>2.1522577468722506E-2</c:v>
                </c:pt>
                <c:pt idx="325">
                  <c:v>2.152257746872251E-2</c:v>
                </c:pt>
                <c:pt idx="326">
                  <c:v>2.152257746872251E-2</c:v>
                </c:pt>
                <c:pt idx="327">
                  <c:v>2.1522577468723374E-2</c:v>
                </c:pt>
                <c:pt idx="328">
                  <c:v>2.152193529482874E-2</c:v>
                </c:pt>
                <c:pt idx="329">
                  <c:v>2.1522577468722506E-2</c:v>
                </c:pt>
                <c:pt idx="330">
                  <c:v>2.1522577468722506E-2</c:v>
                </c:pt>
                <c:pt idx="331">
                  <c:v>2.1521935294827862E-2</c:v>
                </c:pt>
                <c:pt idx="332">
                  <c:v>2.1521293146471443E-2</c:v>
                </c:pt>
                <c:pt idx="333">
                  <c:v>2.1521935294829618E-2</c:v>
                </c:pt>
                <c:pt idx="334">
                  <c:v>2.1522577468722503E-2</c:v>
                </c:pt>
                <c:pt idx="335">
                  <c:v>2.152193529482874E-2</c:v>
                </c:pt>
                <c:pt idx="336">
                  <c:v>2.152257746872251E-2</c:v>
                </c:pt>
                <c:pt idx="337">
                  <c:v>2.1522577468721639E-2</c:v>
                </c:pt>
                <c:pt idx="338">
                  <c:v>2.1522577468722506E-2</c:v>
                </c:pt>
                <c:pt idx="339">
                  <c:v>2.1522577468722506E-2</c:v>
                </c:pt>
                <c:pt idx="340">
                  <c:v>2.152193529482874E-2</c:v>
                </c:pt>
                <c:pt idx="341">
                  <c:v>2.1522577468721635E-2</c:v>
                </c:pt>
                <c:pt idx="342">
                  <c:v>2.1522577468721635E-2</c:v>
                </c:pt>
                <c:pt idx="343">
                  <c:v>2.1521935294828737E-2</c:v>
                </c:pt>
                <c:pt idx="344">
                  <c:v>2.1521935294827862E-2</c:v>
                </c:pt>
                <c:pt idx="345">
                  <c:v>2.1521293146470555E-2</c:v>
                </c:pt>
                <c:pt idx="346">
                  <c:v>2.152386189312154E-2</c:v>
                </c:pt>
                <c:pt idx="347">
                  <c:v>2.152193529482874E-2</c:v>
                </c:pt>
                <c:pt idx="348">
                  <c:v>2.1522577468721635E-2</c:v>
                </c:pt>
                <c:pt idx="349">
                  <c:v>2.1620218850014125E-2</c:v>
                </c:pt>
                <c:pt idx="350">
                  <c:v>2.1815508881949431E-2</c:v>
                </c:pt>
                <c:pt idx="351">
                  <c:v>2.2030339112365759E-2</c:v>
                </c:pt>
                <c:pt idx="352">
                  <c:v>2.2120804377927055E-2</c:v>
                </c:pt>
                <c:pt idx="353">
                  <c:v>2.2121482753559227E-2</c:v>
                </c:pt>
                <c:pt idx="354">
                  <c:v>2.2120126030019449E-2</c:v>
                </c:pt>
                <c:pt idx="355">
                  <c:v>2.2120126030018561E-2</c:v>
                </c:pt>
                <c:pt idx="356">
                  <c:v>2.2118769417371596E-2</c:v>
                </c:pt>
                <c:pt idx="357">
                  <c:v>2.2120126030018561E-2</c:v>
                </c:pt>
                <c:pt idx="358">
                  <c:v>2.2121482753559223E-2</c:v>
                </c:pt>
                <c:pt idx="359">
                  <c:v>2.2120804377927055E-2</c:v>
                </c:pt>
                <c:pt idx="360">
                  <c:v>2.2121482753559223E-2</c:v>
                </c:pt>
                <c:pt idx="361">
                  <c:v>2.2121482753559227E-2</c:v>
                </c:pt>
                <c:pt idx="362">
                  <c:v>2.2121482753558359E-2</c:v>
                </c:pt>
                <c:pt idx="363">
                  <c:v>2.2120804377927052E-2</c:v>
                </c:pt>
                <c:pt idx="364">
                  <c:v>2.2121482753559223E-2</c:v>
                </c:pt>
                <c:pt idx="365">
                  <c:v>2.2121482753560094E-2</c:v>
                </c:pt>
                <c:pt idx="366">
                  <c:v>2.2120804377927936E-2</c:v>
                </c:pt>
                <c:pt idx="367">
                  <c:v>2.2120126030018561E-2</c:v>
                </c:pt>
                <c:pt idx="368">
                  <c:v>2.2120804377927055E-2</c:v>
                </c:pt>
                <c:pt idx="369">
                  <c:v>2.2121482753558356E-2</c:v>
                </c:pt>
                <c:pt idx="370">
                  <c:v>2.2120804377926174E-2</c:v>
                </c:pt>
                <c:pt idx="371">
                  <c:v>2.2121482753559223E-2</c:v>
                </c:pt>
                <c:pt idx="372">
                  <c:v>2.2121482753559223E-2</c:v>
                </c:pt>
                <c:pt idx="373">
                  <c:v>2.2121482753559227E-2</c:v>
                </c:pt>
                <c:pt idx="374">
                  <c:v>2.2121482753559227E-2</c:v>
                </c:pt>
                <c:pt idx="375">
                  <c:v>2.2120804377927933E-2</c:v>
                </c:pt>
                <c:pt idx="376">
                  <c:v>2.2121482753560094E-2</c:v>
                </c:pt>
                <c:pt idx="377">
                  <c:v>2.2121482753559223E-2</c:v>
                </c:pt>
                <c:pt idx="378">
                  <c:v>2.2120126030018561E-2</c:v>
                </c:pt>
                <c:pt idx="379">
                  <c:v>2.2121482753559227E-2</c:v>
                </c:pt>
                <c:pt idx="380">
                  <c:v>2.2119447709834171E-2</c:v>
                </c:pt>
                <c:pt idx="381">
                  <c:v>2.2121482753559227E-2</c:v>
                </c:pt>
                <c:pt idx="382">
                  <c:v>2.2120804377927933E-2</c:v>
                </c:pt>
                <c:pt idx="383">
                  <c:v>2.2121482753559223E-2</c:v>
                </c:pt>
                <c:pt idx="384">
                  <c:v>2.2121482753559227E-2</c:v>
                </c:pt>
                <c:pt idx="385">
                  <c:v>2.2121482753559223E-2</c:v>
                </c:pt>
                <c:pt idx="386">
                  <c:v>2.2121482753559223E-2</c:v>
                </c:pt>
                <c:pt idx="387">
                  <c:v>2.2120804377927055E-2</c:v>
                </c:pt>
                <c:pt idx="388">
                  <c:v>2.2121482753559223E-2</c:v>
                </c:pt>
                <c:pt idx="389">
                  <c:v>2.2121482753558356E-2</c:v>
                </c:pt>
                <c:pt idx="390">
                  <c:v>2.2120804377927055E-2</c:v>
                </c:pt>
                <c:pt idx="391">
                  <c:v>2.2120804377927052E-2</c:v>
                </c:pt>
                <c:pt idx="392">
                  <c:v>2.2120804377927933E-2</c:v>
                </c:pt>
                <c:pt idx="393">
                  <c:v>2.2121482753559223E-2</c:v>
                </c:pt>
                <c:pt idx="394">
                  <c:v>2.2120804377927055E-2</c:v>
                </c:pt>
                <c:pt idx="395">
                  <c:v>2.2121482753558356E-2</c:v>
                </c:pt>
                <c:pt idx="396">
                  <c:v>2.2121482753559223E-2</c:v>
                </c:pt>
                <c:pt idx="397">
                  <c:v>2.2121482753558359E-2</c:v>
                </c:pt>
                <c:pt idx="398">
                  <c:v>2.2121482753559223E-2</c:v>
                </c:pt>
                <c:pt idx="399">
                  <c:v>2.2120804377926177E-2</c:v>
                </c:pt>
                <c:pt idx="400">
                  <c:v>2.2121482753558359E-2</c:v>
                </c:pt>
                <c:pt idx="401">
                  <c:v>2.2118769417371596E-2</c:v>
                </c:pt>
                <c:pt idx="402">
                  <c:v>2.2120126030019449E-2</c:v>
                </c:pt>
                <c:pt idx="403">
                  <c:v>2.2120804377927052E-2</c:v>
                </c:pt>
                <c:pt idx="404">
                  <c:v>2.2121482753559223E-2</c:v>
                </c:pt>
                <c:pt idx="405">
                  <c:v>2.2120804377927052E-2</c:v>
                </c:pt>
                <c:pt idx="406">
                  <c:v>2.2121482753559227E-2</c:v>
                </c:pt>
                <c:pt idx="407">
                  <c:v>2.2121482753559227E-2</c:v>
                </c:pt>
                <c:pt idx="408">
                  <c:v>2.2121482753558356E-2</c:v>
                </c:pt>
                <c:pt idx="409">
                  <c:v>2.2121482753558356E-2</c:v>
                </c:pt>
                <c:pt idx="410">
                  <c:v>2.2120804377927052E-2</c:v>
                </c:pt>
                <c:pt idx="411">
                  <c:v>2.2121482753559227E-2</c:v>
                </c:pt>
                <c:pt idx="412">
                  <c:v>2.2121482753559227E-2</c:v>
                </c:pt>
                <c:pt idx="413">
                  <c:v>2.2120126030018561E-2</c:v>
                </c:pt>
                <c:pt idx="414">
                  <c:v>2.2121482753559223E-2</c:v>
                </c:pt>
                <c:pt idx="415">
                  <c:v>2.211944770983507E-2</c:v>
                </c:pt>
                <c:pt idx="416">
                  <c:v>2.2121482753559223E-2</c:v>
                </c:pt>
                <c:pt idx="417">
                  <c:v>2.2120804377927052E-2</c:v>
                </c:pt>
                <c:pt idx="418">
                  <c:v>2.2121482753558356E-2</c:v>
                </c:pt>
                <c:pt idx="419">
                  <c:v>2.2121482753560094E-2</c:v>
                </c:pt>
                <c:pt idx="420">
                  <c:v>2.2121482753559223E-2</c:v>
                </c:pt>
                <c:pt idx="421">
                  <c:v>2.2121482753559227E-2</c:v>
                </c:pt>
                <c:pt idx="422">
                  <c:v>2.2120804377927055E-2</c:v>
                </c:pt>
                <c:pt idx="423">
                  <c:v>2.2121482753560098E-2</c:v>
                </c:pt>
                <c:pt idx="424">
                  <c:v>2.2121482753559223E-2</c:v>
                </c:pt>
                <c:pt idx="425">
                  <c:v>2.2120804377927052E-2</c:v>
                </c:pt>
                <c:pt idx="426">
                  <c:v>2.2120126030019449E-2</c:v>
                </c:pt>
                <c:pt idx="427">
                  <c:v>2.2120804377927052E-2</c:v>
                </c:pt>
                <c:pt idx="428">
                  <c:v>2.2121482753559223E-2</c:v>
                </c:pt>
                <c:pt idx="429">
                  <c:v>2.2120804377927052E-2</c:v>
                </c:pt>
                <c:pt idx="430">
                  <c:v>2.2121482753559227E-2</c:v>
                </c:pt>
                <c:pt idx="431">
                  <c:v>2.2121482753559223E-2</c:v>
                </c:pt>
                <c:pt idx="432">
                  <c:v>2.2121482753559227E-2</c:v>
                </c:pt>
                <c:pt idx="433">
                  <c:v>2.2121482753559223E-2</c:v>
                </c:pt>
                <c:pt idx="434">
                  <c:v>2.2122161156916384E-2</c:v>
                </c:pt>
                <c:pt idx="435">
                  <c:v>2.2121482753559223E-2</c:v>
                </c:pt>
                <c:pt idx="436">
                  <c:v>2.2121482753559227E-2</c:v>
                </c:pt>
                <c:pt idx="437">
                  <c:v>2.2120804377927055E-2</c:v>
                </c:pt>
                <c:pt idx="438">
                  <c:v>2.2120804377927052E-2</c:v>
                </c:pt>
                <c:pt idx="439">
                  <c:v>2.2120126030019449E-2</c:v>
                </c:pt>
                <c:pt idx="440">
                  <c:v>2.2120804377927055E-2</c:v>
                </c:pt>
                <c:pt idx="441">
                  <c:v>2.2120804377927933E-2</c:v>
                </c:pt>
                <c:pt idx="442">
                  <c:v>2.2121482753558359E-2</c:v>
                </c:pt>
                <c:pt idx="443">
                  <c:v>2.2121482753559227E-2</c:v>
                </c:pt>
                <c:pt idx="444">
                  <c:v>2.2121482753559223E-2</c:v>
                </c:pt>
                <c:pt idx="445">
                  <c:v>2.2120804377927052E-2</c:v>
                </c:pt>
                <c:pt idx="446">
                  <c:v>2.2121482753558359E-2</c:v>
                </c:pt>
                <c:pt idx="447">
                  <c:v>2.2121482753558356E-2</c:v>
                </c:pt>
                <c:pt idx="448">
                  <c:v>2.2120126030019449E-2</c:v>
                </c:pt>
                <c:pt idx="449">
                  <c:v>2.2121482753560094E-2</c:v>
                </c:pt>
                <c:pt idx="450">
                  <c:v>2.2119447709834168E-2</c:v>
                </c:pt>
                <c:pt idx="451">
                  <c:v>2.2121482753559223E-2</c:v>
                </c:pt>
                <c:pt idx="452">
                  <c:v>2.2120804377926177E-2</c:v>
                </c:pt>
                <c:pt idx="453">
                  <c:v>2.2121482753558356E-2</c:v>
                </c:pt>
                <c:pt idx="454">
                  <c:v>2.2121482753558356E-2</c:v>
                </c:pt>
                <c:pt idx="455">
                  <c:v>2.2121482753558356E-2</c:v>
                </c:pt>
                <c:pt idx="456">
                  <c:v>2.2121482753559223E-2</c:v>
                </c:pt>
                <c:pt idx="457">
                  <c:v>2.2120804377927055E-2</c:v>
                </c:pt>
                <c:pt idx="458">
                  <c:v>2.2121482753560094E-2</c:v>
                </c:pt>
                <c:pt idx="459">
                  <c:v>2.2121482753559223E-2</c:v>
                </c:pt>
                <c:pt idx="460">
                  <c:v>2.2120804377927933E-2</c:v>
                </c:pt>
                <c:pt idx="461">
                  <c:v>2.2120126030019449E-2</c:v>
                </c:pt>
                <c:pt idx="462">
                  <c:v>2.2120804377927052E-2</c:v>
                </c:pt>
                <c:pt idx="463">
                  <c:v>2.2121482753558359E-2</c:v>
                </c:pt>
                <c:pt idx="464">
                  <c:v>2.2120804377926174E-2</c:v>
                </c:pt>
                <c:pt idx="465">
                  <c:v>2.2121482753559227E-2</c:v>
                </c:pt>
                <c:pt idx="466">
                  <c:v>2.2022378148951183E-2</c:v>
                </c:pt>
                <c:pt idx="467">
                  <c:v>2.1625984688750148E-2</c:v>
                </c:pt>
                <c:pt idx="468">
                  <c:v>2.1242016602144358E-2</c:v>
                </c:pt>
                <c:pt idx="469">
                  <c:v>2.0981320133046193E-2</c:v>
                </c:pt>
                <c:pt idx="470">
                  <c:v>2.0981930477665368E-2</c:v>
                </c:pt>
                <c:pt idx="471">
                  <c:v>2.0981930477665372E-2</c:v>
                </c:pt>
                <c:pt idx="472">
                  <c:v>2.0980709812087994E-2</c:v>
                </c:pt>
                <c:pt idx="473">
                  <c:v>2.0981320133045312E-2</c:v>
                </c:pt>
                <c:pt idx="474">
                  <c:v>2.0980099514791666E-2</c:v>
                </c:pt>
                <c:pt idx="475">
                  <c:v>2.0981930477664498E-2</c:v>
                </c:pt>
                <c:pt idx="476">
                  <c:v>2.0981320133046193E-2</c:v>
                </c:pt>
                <c:pt idx="477">
                  <c:v>2.0981930477664501E-2</c:v>
                </c:pt>
                <c:pt idx="478">
                  <c:v>2.0981930477664498E-2</c:v>
                </c:pt>
                <c:pt idx="479">
                  <c:v>2.0981930477665372E-2</c:v>
                </c:pt>
                <c:pt idx="480">
                  <c:v>2.0981930477664498E-2</c:v>
                </c:pt>
                <c:pt idx="481">
                  <c:v>2.0981320133045316E-2</c:v>
                </c:pt>
                <c:pt idx="482">
                  <c:v>2.0981930477664494E-2</c:v>
                </c:pt>
                <c:pt idx="483">
                  <c:v>2.0981320133045312E-2</c:v>
                </c:pt>
                <c:pt idx="484">
                  <c:v>2.0981930477664498E-2</c:v>
                </c:pt>
                <c:pt idx="485">
                  <c:v>2.0980709812088879E-2</c:v>
                </c:pt>
                <c:pt idx="486">
                  <c:v>2.0983151237891757E-2</c:v>
                </c:pt>
                <c:pt idx="487">
                  <c:v>2.0981320133045312E-2</c:v>
                </c:pt>
                <c:pt idx="488">
                  <c:v>2.0981930477664498E-2</c:v>
                </c:pt>
                <c:pt idx="489">
                  <c:v>2.0981930477664498E-2</c:v>
                </c:pt>
                <c:pt idx="490">
                  <c:v>2.098193047766363E-2</c:v>
                </c:pt>
                <c:pt idx="491">
                  <c:v>2.0981930477664501E-2</c:v>
                </c:pt>
                <c:pt idx="492">
                  <c:v>2.0981320133045312E-2</c:v>
                </c:pt>
                <c:pt idx="493">
                  <c:v>2.0981930477664498E-2</c:v>
                </c:pt>
                <c:pt idx="494">
                  <c:v>2.0981930477664498E-2</c:v>
                </c:pt>
                <c:pt idx="495">
                  <c:v>2.098132013304619E-2</c:v>
                </c:pt>
                <c:pt idx="496">
                  <c:v>2.0980709812088879E-2</c:v>
                </c:pt>
                <c:pt idx="497">
                  <c:v>2.0981320133045316E-2</c:v>
                </c:pt>
                <c:pt idx="498">
                  <c:v>2.0981930477664498E-2</c:v>
                </c:pt>
                <c:pt idx="499">
                  <c:v>2.0981320133045312E-2</c:v>
                </c:pt>
                <c:pt idx="500">
                  <c:v>2.098193047766363E-2</c:v>
                </c:pt>
                <c:pt idx="501">
                  <c:v>2.0981930477664498E-2</c:v>
                </c:pt>
                <c:pt idx="502">
                  <c:v>2.0981930477664501E-2</c:v>
                </c:pt>
                <c:pt idx="503">
                  <c:v>2.0981930477664498E-2</c:v>
                </c:pt>
                <c:pt idx="504">
                  <c:v>2.0981320133046193E-2</c:v>
                </c:pt>
                <c:pt idx="505">
                  <c:v>2.0981930477664498E-2</c:v>
                </c:pt>
                <c:pt idx="506">
                  <c:v>2.0981930477664498E-2</c:v>
                </c:pt>
                <c:pt idx="507">
                  <c:v>2.0980709812087994E-2</c:v>
                </c:pt>
                <c:pt idx="508">
                  <c:v>2.0981320133046193E-2</c:v>
                </c:pt>
                <c:pt idx="509">
                  <c:v>2.0980099514792568E-2</c:v>
                </c:pt>
                <c:pt idx="510">
                  <c:v>2.0981930477664498E-2</c:v>
                </c:pt>
                <c:pt idx="511">
                  <c:v>2.0981320133045312E-2</c:v>
                </c:pt>
                <c:pt idx="512">
                  <c:v>2.0981930477664498E-2</c:v>
                </c:pt>
                <c:pt idx="513">
                  <c:v>2.0981930477664498E-2</c:v>
                </c:pt>
                <c:pt idx="514">
                  <c:v>2.0981930477664498E-2</c:v>
                </c:pt>
                <c:pt idx="515">
                  <c:v>2.0981930477664498E-2</c:v>
                </c:pt>
                <c:pt idx="516">
                  <c:v>2.0981930477664494E-2</c:v>
                </c:pt>
                <c:pt idx="517">
                  <c:v>2.0981930477664498E-2</c:v>
                </c:pt>
                <c:pt idx="518">
                  <c:v>2.098193047766363E-2</c:v>
                </c:pt>
                <c:pt idx="519">
                  <c:v>2.0978878991178312E-2</c:v>
                </c:pt>
                <c:pt idx="520">
                  <c:v>2.0980709812088882E-2</c:v>
                </c:pt>
                <c:pt idx="521">
                  <c:v>2.0980099514793467E-2</c:v>
                </c:pt>
                <c:pt idx="522">
                  <c:v>2.0981320133045312E-2</c:v>
                </c:pt>
                <c:pt idx="523">
                  <c:v>2.0983151237891753E-2</c:v>
                </c:pt>
                <c:pt idx="524">
                  <c:v>2.0981930477664501E-2</c:v>
                </c:pt>
                <c:pt idx="525">
                  <c:v>2.0981930477664498E-2</c:v>
                </c:pt>
                <c:pt idx="526">
                  <c:v>2.0981930477664494E-2</c:v>
                </c:pt>
                <c:pt idx="527">
                  <c:v>2.098132013304619E-2</c:v>
                </c:pt>
                <c:pt idx="528">
                  <c:v>2.098193047766363E-2</c:v>
                </c:pt>
                <c:pt idx="529">
                  <c:v>2.0981930477664494E-2</c:v>
                </c:pt>
                <c:pt idx="530">
                  <c:v>2.098132013304619E-2</c:v>
                </c:pt>
                <c:pt idx="531">
                  <c:v>2.0981320133046193E-2</c:v>
                </c:pt>
                <c:pt idx="532">
                  <c:v>2.0981320133045316E-2</c:v>
                </c:pt>
                <c:pt idx="533">
                  <c:v>2.0981930477664498E-2</c:v>
                </c:pt>
                <c:pt idx="534">
                  <c:v>2.0981320133046193E-2</c:v>
                </c:pt>
                <c:pt idx="535">
                  <c:v>2.0981930477665368E-2</c:v>
                </c:pt>
                <c:pt idx="536">
                  <c:v>2.0981930477665368E-2</c:v>
                </c:pt>
                <c:pt idx="537">
                  <c:v>2.0981930477664505E-2</c:v>
                </c:pt>
                <c:pt idx="538">
                  <c:v>2.0981930477664498E-2</c:v>
                </c:pt>
                <c:pt idx="539">
                  <c:v>2.0981320133046193E-2</c:v>
                </c:pt>
                <c:pt idx="540">
                  <c:v>2.0981930477664498E-2</c:v>
                </c:pt>
                <c:pt idx="541">
                  <c:v>2.0981930477664494E-2</c:v>
                </c:pt>
                <c:pt idx="542">
                  <c:v>2.0980709812088882E-2</c:v>
                </c:pt>
                <c:pt idx="543">
                  <c:v>2.0981320133046193E-2</c:v>
                </c:pt>
                <c:pt idx="544">
                  <c:v>2.0980099514792565E-2</c:v>
                </c:pt>
                <c:pt idx="545">
                  <c:v>2.0981930477665368E-2</c:v>
                </c:pt>
                <c:pt idx="546">
                  <c:v>2.0981320133046193E-2</c:v>
                </c:pt>
                <c:pt idx="547">
                  <c:v>2.0981930477665368E-2</c:v>
                </c:pt>
                <c:pt idx="548">
                  <c:v>2.0981930477664498E-2</c:v>
                </c:pt>
                <c:pt idx="549">
                  <c:v>2.0981930477664498E-2</c:v>
                </c:pt>
                <c:pt idx="550">
                  <c:v>2.0981930477664498E-2</c:v>
                </c:pt>
                <c:pt idx="551">
                  <c:v>2.0981320133045312E-2</c:v>
                </c:pt>
                <c:pt idx="552">
                  <c:v>2.0981930477665368E-2</c:v>
                </c:pt>
                <c:pt idx="553">
                  <c:v>2.0981930477665372E-2</c:v>
                </c:pt>
                <c:pt idx="554">
                  <c:v>2.0981320133045312E-2</c:v>
                </c:pt>
                <c:pt idx="555">
                  <c:v>2.0980709812088882E-2</c:v>
                </c:pt>
                <c:pt idx="556">
                  <c:v>2.0981320133045309E-2</c:v>
                </c:pt>
                <c:pt idx="557">
                  <c:v>2.0981930477664498E-2</c:v>
                </c:pt>
                <c:pt idx="558">
                  <c:v>2.0981320133046193E-2</c:v>
                </c:pt>
                <c:pt idx="559">
                  <c:v>2.0981930477664494E-2</c:v>
                </c:pt>
                <c:pt idx="560">
                  <c:v>2.0981930477664498E-2</c:v>
                </c:pt>
                <c:pt idx="561">
                  <c:v>2.098193047766363E-2</c:v>
                </c:pt>
                <c:pt idx="562">
                  <c:v>2.0981320133046193E-2</c:v>
                </c:pt>
                <c:pt idx="563">
                  <c:v>2.0981930477664498E-2</c:v>
                </c:pt>
                <c:pt idx="564">
                  <c:v>2.0981930477664501E-2</c:v>
                </c:pt>
                <c:pt idx="565">
                  <c:v>2.0981320133046197E-2</c:v>
                </c:pt>
                <c:pt idx="566">
                  <c:v>2.0980709812087994E-2</c:v>
                </c:pt>
                <c:pt idx="567">
                  <c:v>2.098132013304619E-2</c:v>
                </c:pt>
                <c:pt idx="568">
                  <c:v>2.098193047766363E-2</c:v>
                </c:pt>
                <c:pt idx="569">
                  <c:v>2.098132013304619E-2</c:v>
                </c:pt>
                <c:pt idx="570">
                  <c:v>2.0981930477663627E-2</c:v>
                </c:pt>
                <c:pt idx="571">
                  <c:v>2.0981930477664494E-2</c:v>
                </c:pt>
                <c:pt idx="572">
                  <c:v>2.0981930477665372E-2</c:v>
                </c:pt>
                <c:pt idx="573">
                  <c:v>2.0981930477664501E-2</c:v>
                </c:pt>
                <c:pt idx="574">
                  <c:v>2.0981320133044441E-2</c:v>
                </c:pt>
                <c:pt idx="575">
                  <c:v>2.0981930477664491E-2</c:v>
                </c:pt>
                <c:pt idx="576">
                  <c:v>2.0981930477664498E-2</c:v>
                </c:pt>
                <c:pt idx="577">
                  <c:v>2.0981320133045312E-2</c:v>
                </c:pt>
                <c:pt idx="578">
                  <c:v>2.0981320133044434E-2</c:v>
                </c:pt>
                <c:pt idx="579">
                  <c:v>2.0980709812088882E-2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341888"/>
        <c:axId val="364347776"/>
      </c:lineChart>
      <c:dateAx>
        <c:axId val="3643418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4347776"/>
        <c:crosses val="autoZero"/>
        <c:auto val="1"/>
        <c:lblOffset val="100"/>
        <c:baseTimeUnit val="months"/>
      </c:dateAx>
      <c:valAx>
        <c:axId val="36434777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4341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 Depo Charts'!$AF$3:$AF$132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42030</c:v>
                </c:pt>
                <c:pt idx="96">
                  <c:v>42031</c:v>
                </c:pt>
                <c:pt idx="97">
                  <c:v>42032</c:v>
                </c:pt>
                <c:pt idx="98">
                  <c:v>42033</c:v>
                </c:pt>
                <c:pt idx="99">
                  <c:v>42034</c:v>
                </c:pt>
                <c:pt idx="100">
                  <c:v>42037</c:v>
                </c:pt>
                <c:pt idx="101">
                  <c:v>42038</c:v>
                </c:pt>
                <c:pt idx="102">
                  <c:v>42039</c:v>
                </c:pt>
                <c:pt idx="103">
                  <c:v>42040</c:v>
                </c:pt>
                <c:pt idx="104">
                  <c:v>42041</c:v>
                </c:pt>
                <c:pt idx="105">
                  <c:v>42044</c:v>
                </c:pt>
                <c:pt idx="106">
                  <c:v>42045</c:v>
                </c:pt>
                <c:pt idx="107">
                  <c:v>42046</c:v>
                </c:pt>
                <c:pt idx="108">
                  <c:v>42047</c:v>
                </c:pt>
                <c:pt idx="109">
                  <c:v>42048</c:v>
                </c:pt>
                <c:pt idx="110">
                  <c:v>42051</c:v>
                </c:pt>
                <c:pt idx="111">
                  <c:v>42052</c:v>
                </c:pt>
                <c:pt idx="112">
                  <c:v>42053</c:v>
                </c:pt>
                <c:pt idx="113">
                  <c:v>42054</c:v>
                </c:pt>
                <c:pt idx="114">
                  <c:v>42055</c:v>
                </c:pt>
                <c:pt idx="115">
                  <c:v>42058</c:v>
                </c:pt>
                <c:pt idx="116">
                  <c:v>42059</c:v>
                </c:pt>
                <c:pt idx="117">
                  <c:v>42060</c:v>
                </c:pt>
                <c:pt idx="118">
                  <c:v>42061</c:v>
                </c:pt>
                <c:pt idx="119">
                  <c:v>42062</c:v>
                </c:pt>
                <c:pt idx="120">
                  <c:v>42065</c:v>
                </c:pt>
                <c:pt idx="121">
                  <c:v>42066</c:v>
                </c:pt>
                <c:pt idx="122">
                  <c:v>42067</c:v>
                </c:pt>
                <c:pt idx="123">
                  <c:v>42068</c:v>
                </c:pt>
                <c:pt idx="124">
                  <c:v>42069</c:v>
                </c:pt>
                <c:pt idx="125">
                  <c:v>42072</c:v>
                </c:pt>
                <c:pt idx="126">
                  <c:v>42073</c:v>
                </c:pt>
                <c:pt idx="127">
                  <c:v>42074</c:v>
                </c:pt>
                <c:pt idx="128">
                  <c:v>42075</c:v>
                </c:pt>
                <c:pt idx="129">
                  <c:v>42076</c:v>
                </c:pt>
              </c:numCache>
            </c:numRef>
          </c:cat>
          <c:val>
            <c:numRef>
              <c:f>'3M Depo Charts'!$AH$3:$AH$132</c:f>
              <c:numCache>
                <c:formatCode>0.0000%</c:formatCode>
                <c:ptCount val="130"/>
                <c:pt idx="0">
                  <c:v>1.6127686202411261E-3</c:v>
                </c:pt>
                <c:pt idx="1">
                  <c:v>1.6127686202411261E-3</c:v>
                </c:pt>
                <c:pt idx="2">
                  <c:v>1.6127686202411261E-3</c:v>
                </c:pt>
                <c:pt idx="3">
                  <c:v>1.6127686202411261E-3</c:v>
                </c:pt>
                <c:pt idx="4">
                  <c:v>1.6127686202411261E-3</c:v>
                </c:pt>
                <c:pt idx="5">
                  <c:v>1.6127686202411261E-3</c:v>
                </c:pt>
                <c:pt idx="6">
                  <c:v>1.6127686202411261E-3</c:v>
                </c:pt>
                <c:pt idx="7">
                  <c:v>1.6127686202411261E-3</c:v>
                </c:pt>
                <c:pt idx="8">
                  <c:v>1.6127686202411261E-3</c:v>
                </c:pt>
                <c:pt idx="9">
                  <c:v>1.6127686202411261E-3</c:v>
                </c:pt>
                <c:pt idx="10">
                  <c:v>1.6127686202411261E-3</c:v>
                </c:pt>
                <c:pt idx="11">
                  <c:v>1.6127686202411261E-3</c:v>
                </c:pt>
                <c:pt idx="12">
                  <c:v>1.6127686202411261E-3</c:v>
                </c:pt>
                <c:pt idx="13">
                  <c:v>1.6127686202411261E-3</c:v>
                </c:pt>
                <c:pt idx="14">
                  <c:v>1.6127686202411261E-3</c:v>
                </c:pt>
                <c:pt idx="15">
                  <c:v>1.6127686202411261E-3</c:v>
                </c:pt>
                <c:pt idx="16">
                  <c:v>1.6127686202411261E-3</c:v>
                </c:pt>
                <c:pt idx="17">
                  <c:v>1.6127686202411261E-3</c:v>
                </c:pt>
                <c:pt idx="18">
                  <c:v>1.6127686202411261E-3</c:v>
                </c:pt>
                <c:pt idx="19">
                  <c:v>1.6127686202411261E-3</c:v>
                </c:pt>
                <c:pt idx="20">
                  <c:v>1.6127686202411261E-3</c:v>
                </c:pt>
                <c:pt idx="21">
                  <c:v>1.6127686202411261E-3</c:v>
                </c:pt>
                <c:pt idx="22">
                  <c:v>1.6127686202411261E-3</c:v>
                </c:pt>
                <c:pt idx="23">
                  <c:v>1.6127686202411261E-3</c:v>
                </c:pt>
                <c:pt idx="24">
                  <c:v>1.6127686202411261E-3</c:v>
                </c:pt>
                <c:pt idx="25">
                  <c:v>1.6127686202411261E-3</c:v>
                </c:pt>
                <c:pt idx="26">
                  <c:v>1.6127686202411261E-3</c:v>
                </c:pt>
                <c:pt idx="27">
                  <c:v>1.6127686202411261E-3</c:v>
                </c:pt>
                <c:pt idx="28">
                  <c:v>1.6127686202411261E-3</c:v>
                </c:pt>
                <c:pt idx="29">
                  <c:v>1.6127686202411261E-3</c:v>
                </c:pt>
                <c:pt idx="30">
                  <c:v>1.6127686202411261E-3</c:v>
                </c:pt>
                <c:pt idx="31">
                  <c:v>1.6127686202411261E-3</c:v>
                </c:pt>
                <c:pt idx="32">
                  <c:v>1.6127686202411261E-3</c:v>
                </c:pt>
                <c:pt idx="33">
                  <c:v>1.6127686202411261E-3</c:v>
                </c:pt>
                <c:pt idx="34">
                  <c:v>1.6127686202411261E-3</c:v>
                </c:pt>
                <c:pt idx="35">
                  <c:v>1.6127686202411261E-3</c:v>
                </c:pt>
                <c:pt idx="36">
                  <c:v>1.6127686202411261E-3</c:v>
                </c:pt>
                <c:pt idx="37">
                  <c:v>1.6127686202411261E-3</c:v>
                </c:pt>
                <c:pt idx="38">
                  <c:v>1.6127686202411261E-3</c:v>
                </c:pt>
                <c:pt idx="39">
                  <c:v>1.6127686202411261E-3</c:v>
                </c:pt>
                <c:pt idx="40">
                  <c:v>1.6127686202411261E-3</c:v>
                </c:pt>
                <c:pt idx="41">
                  <c:v>1.6127686202411261E-3</c:v>
                </c:pt>
                <c:pt idx="42">
                  <c:v>1.6127686202411261E-3</c:v>
                </c:pt>
                <c:pt idx="43">
                  <c:v>1.6127686202411261E-3</c:v>
                </c:pt>
                <c:pt idx="44">
                  <c:v>1.6127686202411261E-3</c:v>
                </c:pt>
                <c:pt idx="45">
                  <c:v>1.6127686202411261E-3</c:v>
                </c:pt>
                <c:pt idx="46">
                  <c:v>1.6127686202411261E-3</c:v>
                </c:pt>
                <c:pt idx="47">
                  <c:v>1.6127686202411261E-3</c:v>
                </c:pt>
                <c:pt idx="48">
                  <c:v>1.6127686202411261E-3</c:v>
                </c:pt>
                <c:pt idx="49">
                  <c:v>1.6127686202411261E-3</c:v>
                </c:pt>
                <c:pt idx="50">
                  <c:v>1.6127686202411261E-3</c:v>
                </c:pt>
                <c:pt idx="51">
                  <c:v>1.6127686202411261E-3</c:v>
                </c:pt>
                <c:pt idx="52">
                  <c:v>1.6127686202411261E-3</c:v>
                </c:pt>
                <c:pt idx="53">
                  <c:v>1.6127686202411261E-3</c:v>
                </c:pt>
                <c:pt idx="54">
                  <c:v>1.6127686202411261E-3</c:v>
                </c:pt>
                <c:pt idx="55">
                  <c:v>1.6127686202411261E-3</c:v>
                </c:pt>
                <c:pt idx="56">
                  <c:v>1.6127686202411261E-3</c:v>
                </c:pt>
                <c:pt idx="57">
                  <c:v>1.6127686202411261E-3</c:v>
                </c:pt>
                <c:pt idx="58">
                  <c:v>1.6127686202411261E-3</c:v>
                </c:pt>
                <c:pt idx="59">
                  <c:v>1.6127686202411261E-3</c:v>
                </c:pt>
                <c:pt idx="60">
                  <c:v>1.6127686202411261E-3</c:v>
                </c:pt>
                <c:pt idx="61">
                  <c:v>1.6127686202411261E-3</c:v>
                </c:pt>
                <c:pt idx="62">
                  <c:v>1.6127686202411261E-3</c:v>
                </c:pt>
                <c:pt idx="63">
                  <c:v>1.6127686202411261E-3</c:v>
                </c:pt>
                <c:pt idx="64">
                  <c:v>1.6127686202411261E-3</c:v>
                </c:pt>
                <c:pt idx="65">
                  <c:v>1.6127686202411261E-3</c:v>
                </c:pt>
                <c:pt idx="66">
                  <c:v>1.6127686202411261E-3</c:v>
                </c:pt>
                <c:pt idx="67">
                  <c:v>1.6127686202411261E-3</c:v>
                </c:pt>
                <c:pt idx="68">
                  <c:v>1.6127686202411261E-3</c:v>
                </c:pt>
                <c:pt idx="69">
                  <c:v>1.6127686202411261E-3</c:v>
                </c:pt>
                <c:pt idx="70">
                  <c:v>1.6127686202411261E-3</c:v>
                </c:pt>
                <c:pt idx="71">
                  <c:v>1.6127686202411261E-3</c:v>
                </c:pt>
                <c:pt idx="72">
                  <c:v>1.6127686202411261E-3</c:v>
                </c:pt>
                <c:pt idx="73">
                  <c:v>1.6127686202411261E-3</c:v>
                </c:pt>
                <c:pt idx="74">
                  <c:v>1.6127686202411261E-3</c:v>
                </c:pt>
                <c:pt idx="75">
                  <c:v>1.6127686202411261E-3</c:v>
                </c:pt>
                <c:pt idx="76">
                  <c:v>1.6127686202411261E-3</c:v>
                </c:pt>
                <c:pt idx="77">
                  <c:v>1.6127686202411261E-3</c:v>
                </c:pt>
                <c:pt idx="78">
                  <c:v>1.6127686202411261E-3</c:v>
                </c:pt>
                <c:pt idx="79">
                  <c:v>1.6127686202411261E-3</c:v>
                </c:pt>
                <c:pt idx="80">
                  <c:v>1.6127686202411261E-3</c:v>
                </c:pt>
                <c:pt idx="81">
                  <c:v>1.6127686202411261E-3</c:v>
                </c:pt>
                <c:pt idx="82">
                  <c:v>1.6127686202411261E-3</c:v>
                </c:pt>
                <c:pt idx="83">
                  <c:v>1.6127686202411261E-3</c:v>
                </c:pt>
                <c:pt idx="84">
                  <c:v>1.6127686202411261E-3</c:v>
                </c:pt>
                <c:pt idx="85">
                  <c:v>1.6127686202411261E-3</c:v>
                </c:pt>
                <c:pt idx="86">
                  <c:v>1.6127686202411261E-3</c:v>
                </c:pt>
                <c:pt idx="87">
                  <c:v>1.6127686202411261E-3</c:v>
                </c:pt>
                <c:pt idx="88">
                  <c:v>1.6127686202411261E-3</c:v>
                </c:pt>
                <c:pt idx="89">
                  <c:v>1.6127686202411261E-3</c:v>
                </c:pt>
                <c:pt idx="90">
                  <c:v>1.6127686202411261E-3</c:v>
                </c:pt>
                <c:pt idx="91">
                  <c:v>1.6127686202411261E-3</c:v>
                </c:pt>
                <c:pt idx="92">
                  <c:v>1.6127686202411261E-3</c:v>
                </c:pt>
                <c:pt idx="93">
                  <c:v>1.6127686202411261E-3</c:v>
                </c:pt>
                <c:pt idx="94">
                  <c:v>1.6127686202411261E-3</c:v>
                </c:pt>
                <c:pt idx="95">
                  <c:v>1.6127686202411261E-3</c:v>
                </c:pt>
                <c:pt idx="96">
                  <c:v>1.6127686202411261E-3</c:v>
                </c:pt>
                <c:pt idx="97">
                  <c:v>1.6127686202411261E-3</c:v>
                </c:pt>
                <c:pt idx="98">
                  <c:v>1.6127686202411261E-3</c:v>
                </c:pt>
                <c:pt idx="99">
                  <c:v>1.6127686202411261E-3</c:v>
                </c:pt>
                <c:pt idx="100">
                  <c:v>1.6127686202411261E-3</c:v>
                </c:pt>
                <c:pt idx="101">
                  <c:v>1.6127686202411261E-3</c:v>
                </c:pt>
                <c:pt idx="102">
                  <c:v>1.6127686202411261E-3</c:v>
                </c:pt>
                <c:pt idx="103">
                  <c:v>1.6127686202411261E-3</c:v>
                </c:pt>
                <c:pt idx="104">
                  <c:v>1.6127686202411261E-3</c:v>
                </c:pt>
                <c:pt idx="105">
                  <c:v>1.6127686202411261E-3</c:v>
                </c:pt>
                <c:pt idx="106">
                  <c:v>1.6127686202411261E-3</c:v>
                </c:pt>
                <c:pt idx="107">
                  <c:v>1.6127686202411261E-3</c:v>
                </c:pt>
                <c:pt idx="108">
                  <c:v>1.6127686202411261E-3</c:v>
                </c:pt>
                <c:pt idx="109">
                  <c:v>1.6127686202411261E-3</c:v>
                </c:pt>
                <c:pt idx="110">
                  <c:v>1.6127686202411261E-3</c:v>
                </c:pt>
                <c:pt idx="111">
                  <c:v>1.6127686202411261E-3</c:v>
                </c:pt>
                <c:pt idx="112">
                  <c:v>1.6127686202411261E-3</c:v>
                </c:pt>
                <c:pt idx="113">
                  <c:v>1.6127686202411261E-3</c:v>
                </c:pt>
                <c:pt idx="114">
                  <c:v>1.6127686202411261E-3</c:v>
                </c:pt>
                <c:pt idx="115">
                  <c:v>1.6127686202411261E-3</c:v>
                </c:pt>
                <c:pt idx="116">
                  <c:v>1.6127686202411261E-3</c:v>
                </c:pt>
                <c:pt idx="117">
                  <c:v>1.6127686202411261E-3</c:v>
                </c:pt>
                <c:pt idx="118">
                  <c:v>1.6127686202411261E-3</c:v>
                </c:pt>
                <c:pt idx="119">
                  <c:v>1.6127686202411261E-3</c:v>
                </c:pt>
                <c:pt idx="120">
                  <c:v>1.6127686202411261E-3</c:v>
                </c:pt>
                <c:pt idx="121">
                  <c:v>1.6127686202411261E-3</c:v>
                </c:pt>
                <c:pt idx="122">
                  <c:v>1.6127686202411261E-3</c:v>
                </c:pt>
                <c:pt idx="123">
                  <c:v>1.6127686202411261E-3</c:v>
                </c:pt>
                <c:pt idx="124">
                  <c:v>1.6127686202411261E-3</c:v>
                </c:pt>
                <c:pt idx="125">
                  <c:v>1.6127686202411261E-3</c:v>
                </c:pt>
                <c:pt idx="126">
                  <c:v>1.6127686202411261E-3</c:v>
                </c:pt>
                <c:pt idx="127">
                  <c:v>1.6127686202411261E-3</c:v>
                </c:pt>
                <c:pt idx="128">
                  <c:v>1.6127686202411261E-3</c:v>
                </c:pt>
                <c:pt idx="129">
                  <c:v>1.6127686202411261E-3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 Depo Charts'!$AI$2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 Depo Charts'!$AF$3:$AF$132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42030</c:v>
                </c:pt>
                <c:pt idx="96">
                  <c:v>42031</c:v>
                </c:pt>
                <c:pt idx="97">
                  <c:v>42032</c:v>
                </c:pt>
                <c:pt idx="98">
                  <c:v>42033</c:v>
                </c:pt>
                <c:pt idx="99">
                  <c:v>42034</c:v>
                </c:pt>
                <c:pt idx="100">
                  <c:v>42037</c:v>
                </c:pt>
                <c:pt idx="101">
                  <c:v>42038</c:v>
                </c:pt>
                <c:pt idx="102">
                  <c:v>42039</c:v>
                </c:pt>
                <c:pt idx="103">
                  <c:v>42040</c:v>
                </c:pt>
                <c:pt idx="104">
                  <c:v>42041</c:v>
                </c:pt>
                <c:pt idx="105">
                  <c:v>42044</c:v>
                </c:pt>
                <c:pt idx="106">
                  <c:v>42045</c:v>
                </c:pt>
                <c:pt idx="107">
                  <c:v>42046</c:v>
                </c:pt>
                <c:pt idx="108">
                  <c:v>42047</c:v>
                </c:pt>
                <c:pt idx="109">
                  <c:v>42048</c:v>
                </c:pt>
                <c:pt idx="110">
                  <c:v>42051</c:v>
                </c:pt>
                <c:pt idx="111">
                  <c:v>42052</c:v>
                </c:pt>
                <c:pt idx="112">
                  <c:v>42053</c:v>
                </c:pt>
                <c:pt idx="113">
                  <c:v>42054</c:v>
                </c:pt>
                <c:pt idx="114">
                  <c:v>42055</c:v>
                </c:pt>
                <c:pt idx="115">
                  <c:v>42058</c:v>
                </c:pt>
                <c:pt idx="116">
                  <c:v>42059</c:v>
                </c:pt>
                <c:pt idx="117">
                  <c:v>42060</c:v>
                </c:pt>
                <c:pt idx="118">
                  <c:v>42061</c:v>
                </c:pt>
                <c:pt idx="119">
                  <c:v>42062</c:v>
                </c:pt>
                <c:pt idx="120">
                  <c:v>42065</c:v>
                </c:pt>
                <c:pt idx="121">
                  <c:v>42066</c:v>
                </c:pt>
                <c:pt idx="122">
                  <c:v>42067</c:v>
                </c:pt>
                <c:pt idx="123">
                  <c:v>42068</c:v>
                </c:pt>
                <c:pt idx="124">
                  <c:v>42069</c:v>
                </c:pt>
                <c:pt idx="125">
                  <c:v>42072</c:v>
                </c:pt>
                <c:pt idx="126">
                  <c:v>42073</c:v>
                </c:pt>
                <c:pt idx="127">
                  <c:v>42074</c:v>
                </c:pt>
                <c:pt idx="128">
                  <c:v>42075</c:v>
                </c:pt>
                <c:pt idx="129">
                  <c:v>42076</c:v>
                </c:pt>
              </c:numCache>
            </c:numRef>
          </c:cat>
          <c:val>
            <c:numRef>
              <c:f>'3M Depo Charts'!$AI$3:$AI$132</c:f>
              <c:numCache>
                <c:formatCode>0.0000%</c:formatCode>
                <c:ptCount val="130"/>
                <c:pt idx="0">
                  <c:v>1.655514629263102E-3</c:v>
                </c:pt>
                <c:pt idx="1">
                  <c:v>1.6545751565373442E-3</c:v>
                </c:pt>
                <c:pt idx="2">
                  <c:v>1.6536356838115864E-3</c:v>
                </c:pt>
                <c:pt idx="3">
                  <c:v>1.6508172656343133E-3</c:v>
                </c:pt>
                <c:pt idx="4">
                  <c:v>1.6498777929085556E-3</c:v>
                </c:pt>
                <c:pt idx="5">
                  <c:v>1.6489383201827978E-3</c:v>
                </c:pt>
                <c:pt idx="6">
                  <c:v>1.6479988474570402E-3</c:v>
                </c:pt>
                <c:pt idx="7">
                  <c:v>1.6470593747312824E-3</c:v>
                </c:pt>
                <c:pt idx="8">
                  <c:v>1.6442409565540091E-3</c:v>
                </c:pt>
                <c:pt idx="9">
                  <c:v>1.6433014838282516E-3</c:v>
                </c:pt>
                <c:pt idx="10">
                  <c:v>1.6423620111024938E-3</c:v>
                </c:pt>
                <c:pt idx="11">
                  <c:v>1.641422538376736E-3</c:v>
                </c:pt>
                <c:pt idx="12">
                  <c:v>1.6404830656509782E-3</c:v>
                </c:pt>
                <c:pt idx="13">
                  <c:v>1.6376646474737051E-3</c:v>
                </c:pt>
                <c:pt idx="14">
                  <c:v>1.6367251747479473E-3</c:v>
                </c:pt>
                <c:pt idx="15">
                  <c:v>1.6357857020221896E-3</c:v>
                </c:pt>
                <c:pt idx="16">
                  <c:v>1.634846229296432E-3</c:v>
                </c:pt>
                <c:pt idx="17">
                  <c:v>1.6339067565706742E-3</c:v>
                </c:pt>
                <c:pt idx="18">
                  <c:v>1.6310883383934009E-3</c:v>
                </c:pt>
                <c:pt idx="19">
                  <c:v>1.6301488656676434E-3</c:v>
                </c:pt>
                <c:pt idx="20">
                  <c:v>1.6292093929418856E-3</c:v>
                </c:pt>
                <c:pt idx="21">
                  <c:v>1.6282699202161278E-3</c:v>
                </c:pt>
                <c:pt idx="22">
                  <c:v>1.62733044749037E-3</c:v>
                </c:pt>
                <c:pt idx="23">
                  <c:v>1.6245120293130969E-3</c:v>
                </c:pt>
                <c:pt idx="24">
                  <c:v>1.6235725565873391E-3</c:v>
                </c:pt>
                <c:pt idx="25">
                  <c:v>1.6226330838615814E-3</c:v>
                </c:pt>
                <c:pt idx="26">
                  <c:v>1.6216936111358236E-3</c:v>
                </c:pt>
                <c:pt idx="27">
                  <c:v>1.620754138410066E-3</c:v>
                </c:pt>
                <c:pt idx="28">
                  <c:v>1.6179357202327927E-3</c:v>
                </c:pt>
                <c:pt idx="29">
                  <c:v>1.6169962475070349E-3</c:v>
                </c:pt>
                <c:pt idx="30">
                  <c:v>1.6160567747812774E-3</c:v>
                </c:pt>
                <c:pt idx="31">
                  <c:v>1.6151173020555196E-3</c:v>
                </c:pt>
                <c:pt idx="32">
                  <c:v>1.6141778293297618E-3</c:v>
                </c:pt>
                <c:pt idx="33">
                  <c:v>1.6113594111524887E-3</c:v>
                </c:pt>
                <c:pt idx="34">
                  <c:v>1.6104199384267309E-3</c:v>
                </c:pt>
                <c:pt idx="35">
                  <c:v>1.6094804657009732E-3</c:v>
                </c:pt>
                <c:pt idx="36">
                  <c:v>1.6085409929752154E-3</c:v>
                </c:pt>
                <c:pt idx="37">
                  <c:v>1.6076015202494576E-3</c:v>
                </c:pt>
                <c:pt idx="38">
                  <c:v>1.6047831020721845E-3</c:v>
                </c:pt>
                <c:pt idx="39">
                  <c:v>1.6038436293464267E-3</c:v>
                </c:pt>
                <c:pt idx="40">
                  <c:v>1.6029041566206692E-3</c:v>
                </c:pt>
                <c:pt idx="41">
                  <c:v>1.6019646838949114E-3</c:v>
                </c:pt>
                <c:pt idx="42">
                  <c:v>1.6010252111691536E-3</c:v>
                </c:pt>
                <c:pt idx="43">
                  <c:v>1.5982067929918805E-3</c:v>
                </c:pt>
                <c:pt idx="44">
                  <c:v>1.5972673202661227E-3</c:v>
                </c:pt>
                <c:pt idx="45">
                  <c:v>1.596327847540365E-3</c:v>
                </c:pt>
                <c:pt idx="46">
                  <c:v>1.5953883748146072E-3</c:v>
                </c:pt>
                <c:pt idx="47">
                  <c:v>1.5944489020888494E-3</c:v>
                </c:pt>
                <c:pt idx="48">
                  <c:v>1.5916304839115763E-3</c:v>
                </c:pt>
                <c:pt idx="49">
                  <c:v>1.5906910111858185E-3</c:v>
                </c:pt>
                <c:pt idx="50">
                  <c:v>1.5897515384600608E-3</c:v>
                </c:pt>
                <c:pt idx="51">
                  <c:v>1.5888120657343032E-3</c:v>
                </c:pt>
                <c:pt idx="52">
                  <c:v>1.5878725930085454E-3</c:v>
                </c:pt>
                <c:pt idx="53">
                  <c:v>1.5850541748312721E-3</c:v>
                </c:pt>
                <c:pt idx="54">
                  <c:v>1.5841147021055145E-3</c:v>
                </c:pt>
                <c:pt idx="55">
                  <c:v>1.5831752293797568E-3</c:v>
                </c:pt>
                <c:pt idx="56">
                  <c:v>1.582235756653999E-3</c:v>
                </c:pt>
                <c:pt idx="57">
                  <c:v>1.5812962839282412E-3</c:v>
                </c:pt>
                <c:pt idx="58">
                  <c:v>1.5784778657509681E-3</c:v>
                </c:pt>
                <c:pt idx="59">
                  <c:v>1.5775383930252103E-3</c:v>
                </c:pt>
                <c:pt idx="60">
                  <c:v>1.5765989202994525E-3</c:v>
                </c:pt>
                <c:pt idx="61">
                  <c:v>1.5756594475736948E-3</c:v>
                </c:pt>
                <c:pt idx="62">
                  <c:v>1.5747199748479372E-3</c:v>
                </c:pt>
                <c:pt idx="63">
                  <c:v>1.5719015566706639E-3</c:v>
                </c:pt>
                <c:pt idx="64">
                  <c:v>1.5709620839449061E-3</c:v>
                </c:pt>
                <c:pt idx="65">
                  <c:v>1.5700226112191486E-3</c:v>
                </c:pt>
                <c:pt idx="66">
                  <c:v>1.5690831384933908E-3</c:v>
                </c:pt>
                <c:pt idx="67">
                  <c:v>1.568143665767633E-3</c:v>
                </c:pt>
                <c:pt idx="68">
                  <c:v>1.5653252475903599E-3</c:v>
                </c:pt>
                <c:pt idx="69">
                  <c:v>1.5643857748646021E-3</c:v>
                </c:pt>
                <c:pt idx="70">
                  <c:v>1.5634463021388443E-3</c:v>
                </c:pt>
                <c:pt idx="71">
                  <c:v>1.5625068294130866E-3</c:v>
                </c:pt>
                <c:pt idx="72">
                  <c:v>1.561567356687329E-3</c:v>
                </c:pt>
                <c:pt idx="73">
                  <c:v>1.5587489385100557E-3</c:v>
                </c:pt>
                <c:pt idx="74">
                  <c:v>1.5578094657842979E-3</c:v>
                </c:pt>
                <c:pt idx="75">
                  <c:v>1.5568699930585404E-3</c:v>
                </c:pt>
                <c:pt idx="76">
                  <c:v>1.5521726294297517E-3</c:v>
                </c:pt>
                <c:pt idx="77">
                  <c:v>1.5512331567039939E-3</c:v>
                </c:pt>
                <c:pt idx="78">
                  <c:v>1.5502936839782361E-3</c:v>
                </c:pt>
                <c:pt idx="79">
                  <c:v>1.5484147385267206E-3</c:v>
                </c:pt>
                <c:pt idx="80">
                  <c:v>1.5455963203494475E-3</c:v>
                </c:pt>
                <c:pt idx="81">
                  <c:v>1.5446568476236897E-3</c:v>
                </c:pt>
                <c:pt idx="82">
                  <c:v>1.5437173748979319E-3</c:v>
                </c:pt>
                <c:pt idx="83">
                  <c:v>1.5427779021721744E-3</c:v>
                </c:pt>
                <c:pt idx="84">
                  <c:v>1.5418384294464166E-3</c:v>
                </c:pt>
                <c:pt idx="85">
                  <c:v>1.5390200112691435E-3</c:v>
                </c:pt>
                <c:pt idx="86">
                  <c:v>1.5380805385433857E-3</c:v>
                </c:pt>
                <c:pt idx="87">
                  <c:v>1.5371410658176279E-3</c:v>
                </c:pt>
                <c:pt idx="88">
                  <c:v>1.5362015930918702E-3</c:v>
                </c:pt>
                <c:pt idx="89">
                  <c:v>1.5352621203661124E-3</c:v>
                </c:pt>
                <c:pt idx="90">
                  <c:v>1.5324437021888393E-3</c:v>
                </c:pt>
                <c:pt idx="91">
                  <c:v>1.5315042294630815E-3</c:v>
                </c:pt>
                <c:pt idx="92">
                  <c:v>1.5305647567373237E-3</c:v>
                </c:pt>
                <c:pt idx="93">
                  <c:v>1.5296252840115662E-3</c:v>
                </c:pt>
                <c:pt idx="94">
                  <c:v>1.5286858112858084E-3</c:v>
                </c:pt>
                <c:pt idx="95">
                  <c:v>1.5258673931085351E-3</c:v>
                </c:pt>
                <c:pt idx="96">
                  <c:v>1.5249279203827775E-3</c:v>
                </c:pt>
                <c:pt idx="97">
                  <c:v>1.5239884476570197E-3</c:v>
                </c:pt>
                <c:pt idx="98">
                  <c:v>1.523048974931262E-3</c:v>
                </c:pt>
                <c:pt idx="99">
                  <c:v>1.5221095022055042E-3</c:v>
                </c:pt>
                <c:pt idx="100">
                  <c:v>1.5192910840282311E-3</c:v>
                </c:pt>
                <c:pt idx="101">
                  <c:v>1.5183516113024733E-3</c:v>
                </c:pt>
                <c:pt idx="102">
                  <c:v>1.5174121385767155E-3</c:v>
                </c:pt>
                <c:pt idx="103">
                  <c:v>1.5164726658509577E-3</c:v>
                </c:pt>
                <c:pt idx="104">
                  <c:v>1.5155331931252002E-3</c:v>
                </c:pt>
                <c:pt idx="105">
                  <c:v>1.5127147749479269E-3</c:v>
                </c:pt>
                <c:pt idx="106">
                  <c:v>1.5117753022221691E-3</c:v>
                </c:pt>
                <c:pt idx="107">
                  <c:v>1.5108358294964115E-3</c:v>
                </c:pt>
                <c:pt idx="108">
                  <c:v>1.5098963567706538E-3</c:v>
                </c:pt>
                <c:pt idx="109">
                  <c:v>1.508956884044896E-3</c:v>
                </c:pt>
                <c:pt idx="110">
                  <c:v>1.5061384658676229E-3</c:v>
                </c:pt>
                <c:pt idx="111">
                  <c:v>1.5051989931418651E-3</c:v>
                </c:pt>
                <c:pt idx="112">
                  <c:v>1.5042595204161073E-3</c:v>
                </c:pt>
                <c:pt idx="113">
                  <c:v>1.5033200476903495E-3</c:v>
                </c:pt>
                <c:pt idx="114">
                  <c:v>1.5023805749645918E-3</c:v>
                </c:pt>
                <c:pt idx="115">
                  <c:v>1.4995621567873187E-3</c:v>
                </c:pt>
                <c:pt idx="116">
                  <c:v>1.4986226840615609E-3</c:v>
                </c:pt>
                <c:pt idx="117">
                  <c:v>1.4976832113358031E-3</c:v>
                </c:pt>
                <c:pt idx="118">
                  <c:v>1.4967437386100456E-3</c:v>
                </c:pt>
                <c:pt idx="119">
                  <c:v>1.4958042658842878E-3</c:v>
                </c:pt>
                <c:pt idx="120">
                  <c:v>1.4929858477070145E-3</c:v>
                </c:pt>
                <c:pt idx="121">
                  <c:v>1.4920463749812569E-3</c:v>
                </c:pt>
                <c:pt idx="122">
                  <c:v>1.4911069022554991E-3</c:v>
                </c:pt>
                <c:pt idx="123">
                  <c:v>1.4901674295297413E-3</c:v>
                </c:pt>
                <c:pt idx="124">
                  <c:v>1.4892279568039836E-3</c:v>
                </c:pt>
                <c:pt idx="125">
                  <c:v>1.4864095386267105E-3</c:v>
                </c:pt>
                <c:pt idx="126">
                  <c:v>1.4854700659009527E-3</c:v>
                </c:pt>
                <c:pt idx="127">
                  <c:v>1.4845305931751949E-3</c:v>
                </c:pt>
                <c:pt idx="128">
                  <c:v>1.4835911204494371E-3</c:v>
                </c:pt>
                <c:pt idx="129">
                  <c:v>1.4826516477236796E-3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 Depo Charts'!$AF$3:$AF$132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42030</c:v>
                </c:pt>
                <c:pt idx="96">
                  <c:v>42031</c:v>
                </c:pt>
                <c:pt idx="97">
                  <c:v>42032</c:v>
                </c:pt>
                <c:pt idx="98">
                  <c:v>42033</c:v>
                </c:pt>
                <c:pt idx="99">
                  <c:v>42034</c:v>
                </c:pt>
                <c:pt idx="100">
                  <c:v>42037</c:v>
                </c:pt>
                <c:pt idx="101">
                  <c:v>42038</c:v>
                </c:pt>
                <c:pt idx="102">
                  <c:v>42039</c:v>
                </c:pt>
                <c:pt idx="103">
                  <c:v>42040</c:v>
                </c:pt>
                <c:pt idx="104">
                  <c:v>42041</c:v>
                </c:pt>
                <c:pt idx="105">
                  <c:v>42044</c:v>
                </c:pt>
                <c:pt idx="106">
                  <c:v>42045</c:v>
                </c:pt>
                <c:pt idx="107">
                  <c:v>42046</c:v>
                </c:pt>
                <c:pt idx="108">
                  <c:v>42047</c:v>
                </c:pt>
                <c:pt idx="109">
                  <c:v>42048</c:v>
                </c:pt>
                <c:pt idx="110">
                  <c:v>42051</c:v>
                </c:pt>
                <c:pt idx="111">
                  <c:v>42052</c:v>
                </c:pt>
                <c:pt idx="112">
                  <c:v>42053</c:v>
                </c:pt>
                <c:pt idx="113">
                  <c:v>42054</c:v>
                </c:pt>
                <c:pt idx="114">
                  <c:v>42055</c:v>
                </c:pt>
                <c:pt idx="115">
                  <c:v>42058</c:v>
                </c:pt>
                <c:pt idx="116">
                  <c:v>42059</c:v>
                </c:pt>
                <c:pt idx="117">
                  <c:v>42060</c:v>
                </c:pt>
                <c:pt idx="118">
                  <c:v>42061</c:v>
                </c:pt>
                <c:pt idx="119">
                  <c:v>42062</c:v>
                </c:pt>
                <c:pt idx="120">
                  <c:v>42065</c:v>
                </c:pt>
                <c:pt idx="121">
                  <c:v>42066</c:v>
                </c:pt>
                <c:pt idx="122">
                  <c:v>42067</c:v>
                </c:pt>
                <c:pt idx="123">
                  <c:v>42068</c:v>
                </c:pt>
                <c:pt idx="124">
                  <c:v>42069</c:v>
                </c:pt>
                <c:pt idx="125">
                  <c:v>42072</c:v>
                </c:pt>
                <c:pt idx="126">
                  <c:v>42073</c:v>
                </c:pt>
                <c:pt idx="127">
                  <c:v>42074</c:v>
                </c:pt>
                <c:pt idx="128">
                  <c:v>42075</c:v>
                </c:pt>
                <c:pt idx="129">
                  <c:v>42076</c:v>
                </c:pt>
              </c:numCache>
            </c:numRef>
          </c:cat>
          <c:val>
            <c:numRef>
              <c:f>'3M Depo Charts'!$AJ$3:$AJ$132</c:f>
              <c:numCache>
                <c:formatCode>0.0000%</c:formatCode>
                <c:ptCount val="130"/>
                <c:pt idx="0">
                  <c:v>1.6583758976489544E-3</c:v>
                </c:pt>
                <c:pt idx="1">
                  <c:v>1.6572730361672542E-3</c:v>
                </c:pt>
                <c:pt idx="2">
                  <c:v>1.6561735435258824E-3</c:v>
                </c:pt>
                <c:pt idx="3">
                  <c:v>1.6528952786437402E-3</c:v>
                </c:pt>
                <c:pt idx="4">
                  <c:v>1.6518092613636835E-3</c:v>
                </c:pt>
                <c:pt idx="5">
                  <c:v>1.6507266129239557E-3</c:v>
                </c:pt>
                <c:pt idx="6">
                  <c:v>1.6496473333245563E-3</c:v>
                </c:pt>
                <c:pt idx="7">
                  <c:v>1.6485714225654856E-3</c:v>
                </c:pt>
                <c:pt idx="8">
                  <c:v>1.6453639033302463E-3</c:v>
                </c:pt>
                <c:pt idx="9">
                  <c:v>1.6443014679324906E-3</c:v>
                </c:pt>
                <c:pt idx="10">
                  <c:v>1.6432424013750637E-3</c:v>
                </c:pt>
                <c:pt idx="11">
                  <c:v>1.6421867036579651E-3</c:v>
                </c:pt>
                <c:pt idx="12">
                  <c:v>1.6411343747811957E-3</c:v>
                </c:pt>
                <c:pt idx="13">
                  <c:v>1.6379976011928591E-3</c:v>
                </c:pt>
                <c:pt idx="14">
                  <c:v>1.6369587476774046E-3</c:v>
                </c:pt>
                <c:pt idx="15">
                  <c:v>1.6359232630022787E-3</c:v>
                </c:pt>
                <c:pt idx="16">
                  <c:v>1.6348911471674812E-3</c:v>
                </c:pt>
                <c:pt idx="17">
                  <c:v>1.6338624001730126E-3</c:v>
                </c:pt>
                <c:pt idx="18">
                  <c:v>1.630796372231579E-3</c:v>
                </c:pt>
                <c:pt idx="19">
                  <c:v>1.6297811005984253E-3</c:v>
                </c:pt>
                <c:pt idx="20">
                  <c:v>1.6287691978056002E-3</c:v>
                </c:pt>
                <c:pt idx="21">
                  <c:v>1.6277606638531038E-3</c:v>
                </c:pt>
                <c:pt idx="22">
                  <c:v>1.6267554987409363E-3</c:v>
                </c:pt>
                <c:pt idx="23">
                  <c:v>1.6237602164464056E-3</c:v>
                </c:pt>
                <c:pt idx="24">
                  <c:v>1.622768526695553E-3</c:v>
                </c:pt>
                <c:pt idx="25">
                  <c:v>1.6217802057850287E-3</c:v>
                </c:pt>
                <c:pt idx="26">
                  <c:v>1.6207952537148334E-3</c:v>
                </c:pt>
                <c:pt idx="27">
                  <c:v>1.6198136704849669E-3</c:v>
                </c:pt>
                <c:pt idx="28">
                  <c:v>1.6168891338373393E-3</c:v>
                </c:pt>
                <c:pt idx="29">
                  <c:v>1.6159210259687872E-3</c:v>
                </c:pt>
                <c:pt idx="30">
                  <c:v>1.6149562869405643E-3</c:v>
                </c:pt>
                <c:pt idx="31">
                  <c:v>1.61399491675267E-3</c:v>
                </c:pt>
                <c:pt idx="32">
                  <c:v>1.6130369154051041E-3</c:v>
                </c:pt>
                <c:pt idx="33">
                  <c:v>1.6101831244043796E-3</c:v>
                </c:pt>
                <c:pt idx="34">
                  <c:v>1.6092385984181287E-3</c:v>
                </c:pt>
                <c:pt idx="35">
                  <c:v>1.6082974412722068E-3</c:v>
                </c:pt>
                <c:pt idx="36">
                  <c:v>1.6073596529666133E-3</c:v>
                </c:pt>
                <c:pt idx="37">
                  <c:v>1.6064252335013485E-3</c:v>
                </c:pt>
                <c:pt idx="38">
                  <c:v>1.6036421881475268E-3</c:v>
                </c:pt>
                <c:pt idx="39">
                  <c:v>1.6027212440435769E-3</c:v>
                </c:pt>
                <c:pt idx="40">
                  <c:v>1.6018036687799558E-3</c:v>
                </c:pt>
                <c:pt idx="41">
                  <c:v>1.6008894623566635E-3</c:v>
                </c:pt>
                <c:pt idx="42">
                  <c:v>1.5999786247736997E-3</c:v>
                </c:pt>
                <c:pt idx="43">
                  <c:v>1.597266325066781E-3</c:v>
                </c:pt>
                <c:pt idx="44">
                  <c:v>1.5963689628451321E-3</c:v>
                </c:pt>
                <c:pt idx="45">
                  <c:v>1.5954749694638121E-3</c:v>
                </c:pt>
                <c:pt idx="46">
                  <c:v>1.5945843449228206E-3</c:v>
                </c:pt>
                <c:pt idx="47">
                  <c:v>1.5936970892221579E-3</c:v>
                </c:pt>
                <c:pt idx="48">
                  <c:v>1.5910555351621419E-3</c:v>
                </c:pt>
                <c:pt idx="49">
                  <c:v>1.5901817548227941E-3</c:v>
                </c:pt>
                <c:pt idx="50">
                  <c:v>1.5893113433237752E-3</c:v>
                </c:pt>
                <c:pt idx="51">
                  <c:v>1.5884443006650845E-3</c:v>
                </c:pt>
                <c:pt idx="52">
                  <c:v>1.5875806268467229E-3</c:v>
                </c:pt>
                <c:pt idx="53">
                  <c:v>1.5850098184336098E-3</c:v>
                </c:pt>
                <c:pt idx="54">
                  <c:v>1.5841596199765631E-3</c:v>
                </c:pt>
                <c:pt idx="55">
                  <c:v>1.5833127903598448E-3</c:v>
                </c:pt>
                <c:pt idx="56">
                  <c:v>1.5824693295834553E-3</c:v>
                </c:pt>
                <c:pt idx="57">
                  <c:v>1.5816292376473946E-3</c:v>
                </c:pt>
                <c:pt idx="58">
                  <c:v>1.5791291748811847E-3</c:v>
                </c:pt>
                <c:pt idx="59">
                  <c:v>1.5783025583064386E-3</c:v>
                </c:pt>
                <c:pt idx="60">
                  <c:v>1.5774793105720213E-3</c:v>
                </c:pt>
                <c:pt idx="61">
                  <c:v>1.576659431677933E-3</c:v>
                </c:pt>
                <c:pt idx="62">
                  <c:v>1.5758429216241733E-3</c:v>
                </c:pt>
                <c:pt idx="63">
                  <c:v>1.5734136045048664E-3</c:v>
                </c:pt>
                <c:pt idx="64">
                  <c:v>1.5726105698124211E-3</c:v>
                </c:pt>
                <c:pt idx="65">
                  <c:v>1.5718109039603051E-3</c:v>
                </c:pt>
                <c:pt idx="66">
                  <c:v>1.5710146069485176E-3</c:v>
                </c:pt>
                <c:pt idx="67">
                  <c:v>1.5702216787770588E-3</c:v>
                </c:pt>
                <c:pt idx="68">
                  <c:v>1.5678631073046548E-3</c:v>
                </c:pt>
                <c:pt idx="69">
                  <c:v>1.5670836544945106E-3</c:v>
                </c:pt>
                <c:pt idx="70">
                  <c:v>1.5663075705246955E-3</c:v>
                </c:pt>
                <c:pt idx="71">
                  <c:v>1.565534855395209E-3</c:v>
                </c:pt>
                <c:pt idx="72">
                  <c:v>1.564765509106051E-3</c:v>
                </c:pt>
                <c:pt idx="73">
                  <c:v>1.56247768328055E-3</c:v>
                </c:pt>
                <c:pt idx="74">
                  <c:v>1.5617218123527071E-3</c:v>
                </c:pt>
                <c:pt idx="75">
                  <c:v>1.5609693102651928E-3</c:v>
                </c:pt>
                <c:pt idx="76">
                  <c:v>1.5572573324325522E-3</c:v>
                </c:pt>
                <c:pt idx="77">
                  <c:v>1.5565250433870104E-3</c:v>
                </c:pt>
                <c:pt idx="78">
                  <c:v>1.5557961231817971E-3</c:v>
                </c:pt>
                <c:pt idx="79">
                  <c:v>1.5543483892923567E-3</c:v>
                </c:pt>
                <c:pt idx="80">
                  <c:v>1.5522020547606614E-3</c:v>
                </c:pt>
                <c:pt idx="81">
                  <c:v>1.5514933475974204E-3</c:v>
                </c:pt>
                <c:pt idx="82">
                  <c:v>1.5507880092745082E-3</c:v>
                </c:pt>
                <c:pt idx="83">
                  <c:v>1.5500860397919245E-3</c:v>
                </c:pt>
                <c:pt idx="84">
                  <c:v>1.5493874391496697E-3</c:v>
                </c:pt>
                <c:pt idx="85">
                  <c:v>1.5473118502648774E-3</c:v>
                </c:pt>
                <c:pt idx="86">
                  <c:v>1.5466267249839374E-3</c:v>
                </c:pt>
                <c:pt idx="87">
                  <c:v>1.5459449685433259E-3</c:v>
                </c:pt>
                <c:pt idx="88">
                  <c:v>1.5452665809430435E-3</c:v>
                </c:pt>
                <c:pt idx="89">
                  <c:v>1.5445915621830895E-3</c:v>
                </c:pt>
                <c:pt idx="90">
                  <c:v>1.5425867189452001E-3</c:v>
                </c:pt>
                <c:pt idx="91">
                  <c:v>1.5419251755465612E-3</c:v>
                </c:pt>
                <c:pt idx="92">
                  <c:v>1.5412670009882507E-3</c:v>
                </c:pt>
                <c:pt idx="93">
                  <c:v>1.5406121952702692E-3</c:v>
                </c:pt>
                <c:pt idx="94">
                  <c:v>1.5399607583926164E-3</c:v>
                </c:pt>
                <c:pt idx="95">
                  <c:v>1.5380266608016298E-3</c:v>
                </c:pt>
                <c:pt idx="96">
                  <c:v>1.5373886992852918E-3</c:v>
                </c:pt>
                <c:pt idx="97">
                  <c:v>1.5367541066092824E-3</c:v>
                </c:pt>
                <c:pt idx="98">
                  <c:v>1.5361228827736018E-3</c:v>
                </c:pt>
                <c:pt idx="99">
                  <c:v>1.5354950277782498E-3</c:v>
                </c:pt>
                <c:pt idx="100">
                  <c:v>1.5336316758341666E-3</c:v>
                </c:pt>
                <c:pt idx="101">
                  <c:v>1.5330172962001293E-3</c:v>
                </c:pt>
                <c:pt idx="102">
                  <c:v>1.532406285406421E-3</c:v>
                </c:pt>
                <c:pt idx="103">
                  <c:v>1.5317986434530413E-3</c:v>
                </c:pt>
                <c:pt idx="104">
                  <c:v>1.5311943703399903E-3</c:v>
                </c:pt>
                <c:pt idx="105">
                  <c:v>1.5294017640428098E-3</c:v>
                </c:pt>
                <c:pt idx="106">
                  <c:v>1.5288109662910737E-3</c:v>
                </c:pt>
                <c:pt idx="107">
                  <c:v>1.5282235373796664E-3</c:v>
                </c:pt>
                <c:pt idx="108">
                  <c:v>1.5276394773085875E-3</c:v>
                </c:pt>
                <c:pt idx="109">
                  <c:v>1.5270587860778378E-3</c:v>
                </c:pt>
                <c:pt idx="110">
                  <c:v>1.5253369254275601E-3</c:v>
                </c:pt>
                <c:pt idx="111">
                  <c:v>1.524769709558125E-3</c:v>
                </c:pt>
                <c:pt idx="112">
                  <c:v>1.5242058625290185E-3</c:v>
                </c:pt>
                <c:pt idx="113">
                  <c:v>1.523645384340241E-3</c:v>
                </c:pt>
                <c:pt idx="114">
                  <c:v>1.5230882749917921E-3</c:v>
                </c:pt>
                <c:pt idx="115">
                  <c:v>1.5214371599884173E-3</c:v>
                </c:pt>
                <c:pt idx="116">
                  <c:v>1.5208935260012833E-3</c:v>
                </c:pt>
                <c:pt idx="117">
                  <c:v>1.5203532608544777E-3</c:v>
                </c:pt>
                <c:pt idx="118">
                  <c:v>1.5198163645480009E-3</c:v>
                </c:pt>
                <c:pt idx="119">
                  <c:v>1.5192828370818531E-3</c:v>
                </c:pt>
                <c:pt idx="120">
                  <c:v>1.5177024677253813E-3</c:v>
                </c:pt>
                <c:pt idx="121">
                  <c:v>1.5171824156205483E-3</c:v>
                </c:pt>
                <c:pt idx="122">
                  <c:v>1.5166657323560436E-3</c:v>
                </c:pt>
                <c:pt idx="123">
                  <c:v>1.5161524179318681E-3</c:v>
                </c:pt>
                <c:pt idx="124">
                  <c:v>1.5156424723480211E-3</c:v>
                </c:pt>
                <c:pt idx="125">
                  <c:v>1.5141328486384523E-3</c:v>
                </c:pt>
                <c:pt idx="126">
                  <c:v>1.51363637841592E-3</c:v>
                </c:pt>
                <c:pt idx="127">
                  <c:v>1.5131432770337165E-3</c:v>
                </c:pt>
                <c:pt idx="128">
                  <c:v>1.5126535444918419E-3</c:v>
                </c:pt>
                <c:pt idx="129">
                  <c:v>1.512167180790296E-3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366016"/>
        <c:axId val="503367552"/>
      </c:lineChart>
      <c:dateAx>
        <c:axId val="50336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3367552"/>
        <c:crosses val="autoZero"/>
        <c:auto val="1"/>
        <c:lblOffset val="100"/>
        <c:baseTimeUnit val="days"/>
      </c:dateAx>
      <c:valAx>
        <c:axId val="503367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3366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 Depo Charts'!$M$17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 Depo Charts'!$F$17:$F$24</c:f>
              <c:strCache>
                <c:ptCount val="8"/>
                <c:pt idx="0">
                  <c:v>Maturity Date</c:v>
                </c:pt>
                <c:pt idx="1">
                  <c:v>Thu, 11-Sep-2014</c:v>
                </c:pt>
                <c:pt idx="2">
                  <c:v>Wed, 17-Sep-2014</c:v>
                </c:pt>
                <c:pt idx="3">
                  <c:v>Wed, 24-Sep-2014</c:v>
                </c:pt>
                <c:pt idx="4">
                  <c:v>Wed, 01-Oct-2014</c:v>
                </c:pt>
                <c:pt idx="5">
                  <c:v>Fri, 10-Oct-2014</c:v>
                </c:pt>
                <c:pt idx="6">
                  <c:v>Mon, 10-Nov-2014</c:v>
                </c:pt>
                <c:pt idx="7">
                  <c:v>Wed, 10-Dec-2014</c:v>
                </c:pt>
              </c:strCache>
            </c:strRef>
          </c:cat>
          <c:val>
            <c:numRef>
              <c:f>'3M Depo Charts'!$M$18:$M$24</c:f>
              <c:numCache>
                <c:formatCode>0.0000%</c:formatCode>
                <c:ptCount val="7"/>
                <c:pt idx="0">
                  <c:v>1.4906758986958256E-3</c:v>
                </c:pt>
                <c:pt idx="1">
                  <c:v>1.0906758994069202E-3</c:v>
                </c:pt>
                <c:pt idx="2">
                  <c:v>1.0706759050862461E-3</c:v>
                </c:pt>
                <c:pt idx="3">
                  <c:v>1.1006758994178338E-3</c:v>
                </c:pt>
                <c:pt idx="4">
                  <c:v>8.8401033147238444E-4</c:v>
                </c:pt>
                <c:pt idx="5">
                  <c:v>9.0774414162238834E-4</c:v>
                </c:pt>
                <c:pt idx="6">
                  <c:v>8.8764054432404198E-4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 Depo Charts'!$N$17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 Depo Charts'!$F$17:$F$24</c:f>
              <c:strCache>
                <c:ptCount val="8"/>
                <c:pt idx="0">
                  <c:v>Maturity Date</c:v>
                </c:pt>
                <c:pt idx="1">
                  <c:v>Thu, 11-Sep-2014</c:v>
                </c:pt>
                <c:pt idx="2">
                  <c:v>Wed, 17-Sep-2014</c:v>
                </c:pt>
                <c:pt idx="3">
                  <c:v>Wed, 24-Sep-2014</c:v>
                </c:pt>
                <c:pt idx="4">
                  <c:v>Wed, 01-Oct-2014</c:v>
                </c:pt>
                <c:pt idx="5">
                  <c:v>Fri, 10-Oct-2014</c:v>
                </c:pt>
                <c:pt idx="6">
                  <c:v>Mon, 10-Nov-2014</c:v>
                </c:pt>
                <c:pt idx="7">
                  <c:v>Wed, 10-Dec-2014</c:v>
                </c:pt>
              </c:strCache>
            </c:strRef>
          </c:cat>
          <c:val>
            <c:numRef>
              <c:f>'3M Depo Charts'!$N$18:$N$24</c:f>
              <c:numCache>
                <c:formatCode>0.0000%</c:formatCode>
                <c:ptCount val="7"/>
                <c:pt idx="0">
                  <c:v>1.5323730443321951E-3</c:v>
                </c:pt>
                <c:pt idx="1">
                  <c:v>1.129593235334198E-3</c:v>
                </c:pt>
                <c:pt idx="2">
                  <c:v>1.1063501296862508E-3</c:v>
                </c:pt>
                <c:pt idx="3">
                  <c:v>1.1331070126905656E-3</c:v>
                </c:pt>
                <c:pt idx="4">
                  <c:v>9.1227173018147895E-4</c:v>
                </c:pt>
                <c:pt idx="5">
                  <c:v>9.2164319016784435E-4</c:v>
                </c:pt>
                <c:pt idx="6">
                  <c:v>8.8764054432404111E-4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 Depo Charts'!$O$17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 Depo Charts'!$F$17:$F$24</c:f>
              <c:strCache>
                <c:ptCount val="8"/>
                <c:pt idx="0">
                  <c:v>Maturity Date</c:v>
                </c:pt>
                <c:pt idx="1">
                  <c:v>Thu, 11-Sep-2014</c:v>
                </c:pt>
                <c:pt idx="2">
                  <c:v>Wed, 17-Sep-2014</c:v>
                </c:pt>
                <c:pt idx="3">
                  <c:v>Wed, 24-Sep-2014</c:v>
                </c:pt>
                <c:pt idx="4">
                  <c:v>Wed, 01-Oct-2014</c:v>
                </c:pt>
                <c:pt idx="5">
                  <c:v>Fri, 10-Oct-2014</c:v>
                </c:pt>
                <c:pt idx="6">
                  <c:v>Mon, 10-Nov-2014</c:v>
                </c:pt>
                <c:pt idx="7">
                  <c:v>Wed, 10-Dec-2014</c:v>
                </c:pt>
              </c:strCache>
            </c:strRef>
          </c:cat>
          <c:val>
            <c:numRef>
              <c:f>'3M Depo Charts'!$O$18:$O$24</c:f>
              <c:numCache>
                <c:formatCode>0.0000%</c:formatCode>
                <c:ptCount val="7"/>
                <c:pt idx="0">
                  <c:v>1.5351142650928177E-3</c:v>
                </c:pt>
                <c:pt idx="1">
                  <c:v>1.1318726019303039E-3</c:v>
                </c:pt>
                <c:pt idx="2">
                  <c:v>1.1081410605831908E-3</c:v>
                </c:pt>
                <c:pt idx="3">
                  <c:v>1.1344637785215808E-3</c:v>
                </c:pt>
                <c:pt idx="4">
                  <c:v>9.1315002838882194E-4</c:v>
                </c:pt>
                <c:pt idx="5">
                  <c:v>9.2156012287206743E-4</c:v>
                </c:pt>
                <c:pt idx="6">
                  <c:v>8.8764054432404046E-4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3540352"/>
        <c:axId val="503554432"/>
      </c:lineChart>
      <c:catAx>
        <c:axId val="5035403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03554432"/>
        <c:crosses val="autoZero"/>
        <c:auto val="1"/>
        <c:lblAlgn val="ctr"/>
        <c:lblOffset val="100"/>
        <c:noMultiLvlLbl val="0"/>
      </c:catAx>
      <c:valAx>
        <c:axId val="5035544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03540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0"/>
          <c:order val="0"/>
          <c:tx>
            <c:v>6M Instruments Quotations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42045</c:v>
                </c:pt>
                <c:pt idx="6">
                  <c:v>42073</c:v>
                </c:pt>
                <c:pt idx="7">
                  <c:v>42104</c:v>
                </c:pt>
                <c:pt idx="8">
                  <c:v>42135</c:v>
                </c:pt>
                <c:pt idx="9">
                  <c:v>42165</c:v>
                </c:pt>
                <c:pt idx="10">
                  <c:v>42195</c:v>
                </c:pt>
                <c:pt idx="11">
                  <c:v>42226</c:v>
                </c:pt>
                <c:pt idx="12">
                  <c:v>42257</c:v>
                </c:pt>
                <c:pt idx="13">
                  <c:v>42289</c:v>
                </c:pt>
                <c:pt idx="14">
                  <c:v>42318</c:v>
                </c:pt>
                <c:pt idx="15">
                  <c:v>42348</c:v>
                </c:pt>
                <c:pt idx="16">
                  <c:v>42380</c:v>
                </c:pt>
                <c:pt idx="17">
                  <c:v>42410</c:v>
                </c:pt>
                <c:pt idx="18">
                  <c:v>42439</c:v>
                </c:pt>
              </c:numCache>
            </c:numRef>
          </c:xVal>
          <c:yVal>
            <c:numRef>
              <c:f>'basis 6M '!$G$2:$G$20</c:f>
              <c:numCache>
                <c:formatCode>0.0000%</c:formatCode>
                <c:ptCount val="19"/>
                <c:pt idx="0">
                  <c:v>2.0300000000000001E-3</c:v>
                </c:pt>
                <c:pt idx="1">
                  <c:v>1.82E-3</c:v>
                </c:pt>
                <c:pt idx="2">
                  <c:v>1.7699999999999999E-3</c:v>
                </c:pt>
                <c:pt idx="3">
                  <c:v>1.7299999999999998E-3</c:v>
                </c:pt>
                <c:pt idx="4">
                  <c:v>1.7099999999999999E-3</c:v>
                </c:pt>
                <c:pt idx="5">
                  <c:v>1.6899999999999999E-3</c:v>
                </c:pt>
                <c:pt idx="6">
                  <c:v>1.6699999999999998E-3</c:v>
                </c:pt>
                <c:pt idx="7">
                  <c:v>1.6899999999999999E-3</c:v>
                </c:pt>
                <c:pt idx="8">
                  <c:v>1.7099999999999999E-3</c:v>
                </c:pt>
                <c:pt idx="9">
                  <c:v>1.7299999999999998E-3</c:v>
                </c:pt>
                <c:pt idx="10">
                  <c:v>1.7899999999999999E-3</c:v>
                </c:pt>
                <c:pt idx="11">
                  <c:v>1.83E-3</c:v>
                </c:pt>
                <c:pt idx="12">
                  <c:v>1.8799999999999999E-3</c:v>
                </c:pt>
                <c:pt idx="13">
                  <c:v>1.9500000000000001E-3</c:v>
                </c:pt>
                <c:pt idx="14">
                  <c:v>2.0200000000000001E-3</c:v>
                </c:pt>
                <c:pt idx="15">
                  <c:v>2.0900000000000003E-3</c:v>
                </c:pt>
                <c:pt idx="16">
                  <c:v>2.1700000000000001E-3</c:v>
                </c:pt>
                <c:pt idx="17">
                  <c:v>2.2599999999999999E-3</c:v>
                </c:pt>
                <c:pt idx="18">
                  <c:v>2.3499999999999997E-3</c:v>
                </c:pt>
              </c:numCache>
            </c:numRef>
          </c:yVal>
          <c:smooth val="0"/>
        </c:ser>
        <c:ser>
          <c:idx val="1"/>
          <c:order val="1"/>
          <c:tx>
            <c:v>OIS 6M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42045</c:v>
                </c:pt>
                <c:pt idx="6">
                  <c:v>42073</c:v>
                </c:pt>
                <c:pt idx="7">
                  <c:v>42104</c:v>
                </c:pt>
                <c:pt idx="8">
                  <c:v>42135</c:v>
                </c:pt>
                <c:pt idx="9">
                  <c:v>42165</c:v>
                </c:pt>
                <c:pt idx="10">
                  <c:v>42195</c:v>
                </c:pt>
                <c:pt idx="11">
                  <c:v>42226</c:v>
                </c:pt>
                <c:pt idx="12">
                  <c:v>42257</c:v>
                </c:pt>
                <c:pt idx="13">
                  <c:v>42289</c:v>
                </c:pt>
                <c:pt idx="14">
                  <c:v>42318</c:v>
                </c:pt>
                <c:pt idx="15">
                  <c:v>42348</c:v>
                </c:pt>
                <c:pt idx="16">
                  <c:v>42380</c:v>
                </c:pt>
                <c:pt idx="17">
                  <c:v>42410</c:v>
                </c:pt>
                <c:pt idx="18">
                  <c:v>42439</c:v>
                </c:pt>
              </c:numCache>
            </c:numRef>
          </c:xVal>
          <c:yVal>
            <c:numRef>
              <c:f>'basis 6M '!$J$2:$J$20</c:f>
              <c:numCache>
                <c:formatCode>0.0000%</c:formatCode>
                <c:ptCount val="19"/>
                <c:pt idx="0">
                  <c:v>-7.0973453694134084E-4</c:v>
                </c:pt>
                <c:pt idx="1">
                  <c:v>-7.392337316860729E-4</c:v>
                </c:pt>
                <c:pt idx="2">
                  <c:v>-7.5517783989516698E-4</c:v>
                </c:pt>
                <c:pt idx="3">
                  <c:v>-7.4361447145657091E-4</c:v>
                </c:pt>
                <c:pt idx="4">
                  <c:v>-7.894693366696158E-4</c:v>
                </c:pt>
                <c:pt idx="5">
                  <c:v>-8.1057280635256693E-4</c:v>
                </c:pt>
                <c:pt idx="6">
                  <c:v>-8.4942293753102456E-4</c:v>
                </c:pt>
                <c:pt idx="7">
                  <c:v>-8.4096629379729602E-4</c:v>
                </c:pt>
                <c:pt idx="8">
                  <c:v>-8.5391397362468899E-4</c:v>
                </c:pt>
                <c:pt idx="9">
                  <c:v>-8.796645368715103E-4</c:v>
                </c:pt>
                <c:pt idx="10">
                  <c:v>-8.6161325255102372E-4</c:v>
                </c:pt>
                <c:pt idx="11">
                  <c:v>-8.4242719666420746E-4</c:v>
                </c:pt>
                <c:pt idx="12">
                  <c:v>-7.8000000028097727E-4</c:v>
                </c:pt>
                <c:pt idx="13">
                  <c:v>-7.33724946306639E-4</c:v>
                </c:pt>
                <c:pt idx="14">
                  <c:v>-6.9348379665120057E-4</c:v>
                </c:pt>
                <c:pt idx="15">
                  <c:v>-6.5050088678691E-4</c:v>
                </c:pt>
                <c:pt idx="16">
                  <c:v>-5.8711921294125305E-4</c:v>
                </c:pt>
                <c:pt idx="17">
                  <c:v>-5.2620227251366856E-4</c:v>
                </c:pt>
                <c:pt idx="18">
                  <c:v>-4.6501416214123965E-4</c:v>
                </c:pt>
              </c:numCache>
            </c:numRef>
          </c:yVal>
          <c:smooth val="0"/>
        </c:ser>
        <c:ser>
          <c:idx val="2"/>
          <c:order val="2"/>
          <c:tx>
            <c:v>diff OIS 6M, 6M instruments quotations</c:v>
          </c:tx>
          <c:spPr>
            <a:ln w="28575">
              <a:noFill/>
            </a:ln>
          </c:spP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42045</c:v>
                </c:pt>
                <c:pt idx="6">
                  <c:v>42073</c:v>
                </c:pt>
                <c:pt idx="7">
                  <c:v>42104</c:v>
                </c:pt>
                <c:pt idx="8">
                  <c:v>42135</c:v>
                </c:pt>
                <c:pt idx="9">
                  <c:v>42165</c:v>
                </c:pt>
                <c:pt idx="10">
                  <c:v>42195</c:v>
                </c:pt>
                <c:pt idx="11">
                  <c:v>42226</c:v>
                </c:pt>
                <c:pt idx="12">
                  <c:v>42257</c:v>
                </c:pt>
                <c:pt idx="13">
                  <c:v>42289</c:v>
                </c:pt>
                <c:pt idx="14">
                  <c:v>42318</c:v>
                </c:pt>
                <c:pt idx="15">
                  <c:v>42348</c:v>
                </c:pt>
                <c:pt idx="16">
                  <c:v>42380</c:v>
                </c:pt>
                <c:pt idx="17">
                  <c:v>42410</c:v>
                </c:pt>
                <c:pt idx="18">
                  <c:v>42439</c:v>
                </c:pt>
              </c:numCache>
            </c:numRef>
          </c:xVal>
          <c:yVal>
            <c:numRef>
              <c:f>'basis 6M '!$K$2:$K$20</c:f>
              <c:numCache>
                <c:formatCode>0.0000%</c:formatCode>
                <c:ptCount val="19"/>
                <c:pt idx="0">
                  <c:v>2.739734536941341E-3</c:v>
                </c:pt>
                <c:pt idx="1">
                  <c:v>2.559233731686073E-3</c:v>
                </c:pt>
                <c:pt idx="2">
                  <c:v>2.5251778398951668E-3</c:v>
                </c:pt>
                <c:pt idx="3">
                  <c:v>2.4736144714565707E-3</c:v>
                </c:pt>
                <c:pt idx="4">
                  <c:v>2.4994693366696156E-3</c:v>
                </c:pt>
                <c:pt idx="5">
                  <c:v>2.5005728063525667E-3</c:v>
                </c:pt>
                <c:pt idx="6">
                  <c:v>2.5194229375310245E-3</c:v>
                </c:pt>
                <c:pt idx="7">
                  <c:v>2.5309662937972959E-3</c:v>
                </c:pt>
                <c:pt idx="8">
                  <c:v>2.5639139736246888E-3</c:v>
                </c:pt>
                <c:pt idx="9">
                  <c:v>2.6096645368715102E-3</c:v>
                </c:pt>
                <c:pt idx="10">
                  <c:v>2.6516132525510236E-3</c:v>
                </c:pt>
                <c:pt idx="11">
                  <c:v>2.6724271966642073E-3</c:v>
                </c:pt>
                <c:pt idx="12">
                  <c:v>2.6600000002809771E-3</c:v>
                </c:pt>
                <c:pt idx="13">
                  <c:v>2.6837249463066391E-3</c:v>
                </c:pt>
                <c:pt idx="14">
                  <c:v>2.7134837966512008E-3</c:v>
                </c:pt>
                <c:pt idx="15">
                  <c:v>2.7405008867869103E-3</c:v>
                </c:pt>
                <c:pt idx="16">
                  <c:v>2.7571192129412529E-3</c:v>
                </c:pt>
                <c:pt idx="17">
                  <c:v>2.7862022725136685E-3</c:v>
                </c:pt>
                <c:pt idx="18">
                  <c:v>2.8150141621412395E-3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926848"/>
        <c:axId val="364928384"/>
      </c:scatterChart>
      <c:valAx>
        <c:axId val="3649268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28384"/>
        <c:crosses val="autoZero"/>
        <c:crossBetween val="midCat"/>
      </c:valAx>
      <c:valAx>
        <c:axId val="3649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26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27973519976669581"/>
          <c:h val="0.251843556592462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6M Curve</c:v>
          </c:tx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6M '!$Q$2:$Q$581</c:f>
              <c:numCache>
                <c:formatCode>0.0000%</c:formatCode>
                <c:ptCount val="580"/>
                <c:pt idx="0">
                  <c:v>1.8948510945917467E-3</c:v>
                </c:pt>
                <c:pt idx="1">
                  <c:v>1.8199999999998012E-3</c:v>
                </c:pt>
                <c:pt idx="2">
                  <c:v>1.769999999999693E-3</c:v>
                </c:pt>
                <c:pt idx="3">
                  <c:v>1.7300000000003972E-3</c:v>
                </c:pt>
                <c:pt idx="4">
                  <c:v>1.7100000003641949E-3</c:v>
                </c:pt>
                <c:pt idx="5">
                  <c:v>1.6883794015031513E-3</c:v>
                </c:pt>
                <c:pt idx="6">
                  <c:v>1.6694004839039455E-3</c:v>
                </c:pt>
                <c:pt idx="7">
                  <c:v>1.6905983201059396E-3</c:v>
                </c:pt>
                <c:pt idx="8">
                  <c:v>1.7108984587222843E-3</c:v>
                </c:pt>
                <c:pt idx="9">
                  <c:v>1.7373675280178715E-3</c:v>
                </c:pt>
                <c:pt idx="10">
                  <c:v>1.7960084261942309E-3</c:v>
                </c:pt>
                <c:pt idx="11">
                  <c:v>1.8396069494467421E-3</c:v>
                </c:pt>
                <c:pt idx="12">
                  <c:v>1.8933342037625307E-3</c:v>
                </c:pt>
                <c:pt idx="13">
                  <c:v>1.9673166347407814E-3</c:v>
                </c:pt>
                <c:pt idx="14">
                  <c:v>2.0408485122623112E-3</c:v>
                </c:pt>
                <c:pt idx="15">
                  <c:v>2.1174213499835968E-3</c:v>
                </c:pt>
                <c:pt idx="16">
                  <c:v>2.1987275424794686E-3</c:v>
                </c:pt>
                <c:pt idx="17">
                  <c:v>2.2985594170434739E-3</c:v>
                </c:pt>
                <c:pt idx="18">
                  <c:v>2.3788392340167068E-3</c:v>
                </c:pt>
                <c:pt idx="19">
                  <c:v>2.4415064913100755E-3</c:v>
                </c:pt>
                <c:pt idx="20">
                  <c:v>2.543847244338716E-3</c:v>
                </c:pt>
                <c:pt idx="21">
                  <c:v>2.6562754029317232E-3</c:v>
                </c:pt>
                <c:pt idx="22">
                  <c:v>2.7661002858408281E-3</c:v>
                </c:pt>
                <c:pt idx="23">
                  <c:v>2.9632367631077417E-3</c:v>
                </c:pt>
                <c:pt idx="24">
                  <c:v>3.1760051341921895E-3</c:v>
                </c:pt>
                <c:pt idx="25">
                  <c:v>3.3848708577742695E-3</c:v>
                </c:pt>
                <c:pt idx="26">
                  <c:v>3.6082810123262777E-3</c:v>
                </c:pt>
                <c:pt idx="27">
                  <c:v>3.8056137328621601E-3</c:v>
                </c:pt>
                <c:pt idx="28">
                  <c:v>4.0163335368196239E-3</c:v>
                </c:pt>
                <c:pt idx="29">
                  <c:v>4.2019881238735029E-3</c:v>
                </c:pt>
                <c:pt idx="30">
                  <c:v>4.3705072223883083E-3</c:v>
                </c:pt>
                <c:pt idx="31">
                  <c:v>4.5586924485196247E-3</c:v>
                </c:pt>
                <c:pt idx="32">
                  <c:v>4.7333119304666278E-3</c:v>
                </c:pt>
                <c:pt idx="33">
                  <c:v>4.9112196525919012E-3</c:v>
                </c:pt>
                <c:pt idx="34">
                  <c:v>5.1042329668565577E-3</c:v>
                </c:pt>
                <c:pt idx="35">
                  <c:v>5.2840915640692647E-3</c:v>
                </c:pt>
                <c:pt idx="36">
                  <c:v>5.494828893901918E-3</c:v>
                </c:pt>
                <c:pt idx="37">
                  <c:v>5.6945746424043589E-3</c:v>
                </c:pt>
                <c:pt idx="38">
                  <c:v>5.9211097456987214E-3</c:v>
                </c:pt>
                <c:pt idx="39">
                  <c:v>6.1423756615203136E-3</c:v>
                </c:pt>
                <c:pt idx="40">
                  <c:v>6.3881895819118588E-3</c:v>
                </c:pt>
                <c:pt idx="41">
                  <c:v>6.6161633552909507E-3</c:v>
                </c:pt>
                <c:pt idx="42">
                  <c:v>6.863677776747271E-3</c:v>
                </c:pt>
                <c:pt idx="43">
                  <c:v>7.1357371060018857E-3</c:v>
                </c:pt>
                <c:pt idx="44">
                  <c:v>7.3962038760073574E-3</c:v>
                </c:pt>
                <c:pt idx="45">
                  <c:v>7.6777331562538154E-3</c:v>
                </c:pt>
                <c:pt idx="46">
                  <c:v>7.9565340972828896E-3</c:v>
                </c:pt>
                <c:pt idx="47">
                  <c:v>8.2171035247175263E-3</c:v>
                </c:pt>
                <c:pt idx="48">
                  <c:v>8.4759161658562177E-3</c:v>
                </c:pt>
                <c:pt idx="49">
                  <c:v>8.7579514366203509E-3</c:v>
                </c:pt>
                <c:pt idx="50">
                  <c:v>9.0119292204243334E-3</c:v>
                </c:pt>
                <c:pt idx="51">
                  <c:v>9.2886439756456E-3</c:v>
                </c:pt>
                <c:pt idx="52">
                  <c:v>9.5418287695143485E-3</c:v>
                </c:pt>
                <c:pt idx="53">
                  <c:v>9.7931785265611519E-3</c:v>
                </c:pt>
                <c:pt idx="54">
                  <c:v>1.0041690526624821E-2</c:v>
                </c:pt>
                <c:pt idx="55">
                  <c:v>1.0289517463549105E-2</c:v>
                </c:pt>
                <c:pt idx="56">
                  <c:v>1.0553346582672174E-2</c:v>
                </c:pt>
                <c:pt idx="57">
                  <c:v>1.080249383528083E-2</c:v>
                </c:pt>
                <c:pt idx="58">
                  <c:v>1.1074508754004819E-2</c:v>
                </c:pt>
                <c:pt idx="59">
                  <c:v>1.1324826455520191E-2</c:v>
                </c:pt>
                <c:pt idx="60">
                  <c:v>1.1601415281042951E-2</c:v>
                </c:pt>
                <c:pt idx="61">
                  <c:v>1.1864942825354774E-2</c:v>
                </c:pt>
                <c:pt idx="62">
                  <c:v>1.2151050003332794E-2</c:v>
                </c:pt>
                <c:pt idx="63">
                  <c:v>1.2423478748529089E-2</c:v>
                </c:pt>
                <c:pt idx="64">
                  <c:v>1.2714238553198216E-2</c:v>
                </c:pt>
                <c:pt idx="65">
                  <c:v>1.2991739628719551E-2</c:v>
                </c:pt>
                <c:pt idx="66">
                  <c:v>1.3286786802495282E-2</c:v>
                </c:pt>
                <c:pt idx="67">
                  <c:v>1.3574784504135677E-2</c:v>
                </c:pt>
                <c:pt idx="68">
                  <c:v>1.3879796419005091E-2</c:v>
                </c:pt>
                <c:pt idx="69">
                  <c:v>1.4175066954314596E-2</c:v>
                </c:pt>
                <c:pt idx="70">
                  <c:v>1.4465675372098911E-2</c:v>
                </c:pt>
                <c:pt idx="71">
                  <c:v>1.4764585653938048E-2</c:v>
                </c:pt>
                <c:pt idx="72">
                  <c:v>1.504789632610074E-2</c:v>
                </c:pt>
                <c:pt idx="73">
                  <c:v>1.5357699450524381E-2</c:v>
                </c:pt>
                <c:pt idx="74">
                  <c:v>1.5637666441896365E-2</c:v>
                </c:pt>
                <c:pt idx="75">
                  <c:v>1.5943789858048292E-2</c:v>
                </c:pt>
                <c:pt idx="76">
                  <c:v>1.6211887877162358E-2</c:v>
                </c:pt>
                <c:pt idx="77">
                  <c:v>1.6491178286596062E-2</c:v>
                </c:pt>
                <c:pt idx="78">
                  <c:v>1.6787156830506595E-2</c:v>
                </c:pt>
                <c:pt idx="79">
                  <c:v>1.7061361596349186E-2</c:v>
                </c:pt>
                <c:pt idx="80">
                  <c:v>1.7350431904097546E-2</c:v>
                </c:pt>
                <c:pt idx="81">
                  <c:v>1.7630780378390744E-2</c:v>
                </c:pt>
                <c:pt idx="82">
                  <c:v>1.7886734308339675E-2</c:v>
                </c:pt>
                <c:pt idx="83">
                  <c:v>1.8138785518401802E-2</c:v>
                </c:pt>
                <c:pt idx="84">
                  <c:v>1.8409768690738279E-2</c:v>
                </c:pt>
                <c:pt idx="85">
                  <c:v>1.8650411718110455E-2</c:v>
                </c:pt>
                <c:pt idx="86">
                  <c:v>1.8908840776357981E-2</c:v>
                </c:pt>
                <c:pt idx="87">
                  <c:v>1.9141425609026111E-2</c:v>
                </c:pt>
                <c:pt idx="88">
                  <c:v>1.937092380475483E-2</c:v>
                </c:pt>
                <c:pt idx="89">
                  <c:v>1.9591381211251934E-2</c:v>
                </c:pt>
                <c:pt idx="90">
                  <c:v>1.9807737862513164E-2</c:v>
                </c:pt>
                <c:pt idx="91">
                  <c:v>2.0030717603738424E-2</c:v>
                </c:pt>
                <c:pt idx="92">
                  <c:v>2.0234394665116277E-2</c:v>
                </c:pt>
                <c:pt idx="93">
                  <c:v>2.0446988923025888E-2</c:v>
                </c:pt>
                <c:pt idx="94">
                  <c:v>2.0628983775013883E-2</c:v>
                </c:pt>
                <c:pt idx="95">
                  <c:v>2.0824090473029282E-2</c:v>
                </c:pt>
                <c:pt idx="96">
                  <c:v>2.0999135450541905E-2</c:v>
                </c:pt>
                <c:pt idx="97">
                  <c:v>2.1179109883076763E-2</c:v>
                </c:pt>
                <c:pt idx="98">
                  <c:v>2.1339910138507369E-2</c:v>
                </c:pt>
                <c:pt idx="99">
                  <c:v>2.1504743025974039E-2</c:v>
                </c:pt>
                <c:pt idx="100">
                  <c:v>2.1645830267860204E-2</c:v>
                </c:pt>
                <c:pt idx="101">
                  <c:v>2.1786090277514897E-2</c:v>
                </c:pt>
                <c:pt idx="102">
                  <c:v>2.1930161964337117E-2</c:v>
                </c:pt>
                <c:pt idx="103">
                  <c:v>2.2058895409593167E-2</c:v>
                </c:pt>
                <c:pt idx="104">
                  <c:v>2.2192452167231109E-2</c:v>
                </c:pt>
                <c:pt idx="105">
                  <c:v>2.2320595115686809E-2</c:v>
                </c:pt>
                <c:pt idx="106">
                  <c:v>2.2434002703336984E-2</c:v>
                </c:pt>
                <c:pt idx="107">
                  <c:v>2.2550116929711796E-2</c:v>
                </c:pt>
                <c:pt idx="108">
                  <c:v>2.2669748398071277E-2</c:v>
                </c:pt>
                <c:pt idx="109">
                  <c:v>2.2780757386967811E-2</c:v>
                </c:pt>
                <c:pt idx="110">
                  <c:v>2.2894918091531269E-2</c:v>
                </c:pt>
                <c:pt idx="111">
                  <c:v>2.3004227308456488E-2</c:v>
                </c:pt>
                <c:pt idx="112">
                  <c:v>2.311518222584065E-2</c:v>
                </c:pt>
                <c:pt idx="113">
                  <c:v>2.3220433994192477E-2</c:v>
                </c:pt>
                <c:pt idx="114">
                  <c:v>2.331553332065376E-2</c:v>
                </c:pt>
                <c:pt idx="115">
                  <c:v>2.3410759088284588E-2</c:v>
                </c:pt>
                <c:pt idx="116">
                  <c:v>2.3509898818738776E-2</c:v>
                </c:pt>
                <c:pt idx="117">
                  <c:v>2.3593529817520081E-2</c:v>
                </c:pt>
                <c:pt idx="118">
                  <c:v>2.3685591693128661E-2</c:v>
                </c:pt>
                <c:pt idx="119">
                  <c:v>2.3767532020086992E-2</c:v>
                </c:pt>
                <c:pt idx="120">
                  <c:v>2.3853115371993455E-2</c:v>
                </c:pt>
                <c:pt idx="121">
                  <c:v>2.3928953733129081E-2</c:v>
                </c:pt>
                <c:pt idx="122">
                  <c:v>2.4008056154598362E-2</c:v>
                </c:pt>
                <c:pt idx="123">
                  <c:v>2.4076654911865829E-2</c:v>
                </c:pt>
                <c:pt idx="124">
                  <c:v>2.4143590758270286E-2</c:v>
                </c:pt>
                <c:pt idx="125">
                  <c:v>2.4213233685039949E-2</c:v>
                </c:pt>
                <c:pt idx="126">
                  <c:v>2.4274065359383493E-2</c:v>
                </c:pt>
                <c:pt idx="127">
                  <c:v>2.4337221205748188E-2</c:v>
                </c:pt>
                <c:pt idx="128">
                  <c:v>2.4396924672523426E-2</c:v>
                </c:pt>
                <c:pt idx="129">
                  <c:v>2.444538894641278E-2</c:v>
                </c:pt>
                <c:pt idx="130">
                  <c:v>2.4494095338617499E-2</c:v>
                </c:pt>
                <c:pt idx="131">
                  <c:v>2.4544373669833263E-2</c:v>
                </c:pt>
                <c:pt idx="132">
                  <c:v>2.4587082213048207E-2</c:v>
                </c:pt>
                <c:pt idx="133">
                  <c:v>2.4630762451711648E-2</c:v>
                </c:pt>
                <c:pt idx="134">
                  <c:v>2.4667266338742156E-2</c:v>
                </c:pt>
                <c:pt idx="135">
                  <c:v>2.470558882214895E-2</c:v>
                </c:pt>
                <c:pt idx="136">
                  <c:v>2.4734719517016997E-2</c:v>
                </c:pt>
                <c:pt idx="137">
                  <c:v>2.4764530606343472E-2</c:v>
                </c:pt>
                <c:pt idx="138">
                  <c:v>2.4792226697100694E-2</c:v>
                </c:pt>
                <c:pt idx="139">
                  <c:v>2.4817912128767178E-2</c:v>
                </c:pt>
                <c:pt idx="140">
                  <c:v>2.4843135887658324E-2</c:v>
                </c:pt>
                <c:pt idx="141">
                  <c:v>2.4862018902401223E-2</c:v>
                </c:pt>
                <c:pt idx="142">
                  <c:v>2.4885385797279239E-2</c:v>
                </c:pt>
                <c:pt idx="143">
                  <c:v>2.4904696478678164E-2</c:v>
                </c:pt>
                <c:pt idx="144">
                  <c:v>2.4925960345199859E-2</c:v>
                </c:pt>
                <c:pt idx="145">
                  <c:v>2.4943291948994886E-2</c:v>
                </c:pt>
                <c:pt idx="146">
                  <c:v>2.4964691144657426E-2</c:v>
                </c:pt>
                <c:pt idx="147">
                  <c:v>2.4980014752480569E-2</c:v>
                </c:pt>
                <c:pt idx="148">
                  <c:v>2.4997040108889094E-2</c:v>
                </c:pt>
                <c:pt idx="149">
                  <c:v>2.5010384717468876E-2</c:v>
                </c:pt>
                <c:pt idx="150">
                  <c:v>2.5025305583548194E-2</c:v>
                </c:pt>
                <c:pt idx="151">
                  <c:v>2.5039801121222508E-2</c:v>
                </c:pt>
                <c:pt idx="152">
                  <c:v>2.5047431360747996E-2</c:v>
                </c:pt>
                <c:pt idx="153">
                  <c:v>2.5058554055629491E-2</c:v>
                </c:pt>
                <c:pt idx="154">
                  <c:v>2.5067591392013904E-2</c:v>
                </c:pt>
                <c:pt idx="155">
                  <c:v>2.5076738487688429E-2</c:v>
                </c:pt>
                <c:pt idx="156">
                  <c:v>2.508366805018741E-2</c:v>
                </c:pt>
                <c:pt idx="157">
                  <c:v>2.5090079770011056E-2</c:v>
                </c:pt>
                <c:pt idx="158">
                  <c:v>2.5097989169590169E-2</c:v>
                </c:pt>
                <c:pt idx="159">
                  <c:v>2.5100600915017396E-2</c:v>
                </c:pt>
                <c:pt idx="160">
                  <c:v>2.5104901895659601E-2</c:v>
                </c:pt>
                <c:pt idx="161">
                  <c:v>2.5106663641790032E-2</c:v>
                </c:pt>
                <c:pt idx="162">
                  <c:v>2.510898778741975E-2</c:v>
                </c:pt>
                <c:pt idx="163">
                  <c:v>2.5109498048805939E-2</c:v>
                </c:pt>
                <c:pt idx="164">
                  <c:v>2.510643692345341E-2</c:v>
                </c:pt>
                <c:pt idx="165">
                  <c:v>2.5105714094629722E-2</c:v>
                </c:pt>
                <c:pt idx="166">
                  <c:v>2.5102387707601065E-2</c:v>
                </c:pt>
                <c:pt idx="167">
                  <c:v>2.5099557979053295E-2</c:v>
                </c:pt>
                <c:pt idx="168">
                  <c:v>2.5094255183422121E-2</c:v>
                </c:pt>
                <c:pt idx="169">
                  <c:v>2.5089318294884144E-2</c:v>
                </c:pt>
                <c:pt idx="170">
                  <c:v>2.5084941796841481E-2</c:v>
                </c:pt>
                <c:pt idx="171">
                  <c:v>2.5076789065822024E-2</c:v>
                </c:pt>
                <c:pt idx="172">
                  <c:v>2.5068968179184192E-2</c:v>
                </c:pt>
                <c:pt idx="173">
                  <c:v>2.5059234018469621E-2</c:v>
                </c:pt>
                <c:pt idx="174">
                  <c:v>2.5049976131757728E-2</c:v>
                </c:pt>
                <c:pt idx="175">
                  <c:v>2.5041195114017253E-2</c:v>
                </c:pt>
                <c:pt idx="176">
                  <c:v>2.5027520471134011E-2</c:v>
                </c:pt>
                <c:pt idx="177">
                  <c:v>2.5016981101172637E-2</c:v>
                </c:pt>
                <c:pt idx="178">
                  <c:v>2.5005031436852166E-2</c:v>
                </c:pt>
                <c:pt idx="179">
                  <c:v>2.4993465926795699E-2</c:v>
                </c:pt>
                <c:pt idx="180">
                  <c:v>2.4981181789168153E-2</c:v>
                </c:pt>
                <c:pt idx="181">
                  <c:v>2.4969603821332138E-2</c:v>
                </c:pt>
                <c:pt idx="182">
                  <c:v>2.4960217861878249E-2</c:v>
                </c:pt>
                <c:pt idx="183">
                  <c:v>2.4944975379292276E-2</c:v>
                </c:pt>
                <c:pt idx="184">
                  <c:v>2.4932837299013626E-2</c:v>
                </c:pt>
                <c:pt idx="185">
                  <c:v>2.4919051780578679E-2</c:v>
                </c:pt>
                <c:pt idx="186">
                  <c:v>2.4905787349102128E-2</c:v>
                </c:pt>
                <c:pt idx="187">
                  <c:v>2.488861912973464E-2</c:v>
                </c:pt>
                <c:pt idx="188">
                  <c:v>2.4874552505696753E-2</c:v>
                </c:pt>
                <c:pt idx="189">
                  <c:v>2.4858722937980356E-2</c:v>
                </c:pt>
                <c:pt idx="190">
                  <c:v>2.4844008537022014E-2</c:v>
                </c:pt>
                <c:pt idx="191">
                  <c:v>2.4827466431008239E-2</c:v>
                </c:pt>
                <c:pt idx="192">
                  <c:v>2.4810999353186893E-2</c:v>
                </c:pt>
                <c:pt idx="193">
                  <c:v>2.4799286884423965E-2</c:v>
                </c:pt>
                <c:pt idx="194">
                  <c:v>2.4780491713995226E-2</c:v>
                </c:pt>
                <c:pt idx="195">
                  <c:v>2.4764756348375497E-2</c:v>
                </c:pt>
                <c:pt idx="196">
                  <c:v>2.4745897106612319E-2</c:v>
                </c:pt>
                <c:pt idx="197">
                  <c:v>2.4729500827325557E-2</c:v>
                </c:pt>
                <c:pt idx="198">
                  <c:v>2.4710490787868619E-2</c:v>
                </c:pt>
                <c:pt idx="199">
                  <c:v>2.4691208974564231E-2</c:v>
                </c:pt>
                <c:pt idx="200">
                  <c:v>2.4672627446344145E-2</c:v>
                </c:pt>
                <c:pt idx="201">
                  <c:v>2.4653238247399539E-2</c:v>
                </c:pt>
                <c:pt idx="202">
                  <c:v>2.4633952543595392E-2</c:v>
                </c:pt>
                <c:pt idx="203">
                  <c:v>2.4613907623780941E-2</c:v>
                </c:pt>
                <c:pt idx="204">
                  <c:v>2.4593409392888486E-2</c:v>
                </c:pt>
                <c:pt idx="205">
                  <c:v>2.4575533830646902E-2</c:v>
                </c:pt>
                <c:pt idx="206">
                  <c:v>2.4555515341988295E-2</c:v>
                </c:pt>
                <c:pt idx="207">
                  <c:v>2.4534177374079744E-2</c:v>
                </c:pt>
                <c:pt idx="208">
                  <c:v>2.4512523499737544E-2</c:v>
                </c:pt>
                <c:pt idx="209">
                  <c:v>2.4490804845978521E-2</c:v>
                </c:pt>
                <c:pt idx="210">
                  <c:v>2.4469899270502873E-2</c:v>
                </c:pt>
                <c:pt idx="211">
                  <c:v>2.4445150512239274E-2</c:v>
                </c:pt>
                <c:pt idx="212">
                  <c:v>2.442338476298183E-2</c:v>
                </c:pt>
                <c:pt idx="213">
                  <c:v>2.4399086398460501E-2</c:v>
                </c:pt>
                <c:pt idx="214">
                  <c:v>2.4376673314207339E-2</c:v>
                </c:pt>
                <c:pt idx="215">
                  <c:v>2.4351662906132665E-2</c:v>
                </c:pt>
                <c:pt idx="216">
                  <c:v>2.4327402102853297E-2</c:v>
                </c:pt>
                <c:pt idx="217">
                  <c:v>2.4307697288425318E-2</c:v>
                </c:pt>
                <c:pt idx="218">
                  <c:v>2.4281175491968923E-2</c:v>
                </c:pt>
                <c:pt idx="219">
                  <c:v>2.4257579486601694E-2</c:v>
                </c:pt>
                <c:pt idx="220">
                  <c:v>2.4230415301411425E-2</c:v>
                </c:pt>
                <c:pt idx="221">
                  <c:v>2.4206157858017815E-2</c:v>
                </c:pt>
                <c:pt idx="222">
                  <c:v>2.4178295993988536E-2</c:v>
                </c:pt>
                <c:pt idx="223">
                  <c:v>2.4151396206735416E-2</c:v>
                </c:pt>
                <c:pt idx="224">
                  <c:v>2.4123336554394848E-2</c:v>
                </c:pt>
                <c:pt idx="225">
                  <c:v>2.4098510972184434E-2</c:v>
                </c:pt>
                <c:pt idx="226">
                  <c:v>2.4072266233718016E-2</c:v>
                </c:pt>
                <c:pt idx="227">
                  <c:v>2.4044822996564928E-2</c:v>
                </c:pt>
                <c:pt idx="228">
                  <c:v>2.4019537369311905E-2</c:v>
                </c:pt>
                <c:pt idx="229">
                  <c:v>2.3994178393935358E-2</c:v>
                </c:pt>
                <c:pt idx="230">
                  <c:v>2.3966495139808287E-2</c:v>
                </c:pt>
                <c:pt idx="231">
                  <c:v>2.3937276804465543E-2</c:v>
                </c:pt>
                <c:pt idx="232">
                  <c:v>2.3908261546064069E-2</c:v>
                </c:pt>
                <c:pt idx="233">
                  <c:v>2.3878916706084694E-2</c:v>
                </c:pt>
                <c:pt idx="234">
                  <c:v>2.3849217070482338E-2</c:v>
                </c:pt>
                <c:pt idx="235">
                  <c:v>2.3819997538798956E-2</c:v>
                </c:pt>
                <c:pt idx="236">
                  <c:v>2.3791178070312044E-2</c:v>
                </c:pt>
                <c:pt idx="237">
                  <c:v>2.3762226600434845E-2</c:v>
                </c:pt>
                <c:pt idx="238">
                  <c:v>2.3733666589856289E-2</c:v>
                </c:pt>
                <c:pt idx="239">
                  <c:v>2.3704983784684944E-2</c:v>
                </c:pt>
                <c:pt idx="240">
                  <c:v>2.3680366806516157E-2</c:v>
                </c:pt>
                <c:pt idx="241">
                  <c:v>2.3652181897169149E-2</c:v>
                </c:pt>
                <c:pt idx="242">
                  <c:v>2.3623887759817986E-2</c:v>
                </c:pt>
                <c:pt idx="243">
                  <c:v>2.3595962190221205E-2</c:v>
                </c:pt>
                <c:pt idx="244">
                  <c:v>2.3567936811487458E-2</c:v>
                </c:pt>
                <c:pt idx="245">
                  <c:v>2.3541256751290231E-2</c:v>
                </c:pt>
                <c:pt idx="246">
                  <c:v>2.3511855881510613E-2</c:v>
                </c:pt>
                <c:pt idx="247">
                  <c:v>2.3485978323530887E-2</c:v>
                </c:pt>
                <c:pt idx="248">
                  <c:v>2.3456959736182652E-2</c:v>
                </c:pt>
                <c:pt idx="249">
                  <c:v>2.3431334205630591E-2</c:v>
                </c:pt>
                <c:pt idx="250">
                  <c:v>2.3402591472373412E-2</c:v>
                </c:pt>
                <c:pt idx="251">
                  <c:v>2.3376032604175534E-2</c:v>
                </c:pt>
                <c:pt idx="252">
                  <c:v>2.3352295938117367E-2</c:v>
                </c:pt>
                <c:pt idx="253">
                  <c:v>2.3324476121879861E-2</c:v>
                </c:pt>
                <c:pt idx="254">
                  <c:v>2.3300134706632159E-2</c:v>
                </c:pt>
                <c:pt idx="255">
                  <c:v>2.3272245448030072E-2</c:v>
                </c:pt>
                <c:pt idx="256">
                  <c:v>2.3247488581750814E-2</c:v>
                </c:pt>
                <c:pt idx="257">
                  <c:v>2.3220028896738461E-2</c:v>
                </c:pt>
                <c:pt idx="258">
                  <c:v>2.3193365272218085E-2</c:v>
                </c:pt>
                <c:pt idx="259">
                  <c:v>2.316734035242464E-2</c:v>
                </c:pt>
                <c:pt idx="260">
                  <c:v>2.314160140299967E-2</c:v>
                </c:pt>
                <c:pt idx="261">
                  <c:v>2.3115845367820728E-2</c:v>
                </c:pt>
                <c:pt idx="262">
                  <c:v>2.3090365125841901E-2</c:v>
                </c:pt>
                <c:pt idx="263">
                  <c:v>2.3064877995357166E-2</c:v>
                </c:pt>
                <c:pt idx="264">
                  <c:v>2.3043067323675941E-2</c:v>
                </c:pt>
                <c:pt idx="265">
                  <c:v>2.3017961583809778E-2</c:v>
                </c:pt>
                <c:pt idx="266">
                  <c:v>2.2992863978139554E-2</c:v>
                </c:pt>
                <c:pt idx="267">
                  <c:v>2.296902967426662E-2</c:v>
                </c:pt>
                <c:pt idx="268">
                  <c:v>2.2943188227165116E-2</c:v>
                </c:pt>
                <c:pt idx="269">
                  <c:v>2.2918599626482024E-2</c:v>
                </c:pt>
                <c:pt idx="270">
                  <c:v>2.289336166957336E-2</c:v>
                </c:pt>
                <c:pt idx="271">
                  <c:v>2.2870142124854755E-2</c:v>
                </c:pt>
                <c:pt idx="272">
                  <c:v>2.2844738758817207E-2</c:v>
                </c:pt>
                <c:pt idx="273">
                  <c:v>2.2821770360798962E-2</c:v>
                </c:pt>
                <c:pt idx="274">
                  <c:v>2.2796643246129566E-2</c:v>
                </c:pt>
                <c:pt idx="275">
                  <c:v>2.2776120693528606E-2</c:v>
                </c:pt>
                <c:pt idx="276">
                  <c:v>2.2752422169438988E-2</c:v>
                </c:pt>
                <c:pt idx="277">
                  <c:v>2.2728789333337846E-2</c:v>
                </c:pt>
                <c:pt idx="278">
                  <c:v>2.2705349089747296E-2</c:v>
                </c:pt>
                <c:pt idx="279">
                  <c:v>2.2681985356905056E-2</c:v>
                </c:pt>
                <c:pt idx="280">
                  <c:v>2.2659838663494993E-2</c:v>
                </c:pt>
                <c:pt idx="281">
                  <c:v>2.2635017274770439E-2</c:v>
                </c:pt>
                <c:pt idx="282">
                  <c:v>2.2613164867648809E-2</c:v>
                </c:pt>
                <c:pt idx="283">
                  <c:v>2.2589265299835667E-2</c:v>
                </c:pt>
                <c:pt idx="284">
                  <c:v>2.2567663943077836E-2</c:v>
                </c:pt>
                <c:pt idx="285">
                  <c:v>2.2544040521259117E-2</c:v>
                </c:pt>
                <c:pt idx="286">
                  <c:v>2.2521631518673205E-2</c:v>
                </c:pt>
                <c:pt idx="287">
                  <c:v>2.2503564222184479E-2</c:v>
                </c:pt>
                <c:pt idx="288">
                  <c:v>2.2479303802082129E-2</c:v>
                </c:pt>
                <c:pt idx="289">
                  <c:v>2.2459442162107119E-2</c:v>
                </c:pt>
                <c:pt idx="290">
                  <c:v>2.2436303131452649E-2</c:v>
                </c:pt>
                <c:pt idx="291">
                  <c:v>2.241625149157021E-2</c:v>
                </c:pt>
                <c:pt idx="292">
                  <c:v>2.2394176374351239E-2</c:v>
                </c:pt>
                <c:pt idx="293">
                  <c:v>2.2373104374407898E-2</c:v>
                </c:pt>
                <c:pt idx="294">
                  <c:v>2.2352966416156191E-2</c:v>
                </c:pt>
                <c:pt idx="295">
                  <c:v>2.2333167601184502E-2</c:v>
                </c:pt>
                <c:pt idx="296">
                  <c:v>2.2313994634990508E-2</c:v>
                </c:pt>
                <c:pt idx="297">
                  <c:v>2.2295106061776374E-2</c:v>
                </c:pt>
                <c:pt idx="298">
                  <c:v>2.2276491336442033E-2</c:v>
                </c:pt>
                <c:pt idx="299">
                  <c:v>2.2260865065079169E-2</c:v>
                </c:pt>
                <c:pt idx="300">
                  <c:v>2.2244149847993975E-2</c:v>
                </c:pt>
                <c:pt idx="301">
                  <c:v>2.2227050213989515E-2</c:v>
                </c:pt>
                <c:pt idx="302">
                  <c:v>2.2210392135857404E-2</c:v>
                </c:pt>
                <c:pt idx="303">
                  <c:v>2.2194550247255172E-2</c:v>
                </c:pt>
                <c:pt idx="304">
                  <c:v>2.2180136294948187E-2</c:v>
                </c:pt>
                <c:pt idx="305">
                  <c:v>2.2163022984424866E-2</c:v>
                </c:pt>
                <c:pt idx="306">
                  <c:v>2.2149086251678989E-2</c:v>
                </c:pt>
                <c:pt idx="307">
                  <c:v>2.2134246842353912E-2</c:v>
                </c:pt>
                <c:pt idx="308">
                  <c:v>2.2120775341851091E-2</c:v>
                </c:pt>
                <c:pt idx="309">
                  <c:v>2.2107345374834376E-2</c:v>
                </c:pt>
                <c:pt idx="310">
                  <c:v>2.20952803212289E-2</c:v>
                </c:pt>
                <c:pt idx="311">
                  <c:v>2.2085812599859232E-2</c:v>
                </c:pt>
                <c:pt idx="312">
                  <c:v>2.2072293940650266E-2</c:v>
                </c:pt>
                <c:pt idx="313">
                  <c:v>2.2061941746926321E-2</c:v>
                </c:pt>
                <c:pt idx="314">
                  <c:v>2.2051009315540149E-2</c:v>
                </c:pt>
                <c:pt idx="315">
                  <c:v>2.2041252508157562E-2</c:v>
                </c:pt>
                <c:pt idx="316">
                  <c:v>2.2029033119391764E-2</c:v>
                </c:pt>
                <c:pt idx="317">
                  <c:v>2.201995629835192E-2</c:v>
                </c:pt>
                <c:pt idx="318">
                  <c:v>2.2010462696942738E-2</c:v>
                </c:pt>
                <c:pt idx="319">
                  <c:v>2.200227841854269E-2</c:v>
                </c:pt>
                <c:pt idx="320">
                  <c:v>2.1993766601043505E-2</c:v>
                </c:pt>
                <c:pt idx="321">
                  <c:v>2.1985680870799783E-2</c:v>
                </c:pt>
                <c:pt idx="322">
                  <c:v>2.1982089664489553E-2</c:v>
                </c:pt>
                <c:pt idx="323">
                  <c:v>2.1973323974669438E-2</c:v>
                </c:pt>
                <c:pt idx="324">
                  <c:v>2.1969079428462119E-2</c:v>
                </c:pt>
                <c:pt idx="325">
                  <c:v>2.1961430229468913E-2</c:v>
                </c:pt>
                <c:pt idx="326">
                  <c:v>2.1956919731306652E-2</c:v>
                </c:pt>
                <c:pt idx="327">
                  <c:v>2.1951804410186487E-2</c:v>
                </c:pt>
                <c:pt idx="328">
                  <c:v>2.1945645943083378E-2</c:v>
                </c:pt>
                <c:pt idx="329">
                  <c:v>2.1942237665683539E-2</c:v>
                </c:pt>
                <c:pt idx="330">
                  <c:v>2.1938187466679818E-2</c:v>
                </c:pt>
                <c:pt idx="331">
                  <c:v>2.1935745550072286E-2</c:v>
                </c:pt>
                <c:pt idx="332">
                  <c:v>2.193260300182949E-2</c:v>
                </c:pt>
                <c:pt idx="333">
                  <c:v>2.1931127550962142E-2</c:v>
                </c:pt>
                <c:pt idx="334">
                  <c:v>2.1930977106362302E-2</c:v>
                </c:pt>
                <c:pt idx="335">
                  <c:v>2.1929159527566734E-2</c:v>
                </c:pt>
                <c:pt idx="336">
                  <c:v>2.1929095662485087E-2</c:v>
                </c:pt>
                <c:pt idx="337">
                  <c:v>2.1928185552459394E-2</c:v>
                </c:pt>
                <c:pt idx="338">
                  <c:v>2.192908853971836E-2</c:v>
                </c:pt>
                <c:pt idx="339">
                  <c:v>2.1931148258056202E-2</c:v>
                </c:pt>
                <c:pt idx="340">
                  <c:v>2.1929566063240161E-2</c:v>
                </c:pt>
                <c:pt idx="341">
                  <c:v>2.1931801548113118E-2</c:v>
                </c:pt>
                <c:pt idx="342">
                  <c:v>2.1933277386920625E-2</c:v>
                </c:pt>
                <c:pt idx="343">
                  <c:v>2.1936420457048446E-2</c:v>
                </c:pt>
                <c:pt idx="344">
                  <c:v>2.1938862820163576E-2</c:v>
                </c:pt>
                <c:pt idx="345">
                  <c:v>2.1942299188758087E-2</c:v>
                </c:pt>
                <c:pt idx="346">
                  <c:v>2.1948143702091555E-2</c:v>
                </c:pt>
                <c:pt idx="347">
                  <c:v>2.1950972038917098E-2</c:v>
                </c:pt>
                <c:pt idx="348">
                  <c:v>2.1956282684999207E-2</c:v>
                </c:pt>
                <c:pt idx="349">
                  <c:v>2.1960951377874474E-2</c:v>
                </c:pt>
                <c:pt idx="350">
                  <c:v>2.1966979776006538E-2</c:v>
                </c:pt>
                <c:pt idx="351">
                  <c:v>2.1972344399819786E-2</c:v>
                </c:pt>
                <c:pt idx="352">
                  <c:v>2.1976842853332301E-2</c:v>
                </c:pt>
                <c:pt idx="353">
                  <c:v>2.1981792346847096E-2</c:v>
                </c:pt>
                <c:pt idx="354">
                  <c:v>2.1990475376204469E-2</c:v>
                </c:pt>
                <c:pt idx="355">
                  <c:v>2.1997073424438837E-2</c:v>
                </c:pt>
                <c:pt idx="356">
                  <c:v>2.2004148468303449E-2</c:v>
                </c:pt>
                <c:pt idx="357">
                  <c:v>2.2012593257536236E-2</c:v>
                </c:pt>
                <c:pt idx="358">
                  <c:v>2.2019437407999127E-2</c:v>
                </c:pt>
                <c:pt idx="359">
                  <c:v>2.2028871556702533E-2</c:v>
                </c:pt>
                <c:pt idx="360">
                  <c:v>2.2035350972678176E-2</c:v>
                </c:pt>
                <c:pt idx="361">
                  <c:v>2.2042886494216436E-2</c:v>
                </c:pt>
                <c:pt idx="362">
                  <c:v>2.2052591918831525E-2</c:v>
                </c:pt>
                <c:pt idx="363">
                  <c:v>2.2059003505367481E-2</c:v>
                </c:pt>
                <c:pt idx="364">
                  <c:v>2.2069256675697712E-2</c:v>
                </c:pt>
                <c:pt idx="365">
                  <c:v>2.2077825712485916E-2</c:v>
                </c:pt>
                <c:pt idx="366">
                  <c:v>2.2088636764723158E-2</c:v>
                </c:pt>
                <c:pt idx="367">
                  <c:v>2.2097727068494374E-2</c:v>
                </c:pt>
                <c:pt idx="368">
                  <c:v>2.2109096085890501E-2</c:v>
                </c:pt>
                <c:pt idx="369">
                  <c:v>2.2120238936623255E-2</c:v>
                </c:pt>
                <c:pt idx="370">
                  <c:v>2.2130091549823701E-2</c:v>
                </c:pt>
                <c:pt idx="371">
                  <c:v>2.2142277033631419E-2</c:v>
                </c:pt>
                <c:pt idx="372">
                  <c:v>2.2152650854040737E-2</c:v>
                </c:pt>
                <c:pt idx="373">
                  <c:v>2.2165394582232038E-2</c:v>
                </c:pt>
                <c:pt idx="374">
                  <c:v>2.217891977666165E-2</c:v>
                </c:pt>
                <c:pt idx="375">
                  <c:v>2.2187828345086646E-2</c:v>
                </c:pt>
                <c:pt idx="376">
                  <c:v>2.2199720549902272E-2</c:v>
                </c:pt>
                <c:pt idx="377">
                  <c:v>2.2213084678468255E-2</c:v>
                </c:pt>
                <c:pt idx="378">
                  <c:v>2.2225490894064191E-2</c:v>
                </c:pt>
                <c:pt idx="379">
                  <c:v>2.2239420445420082E-2</c:v>
                </c:pt>
                <c:pt idx="380">
                  <c:v>2.2251868824865382E-2</c:v>
                </c:pt>
                <c:pt idx="381">
                  <c:v>2.2268709692182923E-2</c:v>
                </c:pt>
                <c:pt idx="382">
                  <c:v>2.2280735096112312E-2</c:v>
                </c:pt>
                <c:pt idx="383">
                  <c:v>2.2297177192046994E-2</c:v>
                </c:pt>
                <c:pt idx="384">
                  <c:v>2.2309268368759669E-2</c:v>
                </c:pt>
                <c:pt idx="385">
                  <c:v>2.2324382334628828E-2</c:v>
                </c:pt>
                <c:pt idx="386">
                  <c:v>2.2340270568140714E-2</c:v>
                </c:pt>
                <c:pt idx="387">
                  <c:v>2.2353580347177798E-2</c:v>
                </c:pt>
                <c:pt idx="388">
                  <c:v>2.2370477225415186E-2</c:v>
                </c:pt>
                <c:pt idx="389">
                  <c:v>2.238524540474942E-2</c:v>
                </c:pt>
                <c:pt idx="390">
                  <c:v>2.2402701263428002E-2</c:v>
                </c:pt>
                <c:pt idx="391">
                  <c:v>2.2417990174566367E-2</c:v>
                </c:pt>
                <c:pt idx="392">
                  <c:v>2.2435035950741984E-2</c:v>
                </c:pt>
                <c:pt idx="393">
                  <c:v>2.2452672628245907E-2</c:v>
                </c:pt>
                <c:pt idx="394">
                  <c:v>2.2470686179396519E-2</c:v>
                </c:pt>
                <c:pt idx="395">
                  <c:v>2.2487001904178721E-2</c:v>
                </c:pt>
                <c:pt idx="396">
                  <c:v>2.2506539466533866E-2</c:v>
                </c:pt>
                <c:pt idx="397">
                  <c:v>2.2522956322582128E-2</c:v>
                </c:pt>
                <c:pt idx="398">
                  <c:v>2.2540043719390404E-2</c:v>
                </c:pt>
                <c:pt idx="399">
                  <c:v>2.2557978013104153E-2</c:v>
                </c:pt>
                <c:pt idx="400">
                  <c:v>2.2575982712391234E-2</c:v>
                </c:pt>
                <c:pt idx="401">
                  <c:v>2.2596070744478655E-2</c:v>
                </c:pt>
                <c:pt idx="402">
                  <c:v>2.2614589747169997E-2</c:v>
                </c:pt>
                <c:pt idx="403">
                  <c:v>2.2635243529377135E-2</c:v>
                </c:pt>
                <c:pt idx="404">
                  <c:v>2.2655066938727101E-2</c:v>
                </c:pt>
                <c:pt idx="405">
                  <c:v>2.2673937066177926E-2</c:v>
                </c:pt>
                <c:pt idx="406">
                  <c:v>2.2695649878701304E-2</c:v>
                </c:pt>
                <c:pt idx="407">
                  <c:v>2.2714570913016024E-2</c:v>
                </c:pt>
                <c:pt idx="408">
                  <c:v>2.2735905349700096E-2</c:v>
                </c:pt>
                <c:pt idx="409">
                  <c:v>2.2757109553787104E-2</c:v>
                </c:pt>
                <c:pt idx="410">
                  <c:v>2.2772202128061678E-2</c:v>
                </c:pt>
                <c:pt idx="411">
                  <c:v>2.2789311240667898E-2</c:v>
                </c:pt>
                <c:pt idx="412">
                  <c:v>2.2807158680352716E-2</c:v>
                </c:pt>
                <c:pt idx="413">
                  <c:v>2.2822499365064707E-2</c:v>
                </c:pt>
                <c:pt idx="414">
                  <c:v>2.2838401407879117E-2</c:v>
                </c:pt>
                <c:pt idx="415">
                  <c:v>2.2851484212235415E-2</c:v>
                </c:pt>
                <c:pt idx="416">
                  <c:v>2.2867949443261534E-2</c:v>
                </c:pt>
                <c:pt idx="417">
                  <c:v>2.2878253598405101E-2</c:v>
                </c:pt>
                <c:pt idx="418">
                  <c:v>2.2891887840879675E-2</c:v>
                </c:pt>
                <c:pt idx="419">
                  <c:v>2.290000877351785E-2</c:v>
                </c:pt>
                <c:pt idx="420">
                  <c:v>2.2910102532325189E-2</c:v>
                </c:pt>
                <c:pt idx="421">
                  <c:v>2.29192734300247E-2</c:v>
                </c:pt>
                <c:pt idx="422">
                  <c:v>2.2924470001916986E-2</c:v>
                </c:pt>
                <c:pt idx="423">
                  <c:v>2.293232036434292E-2</c:v>
                </c:pt>
                <c:pt idx="424">
                  <c:v>2.2937405564472674E-2</c:v>
                </c:pt>
                <c:pt idx="425">
                  <c:v>2.2943340479018661E-2</c:v>
                </c:pt>
                <c:pt idx="426">
                  <c:v>2.2946626737072533E-2</c:v>
                </c:pt>
                <c:pt idx="427">
                  <c:v>2.295064593971834E-2</c:v>
                </c:pt>
                <c:pt idx="428">
                  <c:v>2.2954189544518735E-2</c:v>
                </c:pt>
                <c:pt idx="429">
                  <c:v>2.2954849433577743E-2</c:v>
                </c:pt>
                <c:pt idx="430">
                  <c:v>2.2956070602220078E-2</c:v>
                </c:pt>
                <c:pt idx="431">
                  <c:v>2.2954931863387606E-2</c:v>
                </c:pt>
                <c:pt idx="432">
                  <c:v>2.2954236472057982E-2</c:v>
                </c:pt>
                <c:pt idx="433">
                  <c:v>2.2953310865074291E-2</c:v>
                </c:pt>
                <c:pt idx="434">
                  <c:v>2.2947375649789371E-2</c:v>
                </c:pt>
                <c:pt idx="435">
                  <c:v>2.2944097534908427E-2</c:v>
                </c:pt>
                <c:pt idx="436">
                  <c:v>2.2938171332391878E-2</c:v>
                </c:pt>
                <c:pt idx="437">
                  <c:v>2.2933094162582348E-2</c:v>
                </c:pt>
                <c:pt idx="438">
                  <c:v>2.2925252389806725E-2</c:v>
                </c:pt>
                <c:pt idx="439">
                  <c:v>2.291811238999393E-2</c:v>
                </c:pt>
                <c:pt idx="440">
                  <c:v>2.291119366868416E-2</c:v>
                </c:pt>
                <c:pt idx="441">
                  <c:v>2.2900585281410202E-2</c:v>
                </c:pt>
                <c:pt idx="442">
                  <c:v>2.2891094613512779E-2</c:v>
                </c:pt>
                <c:pt idx="443">
                  <c:v>2.2879595661869846E-2</c:v>
                </c:pt>
                <c:pt idx="444">
                  <c:v>2.2867865799814958E-2</c:v>
                </c:pt>
                <c:pt idx="445">
                  <c:v>2.2852322051333775E-2</c:v>
                </c:pt>
                <c:pt idx="446">
                  <c:v>2.2838772290713891E-2</c:v>
                </c:pt>
                <c:pt idx="447">
                  <c:v>2.2822894821332439E-2</c:v>
                </c:pt>
                <c:pt idx="448">
                  <c:v>2.28075764755819E-2</c:v>
                </c:pt>
                <c:pt idx="449">
                  <c:v>2.2789753608144173E-2</c:v>
                </c:pt>
                <c:pt idx="450">
                  <c:v>2.277167151281842E-2</c:v>
                </c:pt>
                <c:pt idx="451">
                  <c:v>2.2756933923951266E-2</c:v>
                </c:pt>
                <c:pt idx="452">
                  <c:v>2.2735065396799956E-2</c:v>
                </c:pt>
                <c:pt idx="453">
                  <c:v>2.2716473047631358E-2</c:v>
                </c:pt>
                <c:pt idx="454">
                  <c:v>2.269345590295168E-2</c:v>
                </c:pt>
                <c:pt idx="455">
                  <c:v>2.2672363760564529E-2</c:v>
                </c:pt>
                <c:pt idx="456">
                  <c:v>2.2647806959653967E-2</c:v>
                </c:pt>
                <c:pt idx="457">
                  <c:v>2.2622910270459647E-2</c:v>
                </c:pt>
                <c:pt idx="458">
                  <c:v>2.2597529975563191E-2</c:v>
                </c:pt>
                <c:pt idx="459">
                  <c:v>2.2571470728308531E-2</c:v>
                </c:pt>
                <c:pt idx="460">
                  <c:v>2.2544171962551252E-2</c:v>
                </c:pt>
                <c:pt idx="461">
                  <c:v>2.2516318822889795E-2</c:v>
                </c:pt>
                <c:pt idx="462">
                  <c:v>2.2487101518517814E-2</c:v>
                </c:pt>
                <c:pt idx="463">
                  <c:v>2.2460951009846134E-2</c:v>
                </c:pt>
                <c:pt idx="464">
                  <c:v>2.2430528892063938E-2</c:v>
                </c:pt>
                <c:pt idx="465">
                  <c:v>2.239882888130702E-2</c:v>
                </c:pt>
                <c:pt idx="466">
                  <c:v>2.2367302633816189E-2</c:v>
                </c:pt>
                <c:pt idx="467">
                  <c:v>2.2334880615033831E-2</c:v>
                </c:pt>
                <c:pt idx="468">
                  <c:v>2.2303636297447638E-2</c:v>
                </c:pt>
                <c:pt idx="469">
                  <c:v>2.2270453024457983E-2</c:v>
                </c:pt>
                <c:pt idx="470">
                  <c:v>2.224033103008885E-2</c:v>
                </c:pt>
                <c:pt idx="471">
                  <c:v>2.220754173766696E-2</c:v>
                </c:pt>
                <c:pt idx="472">
                  <c:v>2.2178046822251423E-2</c:v>
                </c:pt>
                <c:pt idx="473">
                  <c:v>2.2145947284503569E-2</c:v>
                </c:pt>
                <c:pt idx="474">
                  <c:v>2.2115918942596086E-2</c:v>
                </c:pt>
                <c:pt idx="475">
                  <c:v>2.2090283733260812E-2</c:v>
                </c:pt>
                <c:pt idx="476">
                  <c:v>2.2059511944917818E-2</c:v>
                </c:pt>
                <c:pt idx="477">
                  <c:v>2.2031766165869385E-2</c:v>
                </c:pt>
                <c:pt idx="478">
                  <c:v>2.2001142808213508E-2</c:v>
                </c:pt>
                <c:pt idx="479">
                  <c:v>2.1974030894449142E-2</c:v>
                </c:pt>
                <c:pt idx="480">
                  <c:v>2.1944090185738847E-2</c:v>
                </c:pt>
                <c:pt idx="481">
                  <c:v>2.1916272683167395E-2</c:v>
                </c:pt>
                <c:pt idx="482">
                  <c:v>2.1888353964313562E-2</c:v>
                </c:pt>
                <c:pt idx="483">
                  <c:v>2.1862275554958521E-2</c:v>
                </c:pt>
                <c:pt idx="484">
                  <c:v>2.1833696030060783E-2</c:v>
                </c:pt>
                <c:pt idx="485">
                  <c:v>2.1807397584883197E-2</c:v>
                </c:pt>
                <c:pt idx="486">
                  <c:v>2.1783819256932218E-2</c:v>
                </c:pt>
                <c:pt idx="487">
                  <c:v>2.1756828048508658E-2</c:v>
                </c:pt>
                <c:pt idx="488">
                  <c:v>2.1733048462623642E-2</c:v>
                </c:pt>
                <c:pt idx="489">
                  <c:v>2.170644828854398E-2</c:v>
                </c:pt>
                <c:pt idx="490">
                  <c:v>2.1682788028202275E-2</c:v>
                </c:pt>
                <c:pt idx="491">
                  <c:v>2.1656824848391421E-2</c:v>
                </c:pt>
                <c:pt idx="492">
                  <c:v>2.1631963029585033E-2</c:v>
                </c:pt>
                <c:pt idx="493">
                  <c:v>2.1607719555781939E-2</c:v>
                </c:pt>
                <c:pt idx="494">
                  <c:v>2.1584024285112625E-2</c:v>
                </c:pt>
                <c:pt idx="495">
                  <c:v>2.1560456645885406E-2</c:v>
                </c:pt>
                <c:pt idx="496">
                  <c:v>2.1537401060824937E-2</c:v>
                </c:pt>
                <c:pt idx="497">
                  <c:v>2.1514509292999896E-2</c:v>
                </c:pt>
                <c:pt idx="498">
                  <c:v>2.1495089881172047E-2</c:v>
                </c:pt>
                <c:pt idx="499">
                  <c:v>2.1472965553365E-2</c:v>
                </c:pt>
                <c:pt idx="500">
                  <c:v>2.1451058273009426E-2</c:v>
                </c:pt>
                <c:pt idx="501">
                  <c:v>2.1429573399234601E-2</c:v>
                </c:pt>
                <c:pt idx="502">
                  <c:v>2.140834216977875E-2</c:v>
                </c:pt>
                <c:pt idx="503">
                  <c:v>2.1388425112523639E-2</c:v>
                </c:pt>
                <c:pt idx="504">
                  <c:v>2.1366314647223491E-2</c:v>
                </c:pt>
                <c:pt idx="505">
                  <c:v>2.134705467893426E-2</c:v>
                </c:pt>
                <c:pt idx="506">
                  <c:v>2.1326213153840829E-2</c:v>
                </c:pt>
                <c:pt idx="507">
                  <c:v>2.1307579430946039E-2</c:v>
                </c:pt>
                <c:pt idx="508">
                  <c:v>2.1287426755403193E-2</c:v>
                </c:pt>
                <c:pt idx="509">
                  <c:v>2.1268490586924132E-2</c:v>
                </c:pt>
                <c:pt idx="510">
                  <c:v>2.125364525230879E-2</c:v>
                </c:pt>
                <c:pt idx="511">
                  <c:v>2.1234065032350757E-2</c:v>
                </c:pt>
                <c:pt idx="512">
                  <c:v>2.121731153310993E-2</c:v>
                </c:pt>
                <c:pt idx="513">
                  <c:v>2.1198501344433997E-2</c:v>
                </c:pt>
                <c:pt idx="514">
                  <c:v>2.118238239725408E-2</c:v>
                </c:pt>
                <c:pt idx="515">
                  <c:v>2.1164610982483439E-2</c:v>
                </c:pt>
                <c:pt idx="516">
                  <c:v>2.1147157841723312E-2</c:v>
                </c:pt>
                <c:pt idx="517">
                  <c:v>2.113095185729728E-2</c:v>
                </c:pt>
                <c:pt idx="518">
                  <c:v>2.1114853800863111E-2</c:v>
                </c:pt>
                <c:pt idx="519">
                  <c:v>2.1099324145502679E-2</c:v>
                </c:pt>
                <c:pt idx="520">
                  <c:v>2.1083864359824622E-2</c:v>
                </c:pt>
                <c:pt idx="521">
                  <c:v>2.1070424750679103E-2</c:v>
                </c:pt>
                <c:pt idx="522">
                  <c:v>2.1055887374614033E-2</c:v>
                </c:pt>
                <c:pt idx="523">
                  <c:v>2.1042541187508208E-2</c:v>
                </c:pt>
                <c:pt idx="524">
                  <c:v>2.1027943069909072E-2</c:v>
                </c:pt>
                <c:pt idx="525">
                  <c:v>2.1015279753875502E-2</c:v>
                </c:pt>
                <c:pt idx="526">
                  <c:v>2.100125789669623E-2</c:v>
                </c:pt>
                <c:pt idx="527">
                  <c:v>2.0987594360830544E-2</c:v>
                </c:pt>
                <c:pt idx="528">
                  <c:v>2.0975075862340434E-2</c:v>
                </c:pt>
                <c:pt idx="529">
                  <c:v>2.0962455860215338E-2</c:v>
                </c:pt>
                <c:pt idx="530">
                  <c:v>2.0950614002723619E-2</c:v>
                </c:pt>
                <c:pt idx="531">
                  <c:v>2.0938631737075122E-2</c:v>
                </c:pt>
                <c:pt idx="532">
                  <c:v>2.0927033944532519E-2</c:v>
                </c:pt>
                <c:pt idx="533">
                  <c:v>2.0917690136059566E-2</c:v>
                </c:pt>
                <c:pt idx="534">
                  <c:v>2.0907526458002302E-2</c:v>
                </c:pt>
                <c:pt idx="535">
                  <c:v>2.089679785707621E-2</c:v>
                </c:pt>
                <c:pt idx="536">
                  <c:v>2.0886378525916655E-2</c:v>
                </c:pt>
                <c:pt idx="537">
                  <c:v>2.0876872573578283E-2</c:v>
                </c:pt>
                <c:pt idx="538">
                  <c:v>2.0868470696202349E-2</c:v>
                </c:pt>
                <c:pt idx="539">
                  <c:v>2.0857332463966333E-2</c:v>
                </c:pt>
                <c:pt idx="540">
                  <c:v>2.0848923106692067E-2</c:v>
                </c:pt>
                <c:pt idx="541">
                  <c:v>2.0840016996580692E-2</c:v>
                </c:pt>
                <c:pt idx="542">
                  <c:v>2.0832233422452606E-2</c:v>
                </c:pt>
                <c:pt idx="543">
                  <c:v>2.0824015665192874E-2</c:v>
                </c:pt>
                <c:pt idx="544">
                  <c:v>2.0816136334880244E-2</c:v>
                </c:pt>
                <c:pt idx="545">
                  <c:v>2.0812192419160332E-2</c:v>
                </c:pt>
                <c:pt idx="546">
                  <c:v>2.0803719930735886E-2</c:v>
                </c:pt>
                <c:pt idx="547">
                  <c:v>2.0797972668130084E-2</c:v>
                </c:pt>
                <c:pt idx="548">
                  <c:v>2.0790940498748939E-2</c:v>
                </c:pt>
                <c:pt idx="549">
                  <c:v>2.0785828739470023E-2</c:v>
                </c:pt>
                <c:pt idx="550">
                  <c:v>2.0779992114785588E-2</c:v>
                </c:pt>
                <c:pt idx="551">
                  <c:v>2.0773272747434405E-2</c:v>
                </c:pt>
                <c:pt idx="552">
                  <c:v>2.0768797297809283E-2</c:v>
                </c:pt>
                <c:pt idx="553">
                  <c:v>2.0763748364371403E-2</c:v>
                </c:pt>
                <c:pt idx="554">
                  <c:v>2.0759820384765162E-2</c:v>
                </c:pt>
                <c:pt idx="555">
                  <c:v>2.075541816081241E-2</c:v>
                </c:pt>
                <c:pt idx="556">
                  <c:v>2.0752417121466062E-2</c:v>
                </c:pt>
                <c:pt idx="557">
                  <c:v>2.0750493665187386E-2</c:v>
                </c:pt>
                <c:pt idx="558">
                  <c:v>2.0748689772211285E-2</c:v>
                </c:pt>
                <c:pt idx="559">
                  <c:v>2.0744978111388916E-2</c:v>
                </c:pt>
                <c:pt idx="560">
                  <c:v>2.0742131324333963E-2</c:v>
                </c:pt>
                <c:pt idx="561">
                  <c:v>2.0740677264634095E-2</c:v>
                </c:pt>
                <c:pt idx="562">
                  <c:v>2.0737314274059376E-2</c:v>
                </c:pt>
                <c:pt idx="563">
                  <c:v>2.0736527205758002E-2</c:v>
                </c:pt>
                <c:pt idx="564">
                  <c:v>2.0734943248267319E-2</c:v>
                </c:pt>
                <c:pt idx="565">
                  <c:v>2.0734833865522061E-2</c:v>
                </c:pt>
                <c:pt idx="566">
                  <c:v>2.0733886077138341E-2</c:v>
                </c:pt>
                <c:pt idx="567">
                  <c:v>2.0734454453846796E-2</c:v>
                </c:pt>
                <c:pt idx="568">
                  <c:v>2.0735921660175172E-2</c:v>
                </c:pt>
                <c:pt idx="569">
                  <c:v>2.0735902709285096E-2</c:v>
                </c:pt>
                <c:pt idx="570">
                  <c:v>2.073746117711215E-2</c:v>
                </c:pt>
                <c:pt idx="571">
                  <c:v>2.0738078283557962E-2</c:v>
                </c:pt>
                <c:pt idx="572">
                  <c:v>2.074031477604495E-2</c:v>
                </c:pt>
                <c:pt idx="573">
                  <c:v>2.0743468646003779E-2</c:v>
                </c:pt>
                <c:pt idx="574">
                  <c:v>2.0743204833971022E-2</c:v>
                </c:pt>
                <c:pt idx="575">
                  <c:v>2.0746284955498007E-2</c:v>
                </c:pt>
                <c:pt idx="576">
                  <c:v>2.0748665131729137E-2</c:v>
                </c:pt>
                <c:pt idx="577">
                  <c:v>2.0752381722793176E-2</c:v>
                </c:pt>
                <c:pt idx="578">
                  <c:v>2.0755439385325456E-2</c:v>
                </c:pt>
                <c:pt idx="579">
                  <c:v>2.0759255098778791E-2</c:v>
                </c:pt>
              </c:numCache>
            </c:numRef>
          </c:val>
          <c:smooth val="0"/>
        </c:ser>
        <c:ser>
          <c:idx val="1"/>
          <c:order val="1"/>
          <c:tx>
            <c:v>OIS 6M Curve</c:v>
          </c:tx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6M '!$R$2:$R$581</c:f>
              <c:numCache>
                <c:formatCode>0.0000%</c:formatCode>
                <c:ptCount val="580"/>
                <c:pt idx="0">
                  <c:v>-7.0303535509186332E-4</c:v>
                </c:pt>
                <c:pt idx="1">
                  <c:v>-6.5868874184473857E-4</c:v>
                </c:pt>
                <c:pt idx="2">
                  <c:v>-6.7583689128287332E-4</c:v>
                </c:pt>
                <c:pt idx="3">
                  <c:v>-7.166355086694054E-4</c:v>
                </c:pt>
                <c:pt idx="4">
                  <c:v>-8.2720750961227387E-4</c:v>
                </c:pt>
                <c:pt idx="5">
                  <c:v>-8.3362195249657943E-4</c:v>
                </c:pt>
                <c:pt idx="6">
                  <c:v>-7.6908955384475579E-4</c:v>
                </c:pt>
                <c:pt idx="7">
                  <c:v>-7.5188838334450244E-4</c:v>
                </c:pt>
                <c:pt idx="8">
                  <c:v>-7.9798152284287134E-4</c:v>
                </c:pt>
                <c:pt idx="9">
                  <c:v>-9.2881311654466705E-4</c:v>
                </c:pt>
                <c:pt idx="10">
                  <c:v>-9.2747564932551738E-4</c:v>
                </c:pt>
                <c:pt idx="11">
                  <c:v>-9.0152590204974612E-4</c:v>
                </c:pt>
                <c:pt idx="12">
                  <c:v>-8.2240542831395441E-4</c:v>
                </c:pt>
                <c:pt idx="13">
                  <c:v>-7.8660102995263017E-4</c:v>
                </c:pt>
                <c:pt idx="14">
                  <c:v>-7.5288859505328687E-4</c:v>
                </c:pt>
                <c:pt idx="15">
                  <c:v>-7.109373170105088E-4</c:v>
                </c:pt>
                <c:pt idx="16">
                  <c:v>-6.5706897287307877E-4</c:v>
                </c:pt>
                <c:pt idx="17">
                  <c:v>-6.0146217069043692E-4</c:v>
                </c:pt>
                <c:pt idx="18">
                  <c:v>-5.4433598445137519E-4</c:v>
                </c:pt>
                <c:pt idx="19">
                  <c:v>-4.7431373812886123E-4</c:v>
                </c:pt>
                <c:pt idx="20">
                  <c:v>-4.0181400140214686E-4</c:v>
                </c:pt>
                <c:pt idx="21">
                  <c:v>-2.4969389065420268E-4</c:v>
                </c:pt>
                <c:pt idx="22">
                  <c:v>7.2481861373743925E-5</c:v>
                </c:pt>
                <c:pt idx="23">
                  <c:v>3.8461491824708278E-4</c:v>
                </c:pt>
                <c:pt idx="24">
                  <c:v>5.6586489268838991E-4</c:v>
                </c:pt>
                <c:pt idx="25">
                  <c:v>5.6586489268752103E-4</c:v>
                </c:pt>
                <c:pt idx="26">
                  <c:v>5.6586489268838991E-4</c:v>
                </c:pt>
                <c:pt idx="27">
                  <c:v>5.6586400327862663E-4</c:v>
                </c:pt>
                <c:pt idx="28">
                  <c:v>5.6586489268752103E-4</c:v>
                </c:pt>
                <c:pt idx="29">
                  <c:v>5.6586400327862663E-4</c:v>
                </c:pt>
                <c:pt idx="30">
                  <c:v>5.658648926883898E-4</c:v>
                </c:pt>
                <c:pt idx="31">
                  <c:v>5.6586444798373454E-4</c:v>
                </c:pt>
                <c:pt idx="32">
                  <c:v>5.6586489268752103E-4</c:v>
                </c:pt>
                <c:pt idx="33">
                  <c:v>9.8999419669369899E-4</c:v>
                </c:pt>
                <c:pt idx="34">
                  <c:v>1.7441153431383707E-3</c:v>
                </c:pt>
                <c:pt idx="35">
                  <c:v>2.4719507988080936E-3</c:v>
                </c:pt>
                <c:pt idx="36">
                  <c:v>2.7341198523576854E-3</c:v>
                </c:pt>
                <c:pt idx="37">
                  <c:v>2.7341198523576859E-3</c:v>
                </c:pt>
                <c:pt idx="38">
                  <c:v>2.7341094722845823E-3</c:v>
                </c:pt>
                <c:pt idx="39">
                  <c:v>2.7340990922652963E-3</c:v>
                </c:pt>
                <c:pt idx="40">
                  <c:v>2.7341094722854605E-3</c:v>
                </c:pt>
                <c:pt idx="41">
                  <c:v>2.7341198523568168E-3</c:v>
                </c:pt>
                <c:pt idx="42">
                  <c:v>2.7341094722854609E-3</c:v>
                </c:pt>
                <c:pt idx="43">
                  <c:v>2.7341198523568168E-3</c:v>
                </c:pt>
                <c:pt idx="44">
                  <c:v>2.7341198523568172E-3</c:v>
                </c:pt>
                <c:pt idx="45">
                  <c:v>3.587544110013728E-3</c:v>
                </c:pt>
                <c:pt idx="46">
                  <c:v>4.500030897294228E-3</c:v>
                </c:pt>
                <c:pt idx="47">
                  <c:v>5.4421346129742672E-3</c:v>
                </c:pt>
                <c:pt idx="48">
                  <c:v>5.4421757288178217E-3</c:v>
                </c:pt>
                <c:pt idx="49">
                  <c:v>5.4421757288178208E-3</c:v>
                </c:pt>
                <c:pt idx="50">
                  <c:v>5.4420934975460966E-3</c:v>
                </c:pt>
                <c:pt idx="51">
                  <c:v>5.4421346129742681E-3</c:v>
                </c:pt>
                <c:pt idx="52">
                  <c:v>5.4420523825311432E-3</c:v>
                </c:pt>
                <c:pt idx="53">
                  <c:v>5.4421757288169526E-3</c:v>
                </c:pt>
                <c:pt idx="54">
                  <c:v>5.4421346129742681E-3</c:v>
                </c:pt>
                <c:pt idx="55">
                  <c:v>5.4421757288169526E-3</c:v>
                </c:pt>
                <c:pt idx="56">
                  <c:v>5.6952216977730445E-3</c:v>
                </c:pt>
                <c:pt idx="57">
                  <c:v>6.7798895226290285E-3</c:v>
                </c:pt>
                <c:pt idx="58">
                  <c:v>7.9733708933292444E-3</c:v>
                </c:pt>
                <c:pt idx="59">
                  <c:v>8.7691202890830145E-3</c:v>
                </c:pt>
                <c:pt idx="60">
                  <c:v>8.769227013164179E-3</c:v>
                </c:pt>
                <c:pt idx="61">
                  <c:v>8.7692270131650464E-3</c:v>
                </c:pt>
                <c:pt idx="62">
                  <c:v>8.7691202890830145E-3</c:v>
                </c:pt>
                <c:pt idx="63">
                  <c:v>8.7691202890830145E-3</c:v>
                </c:pt>
                <c:pt idx="64">
                  <c:v>8.7691202890830145E-3</c:v>
                </c:pt>
                <c:pt idx="65">
                  <c:v>8.7692270131650464E-3</c:v>
                </c:pt>
                <c:pt idx="66">
                  <c:v>8.7691202890830145E-3</c:v>
                </c:pt>
                <c:pt idx="67">
                  <c:v>8.7692270131650481E-3</c:v>
                </c:pt>
                <c:pt idx="68">
                  <c:v>9.3290314640606786E-3</c:v>
                </c:pt>
                <c:pt idx="69">
                  <c:v>1.0523548041285746E-2</c:v>
                </c:pt>
                <c:pt idx="70">
                  <c:v>1.1681082877181547E-2</c:v>
                </c:pt>
                <c:pt idx="71">
                  <c:v>1.2203745836969824E-2</c:v>
                </c:pt>
                <c:pt idx="72">
                  <c:v>1.2203952476115085E-2</c:v>
                </c:pt>
                <c:pt idx="73">
                  <c:v>1.2203745836969824E-2</c:v>
                </c:pt>
                <c:pt idx="74">
                  <c:v>1.2203539202489287E-2</c:v>
                </c:pt>
                <c:pt idx="75">
                  <c:v>1.2203745836969825E-2</c:v>
                </c:pt>
                <c:pt idx="76">
                  <c:v>1.2203952476115085E-2</c:v>
                </c:pt>
                <c:pt idx="77">
                  <c:v>1.2203745836969824E-2</c:v>
                </c:pt>
                <c:pt idx="78">
                  <c:v>1.2203952476115084E-2</c:v>
                </c:pt>
                <c:pt idx="79">
                  <c:v>1.2203952476115084E-2</c:v>
                </c:pt>
                <c:pt idx="80">
                  <c:v>1.3150513566668453E-2</c:v>
                </c:pt>
                <c:pt idx="81">
                  <c:v>1.4324566332883445E-2</c:v>
                </c:pt>
                <c:pt idx="82">
                  <c:v>1.5534859773064737E-2</c:v>
                </c:pt>
                <c:pt idx="83">
                  <c:v>1.5688423038229357E-2</c:v>
                </c:pt>
                <c:pt idx="84">
                  <c:v>1.5688423038229357E-2</c:v>
                </c:pt>
                <c:pt idx="85">
                  <c:v>1.5687740284847429E-2</c:v>
                </c:pt>
                <c:pt idx="86">
                  <c:v>1.5688081656587673E-2</c:v>
                </c:pt>
                <c:pt idx="87">
                  <c:v>1.5687398923008269E-2</c:v>
                </c:pt>
                <c:pt idx="88">
                  <c:v>1.568842303822849E-2</c:v>
                </c:pt>
                <c:pt idx="89">
                  <c:v>1.5688081656587673E-2</c:v>
                </c:pt>
                <c:pt idx="90">
                  <c:v>1.5688423038228486E-2</c:v>
                </c:pt>
                <c:pt idx="91">
                  <c:v>1.5716438960865064E-2</c:v>
                </c:pt>
                <c:pt idx="92">
                  <c:v>1.6557009545223201E-2</c:v>
                </c:pt>
                <c:pt idx="93">
                  <c:v>1.7481844907851183E-2</c:v>
                </c:pt>
                <c:pt idx="94">
                  <c:v>1.8266261681519912E-2</c:v>
                </c:pt>
                <c:pt idx="95">
                  <c:v>1.826672438928529E-2</c:v>
                </c:pt>
                <c:pt idx="96">
                  <c:v>1.826672438928529E-2</c:v>
                </c:pt>
                <c:pt idx="97">
                  <c:v>1.8266261681520794E-2</c:v>
                </c:pt>
                <c:pt idx="98">
                  <c:v>1.8265798989376414E-2</c:v>
                </c:pt>
                <c:pt idx="99">
                  <c:v>1.8266261681519916E-2</c:v>
                </c:pt>
                <c:pt idx="100">
                  <c:v>1.826672438928529E-2</c:v>
                </c:pt>
                <c:pt idx="101">
                  <c:v>1.8266261681519916E-2</c:v>
                </c:pt>
                <c:pt idx="102">
                  <c:v>1.8266724389285286E-2</c:v>
                </c:pt>
                <c:pt idx="103">
                  <c:v>1.8478815836930607E-2</c:v>
                </c:pt>
                <c:pt idx="104">
                  <c:v>1.9095874201106176E-2</c:v>
                </c:pt>
                <c:pt idx="105">
                  <c:v>1.9693741847021159E-2</c:v>
                </c:pt>
                <c:pt idx="106">
                  <c:v>2.0041489409554778E-2</c:v>
                </c:pt>
                <c:pt idx="107">
                  <c:v>2.0040932517225957E-2</c:v>
                </c:pt>
                <c:pt idx="108">
                  <c:v>2.0040932517225964E-2</c:v>
                </c:pt>
                <c:pt idx="109">
                  <c:v>2.0040375645519838E-2</c:v>
                </c:pt>
                <c:pt idx="110">
                  <c:v>2.0040375645519842E-2</c:v>
                </c:pt>
                <c:pt idx="111">
                  <c:v>2.0039818794437281E-2</c:v>
                </c:pt>
                <c:pt idx="112">
                  <c:v>2.0040375645519842E-2</c:v>
                </c:pt>
                <c:pt idx="113">
                  <c:v>2.0040932517225964E-2</c:v>
                </c:pt>
                <c:pt idx="114">
                  <c:v>2.0040932517225961E-2</c:v>
                </c:pt>
                <c:pt idx="115">
                  <c:v>2.0383069950837249E-2</c:v>
                </c:pt>
                <c:pt idx="116">
                  <c:v>2.0874014776759525E-2</c:v>
                </c:pt>
                <c:pt idx="117">
                  <c:v>2.1333812612072324E-2</c:v>
                </c:pt>
                <c:pt idx="118">
                  <c:v>2.1409660836413772E-2</c:v>
                </c:pt>
                <c:pt idx="119">
                  <c:v>2.1409660836413772E-2</c:v>
                </c:pt>
                <c:pt idx="120">
                  <c:v>2.1409025376925472E-2</c:v>
                </c:pt>
                <c:pt idx="121">
                  <c:v>2.1408389942573436E-2</c:v>
                </c:pt>
                <c:pt idx="122">
                  <c:v>2.1409025376925468E-2</c:v>
                </c:pt>
                <c:pt idx="123">
                  <c:v>2.1409660836413765E-2</c:v>
                </c:pt>
                <c:pt idx="124">
                  <c:v>2.1409025376925468E-2</c:v>
                </c:pt>
                <c:pt idx="125">
                  <c:v>2.1409660836413769E-2</c:v>
                </c:pt>
                <c:pt idx="126">
                  <c:v>2.1431350369794405E-2</c:v>
                </c:pt>
                <c:pt idx="127">
                  <c:v>2.1778399165623481E-2</c:v>
                </c:pt>
                <c:pt idx="128">
                  <c:v>2.2114631878741346E-2</c:v>
                </c:pt>
                <c:pt idx="129">
                  <c:v>2.2406807121004946E-2</c:v>
                </c:pt>
                <c:pt idx="130">
                  <c:v>2.2407503135121815E-2</c:v>
                </c:pt>
                <c:pt idx="131">
                  <c:v>2.2407503135121812E-2</c:v>
                </c:pt>
                <c:pt idx="132">
                  <c:v>2.240611113570079E-2</c:v>
                </c:pt>
                <c:pt idx="133">
                  <c:v>2.2406807121005821E-2</c:v>
                </c:pt>
                <c:pt idx="134">
                  <c:v>2.240541517920697E-2</c:v>
                </c:pt>
                <c:pt idx="135">
                  <c:v>2.2407503135121819E-2</c:v>
                </c:pt>
                <c:pt idx="136">
                  <c:v>2.2406807121004943E-2</c:v>
                </c:pt>
                <c:pt idx="137">
                  <c:v>2.2407503135121812E-2</c:v>
                </c:pt>
                <c:pt idx="138">
                  <c:v>2.2532157719911856E-2</c:v>
                </c:pt>
                <c:pt idx="139">
                  <c:v>2.2843811456442643E-2</c:v>
                </c:pt>
                <c:pt idx="140">
                  <c:v>2.3186659071528431E-2</c:v>
                </c:pt>
                <c:pt idx="141">
                  <c:v>2.3362532599942351E-2</c:v>
                </c:pt>
                <c:pt idx="142">
                  <c:v>2.3363289194967121E-2</c:v>
                </c:pt>
                <c:pt idx="143">
                  <c:v>2.336328919496625E-2</c:v>
                </c:pt>
                <c:pt idx="144">
                  <c:v>2.336328919496625E-2</c:v>
                </c:pt>
                <c:pt idx="145">
                  <c:v>2.3361776037570614E-2</c:v>
                </c:pt>
                <c:pt idx="146">
                  <c:v>2.336328919496625E-2</c:v>
                </c:pt>
                <c:pt idx="147">
                  <c:v>2.3362532599942348E-2</c:v>
                </c:pt>
                <c:pt idx="148">
                  <c:v>2.3363289194967118E-2</c:v>
                </c:pt>
                <c:pt idx="149">
                  <c:v>2.3363289194967121E-2</c:v>
                </c:pt>
                <c:pt idx="150">
                  <c:v>2.3363289194967118E-2</c:v>
                </c:pt>
                <c:pt idx="151">
                  <c:v>2.3363289194967118E-2</c:v>
                </c:pt>
                <c:pt idx="152">
                  <c:v>2.3362532599942351E-2</c:v>
                </c:pt>
                <c:pt idx="153">
                  <c:v>2.336328919496625E-2</c:v>
                </c:pt>
                <c:pt idx="154">
                  <c:v>2.3363289194966247E-2</c:v>
                </c:pt>
                <c:pt idx="155">
                  <c:v>2.3362532599941473E-2</c:v>
                </c:pt>
                <c:pt idx="156">
                  <c:v>2.3362532599942348E-2</c:v>
                </c:pt>
                <c:pt idx="157">
                  <c:v>2.3361776037569726E-2</c:v>
                </c:pt>
                <c:pt idx="158">
                  <c:v>2.3364802482978411E-2</c:v>
                </c:pt>
                <c:pt idx="159">
                  <c:v>2.3362532599941473E-2</c:v>
                </c:pt>
                <c:pt idx="160">
                  <c:v>2.336328919496625E-2</c:v>
                </c:pt>
                <c:pt idx="161">
                  <c:v>2.3363289194967118E-2</c:v>
                </c:pt>
                <c:pt idx="162">
                  <c:v>2.336328919496625E-2</c:v>
                </c:pt>
                <c:pt idx="163">
                  <c:v>2.3363289194967114E-2</c:v>
                </c:pt>
                <c:pt idx="164">
                  <c:v>2.3362532599942348E-2</c:v>
                </c:pt>
                <c:pt idx="165">
                  <c:v>2.336328919496625E-2</c:v>
                </c:pt>
                <c:pt idx="166">
                  <c:v>2.3363289194967118E-2</c:v>
                </c:pt>
                <c:pt idx="167">
                  <c:v>2.3362532599942348E-2</c:v>
                </c:pt>
                <c:pt idx="168">
                  <c:v>2.3361776037569726E-2</c:v>
                </c:pt>
                <c:pt idx="169">
                  <c:v>2.3362532599942351E-2</c:v>
                </c:pt>
                <c:pt idx="170">
                  <c:v>2.3363289194967121E-2</c:v>
                </c:pt>
                <c:pt idx="171">
                  <c:v>2.3362532599942351E-2</c:v>
                </c:pt>
                <c:pt idx="172">
                  <c:v>2.336328919496625E-2</c:v>
                </c:pt>
                <c:pt idx="173">
                  <c:v>2.3380032045855436E-2</c:v>
                </c:pt>
                <c:pt idx="174">
                  <c:v>2.3428738926080155E-2</c:v>
                </c:pt>
                <c:pt idx="175">
                  <c:v>2.3475924291011991E-2</c:v>
                </c:pt>
                <c:pt idx="176">
                  <c:v>2.3502556821727319E-2</c:v>
                </c:pt>
                <c:pt idx="177">
                  <c:v>2.3503322504393517E-2</c:v>
                </c:pt>
                <c:pt idx="178">
                  <c:v>2.3503322504393513E-2</c:v>
                </c:pt>
                <c:pt idx="179">
                  <c:v>2.3501791172304998E-2</c:v>
                </c:pt>
                <c:pt idx="180">
                  <c:v>2.3502556821727316E-2</c:v>
                </c:pt>
                <c:pt idx="181">
                  <c:v>2.3501025556121741E-2</c:v>
                </c:pt>
                <c:pt idx="182">
                  <c:v>2.3503322504393513E-2</c:v>
                </c:pt>
                <c:pt idx="183">
                  <c:v>2.35025568217282E-2</c:v>
                </c:pt>
                <c:pt idx="184">
                  <c:v>2.3503322504393513E-2</c:v>
                </c:pt>
                <c:pt idx="185">
                  <c:v>2.3503322504393517E-2</c:v>
                </c:pt>
                <c:pt idx="186">
                  <c:v>2.3503322504393513E-2</c:v>
                </c:pt>
                <c:pt idx="187">
                  <c:v>2.3502556821728197E-2</c:v>
                </c:pt>
                <c:pt idx="188">
                  <c:v>2.3503322504393513E-2</c:v>
                </c:pt>
                <c:pt idx="189">
                  <c:v>2.3503322504393513E-2</c:v>
                </c:pt>
                <c:pt idx="190">
                  <c:v>2.3501791172304998E-2</c:v>
                </c:pt>
                <c:pt idx="191">
                  <c:v>2.3502556821728197E-2</c:v>
                </c:pt>
                <c:pt idx="192">
                  <c:v>2.3501025556121744E-2</c:v>
                </c:pt>
                <c:pt idx="193">
                  <c:v>2.3503322504393513E-2</c:v>
                </c:pt>
                <c:pt idx="194">
                  <c:v>2.3502556821728193E-2</c:v>
                </c:pt>
                <c:pt idx="195">
                  <c:v>2.3503322504393513E-2</c:v>
                </c:pt>
                <c:pt idx="196">
                  <c:v>2.3503322504393513E-2</c:v>
                </c:pt>
                <c:pt idx="197">
                  <c:v>2.3503322504393513E-2</c:v>
                </c:pt>
                <c:pt idx="198">
                  <c:v>2.3503322504393517E-2</c:v>
                </c:pt>
                <c:pt idx="199">
                  <c:v>2.3502556821727316E-2</c:v>
                </c:pt>
                <c:pt idx="200">
                  <c:v>2.3503322504392642E-2</c:v>
                </c:pt>
                <c:pt idx="201">
                  <c:v>2.3503322504392646E-2</c:v>
                </c:pt>
                <c:pt idx="202">
                  <c:v>2.35025568217282E-2</c:v>
                </c:pt>
                <c:pt idx="203">
                  <c:v>2.3502556821727319E-2</c:v>
                </c:pt>
                <c:pt idx="204">
                  <c:v>2.3502556821727319E-2</c:v>
                </c:pt>
                <c:pt idx="205">
                  <c:v>2.3503322504392642E-2</c:v>
                </c:pt>
                <c:pt idx="206">
                  <c:v>2.3502556821727319E-2</c:v>
                </c:pt>
                <c:pt idx="207">
                  <c:v>2.3503322504393517E-2</c:v>
                </c:pt>
                <c:pt idx="208">
                  <c:v>2.3503322504393513E-2</c:v>
                </c:pt>
                <c:pt idx="209">
                  <c:v>2.3503322504392646E-2</c:v>
                </c:pt>
                <c:pt idx="210">
                  <c:v>2.3503322504393517E-2</c:v>
                </c:pt>
                <c:pt idx="211">
                  <c:v>2.3502556821728197E-2</c:v>
                </c:pt>
                <c:pt idx="212">
                  <c:v>2.3503322504393517E-2</c:v>
                </c:pt>
                <c:pt idx="213">
                  <c:v>2.3503322504393517E-2</c:v>
                </c:pt>
                <c:pt idx="214">
                  <c:v>2.350179117230411E-2</c:v>
                </c:pt>
                <c:pt idx="215">
                  <c:v>2.3502556821728197E-2</c:v>
                </c:pt>
                <c:pt idx="216">
                  <c:v>2.3501025556120839E-2</c:v>
                </c:pt>
                <c:pt idx="217">
                  <c:v>2.3503322504392646E-2</c:v>
                </c:pt>
                <c:pt idx="218">
                  <c:v>2.3502556821728197E-2</c:v>
                </c:pt>
                <c:pt idx="219">
                  <c:v>2.3503322504393517E-2</c:v>
                </c:pt>
                <c:pt idx="220">
                  <c:v>2.3503322504393513E-2</c:v>
                </c:pt>
                <c:pt idx="221">
                  <c:v>2.3503322504392649E-2</c:v>
                </c:pt>
                <c:pt idx="222">
                  <c:v>2.3503322504392649E-2</c:v>
                </c:pt>
                <c:pt idx="223">
                  <c:v>2.3502556821728197E-2</c:v>
                </c:pt>
                <c:pt idx="224">
                  <c:v>2.350332250439351E-2</c:v>
                </c:pt>
                <c:pt idx="225">
                  <c:v>2.350179117230411E-2</c:v>
                </c:pt>
                <c:pt idx="226">
                  <c:v>2.350179117230411E-2</c:v>
                </c:pt>
                <c:pt idx="227">
                  <c:v>2.3503322504393513E-2</c:v>
                </c:pt>
                <c:pt idx="228">
                  <c:v>2.3501791172304106E-2</c:v>
                </c:pt>
                <c:pt idx="229">
                  <c:v>2.350332250439351E-2</c:v>
                </c:pt>
                <c:pt idx="230">
                  <c:v>2.3502556821728193E-2</c:v>
                </c:pt>
                <c:pt idx="231">
                  <c:v>2.3503322504393517E-2</c:v>
                </c:pt>
                <c:pt idx="232">
                  <c:v>2.3268712337989814E-2</c:v>
                </c:pt>
                <c:pt idx="233">
                  <c:v>2.2851662121350372E-2</c:v>
                </c:pt>
                <c:pt idx="234">
                  <c:v>2.2448563403297022E-2</c:v>
                </c:pt>
                <c:pt idx="235">
                  <c:v>2.2304350767360419E-2</c:v>
                </c:pt>
                <c:pt idx="236">
                  <c:v>2.2304350767359551E-2</c:v>
                </c:pt>
                <c:pt idx="237">
                  <c:v>2.2303661140557152E-2</c:v>
                </c:pt>
                <c:pt idx="238">
                  <c:v>2.230297154217098E-2</c:v>
                </c:pt>
                <c:pt idx="239">
                  <c:v>2.2303661140557152E-2</c:v>
                </c:pt>
                <c:pt idx="240">
                  <c:v>2.2304350767359551E-2</c:v>
                </c:pt>
                <c:pt idx="241">
                  <c:v>2.2303661140558026E-2</c:v>
                </c:pt>
                <c:pt idx="242">
                  <c:v>2.2304350767360422E-2</c:v>
                </c:pt>
                <c:pt idx="243">
                  <c:v>2.2304350767360419E-2</c:v>
                </c:pt>
                <c:pt idx="244">
                  <c:v>2.2304350767359551E-2</c:v>
                </c:pt>
                <c:pt idx="245">
                  <c:v>2.2304350767359551E-2</c:v>
                </c:pt>
                <c:pt idx="246">
                  <c:v>2.2303661140558029E-2</c:v>
                </c:pt>
                <c:pt idx="247">
                  <c:v>2.2304350767360415E-2</c:v>
                </c:pt>
                <c:pt idx="248">
                  <c:v>2.2304350767359551E-2</c:v>
                </c:pt>
                <c:pt idx="249">
                  <c:v>2.2303661140557152E-2</c:v>
                </c:pt>
                <c:pt idx="250">
                  <c:v>2.2304350767359548E-2</c:v>
                </c:pt>
                <c:pt idx="251">
                  <c:v>2.2302971542171864E-2</c:v>
                </c:pt>
                <c:pt idx="252">
                  <c:v>2.230573010621998E-2</c:v>
                </c:pt>
                <c:pt idx="253">
                  <c:v>2.2303661140558029E-2</c:v>
                </c:pt>
                <c:pt idx="254">
                  <c:v>2.2304350767359551E-2</c:v>
                </c:pt>
                <c:pt idx="255">
                  <c:v>2.2304350767359551E-2</c:v>
                </c:pt>
                <c:pt idx="256">
                  <c:v>2.2304350767360422E-2</c:v>
                </c:pt>
                <c:pt idx="257">
                  <c:v>2.2304350767359551E-2</c:v>
                </c:pt>
                <c:pt idx="258">
                  <c:v>2.2303661140557145E-2</c:v>
                </c:pt>
                <c:pt idx="259">
                  <c:v>2.2304350767359548E-2</c:v>
                </c:pt>
                <c:pt idx="260">
                  <c:v>2.2304350767359551E-2</c:v>
                </c:pt>
                <c:pt idx="261">
                  <c:v>2.2303661140557148E-2</c:v>
                </c:pt>
                <c:pt idx="262">
                  <c:v>2.230297154217098E-2</c:v>
                </c:pt>
                <c:pt idx="263">
                  <c:v>2.2303661140558029E-2</c:v>
                </c:pt>
                <c:pt idx="264">
                  <c:v>2.2304350767359548E-2</c:v>
                </c:pt>
                <c:pt idx="265">
                  <c:v>2.2303661140557152E-2</c:v>
                </c:pt>
                <c:pt idx="266">
                  <c:v>2.2304350767359551E-2</c:v>
                </c:pt>
                <c:pt idx="267">
                  <c:v>2.2304350767359551E-2</c:v>
                </c:pt>
                <c:pt idx="268">
                  <c:v>2.2304350767359551E-2</c:v>
                </c:pt>
                <c:pt idx="269">
                  <c:v>2.2304350767359555E-2</c:v>
                </c:pt>
                <c:pt idx="270">
                  <c:v>2.2303661140558029E-2</c:v>
                </c:pt>
                <c:pt idx="271">
                  <c:v>2.2304350767360419E-2</c:v>
                </c:pt>
                <c:pt idx="272">
                  <c:v>2.2303661140558022E-2</c:v>
                </c:pt>
                <c:pt idx="273">
                  <c:v>2.230297154217098E-2</c:v>
                </c:pt>
                <c:pt idx="274">
                  <c:v>2.2303661140557152E-2</c:v>
                </c:pt>
                <c:pt idx="275">
                  <c:v>2.2304350767359551E-2</c:v>
                </c:pt>
                <c:pt idx="276">
                  <c:v>2.2303661140557152E-2</c:v>
                </c:pt>
                <c:pt idx="277">
                  <c:v>2.2304350767360419E-2</c:v>
                </c:pt>
                <c:pt idx="278">
                  <c:v>2.2304350767359548E-2</c:v>
                </c:pt>
                <c:pt idx="279">
                  <c:v>2.2304350767360422E-2</c:v>
                </c:pt>
                <c:pt idx="280">
                  <c:v>2.2304350767359551E-2</c:v>
                </c:pt>
                <c:pt idx="281">
                  <c:v>2.2303661140557152E-2</c:v>
                </c:pt>
                <c:pt idx="282">
                  <c:v>2.2304350767359548E-2</c:v>
                </c:pt>
                <c:pt idx="283">
                  <c:v>2.2304350767359555E-2</c:v>
                </c:pt>
                <c:pt idx="284">
                  <c:v>2.230297154217098E-2</c:v>
                </c:pt>
                <c:pt idx="285">
                  <c:v>2.2304350767359551E-2</c:v>
                </c:pt>
                <c:pt idx="286">
                  <c:v>2.2302281972199658E-2</c:v>
                </c:pt>
                <c:pt idx="287">
                  <c:v>2.2304350767359551E-2</c:v>
                </c:pt>
                <c:pt idx="288">
                  <c:v>2.2303661140557152E-2</c:v>
                </c:pt>
                <c:pt idx="289">
                  <c:v>2.2304350767359555E-2</c:v>
                </c:pt>
                <c:pt idx="290">
                  <c:v>2.229585239653336E-2</c:v>
                </c:pt>
                <c:pt idx="291">
                  <c:v>2.2040909805351911E-2</c:v>
                </c:pt>
                <c:pt idx="292">
                  <c:v>2.1760492030891917E-2</c:v>
                </c:pt>
                <c:pt idx="293">
                  <c:v>2.1521935294827862E-2</c:v>
                </c:pt>
                <c:pt idx="294">
                  <c:v>2.1522577468721635E-2</c:v>
                </c:pt>
                <c:pt idx="295">
                  <c:v>2.1522577468722506E-2</c:v>
                </c:pt>
                <c:pt idx="296">
                  <c:v>2.1521935294828744E-2</c:v>
                </c:pt>
                <c:pt idx="297">
                  <c:v>2.152193529482874E-2</c:v>
                </c:pt>
                <c:pt idx="298">
                  <c:v>2.1521935294827866E-2</c:v>
                </c:pt>
                <c:pt idx="299">
                  <c:v>2.1522577468722506E-2</c:v>
                </c:pt>
                <c:pt idx="300">
                  <c:v>2.152193529482874E-2</c:v>
                </c:pt>
                <c:pt idx="301">
                  <c:v>2.1522577468722503E-2</c:v>
                </c:pt>
                <c:pt idx="302">
                  <c:v>2.1522577468722499E-2</c:v>
                </c:pt>
                <c:pt idx="303">
                  <c:v>2.1522577468722506E-2</c:v>
                </c:pt>
                <c:pt idx="304">
                  <c:v>2.1522577468722503E-2</c:v>
                </c:pt>
                <c:pt idx="305">
                  <c:v>2.152193529482874E-2</c:v>
                </c:pt>
                <c:pt idx="306">
                  <c:v>2.1522577468722503E-2</c:v>
                </c:pt>
                <c:pt idx="307">
                  <c:v>2.1522577468722503E-2</c:v>
                </c:pt>
                <c:pt idx="308">
                  <c:v>2.1521293146470555E-2</c:v>
                </c:pt>
                <c:pt idx="309">
                  <c:v>2.152193529482874E-2</c:v>
                </c:pt>
                <c:pt idx="310">
                  <c:v>2.1520651023646468E-2</c:v>
                </c:pt>
                <c:pt idx="311">
                  <c:v>2.1522577468722503E-2</c:v>
                </c:pt>
                <c:pt idx="312">
                  <c:v>2.1521935294828744E-2</c:v>
                </c:pt>
                <c:pt idx="313">
                  <c:v>2.1522577468722506E-2</c:v>
                </c:pt>
                <c:pt idx="314">
                  <c:v>2.1522577468722506E-2</c:v>
                </c:pt>
                <c:pt idx="315">
                  <c:v>2.152257746872251E-2</c:v>
                </c:pt>
                <c:pt idx="316">
                  <c:v>2.1521935294827862E-2</c:v>
                </c:pt>
                <c:pt idx="317">
                  <c:v>2.1522577468722503E-2</c:v>
                </c:pt>
                <c:pt idx="318">
                  <c:v>2.1522577468722506E-2</c:v>
                </c:pt>
                <c:pt idx="319">
                  <c:v>2.1521293146470555E-2</c:v>
                </c:pt>
                <c:pt idx="320">
                  <c:v>2.1522577468722506E-2</c:v>
                </c:pt>
                <c:pt idx="321">
                  <c:v>2.1520651023647367E-2</c:v>
                </c:pt>
                <c:pt idx="322">
                  <c:v>2.1522577468722506E-2</c:v>
                </c:pt>
                <c:pt idx="323">
                  <c:v>2.1521935294827869E-2</c:v>
                </c:pt>
                <c:pt idx="324">
                  <c:v>2.1522577468722506E-2</c:v>
                </c:pt>
                <c:pt idx="325">
                  <c:v>2.152257746872251E-2</c:v>
                </c:pt>
                <c:pt idx="326">
                  <c:v>2.152257746872251E-2</c:v>
                </c:pt>
                <c:pt idx="327">
                  <c:v>2.1522577468723374E-2</c:v>
                </c:pt>
                <c:pt idx="328">
                  <c:v>2.152193529482874E-2</c:v>
                </c:pt>
                <c:pt idx="329">
                  <c:v>2.1522577468722506E-2</c:v>
                </c:pt>
                <c:pt idx="330">
                  <c:v>2.1522577468722506E-2</c:v>
                </c:pt>
                <c:pt idx="331">
                  <c:v>2.1521935294827862E-2</c:v>
                </c:pt>
                <c:pt idx="332">
                  <c:v>2.1521293146471443E-2</c:v>
                </c:pt>
                <c:pt idx="333">
                  <c:v>2.1521935294829618E-2</c:v>
                </c:pt>
                <c:pt idx="334">
                  <c:v>2.1522577468722503E-2</c:v>
                </c:pt>
                <c:pt idx="335">
                  <c:v>2.152193529482874E-2</c:v>
                </c:pt>
                <c:pt idx="336">
                  <c:v>2.152257746872251E-2</c:v>
                </c:pt>
                <c:pt idx="337">
                  <c:v>2.1522577468721639E-2</c:v>
                </c:pt>
                <c:pt idx="338">
                  <c:v>2.1522577468722506E-2</c:v>
                </c:pt>
                <c:pt idx="339">
                  <c:v>2.1522577468722506E-2</c:v>
                </c:pt>
                <c:pt idx="340">
                  <c:v>2.152193529482874E-2</c:v>
                </c:pt>
                <c:pt idx="341">
                  <c:v>2.1522577468721635E-2</c:v>
                </c:pt>
                <c:pt idx="342">
                  <c:v>2.1522577468721635E-2</c:v>
                </c:pt>
                <c:pt idx="343">
                  <c:v>2.1521935294828737E-2</c:v>
                </c:pt>
                <c:pt idx="344">
                  <c:v>2.1521935294827862E-2</c:v>
                </c:pt>
                <c:pt idx="345">
                  <c:v>2.1521293146470555E-2</c:v>
                </c:pt>
                <c:pt idx="346">
                  <c:v>2.152386189312154E-2</c:v>
                </c:pt>
                <c:pt idx="347">
                  <c:v>2.152193529482874E-2</c:v>
                </c:pt>
                <c:pt idx="348">
                  <c:v>2.1522577468721635E-2</c:v>
                </c:pt>
                <c:pt idx="349">
                  <c:v>2.1620218850014125E-2</c:v>
                </c:pt>
                <c:pt idx="350">
                  <c:v>2.1815508881949431E-2</c:v>
                </c:pt>
                <c:pt idx="351">
                  <c:v>2.2030339112365759E-2</c:v>
                </c:pt>
                <c:pt idx="352">
                  <c:v>2.2120804377927055E-2</c:v>
                </c:pt>
                <c:pt idx="353">
                  <c:v>2.2121482753559227E-2</c:v>
                </c:pt>
                <c:pt idx="354">
                  <c:v>2.2120126030019449E-2</c:v>
                </c:pt>
                <c:pt idx="355">
                  <c:v>2.2120126030018561E-2</c:v>
                </c:pt>
                <c:pt idx="356">
                  <c:v>2.2121482753559223E-2</c:v>
                </c:pt>
                <c:pt idx="357">
                  <c:v>2.2120126030018561E-2</c:v>
                </c:pt>
                <c:pt idx="358">
                  <c:v>2.2121482753559223E-2</c:v>
                </c:pt>
                <c:pt idx="359">
                  <c:v>2.2120804377927055E-2</c:v>
                </c:pt>
                <c:pt idx="360">
                  <c:v>2.2121482753559223E-2</c:v>
                </c:pt>
                <c:pt idx="361">
                  <c:v>2.2121482753559227E-2</c:v>
                </c:pt>
                <c:pt idx="362">
                  <c:v>2.2121482753558359E-2</c:v>
                </c:pt>
                <c:pt idx="363">
                  <c:v>2.2120804377927052E-2</c:v>
                </c:pt>
                <c:pt idx="364">
                  <c:v>2.2121482753559223E-2</c:v>
                </c:pt>
                <c:pt idx="365">
                  <c:v>2.2121482753560094E-2</c:v>
                </c:pt>
                <c:pt idx="366">
                  <c:v>2.2120804377927936E-2</c:v>
                </c:pt>
                <c:pt idx="367">
                  <c:v>2.2120126030018561E-2</c:v>
                </c:pt>
                <c:pt idx="368">
                  <c:v>2.2120804377927055E-2</c:v>
                </c:pt>
                <c:pt idx="369">
                  <c:v>2.2121482753558356E-2</c:v>
                </c:pt>
                <c:pt idx="370">
                  <c:v>2.2120804377926174E-2</c:v>
                </c:pt>
                <c:pt idx="371">
                  <c:v>2.2121482753559223E-2</c:v>
                </c:pt>
                <c:pt idx="372">
                  <c:v>2.2121482753559223E-2</c:v>
                </c:pt>
                <c:pt idx="373">
                  <c:v>2.2121482753559227E-2</c:v>
                </c:pt>
                <c:pt idx="374">
                  <c:v>2.2121482753559227E-2</c:v>
                </c:pt>
                <c:pt idx="375">
                  <c:v>2.2120804377927933E-2</c:v>
                </c:pt>
                <c:pt idx="376">
                  <c:v>2.2121482753560094E-2</c:v>
                </c:pt>
                <c:pt idx="377">
                  <c:v>2.2121482753559223E-2</c:v>
                </c:pt>
                <c:pt idx="378">
                  <c:v>2.2120126030018561E-2</c:v>
                </c:pt>
                <c:pt idx="379">
                  <c:v>2.2121482753559227E-2</c:v>
                </c:pt>
                <c:pt idx="380">
                  <c:v>2.2119447709834171E-2</c:v>
                </c:pt>
                <c:pt idx="381">
                  <c:v>2.2121482753559227E-2</c:v>
                </c:pt>
                <c:pt idx="382">
                  <c:v>2.2120804377927933E-2</c:v>
                </c:pt>
                <c:pt idx="383">
                  <c:v>2.2121482753559223E-2</c:v>
                </c:pt>
                <c:pt idx="384">
                  <c:v>2.2121482753559227E-2</c:v>
                </c:pt>
                <c:pt idx="385">
                  <c:v>2.2121482753559223E-2</c:v>
                </c:pt>
                <c:pt idx="386">
                  <c:v>2.2121482753559223E-2</c:v>
                </c:pt>
                <c:pt idx="387">
                  <c:v>2.2120804377927055E-2</c:v>
                </c:pt>
                <c:pt idx="388">
                  <c:v>2.2121482753559223E-2</c:v>
                </c:pt>
                <c:pt idx="389">
                  <c:v>2.2121482753558356E-2</c:v>
                </c:pt>
                <c:pt idx="390">
                  <c:v>2.2120804377927055E-2</c:v>
                </c:pt>
                <c:pt idx="391">
                  <c:v>2.2120804377927052E-2</c:v>
                </c:pt>
                <c:pt idx="392">
                  <c:v>2.2120804377927933E-2</c:v>
                </c:pt>
                <c:pt idx="393">
                  <c:v>2.2121482753559223E-2</c:v>
                </c:pt>
                <c:pt idx="394">
                  <c:v>2.2120804377927055E-2</c:v>
                </c:pt>
                <c:pt idx="395">
                  <c:v>2.2121482753558356E-2</c:v>
                </c:pt>
                <c:pt idx="396">
                  <c:v>2.2121482753559223E-2</c:v>
                </c:pt>
                <c:pt idx="397">
                  <c:v>2.2121482753558359E-2</c:v>
                </c:pt>
                <c:pt idx="398">
                  <c:v>2.2121482753559223E-2</c:v>
                </c:pt>
                <c:pt idx="399">
                  <c:v>2.2120804377926177E-2</c:v>
                </c:pt>
                <c:pt idx="400">
                  <c:v>2.2121482753558359E-2</c:v>
                </c:pt>
                <c:pt idx="401">
                  <c:v>2.2120804377927055E-2</c:v>
                </c:pt>
                <c:pt idx="402">
                  <c:v>2.2120126030019449E-2</c:v>
                </c:pt>
                <c:pt idx="403">
                  <c:v>2.2120804377927052E-2</c:v>
                </c:pt>
                <c:pt idx="404">
                  <c:v>2.2121482753559223E-2</c:v>
                </c:pt>
                <c:pt idx="405">
                  <c:v>2.2120804377927052E-2</c:v>
                </c:pt>
                <c:pt idx="406">
                  <c:v>2.2121482753559227E-2</c:v>
                </c:pt>
                <c:pt idx="407">
                  <c:v>2.2121482753559227E-2</c:v>
                </c:pt>
                <c:pt idx="408">
                  <c:v>2.2121482753558356E-2</c:v>
                </c:pt>
                <c:pt idx="409">
                  <c:v>2.2121482753558356E-2</c:v>
                </c:pt>
                <c:pt idx="410">
                  <c:v>2.2120804377927052E-2</c:v>
                </c:pt>
                <c:pt idx="411">
                  <c:v>2.2121482753559227E-2</c:v>
                </c:pt>
                <c:pt idx="412">
                  <c:v>2.2121482753559227E-2</c:v>
                </c:pt>
                <c:pt idx="413">
                  <c:v>2.2120126030018561E-2</c:v>
                </c:pt>
                <c:pt idx="414">
                  <c:v>2.2121482753559223E-2</c:v>
                </c:pt>
                <c:pt idx="415">
                  <c:v>2.211944770983507E-2</c:v>
                </c:pt>
                <c:pt idx="416">
                  <c:v>2.2121482753559223E-2</c:v>
                </c:pt>
                <c:pt idx="417">
                  <c:v>2.2120804377927052E-2</c:v>
                </c:pt>
                <c:pt idx="418">
                  <c:v>2.2121482753558356E-2</c:v>
                </c:pt>
                <c:pt idx="419">
                  <c:v>2.2121482753560094E-2</c:v>
                </c:pt>
                <c:pt idx="420">
                  <c:v>2.2121482753559223E-2</c:v>
                </c:pt>
                <c:pt idx="421">
                  <c:v>2.2121482753559227E-2</c:v>
                </c:pt>
                <c:pt idx="422">
                  <c:v>2.2120804377927055E-2</c:v>
                </c:pt>
                <c:pt idx="423">
                  <c:v>2.2121482753560098E-2</c:v>
                </c:pt>
                <c:pt idx="424">
                  <c:v>2.2121482753559223E-2</c:v>
                </c:pt>
                <c:pt idx="425">
                  <c:v>2.2120804377927052E-2</c:v>
                </c:pt>
                <c:pt idx="426">
                  <c:v>2.2120126030019449E-2</c:v>
                </c:pt>
                <c:pt idx="427">
                  <c:v>2.2120804377927052E-2</c:v>
                </c:pt>
                <c:pt idx="428">
                  <c:v>2.2121482753559223E-2</c:v>
                </c:pt>
                <c:pt idx="429">
                  <c:v>2.2120804377927052E-2</c:v>
                </c:pt>
                <c:pt idx="430">
                  <c:v>2.2121482753559227E-2</c:v>
                </c:pt>
                <c:pt idx="431">
                  <c:v>2.2121482753559223E-2</c:v>
                </c:pt>
                <c:pt idx="432">
                  <c:v>2.2121482753559227E-2</c:v>
                </c:pt>
                <c:pt idx="433">
                  <c:v>2.2121482753559223E-2</c:v>
                </c:pt>
                <c:pt idx="434">
                  <c:v>2.2122161156916384E-2</c:v>
                </c:pt>
                <c:pt idx="435">
                  <c:v>2.2121482753559223E-2</c:v>
                </c:pt>
                <c:pt idx="436">
                  <c:v>2.2121482753559227E-2</c:v>
                </c:pt>
                <c:pt idx="437">
                  <c:v>2.2120804377927055E-2</c:v>
                </c:pt>
                <c:pt idx="438">
                  <c:v>2.2120804377927052E-2</c:v>
                </c:pt>
                <c:pt idx="439">
                  <c:v>2.2120126030019449E-2</c:v>
                </c:pt>
                <c:pt idx="440">
                  <c:v>2.2122839587999807E-2</c:v>
                </c:pt>
                <c:pt idx="441">
                  <c:v>2.2120804377927933E-2</c:v>
                </c:pt>
                <c:pt idx="442">
                  <c:v>2.2121482753558359E-2</c:v>
                </c:pt>
                <c:pt idx="443">
                  <c:v>2.2121482753559227E-2</c:v>
                </c:pt>
                <c:pt idx="444">
                  <c:v>2.2121482753559223E-2</c:v>
                </c:pt>
                <c:pt idx="445">
                  <c:v>2.2120804377927052E-2</c:v>
                </c:pt>
                <c:pt idx="446">
                  <c:v>2.2121482753558359E-2</c:v>
                </c:pt>
                <c:pt idx="447">
                  <c:v>2.2121482753558356E-2</c:v>
                </c:pt>
                <c:pt idx="448">
                  <c:v>2.2120126030019449E-2</c:v>
                </c:pt>
                <c:pt idx="449">
                  <c:v>2.2121482753560094E-2</c:v>
                </c:pt>
                <c:pt idx="450">
                  <c:v>2.2119447709834168E-2</c:v>
                </c:pt>
                <c:pt idx="451">
                  <c:v>2.2121482753559223E-2</c:v>
                </c:pt>
                <c:pt idx="452">
                  <c:v>2.2120804377926177E-2</c:v>
                </c:pt>
                <c:pt idx="453">
                  <c:v>2.2121482753558356E-2</c:v>
                </c:pt>
                <c:pt idx="454">
                  <c:v>2.2121482753558356E-2</c:v>
                </c:pt>
                <c:pt idx="455">
                  <c:v>2.2121482753558356E-2</c:v>
                </c:pt>
                <c:pt idx="456">
                  <c:v>2.2121482753559223E-2</c:v>
                </c:pt>
                <c:pt idx="457">
                  <c:v>2.2120804377927055E-2</c:v>
                </c:pt>
                <c:pt idx="458">
                  <c:v>2.2121482753560094E-2</c:v>
                </c:pt>
                <c:pt idx="459">
                  <c:v>2.2121482753559223E-2</c:v>
                </c:pt>
                <c:pt idx="460">
                  <c:v>2.2120804377927933E-2</c:v>
                </c:pt>
                <c:pt idx="461">
                  <c:v>2.2120126030019449E-2</c:v>
                </c:pt>
                <c:pt idx="462">
                  <c:v>2.2120804377927052E-2</c:v>
                </c:pt>
                <c:pt idx="463">
                  <c:v>2.2121482753558359E-2</c:v>
                </c:pt>
                <c:pt idx="464">
                  <c:v>2.2120804377926174E-2</c:v>
                </c:pt>
                <c:pt idx="465">
                  <c:v>2.2121482753559227E-2</c:v>
                </c:pt>
                <c:pt idx="466">
                  <c:v>2.2022378148951183E-2</c:v>
                </c:pt>
                <c:pt idx="467">
                  <c:v>2.1625984688750148E-2</c:v>
                </c:pt>
                <c:pt idx="468">
                  <c:v>2.1242016602144358E-2</c:v>
                </c:pt>
                <c:pt idx="469">
                  <c:v>2.0981320133046193E-2</c:v>
                </c:pt>
                <c:pt idx="470">
                  <c:v>2.0981930477665368E-2</c:v>
                </c:pt>
                <c:pt idx="471">
                  <c:v>2.0981930477665372E-2</c:v>
                </c:pt>
                <c:pt idx="472">
                  <c:v>2.0980709812087994E-2</c:v>
                </c:pt>
                <c:pt idx="473">
                  <c:v>2.0981320133045312E-2</c:v>
                </c:pt>
                <c:pt idx="474">
                  <c:v>2.0980099514791666E-2</c:v>
                </c:pt>
                <c:pt idx="475">
                  <c:v>2.0981930477664498E-2</c:v>
                </c:pt>
                <c:pt idx="476">
                  <c:v>2.0981320133046193E-2</c:v>
                </c:pt>
                <c:pt idx="477">
                  <c:v>2.0981930477664501E-2</c:v>
                </c:pt>
                <c:pt idx="478">
                  <c:v>2.0981930477664498E-2</c:v>
                </c:pt>
                <c:pt idx="479">
                  <c:v>2.0981930477665372E-2</c:v>
                </c:pt>
                <c:pt idx="480">
                  <c:v>2.0981930477664498E-2</c:v>
                </c:pt>
                <c:pt idx="481">
                  <c:v>2.0981320133045316E-2</c:v>
                </c:pt>
                <c:pt idx="482">
                  <c:v>2.0981930477664494E-2</c:v>
                </c:pt>
                <c:pt idx="483">
                  <c:v>2.0981320133045312E-2</c:v>
                </c:pt>
                <c:pt idx="484">
                  <c:v>2.0981930477664498E-2</c:v>
                </c:pt>
                <c:pt idx="485">
                  <c:v>2.0980709812088879E-2</c:v>
                </c:pt>
                <c:pt idx="486">
                  <c:v>2.0983151237891757E-2</c:v>
                </c:pt>
                <c:pt idx="487">
                  <c:v>2.0981320133045312E-2</c:v>
                </c:pt>
                <c:pt idx="488">
                  <c:v>2.0981930477664498E-2</c:v>
                </c:pt>
                <c:pt idx="489">
                  <c:v>2.0981930477664498E-2</c:v>
                </c:pt>
                <c:pt idx="490">
                  <c:v>2.098193047766363E-2</c:v>
                </c:pt>
                <c:pt idx="491">
                  <c:v>2.0981930477664501E-2</c:v>
                </c:pt>
                <c:pt idx="492">
                  <c:v>2.0981320133045312E-2</c:v>
                </c:pt>
                <c:pt idx="493">
                  <c:v>2.0981930477664498E-2</c:v>
                </c:pt>
                <c:pt idx="494">
                  <c:v>2.0981930477664498E-2</c:v>
                </c:pt>
                <c:pt idx="495">
                  <c:v>2.098132013304619E-2</c:v>
                </c:pt>
                <c:pt idx="496">
                  <c:v>2.0980709812088879E-2</c:v>
                </c:pt>
                <c:pt idx="497">
                  <c:v>2.0981320133045316E-2</c:v>
                </c:pt>
                <c:pt idx="498">
                  <c:v>2.0981930477664498E-2</c:v>
                </c:pt>
                <c:pt idx="499">
                  <c:v>2.0981320133045312E-2</c:v>
                </c:pt>
                <c:pt idx="500">
                  <c:v>2.098193047766363E-2</c:v>
                </c:pt>
                <c:pt idx="501">
                  <c:v>2.0981930477664498E-2</c:v>
                </c:pt>
                <c:pt idx="502">
                  <c:v>2.0981930477664501E-2</c:v>
                </c:pt>
                <c:pt idx="503">
                  <c:v>2.0981930477664498E-2</c:v>
                </c:pt>
                <c:pt idx="504">
                  <c:v>2.0981320133046193E-2</c:v>
                </c:pt>
                <c:pt idx="505">
                  <c:v>2.0981930477664498E-2</c:v>
                </c:pt>
                <c:pt idx="506">
                  <c:v>2.0981930477664498E-2</c:v>
                </c:pt>
                <c:pt idx="507">
                  <c:v>2.0980709812087994E-2</c:v>
                </c:pt>
                <c:pt idx="508">
                  <c:v>2.0981320133046193E-2</c:v>
                </c:pt>
                <c:pt idx="509">
                  <c:v>2.0980099514792568E-2</c:v>
                </c:pt>
                <c:pt idx="510">
                  <c:v>2.0981930477664498E-2</c:v>
                </c:pt>
                <c:pt idx="511">
                  <c:v>2.0981320133045312E-2</c:v>
                </c:pt>
                <c:pt idx="512">
                  <c:v>2.0981930477664498E-2</c:v>
                </c:pt>
                <c:pt idx="513">
                  <c:v>2.0981930477664498E-2</c:v>
                </c:pt>
                <c:pt idx="514">
                  <c:v>2.0981930477664498E-2</c:v>
                </c:pt>
                <c:pt idx="515">
                  <c:v>2.0981930477664498E-2</c:v>
                </c:pt>
                <c:pt idx="516">
                  <c:v>2.0981930477664494E-2</c:v>
                </c:pt>
                <c:pt idx="517">
                  <c:v>2.0981930477664498E-2</c:v>
                </c:pt>
                <c:pt idx="518">
                  <c:v>2.098193047766363E-2</c:v>
                </c:pt>
                <c:pt idx="519">
                  <c:v>2.0981930477664501E-2</c:v>
                </c:pt>
                <c:pt idx="520">
                  <c:v>2.0980709812088882E-2</c:v>
                </c:pt>
                <c:pt idx="521">
                  <c:v>2.0980099514793467E-2</c:v>
                </c:pt>
                <c:pt idx="522">
                  <c:v>2.0981320133045312E-2</c:v>
                </c:pt>
                <c:pt idx="523">
                  <c:v>2.0983151237891753E-2</c:v>
                </c:pt>
                <c:pt idx="524">
                  <c:v>2.0981930477664501E-2</c:v>
                </c:pt>
                <c:pt idx="525">
                  <c:v>2.0981930477664498E-2</c:v>
                </c:pt>
                <c:pt idx="526">
                  <c:v>2.0981930477664494E-2</c:v>
                </c:pt>
                <c:pt idx="527">
                  <c:v>2.098132013304619E-2</c:v>
                </c:pt>
                <c:pt idx="528">
                  <c:v>2.098193047766363E-2</c:v>
                </c:pt>
                <c:pt idx="529">
                  <c:v>2.0981930477664494E-2</c:v>
                </c:pt>
                <c:pt idx="530">
                  <c:v>2.098132013304619E-2</c:v>
                </c:pt>
                <c:pt idx="531">
                  <c:v>2.0981320133046193E-2</c:v>
                </c:pt>
                <c:pt idx="532">
                  <c:v>2.0981320133045316E-2</c:v>
                </c:pt>
                <c:pt idx="533">
                  <c:v>2.0981930477664498E-2</c:v>
                </c:pt>
                <c:pt idx="534">
                  <c:v>2.0981320133046193E-2</c:v>
                </c:pt>
                <c:pt idx="535">
                  <c:v>2.0981930477665368E-2</c:v>
                </c:pt>
                <c:pt idx="536">
                  <c:v>2.0981930477665368E-2</c:v>
                </c:pt>
                <c:pt idx="537">
                  <c:v>2.0981930477664505E-2</c:v>
                </c:pt>
                <c:pt idx="538">
                  <c:v>2.0981930477664498E-2</c:v>
                </c:pt>
                <c:pt idx="539">
                  <c:v>2.0981320133046193E-2</c:v>
                </c:pt>
                <c:pt idx="540">
                  <c:v>2.0981930477664498E-2</c:v>
                </c:pt>
                <c:pt idx="541">
                  <c:v>2.0981930477664494E-2</c:v>
                </c:pt>
                <c:pt idx="542">
                  <c:v>2.0980709812088882E-2</c:v>
                </c:pt>
                <c:pt idx="543">
                  <c:v>2.0981320133046193E-2</c:v>
                </c:pt>
                <c:pt idx="544">
                  <c:v>2.0980099514792565E-2</c:v>
                </c:pt>
                <c:pt idx="545">
                  <c:v>2.0981930477665368E-2</c:v>
                </c:pt>
                <c:pt idx="546">
                  <c:v>2.0981320133046193E-2</c:v>
                </c:pt>
                <c:pt idx="547">
                  <c:v>2.0981930477665368E-2</c:v>
                </c:pt>
                <c:pt idx="548">
                  <c:v>2.0981930477664498E-2</c:v>
                </c:pt>
                <c:pt idx="549">
                  <c:v>2.0981930477664498E-2</c:v>
                </c:pt>
                <c:pt idx="550">
                  <c:v>2.0981930477664498E-2</c:v>
                </c:pt>
                <c:pt idx="551">
                  <c:v>2.0981320133045312E-2</c:v>
                </c:pt>
                <c:pt idx="552">
                  <c:v>2.0981930477665368E-2</c:v>
                </c:pt>
                <c:pt idx="553">
                  <c:v>2.0981930477665372E-2</c:v>
                </c:pt>
                <c:pt idx="554">
                  <c:v>2.0981320133045312E-2</c:v>
                </c:pt>
                <c:pt idx="555">
                  <c:v>2.0980709812088882E-2</c:v>
                </c:pt>
                <c:pt idx="556">
                  <c:v>2.0981320133045309E-2</c:v>
                </c:pt>
                <c:pt idx="557">
                  <c:v>2.0981930477664498E-2</c:v>
                </c:pt>
                <c:pt idx="558">
                  <c:v>2.0981320133046193E-2</c:v>
                </c:pt>
                <c:pt idx="559">
                  <c:v>2.0981930477664494E-2</c:v>
                </c:pt>
                <c:pt idx="560">
                  <c:v>2.0981930477664498E-2</c:v>
                </c:pt>
                <c:pt idx="561">
                  <c:v>2.098193047766363E-2</c:v>
                </c:pt>
                <c:pt idx="562">
                  <c:v>2.0981320133046193E-2</c:v>
                </c:pt>
                <c:pt idx="563">
                  <c:v>2.0981930477664498E-2</c:v>
                </c:pt>
                <c:pt idx="564">
                  <c:v>2.0981930477664501E-2</c:v>
                </c:pt>
                <c:pt idx="565">
                  <c:v>2.0981320133046197E-2</c:v>
                </c:pt>
                <c:pt idx="566">
                  <c:v>2.0980709812087994E-2</c:v>
                </c:pt>
                <c:pt idx="567">
                  <c:v>2.098132013304619E-2</c:v>
                </c:pt>
                <c:pt idx="568">
                  <c:v>2.098193047766363E-2</c:v>
                </c:pt>
                <c:pt idx="569">
                  <c:v>2.098132013304619E-2</c:v>
                </c:pt>
                <c:pt idx="570">
                  <c:v>2.0981930477663627E-2</c:v>
                </c:pt>
                <c:pt idx="571">
                  <c:v>2.0981930477664494E-2</c:v>
                </c:pt>
                <c:pt idx="572">
                  <c:v>2.0981930477665372E-2</c:v>
                </c:pt>
                <c:pt idx="573">
                  <c:v>2.0981930477664501E-2</c:v>
                </c:pt>
                <c:pt idx="574">
                  <c:v>2.0981320133044441E-2</c:v>
                </c:pt>
                <c:pt idx="575">
                  <c:v>2.0981930477664491E-2</c:v>
                </c:pt>
                <c:pt idx="576">
                  <c:v>2.0981930477664498E-2</c:v>
                </c:pt>
                <c:pt idx="577">
                  <c:v>2.0981320133045312E-2</c:v>
                </c:pt>
                <c:pt idx="578">
                  <c:v>2.0981320133044434E-2</c:v>
                </c:pt>
                <c:pt idx="579">
                  <c:v>2.0980709812088882E-2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961792"/>
        <c:axId val="364963328"/>
      </c:lineChart>
      <c:dateAx>
        <c:axId val="3649617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4963328"/>
        <c:crosses val="autoZero"/>
        <c:auto val="1"/>
        <c:lblOffset val="100"/>
        <c:baseTimeUnit val="months"/>
      </c:dateAx>
      <c:valAx>
        <c:axId val="36496332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4961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200682106905583"/>
          <c:w val="0.18735788782981075"/>
          <c:h val="0.216330269533553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41892</c:v>
                </c:pt>
                <c:pt idx="1">
                  <c:v>41922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43010</c:v>
                </c:pt>
                <c:pt idx="37">
                  <c:v>43041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44725</c:v>
                </c:pt>
                <c:pt idx="92">
                  <c:v>44755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45509</c:v>
                </c:pt>
                <c:pt idx="117">
                  <c:v>45540</c:v>
                </c:pt>
                <c:pt idx="118">
                  <c:v>45572</c:v>
                </c:pt>
                <c:pt idx="119">
                  <c:v>45603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46384</c:v>
                </c:pt>
                <c:pt idx="145">
                  <c:v>46415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46916</c:v>
                </c:pt>
                <c:pt idx="162">
                  <c:v>46946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47511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48008</c:v>
                </c:pt>
                <c:pt idx="197">
                  <c:v>48038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48694</c:v>
                </c:pt>
                <c:pt idx="219">
                  <c:v>48724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49219</c:v>
                </c:pt>
                <c:pt idx="236">
                  <c:v>49250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50934</c:v>
                </c:pt>
                <c:pt idx="291">
                  <c:v>50964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51529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52026</c:v>
                </c:pt>
                <c:pt idx="326">
                  <c:v>52056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52712</c:v>
                </c:pt>
                <c:pt idx="348">
                  <c:v>52742</c:v>
                </c:pt>
                <c:pt idx="349">
                  <c:v>52775</c:v>
                </c:pt>
                <c:pt idx="350">
                  <c:v>52805</c:v>
                </c:pt>
                <c:pt idx="351">
                  <c:v>52838</c:v>
                </c:pt>
                <c:pt idx="352">
                  <c:v>52869</c:v>
                </c:pt>
                <c:pt idx="353">
                  <c:v>52901</c:v>
                </c:pt>
                <c:pt idx="354">
                  <c:v>52931</c:v>
                </c:pt>
                <c:pt idx="355">
                  <c:v>52961</c:v>
                </c:pt>
                <c:pt idx="356">
                  <c:v>52992</c:v>
                </c:pt>
                <c:pt idx="357">
                  <c:v>53021</c:v>
                </c:pt>
                <c:pt idx="358">
                  <c:v>53049</c:v>
                </c:pt>
                <c:pt idx="359">
                  <c:v>53080</c:v>
                </c:pt>
                <c:pt idx="360">
                  <c:v>53111</c:v>
                </c:pt>
                <c:pt idx="361">
                  <c:v>53142</c:v>
                </c:pt>
                <c:pt idx="362">
                  <c:v>53174</c:v>
                </c:pt>
                <c:pt idx="363">
                  <c:v>53205</c:v>
                </c:pt>
                <c:pt idx="364">
                  <c:v>53237</c:v>
                </c:pt>
                <c:pt idx="365">
                  <c:v>53268</c:v>
                </c:pt>
                <c:pt idx="366">
                  <c:v>53300</c:v>
                </c:pt>
                <c:pt idx="367">
                  <c:v>53331</c:v>
                </c:pt>
                <c:pt idx="368">
                  <c:v>53363</c:v>
                </c:pt>
                <c:pt idx="369">
                  <c:v>53391</c:v>
                </c:pt>
                <c:pt idx="370">
                  <c:v>53422</c:v>
                </c:pt>
                <c:pt idx="371">
                  <c:v>53454</c:v>
                </c:pt>
                <c:pt idx="372">
                  <c:v>53485</c:v>
                </c:pt>
                <c:pt idx="373">
                  <c:v>53517</c:v>
                </c:pt>
                <c:pt idx="374">
                  <c:v>53548</c:v>
                </c:pt>
                <c:pt idx="375">
                  <c:v>53580</c:v>
                </c:pt>
                <c:pt idx="376">
                  <c:v>53610</c:v>
                </c:pt>
                <c:pt idx="377">
                  <c:v>53643</c:v>
                </c:pt>
                <c:pt idx="378">
                  <c:v>53673</c:v>
                </c:pt>
                <c:pt idx="379">
                  <c:v>53706</c:v>
                </c:pt>
                <c:pt idx="380">
                  <c:v>53737</c:v>
                </c:pt>
                <c:pt idx="381">
                  <c:v>53765</c:v>
                </c:pt>
                <c:pt idx="382">
                  <c:v>53798</c:v>
                </c:pt>
                <c:pt idx="383">
                  <c:v>53828</c:v>
                </c:pt>
                <c:pt idx="384">
                  <c:v>53860</c:v>
                </c:pt>
                <c:pt idx="385">
                  <c:v>53890</c:v>
                </c:pt>
                <c:pt idx="386">
                  <c:v>53923</c:v>
                </c:pt>
                <c:pt idx="387">
                  <c:v>53954</c:v>
                </c:pt>
                <c:pt idx="388">
                  <c:v>53986</c:v>
                </c:pt>
                <c:pt idx="389">
                  <c:v>54017</c:v>
                </c:pt>
                <c:pt idx="390">
                  <c:v>54049</c:v>
                </c:pt>
                <c:pt idx="391">
                  <c:v>54080</c:v>
                </c:pt>
                <c:pt idx="392">
                  <c:v>54112</c:v>
                </c:pt>
                <c:pt idx="393">
                  <c:v>54141</c:v>
                </c:pt>
                <c:pt idx="394">
                  <c:v>54172</c:v>
                </c:pt>
                <c:pt idx="395">
                  <c:v>54203</c:v>
                </c:pt>
                <c:pt idx="396">
                  <c:v>54234</c:v>
                </c:pt>
                <c:pt idx="397">
                  <c:v>54266</c:v>
                </c:pt>
                <c:pt idx="398">
                  <c:v>54297</c:v>
                </c:pt>
                <c:pt idx="399">
                  <c:v>54329</c:v>
                </c:pt>
                <c:pt idx="400">
                  <c:v>54359</c:v>
                </c:pt>
                <c:pt idx="401">
                  <c:v>54392</c:v>
                </c:pt>
                <c:pt idx="402">
                  <c:v>54422</c:v>
                </c:pt>
                <c:pt idx="403">
                  <c:v>54455</c:v>
                </c:pt>
                <c:pt idx="404">
                  <c:v>54483</c:v>
                </c:pt>
                <c:pt idx="405">
                  <c:v>54514</c:v>
                </c:pt>
                <c:pt idx="406">
                  <c:v>54546</c:v>
                </c:pt>
                <c:pt idx="407">
                  <c:v>54577</c:v>
                </c:pt>
                <c:pt idx="408">
                  <c:v>54609</c:v>
                </c:pt>
                <c:pt idx="409">
                  <c:v>54640</c:v>
                </c:pt>
                <c:pt idx="410">
                  <c:v>54672</c:v>
                </c:pt>
                <c:pt idx="411">
                  <c:v>54702</c:v>
                </c:pt>
                <c:pt idx="412">
                  <c:v>54735</c:v>
                </c:pt>
                <c:pt idx="413">
                  <c:v>54765</c:v>
                </c:pt>
                <c:pt idx="414">
                  <c:v>54798</c:v>
                </c:pt>
                <c:pt idx="415">
                  <c:v>54829</c:v>
                </c:pt>
                <c:pt idx="416">
                  <c:v>54857</c:v>
                </c:pt>
                <c:pt idx="417">
                  <c:v>54890</c:v>
                </c:pt>
                <c:pt idx="418">
                  <c:v>54920</c:v>
                </c:pt>
                <c:pt idx="419">
                  <c:v>54952</c:v>
                </c:pt>
                <c:pt idx="420">
                  <c:v>54982</c:v>
                </c:pt>
                <c:pt idx="421">
                  <c:v>55015</c:v>
                </c:pt>
                <c:pt idx="422">
                  <c:v>55046</c:v>
                </c:pt>
                <c:pt idx="423">
                  <c:v>55078</c:v>
                </c:pt>
                <c:pt idx="424">
                  <c:v>55109</c:v>
                </c:pt>
                <c:pt idx="425">
                  <c:v>55141</c:v>
                </c:pt>
                <c:pt idx="426">
                  <c:v>55172</c:v>
                </c:pt>
                <c:pt idx="427">
                  <c:v>55204</c:v>
                </c:pt>
                <c:pt idx="428">
                  <c:v>55232</c:v>
                </c:pt>
                <c:pt idx="429">
                  <c:v>55263</c:v>
                </c:pt>
                <c:pt idx="430">
                  <c:v>55295</c:v>
                </c:pt>
                <c:pt idx="431">
                  <c:v>55326</c:v>
                </c:pt>
                <c:pt idx="432">
                  <c:v>55358</c:v>
                </c:pt>
                <c:pt idx="433">
                  <c:v>55389</c:v>
                </c:pt>
                <c:pt idx="434">
                  <c:v>55421</c:v>
                </c:pt>
                <c:pt idx="435">
                  <c:v>55451</c:v>
                </c:pt>
                <c:pt idx="436">
                  <c:v>55484</c:v>
                </c:pt>
                <c:pt idx="437">
                  <c:v>55514</c:v>
                </c:pt>
                <c:pt idx="438">
                  <c:v>55547</c:v>
                </c:pt>
                <c:pt idx="439">
                  <c:v>55578</c:v>
                </c:pt>
                <c:pt idx="440">
                  <c:v>55607</c:v>
                </c:pt>
                <c:pt idx="441">
                  <c:v>55638</c:v>
                </c:pt>
                <c:pt idx="442">
                  <c:v>55668</c:v>
                </c:pt>
                <c:pt idx="443">
                  <c:v>55701</c:v>
                </c:pt>
                <c:pt idx="444">
                  <c:v>55732</c:v>
                </c:pt>
                <c:pt idx="445">
                  <c:v>55764</c:v>
                </c:pt>
                <c:pt idx="446">
                  <c:v>55794</c:v>
                </c:pt>
                <c:pt idx="447">
                  <c:v>55827</c:v>
                </c:pt>
                <c:pt idx="448">
                  <c:v>55857</c:v>
                </c:pt>
                <c:pt idx="449">
                  <c:v>55890</c:v>
                </c:pt>
                <c:pt idx="450">
                  <c:v>55921</c:v>
                </c:pt>
                <c:pt idx="451">
                  <c:v>55949</c:v>
                </c:pt>
                <c:pt idx="452">
                  <c:v>55982</c:v>
                </c:pt>
                <c:pt idx="453">
                  <c:v>56012</c:v>
                </c:pt>
                <c:pt idx="454">
                  <c:v>56044</c:v>
                </c:pt>
                <c:pt idx="455">
                  <c:v>56074</c:v>
                </c:pt>
                <c:pt idx="456">
                  <c:v>56107</c:v>
                </c:pt>
                <c:pt idx="457">
                  <c:v>56138</c:v>
                </c:pt>
                <c:pt idx="458">
                  <c:v>56170</c:v>
                </c:pt>
                <c:pt idx="459">
                  <c:v>56201</c:v>
                </c:pt>
                <c:pt idx="460">
                  <c:v>56233</c:v>
                </c:pt>
                <c:pt idx="461">
                  <c:v>56264</c:v>
                </c:pt>
                <c:pt idx="462">
                  <c:v>56296</c:v>
                </c:pt>
                <c:pt idx="463">
                  <c:v>56324</c:v>
                </c:pt>
                <c:pt idx="464">
                  <c:v>56355</c:v>
                </c:pt>
                <c:pt idx="465">
                  <c:v>56387</c:v>
                </c:pt>
                <c:pt idx="466">
                  <c:v>56418</c:v>
                </c:pt>
                <c:pt idx="467">
                  <c:v>56450</c:v>
                </c:pt>
                <c:pt idx="468">
                  <c:v>56481</c:v>
                </c:pt>
                <c:pt idx="469">
                  <c:v>56513</c:v>
                </c:pt>
                <c:pt idx="470">
                  <c:v>56543</c:v>
                </c:pt>
                <c:pt idx="471">
                  <c:v>56576</c:v>
                </c:pt>
                <c:pt idx="472">
                  <c:v>56606</c:v>
                </c:pt>
                <c:pt idx="473">
                  <c:v>56639</c:v>
                </c:pt>
                <c:pt idx="474">
                  <c:v>56670</c:v>
                </c:pt>
                <c:pt idx="475">
                  <c:v>56698</c:v>
                </c:pt>
                <c:pt idx="476">
                  <c:v>56730</c:v>
                </c:pt>
                <c:pt idx="477">
                  <c:v>56760</c:v>
                </c:pt>
                <c:pt idx="478">
                  <c:v>56793</c:v>
                </c:pt>
                <c:pt idx="479">
                  <c:v>56823</c:v>
                </c:pt>
                <c:pt idx="480">
                  <c:v>56856</c:v>
                </c:pt>
                <c:pt idx="481">
                  <c:v>56887</c:v>
                </c:pt>
                <c:pt idx="482">
                  <c:v>56919</c:v>
                </c:pt>
                <c:pt idx="483">
                  <c:v>56949</c:v>
                </c:pt>
                <c:pt idx="484">
                  <c:v>56982</c:v>
                </c:pt>
                <c:pt idx="485">
                  <c:v>57013</c:v>
                </c:pt>
                <c:pt idx="486">
                  <c:v>57042</c:v>
                </c:pt>
                <c:pt idx="487">
                  <c:v>57074</c:v>
                </c:pt>
                <c:pt idx="488">
                  <c:v>57104</c:v>
                </c:pt>
                <c:pt idx="489">
                  <c:v>57136</c:v>
                </c:pt>
                <c:pt idx="490">
                  <c:v>57166</c:v>
                </c:pt>
                <c:pt idx="491">
                  <c:v>57199</c:v>
                </c:pt>
                <c:pt idx="492">
                  <c:v>57230</c:v>
                </c:pt>
                <c:pt idx="493">
                  <c:v>57262</c:v>
                </c:pt>
                <c:pt idx="494">
                  <c:v>57293</c:v>
                </c:pt>
                <c:pt idx="495">
                  <c:v>57325</c:v>
                </c:pt>
                <c:pt idx="496">
                  <c:v>57356</c:v>
                </c:pt>
                <c:pt idx="497">
                  <c:v>57388</c:v>
                </c:pt>
                <c:pt idx="498">
                  <c:v>57416</c:v>
                </c:pt>
                <c:pt idx="499">
                  <c:v>57447</c:v>
                </c:pt>
                <c:pt idx="500">
                  <c:v>57479</c:v>
                </c:pt>
                <c:pt idx="501">
                  <c:v>57510</c:v>
                </c:pt>
                <c:pt idx="502">
                  <c:v>57542</c:v>
                </c:pt>
                <c:pt idx="503">
                  <c:v>57573</c:v>
                </c:pt>
                <c:pt idx="504">
                  <c:v>57605</c:v>
                </c:pt>
                <c:pt idx="505">
                  <c:v>57635</c:v>
                </c:pt>
                <c:pt idx="506">
                  <c:v>57668</c:v>
                </c:pt>
                <c:pt idx="507">
                  <c:v>57698</c:v>
                </c:pt>
                <c:pt idx="508">
                  <c:v>57731</c:v>
                </c:pt>
                <c:pt idx="509">
                  <c:v>57762</c:v>
                </c:pt>
                <c:pt idx="510">
                  <c:v>57790</c:v>
                </c:pt>
                <c:pt idx="511">
                  <c:v>57822</c:v>
                </c:pt>
                <c:pt idx="512">
                  <c:v>57852</c:v>
                </c:pt>
                <c:pt idx="513">
                  <c:v>57885</c:v>
                </c:pt>
                <c:pt idx="514">
                  <c:v>57915</c:v>
                </c:pt>
                <c:pt idx="515">
                  <c:v>57948</c:v>
                </c:pt>
                <c:pt idx="516">
                  <c:v>57979</c:v>
                </c:pt>
                <c:pt idx="517">
                  <c:v>58011</c:v>
                </c:pt>
                <c:pt idx="518">
                  <c:v>58042</c:v>
                </c:pt>
                <c:pt idx="519">
                  <c:v>58074</c:v>
                </c:pt>
                <c:pt idx="520">
                  <c:v>58105</c:v>
                </c:pt>
                <c:pt idx="521">
                  <c:v>58134</c:v>
                </c:pt>
                <c:pt idx="522">
                  <c:v>58166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58322</c:v>
                </c:pt>
                <c:pt idx="528">
                  <c:v>58354</c:v>
                </c:pt>
                <c:pt idx="529">
                  <c:v>58385</c:v>
                </c:pt>
                <c:pt idx="530">
                  <c:v>58417</c:v>
                </c:pt>
                <c:pt idx="531">
                  <c:v>58448</c:v>
                </c:pt>
                <c:pt idx="532">
                  <c:v>58480</c:v>
                </c:pt>
                <c:pt idx="533">
                  <c:v>58509</c:v>
                </c:pt>
                <c:pt idx="534">
                  <c:v>58540</c:v>
                </c:pt>
                <c:pt idx="535">
                  <c:v>58571</c:v>
                </c:pt>
                <c:pt idx="536">
                  <c:v>58602</c:v>
                </c:pt>
                <c:pt idx="537">
                  <c:v>58634</c:v>
                </c:pt>
                <c:pt idx="538">
                  <c:v>58665</c:v>
                </c:pt>
                <c:pt idx="539">
                  <c:v>58697</c:v>
                </c:pt>
                <c:pt idx="540">
                  <c:v>58727</c:v>
                </c:pt>
                <c:pt idx="541">
                  <c:v>58760</c:v>
                </c:pt>
                <c:pt idx="542">
                  <c:v>58790</c:v>
                </c:pt>
                <c:pt idx="543">
                  <c:v>58823</c:v>
                </c:pt>
                <c:pt idx="544">
                  <c:v>58854</c:v>
                </c:pt>
                <c:pt idx="545">
                  <c:v>58882</c:v>
                </c:pt>
                <c:pt idx="546">
                  <c:v>58914</c:v>
                </c:pt>
                <c:pt idx="547">
                  <c:v>58944</c:v>
                </c:pt>
                <c:pt idx="548">
                  <c:v>58977</c:v>
                </c:pt>
                <c:pt idx="549">
                  <c:v>59007</c:v>
                </c:pt>
                <c:pt idx="550">
                  <c:v>59040</c:v>
                </c:pt>
                <c:pt idx="551">
                  <c:v>59071</c:v>
                </c:pt>
                <c:pt idx="552">
                  <c:v>59103</c:v>
                </c:pt>
                <c:pt idx="553">
                  <c:v>59134</c:v>
                </c:pt>
                <c:pt idx="554">
                  <c:v>59167</c:v>
                </c:pt>
                <c:pt idx="555">
                  <c:v>59198</c:v>
                </c:pt>
                <c:pt idx="556">
                  <c:v>59229</c:v>
                </c:pt>
                <c:pt idx="557">
                  <c:v>59258</c:v>
                </c:pt>
                <c:pt idx="558">
                  <c:v>59289</c:v>
                </c:pt>
                <c:pt idx="559">
                  <c:v>59320</c:v>
                </c:pt>
                <c:pt idx="560">
                  <c:v>59351</c:v>
                </c:pt>
                <c:pt idx="561">
                  <c:v>59383</c:v>
                </c:pt>
                <c:pt idx="562">
                  <c:v>59414</c:v>
                </c:pt>
                <c:pt idx="563">
                  <c:v>59446</c:v>
                </c:pt>
                <c:pt idx="564">
                  <c:v>59477</c:v>
                </c:pt>
                <c:pt idx="565">
                  <c:v>59509</c:v>
                </c:pt>
                <c:pt idx="566">
                  <c:v>59540</c:v>
                </c:pt>
                <c:pt idx="567">
                  <c:v>59572</c:v>
                </c:pt>
                <c:pt idx="568">
                  <c:v>59600</c:v>
                </c:pt>
                <c:pt idx="569">
                  <c:v>59631</c:v>
                </c:pt>
                <c:pt idx="570">
                  <c:v>59663</c:v>
                </c:pt>
                <c:pt idx="571">
                  <c:v>59694</c:v>
                </c:pt>
                <c:pt idx="572">
                  <c:v>59726</c:v>
                </c:pt>
                <c:pt idx="573">
                  <c:v>59757</c:v>
                </c:pt>
                <c:pt idx="574">
                  <c:v>59789</c:v>
                </c:pt>
                <c:pt idx="575">
                  <c:v>59819</c:v>
                </c:pt>
                <c:pt idx="576">
                  <c:v>59852</c:v>
                </c:pt>
                <c:pt idx="577">
                  <c:v>59882</c:v>
                </c:pt>
                <c:pt idx="578">
                  <c:v>59915</c:v>
                </c:pt>
                <c:pt idx="579">
                  <c:v>59946</c:v>
                </c:pt>
              </c:numCache>
            </c:numRef>
          </c:cat>
          <c:val>
            <c:numRef>
              <c:f>'basis 6M '!$S$2:$S$581</c:f>
              <c:numCache>
                <c:formatCode>0.0000%</c:formatCode>
                <c:ptCount val="580"/>
                <c:pt idx="0">
                  <c:v>2.59788644968361E-3</c:v>
                </c:pt>
                <c:pt idx="1">
                  <c:v>2.4786887418445395E-3</c:v>
                </c:pt>
                <c:pt idx="2">
                  <c:v>2.4458368912825663E-3</c:v>
                </c:pt>
                <c:pt idx="3">
                  <c:v>2.4466355086698024E-3</c:v>
                </c:pt>
                <c:pt idx="4">
                  <c:v>2.5372075099764687E-3</c:v>
                </c:pt>
                <c:pt idx="5">
                  <c:v>2.5220013539997308E-3</c:v>
                </c:pt>
                <c:pt idx="6">
                  <c:v>2.4384900377487015E-3</c:v>
                </c:pt>
                <c:pt idx="7">
                  <c:v>2.4424867034504418E-3</c:v>
                </c:pt>
                <c:pt idx="8">
                  <c:v>2.5088799815651559E-3</c:v>
                </c:pt>
                <c:pt idx="9">
                  <c:v>2.6661806445625385E-3</c:v>
                </c:pt>
                <c:pt idx="10">
                  <c:v>2.7234840755197484E-3</c:v>
                </c:pt>
                <c:pt idx="11">
                  <c:v>2.7411328514964882E-3</c:v>
                </c:pt>
                <c:pt idx="12">
                  <c:v>2.7157396320764849E-3</c:v>
                </c:pt>
                <c:pt idx="13">
                  <c:v>2.7539176646934117E-3</c:v>
                </c:pt>
                <c:pt idx="14">
                  <c:v>2.7937371073155979E-3</c:v>
                </c:pt>
                <c:pt idx="15">
                  <c:v>2.8283586669941053E-3</c:v>
                </c:pt>
                <c:pt idx="16">
                  <c:v>2.8557965153525474E-3</c:v>
                </c:pt>
                <c:pt idx="17">
                  <c:v>2.900021587733911E-3</c:v>
                </c:pt>
                <c:pt idx="18">
                  <c:v>2.9231752184680822E-3</c:v>
                </c:pt>
                <c:pt idx="19">
                  <c:v>2.9158202294389366E-3</c:v>
                </c:pt>
                <c:pt idx="20">
                  <c:v>2.945661245740863E-3</c:v>
                </c:pt>
                <c:pt idx="21">
                  <c:v>2.905969293585926E-3</c:v>
                </c:pt>
                <c:pt idx="22">
                  <c:v>2.6936184244670839E-3</c:v>
                </c:pt>
                <c:pt idx="23">
                  <c:v>2.578621844860659E-3</c:v>
                </c:pt>
                <c:pt idx="24">
                  <c:v>2.6101402415037995E-3</c:v>
                </c:pt>
                <c:pt idx="25">
                  <c:v>2.8190059650867487E-3</c:v>
                </c:pt>
                <c:pt idx="26">
                  <c:v>3.0424161196378877E-3</c:v>
                </c:pt>
                <c:pt idx="27">
                  <c:v>3.2397497295835334E-3</c:v>
                </c:pt>
                <c:pt idx="28">
                  <c:v>3.4504686441321026E-3</c:v>
                </c:pt>
                <c:pt idx="29">
                  <c:v>3.6361241205948762E-3</c:v>
                </c:pt>
                <c:pt idx="30">
                  <c:v>3.8046423296999184E-3</c:v>
                </c:pt>
                <c:pt idx="31">
                  <c:v>3.9928280005358903E-3</c:v>
                </c:pt>
                <c:pt idx="32">
                  <c:v>4.1674470377791066E-3</c:v>
                </c:pt>
                <c:pt idx="33">
                  <c:v>3.9212254558982024E-3</c:v>
                </c:pt>
                <c:pt idx="34">
                  <c:v>3.360117623718187E-3</c:v>
                </c:pt>
                <c:pt idx="35">
                  <c:v>2.8121407652611711E-3</c:v>
                </c:pt>
                <c:pt idx="36">
                  <c:v>2.7607090415442325E-3</c:v>
                </c:pt>
                <c:pt idx="37">
                  <c:v>2.960454790046673E-3</c:v>
                </c:pt>
                <c:pt idx="38">
                  <c:v>3.1870002734141391E-3</c:v>
                </c:pt>
                <c:pt idx="39">
                  <c:v>3.4082765692550173E-3</c:v>
                </c:pt>
                <c:pt idx="40">
                  <c:v>3.6540801096263983E-3</c:v>
                </c:pt>
                <c:pt idx="41">
                  <c:v>3.882043502934134E-3</c:v>
                </c:pt>
                <c:pt idx="42">
                  <c:v>4.1295683044618101E-3</c:v>
                </c:pt>
                <c:pt idx="43">
                  <c:v>4.4016172536450685E-3</c:v>
                </c:pt>
                <c:pt idx="44">
                  <c:v>4.6620840236505402E-3</c:v>
                </c:pt>
                <c:pt idx="45">
                  <c:v>4.0901890462400874E-3</c:v>
                </c:pt>
                <c:pt idx="46">
                  <c:v>3.4565031999886616E-3</c:v>
                </c:pt>
                <c:pt idx="47">
                  <c:v>2.7749689117432591E-3</c:v>
                </c:pt>
                <c:pt idx="48">
                  <c:v>3.033740437038396E-3</c:v>
                </c:pt>
                <c:pt idx="49">
                  <c:v>3.3157757078025301E-3</c:v>
                </c:pt>
                <c:pt idx="50">
                  <c:v>3.5698357228782368E-3</c:v>
                </c:pt>
                <c:pt idx="51">
                  <c:v>3.8465093626713319E-3</c:v>
                </c:pt>
                <c:pt idx="52">
                  <c:v>4.0997763869832053E-3</c:v>
                </c:pt>
                <c:pt idx="53">
                  <c:v>4.3510027977441993E-3</c:v>
                </c:pt>
                <c:pt idx="54">
                  <c:v>4.5995559136505527E-3</c:v>
                </c:pt>
                <c:pt idx="55">
                  <c:v>4.8473417347321525E-3</c:v>
                </c:pt>
                <c:pt idx="56">
                  <c:v>4.8581248848991298E-3</c:v>
                </c:pt>
                <c:pt idx="57">
                  <c:v>4.022604312651802E-3</c:v>
                </c:pt>
                <c:pt idx="58">
                  <c:v>3.1011378606755746E-3</c:v>
                </c:pt>
                <c:pt idx="59">
                  <c:v>2.5557061664371761E-3</c:v>
                </c:pt>
                <c:pt idx="60">
                  <c:v>2.8321882678787724E-3</c:v>
                </c:pt>
                <c:pt idx="61">
                  <c:v>3.0957158121897276E-3</c:v>
                </c:pt>
                <c:pt idx="62">
                  <c:v>3.3819297142497796E-3</c:v>
                </c:pt>
                <c:pt idx="63">
                  <c:v>3.6543584594460748E-3</c:v>
                </c:pt>
                <c:pt idx="64">
                  <c:v>3.9451182641152011E-3</c:v>
                </c:pt>
                <c:pt idx="65">
                  <c:v>4.2225126155545044E-3</c:v>
                </c:pt>
                <c:pt idx="66">
                  <c:v>4.5176665134122676E-3</c:v>
                </c:pt>
                <c:pt idx="67">
                  <c:v>4.805557490970629E-3</c:v>
                </c:pt>
                <c:pt idx="68">
                  <c:v>4.5507649549444123E-3</c:v>
                </c:pt>
                <c:pt idx="69">
                  <c:v>3.6515189130288499E-3</c:v>
                </c:pt>
                <c:pt idx="70">
                  <c:v>2.7845924949173647E-3</c:v>
                </c:pt>
                <c:pt idx="71">
                  <c:v>2.5608398169682245E-3</c:v>
                </c:pt>
                <c:pt idx="72">
                  <c:v>2.8439438499856546E-3</c:v>
                </c:pt>
                <c:pt idx="73">
                  <c:v>3.1539536135545571E-3</c:v>
                </c:pt>
                <c:pt idx="74">
                  <c:v>3.4341272394070779E-3</c:v>
                </c:pt>
                <c:pt idx="75">
                  <c:v>3.7400440210784668E-3</c:v>
                </c:pt>
                <c:pt idx="76">
                  <c:v>4.0079354010472724E-3</c:v>
                </c:pt>
                <c:pt idx="77">
                  <c:v>4.287432449626238E-3</c:v>
                </c:pt>
                <c:pt idx="78">
                  <c:v>4.5832043543915114E-3</c:v>
                </c:pt>
                <c:pt idx="79">
                  <c:v>4.8574091202341022E-3</c:v>
                </c:pt>
                <c:pt idx="80">
                  <c:v>4.1999183374290937E-3</c:v>
                </c:pt>
                <c:pt idx="81">
                  <c:v>3.3062140455072993E-3</c:v>
                </c:pt>
                <c:pt idx="82">
                  <c:v>2.3518745352749375E-3</c:v>
                </c:pt>
                <c:pt idx="83">
                  <c:v>2.4503624801724445E-3</c:v>
                </c:pt>
                <c:pt idx="84">
                  <c:v>2.7213456525089219E-3</c:v>
                </c:pt>
                <c:pt idx="85">
                  <c:v>2.9626714332630262E-3</c:v>
                </c:pt>
                <c:pt idx="86">
                  <c:v>3.2207591197703084E-3</c:v>
                </c:pt>
                <c:pt idx="87">
                  <c:v>3.4540266860178422E-3</c:v>
                </c:pt>
                <c:pt idx="88">
                  <c:v>3.6825007665263407E-3</c:v>
                </c:pt>
                <c:pt idx="89">
                  <c:v>3.9032995546642614E-3</c:v>
                </c:pt>
                <c:pt idx="90">
                  <c:v>4.1193148242846776E-3</c:v>
                </c:pt>
                <c:pt idx="91">
                  <c:v>4.31427864287336E-3</c:v>
                </c:pt>
                <c:pt idx="92">
                  <c:v>3.6773851198930764E-3</c:v>
                </c:pt>
                <c:pt idx="93">
                  <c:v>2.9651440151747047E-3</c:v>
                </c:pt>
                <c:pt idx="94">
                  <c:v>2.3627220934939706E-3</c:v>
                </c:pt>
                <c:pt idx="95">
                  <c:v>2.5573660837439928E-3</c:v>
                </c:pt>
                <c:pt idx="96">
                  <c:v>2.7324110612566149E-3</c:v>
                </c:pt>
                <c:pt idx="97">
                  <c:v>2.912848201555969E-3</c:v>
                </c:pt>
                <c:pt idx="98">
                  <c:v>3.074111149130955E-3</c:v>
                </c:pt>
                <c:pt idx="99">
                  <c:v>3.2384813444541229E-3</c:v>
                </c:pt>
                <c:pt idx="100">
                  <c:v>3.3791058785749145E-3</c:v>
                </c:pt>
                <c:pt idx="101">
                  <c:v>3.5198285959949817E-3</c:v>
                </c:pt>
                <c:pt idx="102">
                  <c:v>3.6634375750518311E-3</c:v>
                </c:pt>
                <c:pt idx="103">
                  <c:v>3.5800795726625596E-3</c:v>
                </c:pt>
                <c:pt idx="104">
                  <c:v>3.0965779661249332E-3</c:v>
                </c:pt>
                <c:pt idx="105">
                  <c:v>2.6268532686656507E-3</c:v>
                </c:pt>
                <c:pt idx="106">
                  <c:v>2.3925132937822058E-3</c:v>
                </c:pt>
                <c:pt idx="107">
                  <c:v>2.5091844124858383E-3</c:v>
                </c:pt>
                <c:pt idx="108">
                  <c:v>2.628815880845313E-3</c:v>
                </c:pt>
                <c:pt idx="109">
                  <c:v>2.7403817414479725E-3</c:v>
                </c:pt>
                <c:pt idx="110">
                  <c:v>2.8545424460114273E-3</c:v>
                </c:pt>
                <c:pt idx="111">
                  <c:v>2.9644085140192074E-3</c:v>
                </c:pt>
                <c:pt idx="112">
                  <c:v>3.0748065803208081E-3</c:v>
                </c:pt>
                <c:pt idx="113">
                  <c:v>3.1795014769665127E-3</c:v>
                </c:pt>
                <c:pt idx="114">
                  <c:v>3.274600803427799E-3</c:v>
                </c:pt>
                <c:pt idx="115">
                  <c:v>3.0276891374473383E-3</c:v>
                </c:pt>
                <c:pt idx="116">
                  <c:v>2.6358840419792515E-3</c:v>
                </c:pt>
                <c:pt idx="117">
                  <c:v>2.2597172054477574E-3</c:v>
                </c:pt>
                <c:pt idx="118">
                  <c:v>2.2759308567148889E-3</c:v>
                </c:pt>
                <c:pt idx="119">
                  <c:v>2.35787118367322E-3</c:v>
                </c:pt>
                <c:pt idx="120">
                  <c:v>2.4440899950679829E-3</c:v>
                </c:pt>
                <c:pt idx="121">
                  <c:v>2.5205637905556452E-3</c:v>
                </c:pt>
                <c:pt idx="122">
                  <c:v>2.5990307776728935E-3</c:v>
                </c:pt>
                <c:pt idx="123">
                  <c:v>2.6669940754520637E-3</c:v>
                </c:pt>
                <c:pt idx="124">
                  <c:v>2.7345653813448181E-3</c:v>
                </c:pt>
                <c:pt idx="125">
                  <c:v>2.8035728486261804E-3</c:v>
                </c:pt>
                <c:pt idx="126">
                  <c:v>2.8427149895890874E-3</c:v>
                </c:pt>
                <c:pt idx="127">
                  <c:v>2.5588220401247079E-3</c:v>
                </c:pt>
                <c:pt idx="128">
                  <c:v>2.28229279378208E-3</c:v>
                </c:pt>
                <c:pt idx="129">
                  <c:v>2.0385818254078335E-3</c:v>
                </c:pt>
                <c:pt idx="130">
                  <c:v>2.0865922034956838E-3</c:v>
                </c:pt>
                <c:pt idx="131">
                  <c:v>2.1368705347114512E-3</c:v>
                </c:pt>
                <c:pt idx="132">
                  <c:v>2.180971077347417E-3</c:v>
                </c:pt>
                <c:pt idx="133">
                  <c:v>2.223955330705827E-3</c:v>
                </c:pt>
                <c:pt idx="134">
                  <c:v>2.2618511595351859E-3</c:v>
                </c:pt>
                <c:pt idx="135">
                  <c:v>2.2980856870271314E-3</c:v>
                </c:pt>
                <c:pt idx="136">
                  <c:v>2.3279123960120544E-3</c:v>
                </c:pt>
                <c:pt idx="137">
                  <c:v>2.35702747122166E-3</c:v>
                </c:pt>
                <c:pt idx="138">
                  <c:v>2.2600689771888373E-3</c:v>
                </c:pt>
                <c:pt idx="139">
                  <c:v>1.9741006723245358E-3</c:v>
                </c:pt>
                <c:pt idx="140">
                  <c:v>1.6564768161298933E-3</c:v>
                </c:pt>
                <c:pt idx="141">
                  <c:v>1.4994863024588717E-3</c:v>
                </c:pt>
                <c:pt idx="142">
                  <c:v>1.5220966023121174E-3</c:v>
                </c:pt>
                <c:pt idx="143">
                  <c:v>1.5414072837119132E-3</c:v>
                </c:pt>
                <c:pt idx="144">
                  <c:v>1.5626711502336084E-3</c:v>
                </c:pt>
                <c:pt idx="145">
                  <c:v>1.5815159114242715E-3</c:v>
                </c:pt>
                <c:pt idx="146">
                  <c:v>1.6014019496911752E-3</c:v>
                </c:pt>
                <c:pt idx="147">
                  <c:v>1.6174821525382216E-3</c:v>
                </c:pt>
                <c:pt idx="148">
                  <c:v>1.6337509139219761E-3</c:v>
                </c:pt>
                <c:pt idx="149">
                  <c:v>1.6470955225017549E-3</c:v>
                </c:pt>
                <c:pt idx="150">
                  <c:v>1.6620163885810758E-3</c:v>
                </c:pt>
                <c:pt idx="151">
                  <c:v>1.6765119262553904E-3</c:v>
                </c:pt>
                <c:pt idx="152">
                  <c:v>1.6848987608056448E-3</c:v>
                </c:pt>
                <c:pt idx="153">
                  <c:v>1.6952648606632405E-3</c:v>
                </c:pt>
                <c:pt idx="154">
                  <c:v>1.7043021970476573E-3</c:v>
                </c:pt>
                <c:pt idx="155">
                  <c:v>1.7142058877469557E-3</c:v>
                </c:pt>
                <c:pt idx="156">
                  <c:v>1.7211354502450621E-3</c:v>
                </c:pt>
                <c:pt idx="157">
                  <c:v>1.7283037324413303E-3</c:v>
                </c:pt>
                <c:pt idx="158">
                  <c:v>1.7331866866117582E-3</c:v>
                </c:pt>
                <c:pt idx="159">
                  <c:v>1.7380683150759225E-3</c:v>
                </c:pt>
                <c:pt idx="160">
                  <c:v>1.7416127006933506E-3</c:v>
                </c:pt>
                <c:pt idx="161">
                  <c:v>1.7433744468229144E-3</c:v>
                </c:pt>
                <c:pt idx="162">
                  <c:v>1.7456985924534998E-3</c:v>
                </c:pt>
                <c:pt idx="163">
                  <c:v>1.7462088538388251E-3</c:v>
                </c:pt>
                <c:pt idx="164">
                  <c:v>1.7439043235110627E-3</c:v>
                </c:pt>
                <c:pt idx="165">
                  <c:v>1.7424248996634716E-3</c:v>
                </c:pt>
                <c:pt idx="166">
                  <c:v>1.7390985126339471E-3</c:v>
                </c:pt>
                <c:pt idx="167">
                  <c:v>1.7370253791109472E-3</c:v>
                </c:pt>
                <c:pt idx="168">
                  <c:v>1.7324791458523947E-3</c:v>
                </c:pt>
                <c:pt idx="169">
                  <c:v>1.7267856949417931E-3</c:v>
                </c:pt>
                <c:pt idx="170">
                  <c:v>1.72165260187436E-3</c:v>
                </c:pt>
                <c:pt idx="171">
                  <c:v>1.7142564658796725E-3</c:v>
                </c:pt>
                <c:pt idx="172">
                  <c:v>1.7056789842179419E-3</c:v>
                </c:pt>
                <c:pt idx="173">
                  <c:v>1.6792019726141853E-3</c:v>
                </c:pt>
                <c:pt idx="174">
                  <c:v>1.6212372056775733E-3</c:v>
                </c:pt>
                <c:pt idx="175">
                  <c:v>1.5652708230052617E-3</c:v>
                </c:pt>
                <c:pt idx="176">
                  <c:v>1.5249636494066923E-3</c:v>
                </c:pt>
                <c:pt idx="177">
                  <c:v>1.5136585967791202E-3</c:v>
                </c:pt>
                <c:pt idx="178">
                  <c:v>1.5017089324586529E-3</c:v>
                </c:pt>
                <c:pt idx="179">
                  <c:v>1.4916747544907009E-3</c:v>
                </c:pt>
                <c:pt idx="180">
                  <c:v>1.4786249674408371E-3</c:v>
                </c:pt>
                <c:pt idx="181">
                  <c:v>1.4685782652103969E-3</c:v>
                </c:pt>
                <c:pt idx="182">
                  <c:v>1.456895357484736E-3</c:v>
                </c:pt>
                <c:pt idx="183">
                  <c:v>1.4424185575640756E-3</c:v>
                </c:pt>
                <c:pt idx="184">
                  <c:v>1.4295147946201125E-3</c:v>
                </c:pt>
                <c:pt idx="185">
                  <c:v>1.4157292761851625E-3</c:v>
                </c:pt>
                <c:pt idx="186">
                  <c:v>1.4024648447086147E-3</c:v>
                </c:pt>
                <c:pt idx="187">
                  <c:v>1.3860623080064437E-3</c:v>
                </c:pt>
                <c:pt idx="188">
                  <c:v>1.3712300013032398E-3</c:v>
                </c:pt>
                <c:pt idx="189">
                  <c:v>1.3554004335868432E-3</c:v>
                </c:pt>
                <c:pt idx="190">
                  <c:v>1.3422173647170167E-3</c:v>
                </c:pt>
                <c:pt idx="191">
                  <c:v>1.3249096092800422E-3</c:v>
                </c:pt>
                <c:pt idx="192">
                  <c:v>1.309973797065149E-3</c:v>
                </c:pt>
                <c:pt idx="193">
                  <c:v>1.2959643800304517E-3</c:v>
                </c:pt>
                <c:pt idx="194">
                  <c:v>1.2779348922670325E-3</c:v>
                </c:pt>
                <c:pt idx="195">
                  <c:v>1.2614338439819843E-3</c:v>
                </c:pt>
                <c:pt idx="196">
                  <c:v>1.2425746022188058E-3</c:v>
                </c:pt>
                <c:pt idx="197">
                  <c:v>1.2261783229320436E-3</c:v>
                </c:pt>
                <c:pt idx="198">
                  <c:v>1.2071682834751025E-3</c:v>
                </c:pt>
                <c:pt idx="199">
                  <c:v>1.1886521528369151E-3</c:v>
                </c:pt>
                <c:pt idx="200">
                  <c:v>1.1693049419515024E-3</c:v>
                </c:pt>
                <c:pt idx="201">
                  <c:v>1.1499157430068935E-3</c:v>
                </c:pt>
                <c:pt idx="202">
                  <c:v>1.1313957218671913E-3</c:v>
                </c:pt>
                <c:pt idx="203">
                  <c:v>1.111350802053622E-3</c:v>
                </c:pt>
                <c:pt idx="204">
                  <c:v>1.0908525711611668E-3</c:v>
                </c:pt>
                <c:pt idx="205">
                  <c:v>1.0722113262542597E-3</c:v>
                </c:pt>
                <c:pt idx="206">
                  <c:v>1.0529585202609763E-3</c:v>
                </c:pt>
                <c:pt idx="207">
                  <c:v>1.030854869686227E-3</c:v>
                </c:pt>
                <c:pt idx="208">
                  <c:v>1.0092009953440312E-3</c:v>
                </c:pt>
                <c:pt idx="209">
                  <c:v>9.874823415858755E-4</c:v>
                </c:pt>
                <c:pt idx="210">
                  <c:v>9.6657676610935675E-4</c:v>
                </c:pt>
                <c:pt idx="211">
                  <c:v>9.4259369051107739E-4</c:v>
                </c:pt>
                <c:pt idx="212">
                  <c:v>9.2006225858831323E-4</c:v>
                </c:pt>
                <c:pt idx="213">
                  <c:v>8.9576389406698445E-4</c:v>
                </c:pt>
                <c:pt idx="214">
                  <c:v>8.7488214190322919E-4</c:v>
                </c:pt>
                <c:pt idx="215">
                  <c:v>8.491060844044683E-4</c:v>
                </c:pt>
                <c:pt idx="216">
                  <c:v>8.2637654673245811E-4</c:v>
                </c:pt>
                <c:pt idx="217">
                  <c:v>8.0437478403267218E-4</c:v>
                </c:pt>
                <c:pt idx="218">
                  <c:v>7.7861867024072579E-4</c:v>
                </c:pt>
                <c:pt idx="219">
                  <c:v>7.5425698220817766E-4</c:v>
                </c:pt>
                <c:pt idx="220">
                  <c:v>7.270927970179121E-4</c:v>
                </c:pt>
                <c:pt idx="221">
                  <c:v>7.0283535362516622E-4</c:v>
                </c:pt>
                <c:pt idx="222">
                  <c:v>6.7497348959588699E-4</c:v>
                </c:pt>
                <c:pt idx="223">
                  <c:v>6.4883938500721883E-4</c:v>
                </c:pt>
                <c:pt idx="224">
                  <c:v>6.2001405000133847E-4</c:v>
                </c:pt>
                <c:pt idx="225">
                  <c:v>5.967197998803242E-4</c:v>
                </c:pt>
                <c:pt idx="226">
                  <c:v>5.7047506141390605E-4</c:v>
                </c:pt>
                <c:pt idx="227">
                  <c:v>5.4150049217141505E-4</c:v>
                </c:pt>
                <c:pt idx="228">
                  <c:v>5.1774619700779845E-4</c:v>
                </c:pt>
                <c:pt idx="229">
                  <c:v>4.9085588954184828E-4</c:v>
                </c:pt>
                <c:pt idx="230">
                  <c:v>4.6393831808009406E-4</c:v>
                </c:pt>
                <c:pt idx="231">
                  <c:v>4.3395430007202654E-4</c:v>
                </c:pt>
                <c:pt idx="232">
                  <c:v>6.3954920807425542E-4</c:v>
                </c:pt>
                <c:pt idx="233">
                  <c:v>1.0272545847343217E-3</c:v>
                </c:pt>
                <c:pt idx="234">
                  <c:v>1.4006536671853156E-3</c:v>
                </c:pt>
                <c:pt idx="235">
                  <c:v>1.515646771438537E-3</c:v>
                </c:pt>
                <c:pt idx="236">
                  <c:v>1.4868273029524925E-3</c:v>
                </c:pt>
                <c:pt idx="237">
                  <c:v>1.4585654598776934E-3</c:v>
                </c:pt>
                <c:pt idx="238">
                  <c:v>1.4306950476853098E-3</c:v>
                </c:pt>
                <c:pt idx="239">
                  <c:v>1.4013226441277928E-3</c:v>
                </c:pt>
                <c:pt idx="240">
                  <c:v>1.3760160391566058E-3</c:v>
                </c:pt>
                <c:pt idx="241">
                  <c:v>1.3485207566111233E-3</c:v>
                </c:pt>
                <c:pt idx="242">
                  <c:v>1.3195369924575637E-3</c:v>
                </c:pt>
                <c:pt idx="243">
                  <c:v>1.2916114228607861E-3</c:v>
                </c:pt>
                <c:pt idx="244">
                  <c:v>1.2635860441279068E-3</c:v>
                </c:pt>
                <c:pt idx="245">
                  <c:v>1.2369059839306799E-3</c:v>
                </c:pt>
                <c:pt idx="246">
                  <c:v>1.2081947409525833E-3</c:v>
                </c:pt>
                <c:pt idx="247">
                  <c:v>1.1816275561704719E-3</c:v>
                </c:pt>
                <c:pt idx="248">
                  <c:v>1.152608968823101E-3</c:v>
                </c:pt>
                <c:pt idx="249">
                  <c:v>1.1276730650734389E-3</c:v>
                </c:pt>
                <c:pt idx="250">
                  <c:v>1.0982407050138636E-3</c:v>
                </c:pt>
                <c:pt idx="251">
                  <c:v>1.0730610620036697E-3</c:v>
                </c:pt>
                <c:pt idx="252">
                  <c:v>1.0465658318973871E-3</c:v>
                </c:pt>
                <c:pt idx="253">
                  <c:v>1.0208149813218312E-3</c:v>
                </c:pt>
                <c:pt idx="254">
                  <c:v>9.9578393927260769E-4</c:v>
                </c:pt>
                <c:pt idx="255">
                  <c:v>9.6789468067052034E-4</c:v>
                </c:pt>
                <c:pt idx="256">
                  <c:v>9.4313781439039207E-4</c:v>
                </c:pt>
                <c:pt idx="257">
                  <c:v>9.1567812937890999E-4</c:v>
                </c:pt>
                <c:pt idx="258">
                  <c:v>8.8970413166094067E-4</c:v>
                </c:pt>
                <c:pt idx="259">
                  <c:v>8.6298958506509163E-4</c:v>
                </c:pt>
                <c:pt idx="260">
                  <c:v>8.3725063564011812E-4</c:v>
                </c:pt>
                <c:pt idx="261">
                  <c:v>8.1218422726358E-4</c:v>
                </c:pt>
                <c:pt idx="262">
                  <c:v>7.8739358367092144E-4</c:v>
                </c:pt>
                <c:pt idx="263">
                  <c:v>7.6121685479913631E-4</c:v>
                </c:pt>
                <c:pt idx="264">
                  <c:v>7.3871655631639263E-4</c:v>
                </c:pt>
                <c:pt idx="265">
                  <c:v>7.1430044325262662E-4</c:v>
                </c:pt>
                <c:pt idx="266">
                  <c:v>6.885132107800028E-4</c:v>
                </c:pt>
                <c:pt idx="267">
                  <c:v>6.6467890690706868E-4</c:v>
                </c:pt>
                <c:pt idx="268">
                  <c:v>6.3883745980556489E-4</c:v>
                </c:pt>
                <c:pt idx="269">
                  <c:v>6.1424885912246888E-4</c:v>
                </c:pt>
                <c:pt idx="270">
                  <c:v>5.897005290153301E-4</c:v>
                </c:pt>
                <c:pt idx="271">
                  <c:v>5.6579135749433573E-4</c:v>
                </c:pt>
                <c:pt idx="272">
                  <c:v>5.4107761825918435E-4</c:v>
                </c:pt>
                <c:pt idx="273">
                  <c:v>5.1879881862798224E-4</c:v>
                </c:pt>
                <c:pt idx="274">
                  <c:v>4.9298210557241484E-4</c:v>
                </c:pt>
                <c:pt idx="275">
                  <c:v>4.71769926169055E-4</c:v>
                </c:pt>
                <c:pt idx="276">
                  <c:v>4.487610288818368E-4</c:v>
                </c:pt>
                <c:pt idx="277">
                  <c:v>4.2443856597742732E-4</c:v>
                </c:pt>
                <c:pt idx="278">
                  <c:v>4.0099832238774807E-4</c:v>
                </c:pt>
                <c:pt idx="279">
                  <c:v>3.7763458954463355E-4</c:v>
                </c:pt>
                <c:pt idx="280">
                  <c:v>3.5548789613544171E-4</c:v>
                </c:pt>
                <c:pt idx="281">
                  <c:v>3.3135613421328772E-4</c:v>
                </c:pt>
                <c:pt idx="282">
                  <c:v>3.0881410028926054E-4</c:v>
                </c:pt>
                <c:pt idx="283">
                  <c:v>2.8491453247611251E-4</c:v>
                </c:pt>
                <c:pt idx="284">
                  <c:v>2.6469240090685672E-4</c:v>
                </c:pt>
                <c:pt idx="285">
                  <c:v>2.3968975389956557E-4</c:v>
                </c:pt>
                <c:pt idx="286">
                  <c:v>2.193495464735476E-4</c:v>
                </c:pt>
                <c:pt idx="287">
                  <c:v>1.9921345482492789E-4</c:v>
                </c:pt>
                <c:pt idx="288">
                  <c:v>1.7564266152497732E-4</c:v>
                </c:pt>
                <c:pt idx="289">
                  <c:v>1.5509139474756406E-4</c:v>
                </c:pt>
                <c:pt idx="290">
                  <c:v>1.4045073491928892E-4</c:v>
                </c:pt>
                <c:pt idx="291">
                  <c:v>3.7534168621829872E-4</c:v>
                </c:pt>
                <c:pt idx="292">
                  <c:v>6.3368434345932242E-4</c:v>
                </c:pt>
                <c:pt idx="293">
                  <c:v>8.5116907958003585E-4</c:v>
                </c:pt>
                <c:pt idx="294">
                  <c:v>8.3038894743455577E-4</c:v>
                </c:pt>
                <c:pt idx="295">
                  <c:v>8.1059013246199615E-4</c:v>
                </c:pt>
                <c:pt idx="296">
                  <c:v>7.9205934016176455E-4</c:v>
                </c:pt>
                <c:pt idx="297">
                  <c:v>7.7317076694763398E-4</c:v>
                </c:pt>
                <c:pt idx="298">
                  <c:v>7.5455604161416695E-4</c:v>
                </c:pt>
                <c:pt idx="299">
                  <c:v>7.3828759635666263E-4</c:v>
                </c:pt>
                <c:pt idx="300">
                  <c:v>7.2221455316523464E-4</c:v>
                </c:pt>
                <c:pt idx="301">
                  <c:v>7.0447274526701242E-4</c:v>
                </c:pt>
                <c:pt idx="302">
                  <c:v>6.8781466713490474E-4</c:v>
                </c:pt>
                <c:pt idx="303">
                  <c:v>6.7197277853266527E-4</c:v>
                </c:pt>
                <c:pt idx="304">
                  <c:v>6.5755882622568415E-4</c:v>
                </c:pt>
                <c:pt idx="305">
                  <c:v>6.4108768959612525E-4</c:v>
                </c:pt>
                <c:pt idx="306">
                  <c:v>6.2650878295648568E-4</c:v>
                </c:pt>
                <c:pt idx="307">
                  <c:v>6.1166937363140925E-4</c:v>
                </c:pt>
                <c:pt idx="308">
                  <c:v>5.9948219538053654E-4</c:v>
                </c:pt>
                <c:pt idx="309">
                  <c:v>5.8541008000563555E-4</c:v>
                </c:pt>
                <c:pt idx="310">
                  <c:v>5.7462929758243103E-4</c:v>
                </c:pt>
                <c:pt idx="311">
                  <c:v>5.6323513113672868E-4</c:v>
                </c:pt>
                <c:pt idx="312">
                  <c:v>5.5035864582152205E-4</c:v>
                </c:pt>
                <c:pt idx="313">
                  <c:v>5.3936427820381466E-4</c:v>
                </c:pt>
                <c:pt idx="314">
                  <c:v>5.2843184681764313E-4</c:v>
                </c:pt>
                <c:pt idx="315">
                  <c:v>5.1867503943505214E-4</c:v>
                </c:pt>
                <c:pt idx="316">
                  <c:v>5.0709782456390129E-4</c:v>
                </c:pt>
                <c:pt idx="317">
                  <c:v>4.9737882962941696E-4</c:v>
                </c:pt>
                <c:pt idx="318">
                  <c:v>4.8788522822023131E-4</c:v>
                </c:pt>
                <c:pt idx="319">
                  <c:v>4.809852720721354E-4</c:v>
                </c:pt>
                <c:pt idx="320">
                  <c:v>4.7118913232099824E-4</c:v>
                </c:pt>
                <c:pt idx="321">
                  <c:v>4.6502984715241641E-4</c:v>
                </c:pt>
                <c:pt idx="322">
                  <c:v>4.5951219576704713E-4</c:v>
                </c:pt>
                <c:pt idx="323">
                  <c:v>4.5138867984156894E-4</c:v>
                </c:pt>
                <c:pt idx="324">
                  <c:v>4.4650195973961262E-4</c:v>
                </c:pt>
                <c:pt idx="325">
                  <c:v>4.3885276074640336E-4</c:v>
                </c:pt>
                <c:pt idx="326">
                  <c:v>4.3434226258414269E-4</c:v>
                </c:pt>
                <c:pt idx="327">
                  <c:v>4.2922694146311363E-4</c:v>
                </c:pt>
                <c:pt idx="328">
                  <c:v>4.2371064825463822E-4</c:v>
                </c:pt>
                <c:pt idx="329">
                  <c:v>4.1966019696103307E-4</c:v>
                </c:pt>
                <c:pt idx="330">
                  <c:v>4.1560999795731135E-4</c:v>
                </c:pt>
                <c:pt idx="331">
                  <c:v>4.1381025524442339E-4</c:v>
                </c:pt>
                <c:pt idx="332">
                  <c:v>4.1130985535804687E-4</c:v>
                </c:pt>
                <c:pt idx="333">
                  <c:v>4.0919225613252411E-4</c:v>
                </c:pt>
                <c:pt idx="334">
                  <c:v>4.0839963763979886E-4</c:v>
                </c:pt>
                <c:pt idx="335">
                  <c:v>4.0722423273799324E-4</c:v>
                </c:pt>
                <c:pt idx="336">
                  <c:v>4.0651819376257697E-4</c:v>
                </c:pt>
                <c:pt idx="337">
                  <c:v>4.0560808373775459E-4</c:v>
                </c:pt>
                <c:pt idx="338">
                  <c:v>4.0651107099585332E-4</c:v>
                </c:pt>
                <c:pt idx="339">
                  <c:v>4.0857078933369609E-4</c:v>
                </c:pt>
                <c:pt idx="340">
                  <c:v>4.076307684114204E-4</c:v>
                </c:pt>
                <c:pt idx="341">
                  <c:v>4.0922407939148267E-4</c:v>
                </c:pt>
                <c:pt idx="342">
                  <c:v>4.1069991819898954E-4</c:v>
                </c:pt>
                <c:pt idx="343">
                  <c:v>4.1448516221970905E-4</c:v>
                </c:pt>
                <c:pt idx="344">
                  <c:v>4.1692752533571339E-4</c:v>
                </c:pt>
                <c:pt idx="345">
                  <c:v>4.2100604228753266E-4</c:v>
                </c:pt>
                <c:pt idx="346">
                  <c:v>4.2428180897001455E-4</c:v>
                </c:pt>
                <c:pt idx="347">
                  <c:v>4.290367440883576E-4</c:v>
                </c:pt>
                <c:pt idx="348">
                  <c:v>4.3370521627757175E-4</c:v>
                </c:pt>
                <c:pt idx="349">
                  <c:v>3.4073252786034902E-4</c:v>
                </c:pt>
                <c:pt idx="350">
                  <c:v>1.514708940571069E-4</c:v>
                </c:pt>
                <c:pt idx="351">
                  <c:v>-5.7994712545972327E-5</c:v>
                </c:pt>
                <c:pt idx="352">
                  <c:v>-1.4396152459475453E-4</c:v>
                </c:pt>
                <c:pt idx="353">
                  <c:v>-1.3969040671213059E-4</c:v>
                </c:pt>
                <c:pt idx="354">
                  <c:v>-1.2965065381497984E-4</c:v>
                </c:pt>
                <c:pt idx="355">
                  <c:v>-1.2305260557972375E-4</c:v>
                </c:pt>
                <c:pt idx="356">
                  <c:v>-1.1733428525577405E-4</c:v>
                </c:pt>
                <c:pt idx="357">
                  <c:v>-1.075327724823251E-4</c:v>
                </c:pt>
                <c:pt idx="358">
                  <c:v>-1.0204534556009642E-4</c:v>
                </c:pt>
                <c:pt idx="359">
                  <c:v>-9.1932821224521843E-5</c:v>
                </c:pt>
                <c:pt idx="360">
                  <c:v>-8.6131780881047032E-5</c:v>
                </c:pt>
                <c:pt idx="361">
                  <c:v>-7.859625934279052E-5</c:v>
                </c:pt>
                <c:pt idx="362">
                  <c:v>-6.8890834726834799E-5</c:v>
                </c:pt>
                <c:pt idx="363">
                  <c:v>-6.180087255957048E-5</c:v>
                </c:pt>
                <c:pt idx="364">
                  <c:v>-5.2226077861511344E-5</c:v>
                </c:pt>
                <c:pt idx="365">
                  <c:v>-4.365704107417781E-5</c:v>
                </c:pt>
                <c:pt idx="366">
                  <c:v>-3.2167613204778234E-5</c:v>
                </c:pt>
                <c:pt idx="367">
                  <c:v>-2.2398961524186523E-5</c:v>
                </c:pt>
                <c:pt idx="368">
                  <c:v>-1.1708292036553825E-5</c:v>
                </c:pt>
                <c:pt idx="369">
                  <c:v>-1.2438169351008943E-6</c:v>
                </c:pt>
                <c:pt idx="370">
                  <c:v>9.2871718975276463E-6</c:v>
                </c:pt>
                <c:pt idx="371">
                  <c:v>2.0794280072195664E-5</c:v>
                </c:pt>
                <c:pt idx="372">
                  <c:v>3.1168100481513555E-5</c:v>
                </c:pt>
                <c:pt idx="373">
                  <c:v>4.391182867281157E-5</c:v>
                </c:pt>
                <c:pt idx="374">
                  <c:v>5.7437023102423213E-5</c:v>
                </c:pt>
                <c:pt idx="375">
                  <c:v>6.7023967158713615E-5</c:v>
                </c:pt>
                <c:pt idx="376">
                  <c:v>7.8237796342178062E-5</c:v>
                </c:pt>
                <c:pt idx="377">
                  <c:v>9.160192490903149E-5</c:v>
                </c:pt>
                <c:pt idx="378">
                  <c:v>1.0536486404563034E-4</c:v>
                </c:pt>
                <c:pt idx="379">
                  <c:v>1.1793769186085531E-4</c:v>
                </c:pt>
                <c:pt idx="380">
                  <c:v>1.3242111503121087E-4</c:v>
                </c:pt>
                <c:pt idx="381">
                  <c:v>1.4722693862369643E-4</c:v>
                </c:pt>
                <c:pt idx="382">
                  <c:v>1.5993071818437912E-4</c:v>
                </c:pt>
                <c:pt idx="383">
                  <c:v>1.7569443848777094E-4</c:v>
                </c:pt>
                <c:pt idx="384">
                  <c:v>1.8778561520044201E-4</c:v>
                </c:pt>
                <c:pt idx="385">
                  <c:v>2.0289958106960507E-4</c:v>
                </c:pt>
                <c:pt idx="386">
                  <c:v>2.187878145814906E-4</c:v>
                </c:pt>
                <c:pt idx="387">
                  <c:v>2.327759692507432E-4</c:v>
                </c:pt>
                <c:pt idx="388">
                  <c:v>2.4899447185596293E-4</c:v>
                </c:pt>
                <c:pt idx="389">
                  <c:v>2.637626511910636E-4</c:v>
                </c:pt>
                <c:pt idx="390">
                  <c:v>2.818968855009471E-4</c:v>
                </c:pt>
                <c:pt idx="391">
                  <c:v>2.9718579663931544E-4</c:v>
                </c:pt>
                <c:pt idx="392">
                  <c:v>3.1423157281405129E-4</c:v>
                </c:pt>
                <c:pt idx="393">
                  <c:v>3.3118987468668329E-4</c:v>
                </c:pt>
                <c:pt idx="394">
                  <c:v>3.4988180146946352E-4</c:v>
                </c:pt>
                <c:pt idx="395">
                  <c:v>3.6551915062036505E-4</c:v>
                </c:pt>
                <c:pt idx="396">
                  <c:v>3.8505671297464281E-4</c:v>
                </c:pt>
                <c:pt idx="397">
                  <c:v>4.0147356902376849E-4</c:v>
                </c:pt>
                <c:pt idx="398">
                  <c:v>4.1856096583118077E-4</c:v>
                </c:pt>
                <c:pt idx="399">
                  <c:v>4.3717363517797522E-4</c:v>
                </c:pt>
                <c:pt idx="400">
                  <c:v>4.5449995883287478E-4</c:v>
                </c:pt>
                <c:pt idx="401">
                  <c:v>4.7526636655160007E-4</c:v>
                </c:pt>
                <c:pt idx="402">
                  <c:v>4.9446371715054782E-4</c:v>
                </c:pt>
                <c:pt idx="403">
                  <c:v>5.1443915145008359E-4</c:v>
                </c:pt>
                <c:pt idx="404">
                  <c:v>5.335841851678777E-4</c:v>
                </c:pt>
                <c:pt idx="405">
                  <c:v>5.5313268825087428E-4</c:v>
                </c:pt>
                <c:pt idx="406">
                  <c:v>5.7416712514207768E-4</c:v>
                </c:pt>
                <c:pt idx="407">
                  <c:v>5.9308815945679702E-4</c:v>
                </c:pt>
                <c:pt idx="408">
                  <c:v>6.1442259614174002E-4</c:v>
                </c:pt>
                <c:pt idx="409">
                  <c:v>6.356268002287481E-4</c:v>
                </c:pt>
                <c:pt idx="410">
                  <c:v>6.5139775013462603E-4</c:v>
                </c:pt>
                <c:pt idx="411">
                  <c:v>6.6782848710867163E-4</c:v>
                </c:pt>
                <c:pt idx="412">
                  <c:v>6.8567592679348935E-4</c:v>
                </c:pt>
                <c:pt idx="413">
                  <c:v>7.0237333504614627E-4</c:v>
                </c:pt>
                <c:pt idx="414">
                  <c:v>7.1691865431989382E-4</c:v>
                </c:pt>
                <c:pt idx="415">
                  <c:v>7.3203650240034543E-4</c:v>
                </c:pt>
                <c:pt idx="416">
                  <c:v>7.4646668970231034E-4</c:v>
                </c:pt>
                <c:pt idx="417">
                  <c:v>7.5744922047804933E-4</c:v>
                </c:pt>
                <c:pt idx="418">
                  <c:v>7.7040508732131863E-4</c:v>
                </c:pt>
                <c:pt idx="419">
                  <c:v>7.785260199577558E-4</c:v>
                </c:pt>
                <c:pt idx="420">
                  <c:v>7.8861977876596573E-4</c:v>
                </c:pt>
                <c:pt idx="421">
                  <c:v>7.9779067646547352E-4</c:v>
                </c:pt>
                <c:pt idx="422">
                  <c:v>8.0366562398993119E-4</c:v>
                </c:pt>
                <c:pt idx="423">
                  <c:v>8.108376107828219E-4</c:v>
                </c:pt>
                <c:pt idx="424">
                  <c:v>8.1592281091345115E-4</c:v>
                </c:pt>
                <c:pt idx="425">
                  <c:v>8.2253610109160949E-4</c:v>
                </c:pt>
                <c:pt idx="426">
                  <c:v>8.2650070705308359E-4</c:v>
                </c:pt>
                <c:pt idx="427">
                  <c:v>8.298415617912884E-4</c:v>
                </c:pt>
                <c:pt idx="428">
                  <c:v>8.3270679095951219E-4</c:v>
                </c:pt>
                <c:pt idx="429">
                  <c:v>8.3404505565069093E-4</c:v>
                </c:pt>
                <c:pt idx="430">
                  <c:v>8.3458784866085114E-4</c:v>
                </c:pt>
                <c:pt idx="431">
                  <c:v>8.334491098283825E-4</c:v>
                </c:pt>
                <c:pt idx="432">
                  <c:v>8.327537184987556E-4</c:v>
                </c:pt>
                <c:pt idx="433">
                  <c:v>8.3182811151506775E-4</c:v>
                </c:pt>
                <c:pt idx="434">
                  <c:v>8.2521449287298668E-4</c:v>
                </c:pt>
                <c:pt idx="435">
                  <c:v>8.2261478134920338E-4</c:v>
                </c:pt>
                <c:pt idx="436">
                  <c:v>8.1668857883265139E-4</c:v>
                </c:pt>
                <c:pt idx="437">
                  <c:v>8.1228978465529289E-4</c:v>
                </c:pt>
                <c:pt idx="438">
                  <c:v>8.044480118796736E-4</c:v>
                </c:pt>
                <c:pt idx="439">
                  <c:v>7.9798635997448131E-4</c:v>
                </c:pt>
                <c:pt idx="440">
                  <c:v>7.8835408068435309E-4</c:v>
                </c:pt>
                <c:pt idx="441">
                  <c:v>7.7978090348226892E-4</c:v>
                </c:pt>
                <c:pt idx="442">
                  <c:v>7.6961185995442008E-4</c:v>
                </c:pt>
                <c:pt idx="443">
                  <c:v>7.5811290831061945E-4</c:v>
                </c:pt>
                <c:pt idx="444">
                  <c:v>7.4638304625573512E-4</c:v>
                </c:pt>
                <c:pt idx="445">
                  <c:v>7.3151767340672372E-4</c:v>
                </c:pt>
                <c:pt idx="446">
                  <c:v>7.1728953715553129E-4</c:v>
                </c:pt>
                <c:pt idx="447">
                  <c:v>7.0141206777408344E-4</c:v>
                </c:pt>
                <c:pt idx="448">
                  <c:v>6.8745044556245069E-4</c:v>
                </c:pt>
                <c:pt idx="449">
                  <c:v>6.6827085458407917E-4</c:v>
                </c:pt>
                <c:pt idx="450">
                  <c:v>6.5222380298425239E-4</c:v>
                </c:pt>
                <c:pt idx="451">
                  <c:v>6.3545117039204291E-4</c:v>
                </c:pt>
                <c:pt idx="452">
                  <c:v>6.142610188737789E-4</c:v>
                </c:pt>
                <c:pt idx="453">
                  <c:v>5.9499029407300216E-4</c:v>
                </c:pt>
                <c:pt idx="454">
                  <c:v>5.7197314939332403E-4</c:v>
                </c:pt>
                <c:pt idx="455">
                  <c:v>5.5088100700617301E-4</c:v>
                </c:pt>
                <c:pt idx="456">
                  <c:v>5.2632420609474359E-4</c:v>
                </c:pt>
                <c:pt idx="457">
                  <c:v>5.0210589253259219E-4</c:v>
                </c:pt>
                <c:pt idx="458">
                  <c:v>4.7604722200309674E-4</c:v>
                </c:pt>
                <c:pt idx="459">
                  <c:v>4.4998797474930796E-4</c:v>
                </c:pt>
                <c:pt idx="460">
                  <c:v>4.2336758462331939E-4</c:v>
                </c:pt>
                <c:pt idx="461">
                  <c:v>3.9619279287034584E-4</c:v>
                </c:pt>
                <c:pt idx="462">
                  <c:v>3.6629714059076279E-4</c:v>
                </c:pt>
                <c:pt idx="463">
                  <c:v>3.3946825628777474E-4</c:v>
                </c:pt>
                <c:pt idx="464">
                  <c:v>3.0972451413776442E-4</c:v>
                </c:pt>
                <c:pt idx="465">
                  <c:v>2.7734612774779274E-4</c:v>
                </c:pt>
                <c:pt idx="466">
                  <c:v>3.4492448486500571E-4</c:v>
                </c:pt>
                <c:pt idx="467">
                  <c:v>7.0889592628368275E-4</c:v>
                </c:pt>
                <c:pt idx="468">
                  <c:v>1.06161969530328E-3</c:v>
                </c:pt>
                <c:pt idx="469">
                  <c:v>1.28913289141179E-3</c:v>
                </c:pt>
                <c:pt idx="470">
                  <c:v>1.2584005524234818E-3</c:v>
                </c:pt>
                <c:pt idx="471">
                  <c:v>1.2256112600015877E-3</c:v>
                </c:pt>
                <c:pt idx="472">
                  <c:v>1.1973370101634288E-3</c:v>
                </c:pt>
                <c:pt idx="473">
                  <c:v>1.1646271514582571E-3</c:v>
                </c:pt>
                <c:pt idx="474">
                  <c:v>1.1358194278044201E-3</c:v>
                </c:pt>
                <c:pt idx="475">
                  <c:v>1.1083532555963144E-3</c:v>
                </c:pt>
                <c:pt idx="476">
                  <c:v>1.0781918118716247E-3</c:v>
                </c:pt>
                <c:pt idx="477">
                  <c:v>1.0498356882048844E-3</c:v>
                </c:pt>
                <c:pt idx="478">
                  <c:v>1.0192123305490103E-3</c:v>
                </c:pt>
                <c:pt idx="479">
                  <c:v>9.9210041678376992E-4</c:v>
                </c:pt>
                <c:pt idx="480">
                  <c:v>9.6215970807434978E-4</c:v>
                </c:pt>
                <c:pt idx="481">
                  <c:v>9.3495255012207915E-4</c:v>
                </c:pt>
                <c:pt idx="482">
                  <c:v>9.0642348664906822E-4</c:v>
                </c:pt>
                <c:pt idx="483">
                  <c:v>8.8095542191320847E-4</c:v>
                </c:pt>
                <c:pt idx="484">
                  <c:v>8.5176555239628582E-4</c:v>
                </c:pt>
                <c:pt idx="485">
                  <c:v>8.2668777279431768E-4</c:v>
                </c:pt>
                <c:pt idx="486">
                  <c:v>8.0066801904046109E-4</c:v>
                </c:pt>
                <c:pt idx="487">
                  <c:v>7.7550791546334569E-4</c:v>
                </c:pt>
                <c:pt idx="488">
                  <c:v>7.5111798495914456E-4</c:v>
                </c:pt>
                <c:pt idx="489">
                  <c:v>7.2451781087948253E-4</c:v>
                </c:pt>
                <c:pt idx="490">
                  <c:v>7.008575505386451E-4</c:v>
                </c:pt>
                <c:pt idx="491">
                  <c:v>6.7489437072692018E-4</c:v>
                </c:pt>
                <c:pt idx="492">
                  <c:v>6.5064289653972082E-4</c:v>
                </c:pt>
                <c:pt idx="493">
                  <c:v>6.2578907811744119E-4</c:v>
                </c:pt>
                <c:pt idx="494">
                  <c:v>6.0209380744812718E-4</c:v>
                </c:pt>
                <c:pt idx="495">
                  <c:v>5.7913651283921647E-4</c:v>
                </c:pt>
                <c:pt idx="496">
                  <c:v>5.5669124873605758E-4</c:v>
                </c:pt>
                <c:pt idx="497">
                  <c:v>5.3318915995458072E-4</c:v>
                </c:pt>
                <c:pt idx="498">
                  <c:v>5.1315940350754943E-4</c:v>
                </c:pt>
                <c:pt idx="499">
                  <c:v>4.9164542031968766E-4</c:v>
                </c:pt>
                <c:pt idx="500">
                  <c:v>4.6912779534579591E-4</c:v>
                </c:pt>
                <c:pt idx="501">
                  <c:v>4.4764292157010305E-4</c:v>
                </c:pt>
                <c:pt idx="502">
                  <c:v>4.264116921142494E-4</c:v>
                </c:pt>
                <c:pt idx="503">
                  <c:v>4.0649463485914125E-4</c:v>
                </c:pt>
                <c:pt idx="504">
                  <c:v>3.8499451417729758E-4</c:v>
                </c:pt>
                <c:pt idx="505">
                  <c:v>3.6512420126976267E-4</c:v>
                </c:pt>
                <c:pt idx="506">
                  <c:v>3.4428267617633151E-4</c:v>
                </c:pt>
                <c:pt idx="507">
                  <c:v>3.2686961885804514E-4</c:v>
                </c:pt>
                <c:pt idx="508">
                  <c:v>3.061066223569997E-4</c:v>
                </c:pt>
                <c:pt idx="509">
                  <c:v>2.8839107213156356E-4</c:v>
                </c:pt>
                <c:pt idx="510">
                  <c:v>2.7171477464429244E-4</c:v>
                </c:pt>
                <c:pt idx="511">
                  <c:v>2.5274489930544528E-4</c:v>
                </c:pt>
                <c:pt idx="512">
                  <c:v>2.3538105544543275E-4</c:v>
                </c:pt>
                <c:pt idx="513">
                  <c:v>2.1657086676949919E-4</c:v>
                </c:pt>
                <c:pt idx="514">
                  <c:v>2.0045191958958236E-4</c:v>
                </c:pt>
                <c:pt idx="515">
                  <c:v>1.8268050481894116E-4</c:v>
                </c:pt>
                <c:pt idx="516">
                  <c:v>1.6522736405881824E-4</c:v>
                </c:pt>
                <c:pt idx="517">
                  <c:v>1.4902137963278272E-4</c:v>
                </c:pt>
                <c:pt idx="518">
                  <c:v>1.3292332319948114E-4</c:v>
                </c:pt>
                <c:pt idx="519">
                  <c:v>1.1739366783817748E-4</c:v>
                </c:pt>
                <c:pt idx="520">
                  <c:v>1.0315454773573984E-4</c:v>
                </c:pt>
                <c:pt idx="521">
                  <c:v>9.0325235885636151E-5</c:v>
                </c:pt>
                <c:pt idx="522">
                  <c:v>7.4567241568720966E-5</c:v>
                </c:pt>
                <c:pt idx="523">
                  <c:v>5.9389949616454885E-5</c:v>
                </c:pt>
                <c:pt idx="524">
                  <c:v>4.6012592244570882E-5</c:v>
                </c:pt>
                <c:pt idx="525">
                  <c:v>3.3349276211003948E-5</c:v>
                </c:pt>
                <c:pt idx="526">
                  <c:v>1.9327419031735932E-5</c:v>
                </c:pt>
                <c:pt idx="527">
                  <c:v>6.2742277843544358E-6</c:v>
                </c:pt>
                <c:pt idx="528">
                  <c:v>-6.8546153231957563E-6</c:v>
                </c:pt>
                <c:pt idx="529">
                  <c:v>-1.9474617449156267E-5</c:v>
                </c:pt>
                <c:pt idx="530">
                  <c:v>-3.070613032257058E-5</c:v>
                </c:pt>
                <c:pt idx="531">
                  <c:v>-4.2688395971070964E-5</c:v>
                </c:pt>
                <c:pt idx="532">
                  <c:v>-5.4286188512796263E-5</c:v>
                </c:pt>
                <c:pt idx="533">
                  <c:v>-6.4240341604931972E-5</c:v>
                </c:pt>
                <c:pt idx="534">
                  <c:v>-7.3793675043891394E-5</c:v>
                </c:pt>
                <c:pt idx="535">
                  <c:v>-8.5132620589158103E-5</c:v>
                </c:pt>
                <c:pt idx="536">
                  <c:v>-9.5551951748713837E-5</c:v>
                </c:pt>
                <c:pt idx="537">
                  <c:v>-1.0505790408622123E-4</c:v>
                </c:pt>
                <c:pt idx="538">
                  <c:v>-1.1345978146214825E-4</c:v>
                </c:pt>
                <c:pt idx="539">
                  <c:v>-1.2398766907985997E-4</c:v>
                </c:pt>
                <c:pt idx="540">
                  <c:v>-1.3300737097243082E-4</c:v>
                </c:pt>
                <c:pt idx="541">
                  <c:v>-1.4191348108380172E-4</c:v>
                </c:pt>
                <c:pt idx="542">
                  <c:v>-1.4847638963627618E-4</c:v>
                </c:pt>
                <c:pt idx="543">
                  <c:v>-1.5730446785331906E-4</c:v>
                </c:pt>
                <c:pt idx="544">
                  <c:v>-1.6396317991232076E-4</c:v>
                </c:pt>
                <c:pt idx="545">
                  <c:v>-1.6973805850503676E-4</c:v>
                </c:pt>
                <c:pt idx="546">
                  <c:v>-1.7760020231030738E-4</c:v>
                </c:pt>
                <c:pt idx="547">
                  <c:v>-1.8395780953528451E-4</c:v>
                </c:pt>
                <c:pt idx="548">
                  <c:v>-1.9098997891555877E-4</c:v>
                </c:pt>
                <c:pt idx="549">
                  <c:v>-1.9610173819447491E-4</c:v>
                </c:pt>
                <c:pt idx="550">
                  <c:v>-2.0193836287890968E-4</c:v>
                </c:pt>
                <c:pt idx="551">
                  <c:v>-2.0804738561090719E-4</c:v>
                </c:pt>
                <c:pt idx="552">
                  <c:v>-2.1313317985608565E-4</c:v>
                </c:pt>
                <c:pt idx="553">
                  <c:v>-2.1818211329396875E-4</c:v>
                </c:pt>
                <c:pt idx="554">
                  <c:v>-2.2149974828014965E-4</c:v>
                </c:pt>
                <c:pt idx="555">
                  <c:v>-2.2529165127647272E-4</c:v>
                </c:pt>
                <c:pt idx="556">
                  <c:v>-2.2890301157924703E-4</c:v>
                </c:pt>
                <c:pt idx="557">
                  <c:v>-2.3143681247711143E-4</c:v>
                </c:pt>
                <c:pt idx="558">
                  <c:v>-2.3263036083490812E-4</c:v>
                </c:pt>
                <c:pt idx="559">
                  <c:v>-2.3695236627557792E-4</c:v>
                </c:pt>
                <c:pt idx="560">
                  <c:v>-2.3979915333053464E-4</c:v>
                </c:pt>
                <c:pt idx="561">
                  <c:v>-2.4125321302953529E-4</c:v>
                </c:pt>
                <c:pt idx="562">
                  <c:v>-2.440058589868177E-4</c:v>
                </c:pt>
                <c:pt idx="563">
                  <c:v>-2.4540327190649552E-4</c:v>
                </c:pt>
                <c:pt idx="564">
                  <c:v>-2.469872293971824E-4</c:v>
                </c:pt>
                <c:pt idx="565">
                  <c:v>-2.4648626752413541E-4</c:v>
                </c:pt>
                <c:pt idx="566">
                  <c:v>-2.468237349496534E-4</c:v>
                </c:pt>
                <c:pt idx="567">
                  <c:v>-2.4686567919939353E-4</c:v>
                </c:pt>
                <c:pt idx="568">
                  <c:v>-2.4600881748845782E-4</c:v>
                </c:pt>
                <c:pt idx="569">
                  <c:v>-2.4541742376109343E-4</c:v>
                </c:pt>
                <c:pt idx="570">
                  <c:v>-2.444693005514767E-4</c:v>
                </c:pt>
                <c:pt idx="571">
                  <c:v>-2.4385219410653219E-4</c:v>
                </c:pt>
                <c:pt idx="572">
                  <c:v>-2.4161570162042206E-4</c:v>
                </c:pt>
                <c:pt idx="573">
                  <c:v>-2.3846183166072177E-4</c:v>
                </c:pt>
                <c:pt idx="574">
                  <c:v>-2.3811529907341936E-4</c:v>
                </c:pt>
                <c:pt idx="575">
                  <c:v>-2.3564552216648327E-4</c:v>
                </c:pt>
                <c:pt idx="576">
                  <c:v>-2.3326534593536008E-4</c:v>
                </c:pt>
                <c:pt idx="577">
                  <c:v>-2.2893841025213579E-4</c:v>
                </c:pt>
                <c:pt idx="578">
                  <c:v>-2.2588074771897823E-4</c:v>
                </c:pt>
                <c:pt idx="579">
                  <c:v>-2.2145471331009095E-4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64640"/>
        <c:axId val="364866176"/>
      </c:lineChart>
      <c:dateAx>
        <c:axId val="36486464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64866176"/>
        <c:crosses val="autoZero"/>
        <c:auto val="1"/>
        <c:lblOffset val="100"/>
        <c:baseTimeUnit val="months"/>
      </c:dateAx>
      <c:valAx>
        <c:axId val="36486617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64864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 Depo Charts'!$AH$2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 Depo Charts'!$AF$3:$AF$132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42030</c:v>
                </c:pt>
                <c:pt idx="96">
                  <c:v>42031</c:v>
                </c:pt>
                <c:pt idx="97">
                  <c:v>42032</c:v>
                </c:pt>
                <c:pt idx="98">
                  <c:v>42033</c:v>
                </c:pt>
                <c:pt idx="99">
                  <c:v>42034</c:v>
                </c:pt>
                <c:pt idx="100">
                  <c:v>42037</c:v>
                </c:pt>
                <c:pt idx="101">
                  <c:v>42038</c:v>
                </c:pt>
                <c:pt idx="102">
                  <c:v>42039</c:v>
                </c:pt>
                <c:pt idx="103">
                  <c:v>42040</c:v>
                </c:pt>
                <c:pt idx="104">
                  <c:v>42041</c:v>
                </c:pt>
                <c:pt idx="105">
                  <c:v>42044</c:v>
                </c:pt>
                <c:pt idx="106">
                  <c:v>42045</c:v>
                </c:pt>
                <c:pt idx="107">
                  <c:v>42046</c:v>
                </c:pt>
                <c:pt idx="108">
                  <c:v>42047</c:v>
                </c:pt>
                <c:pt idx="109">
                  <c:v>42048</c:v>
                </c:pt>
                <c:pt idx="110">
                  <c:v>42051</c:v>
                </c:pt>
                <c:pt idx="111">
                  <c:v>42052</c:v>
                </c:pt>
                <c:pt idx="112">
                  <c:v>42053</c:v>
                </c:pt>
                <c:pt idx="113">
                  <c:v>42054</c:v>
                </c:pt>
                <c:pt idx="114">
                  <c:v>42055</c:v>
                </c:pt>
                <c:pt idx="115">
                  <c:v>42058</c:v>
                </c:pt>
                <c:pt idx="116">
                  <c:v>42059</c:v>
                </c:pt>
                <c:pt idx="117">
                  <c:v>42060</c:v>
                </c:pt>
                <c:pt idx="118">
                  <c:v>42061</c:v>
                </c:pt>
                <c:pt idx="119">
                  <c:v>42062</c:v>
                </c:pt>
                <c:pt idx="120">
                  <c:v>42065</c:v>
                </c:pt>
                <c:pt idx="121">
                  <c:v>42066</c:v>
                </c:pt>
                <c:pt idx="122">
                  <c:v>42067</c:v>
                </c:pt>
                <c:pt idx="123">
                  <c:v>42068</c:v>
                </c:pt>
                <c:pt idx="124">
                  <c:v>42069</c:v>
                </c:pt>
                <c:pt idx="125">
                  <c:v>42072</c:v>
                </c:pt>
                <c:pt idx="126">
                  <c:v>42073</c:v>
                </c:pt>
                <c:pt idx="127">
                  <c:v>42074</c:v>
                </c:pt>
                <c:pt idx="128">
                  <c:v>42075</c:v>
                </c:pt>
                <c:pt idx="129">
                  <c:v>42076</c:v>
                </c:pt>
              </c:numCache>
            </c:numRef>
          </c:cat>
          <c:val>
            <c:numRef>
              <c:f>'6M Depo Charts'!$AH$3:$AH$132</c:f>
              <c:numCache>
                <c:formatCode>0.0000%</c:formatCode>
                <c:ptCount val="130"/>
                <c:pt idx="0">
                  <c:v>2.6424081602339335E-3</c:v>
                </c:pt>
                <c:pt idx="1">
                  <c:v>2.6424081602339335E-3</c:v>
                </c:pt>
                <c:pt idx="2">
                  <c:v>2.6424081602339335E-3</c:v>
                </c:pt>
                <c:pt idx="3">
                  <c:v>2.6424081602339335E-3</c:v>
                </c:pt>
                <c:pt idx="4">
                  <c:v>2.6424081602339335E-3</c:v>
                </c:pt>
                <c:pt idx="5">
                  <c:v>2.6424081602339335E-3</c:v>
                </c:pt>
                <c:pt idx="6">
                  <c:v>2.6424081602339335E-3</c:v>
                </c:pt>
                <c:pt idx="7">
                  <c:v>2.6424081602339335E-3</c:v>
                </c:pt>
                <c:pt idx="8">
                  <c:v>2.6424081602339335E-3</c:v>
                </c:pt>
                <c:pt idx="9">
                  <c:v>2.6424081602339335E-3</c:v>
                </c:pt>
                <c:pt idx="10">
                  <c:v>2.6424081602339335E-3</c:v>
                </c:pt>
                <c:pt idx="11">
                  <c:v>2.6424081602339335E-3</c:v>
                </c:pt>
                <c:pt idx="12">
                  <c:v>2.6424081602339335E-3</c:v>
                </c:pt>
                <c:pt idx="13">
                  <c:v>2.6424081602339335E-3</c:v>
                </c:pt>
                <c:pt idx="14">
                  <c:v>2.6424081602339335E-3</c:v>
                </c:pt>
                <c:pt idx="15">
                  <c:v>2.6424081602339335E-3</c:v>
                </c:pt>
                <c:pt idx="16">
                  <c:v>2.6424081602339335E-3</c:v>
                </c:pt>
                <c:pt idx="17">
                  <c:v>2.6424081602339335E-3</c:v>
                </c:pt>
                <c:pt idx="18">
                  <c:v>2.6424081602339335E-3</c:v>
                </c:pt>
                <c:pt idx="19">
                  <c:v>2.6424081602339335E-3</c:v>
                </c:pt>
                <c:pt idx="20">
                  <c:v>2.6424081602339335E-3</c:v>
                </c:pt>
                <c:pt idx="21">
                  <c:v>2.6424081602339335E-3</c:v>
                </c:pt>
                <c:pt idx="22">
                  <c:v>2.6424081602339335E-3</c:v>
                </c:pt>
                <c:pt idx="23">
                  <c:v>2.6424081602339335E-3</c:v>
                </c:pt>
                <c:pt idx="24">
                  <c:v>2.6424081602339335E-3</c:v>
                </c:pt>
                <c:pt idx="25">
                  <c:v>2.6424081602339335E-3</c:v>
                </c:pt>
                <c:pt idx="26">
                  <c:v>2.6424081602339335E-3</c:v>
                </c:pt>
                <c:pt idx="27">
                  <c:v>2.6424081602339335E-3</c:v>
                </c:pt>
                <c:pt idx="28">
                  <c:v>2.6424081602339335E-3</c:v>
                </c:pt>
                <c:pt idx="29">
                  <c:v>2.6424081602339335E-3</c:v>
                </c:pt>
                <c:pt idx="30">
                  <c:v>2.6424081602339335E-3</c:v>
                </c:pt>
                <c:pt idx="31">
                  <c:v>2.6424081602339335E-3</c:v>
                </c:pt>
                <c:pt idx="32">
                  <c:v>2.6424081602339335E-3</c:v>
                </c:pt>
                <c:pt idx="33">
                  <c:v>2.6424081602339335E-3</c:v>
                </c:pt>
                <c:pt idx="34">
                  <c:v>2.6424081602339335E-3</c:v>
                </c:pt>
                <c:pt idx="35">
                  <c:v>2.6424081602339335E-3</c:v>
                </c:pt>
                <c:pt idx="36">
                  <c:v>2.6424081602339335E-3</c:v>
                </c:pt>
                <c:pt idx="37">
                  <c:v>2.6424081602339335E-3</c:v>
                </c:pt>
                <c:pt idx="38">
                  <c:v>2.6424081602339335E-3</c:v>
                </c:pt>
                <c:pt idx="39">
                  <c:v>2.6424081602339335E-3</c:v>
                </c:pt>
                <c:pt idx="40">
                  <c:v>2.6424081602339335E-3</c:v>
                </c:pt>
                <c:pt idx="41">
                  <c:v>2.6424081602339335E-3</c:v>
                </c:pt>
                <c:pt idx="42">
                  <c:v>2.6424081602339335E-3</c:v>
                </c:pt>
                <c:pt idx="43">
                  <c:v>2.6424081602339335E-3</c:v>
                </c:pt>
                <c:pt idx="44">
                  <c:v>2.6424081602339335E-3</c:v>
                </c:pt>
                <c:pt idx="45">
                  <c:v>2.6424081602339335E-3</c:v>
                </c:pt>
                <c:pt idx="46">
                  <c:v>2.6424081602339335E-3</c:v>
                </c:pt>
                <c:pt idx="47">
                  <c:v>2.6424081602339335E-3</c:v>
                </c:pt>
                <c:pt idx="48">
                  <c:v>2.6424081602339335E-3</c:v>
                </c:pt>
                <c:pt idx="49">
                  <c:v>2.6424081602339335E-3</c:v>
                </c:pt>
                <c:pt idx="50">
                  <c:v>2.6424081602339335E-3</c:v>
                </c:pt>
                <c:pt idx="51">
                  <c:v>2.6424081602339335E-3</c:v>
                </c:pt>
                <c:pt idx="52">
                  <c:v>2.6424081602339335E-3</c:v>
                </c:pt>
                <c:pt idx="53">
                  <c:v>2.6424081602339335E-3</c:v>
                </c:pt>
                <c:pt idx="54">
                  <c:v>2.6424081602339335E-3</c:v>
                </c:pt>
                <c:pt idx="55">
                  <c:v>2.6424081602339335E-3</c:v>
                </c:pt>
                <c:pt idx="56">
                  <c:v>2.6424081602339335E-3</c:v>
                </c:pt>
                <c:pt idx="57">
                  <c:v>2.6424081602339335E-3</c:v>
                </c:pt>
                <c:pt idx="58">
                  <c:v>2.6424081602339335E-3</c:v>
                </c:pt>
                <c:pt idx="59">
                  <c:v>2.6424081602339335E-3</c:v>
                </c:pt>
                <c:pt idx="60">
                  <c:v>2.6424081602339335E-3</c:v>
                </c:pt>
                <c:pt idx="61">
                  <c:v>2.6424081602339335E-3</c:v>
                </c:pt>
                <c:pt idx="62">
                  <c:v>2.6424081602339335E-3</c:v>
                </c:pt>
                <c:pt idx="63">
                  <c:v>2.6424081602339335E-3</c:v>
                </c:pt>
                <c:pt idx="64">
                  <c:v>2.6424081602339335E-3</c:v>
                </c:pt>
                <c:pt idx="65">
                  <c:v>2.6424081602339335E-3</c:v>
                </c:pt>
                <c:pt idx="66">
                  <c:v>2.6424081602339335E-3</c:v>
                </c:pt>
                <c:pt idx="67">
                  <c:v>2.6424081602339335E-3</c:v>
                </c:pt>
                <c:pt idx="68">
                  <c:v>2.6424081602339335E-3</c:v>
                </c:pt>
                <c:pt idx="69">
                  <c:v>2.6424081602339335E-3</c:v>
                </c:pt>
                <c:pt idx="70">
                  <c:v>2.6424081602339335E-3</c:v>
                </c:pt>
                <c:pt idx="71">
                  <c:v>2.6424081602339335E-3</c:v>
                </c:pt>
                <c:pt idx="72">
                  <c:v>2.6424081602339335E-3</c:v>
                </c:pt>
                <c:pt idx="73">
                  <c:v>2.6424081602339335E-3</c:v>
                </c:pt>
                <c:pt idx="74">
                  <c:v>2.6424081602339335E-3</c:v>
                </c:pt>
                <c:pt idx="75">
                  <c:v>2.6424081602339335E-3</c:v>
                </c:pt>
                <c:pt idx="76">
                  <c:v>2.6424081602339335E-3</c:v>
                </c:pt>
                <c:pt idx="77">
                  <c:v>2.6424081602339335E-3</c:v>
                </c:pt>
                <c:pt idx="78">
                  <c:v>2.6424081602339335E-3</c:v>
                </c:pt>
                <c:pt idx="79">
                  <c:v>2.6424081602339335E-3</c:v>
                </c:pt>
                <c:pt idx="80">
                  <c:v>2.6424081602339335E-3</c:v>
                </c:pt>
                <c:pt idx="81">
                  <c:v>2.6424081602339335E-3</c:v>
                </c:pt>
                <c:pt idx="82">
                  <c:v>2.6424081602339335E-3</c:v>
                </c:pt>
                <c:pt idx="83">
                  <c:v>2.6424081602339335E-3</c:v>
                </c:pt>
                <c:pt idx="84">
                  <c:v>2.6424081602339335E-3</c:v>
                </c:pt>
                <c:pt idx="85">
                  <c:v>2.6424081602339335E-3</c:v>
                </c:pt>
                <c:pt idx="86">
                  <c:v>2.6424081602339335E-3</c:v>
                </c:pt>
                <c:pt idx="87">
                  <c:v>2.6424081602339335E-3</c:v>
                </c:pt>
                <c:pt idx="88">
                  <c:v>2.6424081602339335E-3</c:v>
                </c:pt>
                <c:pt idx="89">
                  <c:v>2.6424081602339335E-3</c:v>
                </c:pt>
                <c:pt idx="90">
                  <c:v>2.6424081602339335E-3</c:v>
                </c:pt>
                <c:pt idx="91">
                  <c:v>2.6424081602339335E-3</c:v>
                </c:pt>
                <c:pt idx="92">
                  <c:v>2.6424081602339335E-3</c:v>
                </c:pt>
                <c:pt idx="93">
                  <c:v>2.6424081602339335E-3</c:v>
                </c:pt>
                <c:pt idx="94">
                  <c:v>2.6424081602339335E-3</c:v>
                </c:pt>
                <c:pt idx="95">
                  <c:v>2.6424081602339335E-3</c:v>
                </c:pt>
                <c:pt idx="96">
                  <c:v>2.6424081602339335E-3</c:v>
                </c:pt>
                <c:pt idx="97">
                  <c:v>2.6424081602339335E-3</c:v>
                </c:pt>
                <c:pt idx="98">
                  <c:v>2.6424081602339335E-3</c:v>
                </c:pt>
                <c:pt idx="99">
                  <c:v>2.6424081602339335E-3</c:v>
                </c:pt>
                <c:pt idx="100">
                  <c:v>2.6424081602339335E-3</c:v>
                </c:pt>
                <c:pt idx="101">
                  <c:v>2.6424081602339335E-3</c:v>
                </c:pt>
                <c:pt idx="102">
                  <c:v>2.6424081602339335E-3</c:v>
                </c:pt>
                <c:pt idx="103">
                  <c:v>2.6424081602339335E-3</c:v>
                </c:pt>
                <c:pt idx="104">
                  <c:v>2.6424081602339335E-3</c:v>
                </c:pt>
                <c:pt idx="105">
                  <c:v>2.6424081602339335E-3</c:v>
                </c:pt>
                <c:pt idx="106">
                  <c:v>2.6424081602339335E-3</c:v>
                </c:pt>
                <c:pt idx="107">
                  <c:v>2.6424081602339335E-3</c:v>
                </c:pt>
                <c:pt idx="108">
                  <c:v>2.6424081602339335E-3</c:v>
                </c:pt>
                <c:pt idx="109">
                  <c:v>2.6424081602339335E-3</c:v>
                </c:pt>
                <c:pt idx="110">
                  <c:v>2.6424081602339335E-3</c:v>
                </c:pt>
                <c:pt idx="111">
                  <c:v>2.6424081602339335E-3</c:v>
                </c:pt>
                <c:pt idx="112">
                  <c:v>2.6424081602339335E-3</c:v>
                </c:pt>
                <c:pt idx="113">
                  <c:v>2.6424081602339335E-3</c:v>
                </c:pt>
                <c:pt idx="114">
                  <c:v>2.6424081602339335E-3</c:v>
                </c:pt>
                <c:pt idx="115">
                  <c:v>2.6424081602339335E-3</c:v>
                </c:pt>
                <c:pt idx="116">
                  <c:v>2.6424081602339335E-3</c:v>
                </c:pt>
                <c:pt idx="117">
                  <c:v>2.6424081602339335E-3</c:v>
                </c:pt>
                <c:pt idx="118">
                  <c:v>2.6424081602339335E-3</c:v>
                </c:pt>
                <c:pt idx="119">
                  <c:v>2.6424081602339335E-3</c:v>
                </c:pt>
                <c:pt idx="120">
                  <c:v>2.6424081602339335E-3</c:v>
                </c:pt>
                <c:pt idx="121">
                  <c:v>2.6424081602339335E-3</c:v>
                </c:pt>
                <c:pt idx="122">
                  <c:v>2.6424081602339335E-3</c:v>
                </c:pt>
                <c:pt idx="123">
                  <c:v>2.6424081602339335E-3</c:v>
                </c:pt>
                <c:pt idx="124">
                  <c:v>2.6424081602339335E-3</c:v>
                </c:pt>
                <c:pt idx="125">
                  <c:v>2.6424081602339335E-3</c:v>
                </c:pt>
                <c:pt idx="126">
                  <c:v>2.6424081602339335E-3</c:v>
                </c:pt>
                <c:pt idx="127">
                  <c:v>2.6424081602339335E-3</c:v>
                </c:pt>
                <c:pt idx="128">
                  <c:v>2.6424081602339335E-3</c:v>
                </c:pt>
                <c:pt idx="129">
                  <c:v>2.6424081602339335E-3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 Depo Charts'!$AI$2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 Depo Charts'!$AF$3:$AF$132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42030</c:v>
                </c:pt>
                <c:pt idx="96">
                  <c:v>42031</c:v>
                </c:pt>
                <c:pt idx="97">
                  <c:v>42032</c:v>
                </c:pt>
                <c:pt idx="98">
                  <c:v>42033</c:v>
                </c:pt>
                <c:pt idx="99">
                  <c:v>42034</c:v>
                </c:pt>
                <c:pt idx="100">
                  <c:v>42037</c:v>
                </c:pt>
                <c:pt idx="101">
                  <c:v>42038</c:v>
                </c:pt>
                <c:pt idx="102">
                  <c:v>42039</c:v>
                </c:pt>
                <c:pt idx="103">
                  <c:v>42040</c:v>
                </c:pt>
                <c:pt idx="104">
                  <c:v>42041</c:v>
                </c:pt>
                <c:pt idx="105">
                  <c:v>42044</c:v>
                </c:pt>
                <c:pt idx="106">
                  <c:v>42045</c:v>
                </c:pt>
                <c:pt idx="107">
                  <c:v>42046</c:v>
                </c:pt>
                <c:pt idx="108">
                  <c:v>42047</c:v>
                </c:pt>
                <c:pt idx="109">
                  <c:v>42048</c:v>
                </c:pt>
                <c:pt idx="110">
                  <c:v>42051</c:v>
                </c:pt>
                <c:pt idx="111">
                  <c:v>42052</c:v>
                </c:pt>
                <c:pt idx="112">
                  <c:v>42053</c:v>
                </c:pt>
                <c:pt idx="113">
                  <c:v>42054</c:v>
                </c:pt>
                <c:pt idx="114">
                  <c:v>42055</c:v>
                </c:pt>
                <c:pt idx="115">
                  <c:v>42058</c:v>
                </c:pt>
                <c:pt idx="116">
                  <c:v>42059</c:v>
                </c:pt>
                <c:pt idx="117">
                  <c:v>42060</c:v>
                </c:pt>
                <c:pt idx="118">
                  <c:v>42061</c:v>
                </c:pt>
                <c:pt idx="119">
                  <c:v>42062</c:v>
                </c:pt>
                <c:pt idx="120">
                  <c:v>42065</c:v>
                </c:pt>
                <c:pt idx="121">
                  <c:v>42066</c:v>
                </c:pt>
                <c:pt idx="122">
                  <c:v>42067</c:v>
                </c:pt>
                <c:pt idx="123">
                  <c:v>42068</c:v>
                </c:pt>
                <c:pt idx="124">
                  <c:v>42069</c:v>
                </c:pt>
                <c:pt idx="125">
                  <c:v>42072</c:v>
                </c:pt>
                <c:pt idx="126">
                  <c:v>42073</c:v>
                </c:pt>
                <c:pt idx="127">
                  <c:v>42074</c:v>
                </c:pt>
                <c:pt idx="128">
                  <c:v>42075</c:v>
                </c:pt>
                <c:pt idx="129">
                  <c:v>42076</c:v>
                </c:pt>
              </c:numCache>
            </c:numRef>
          </c:cat>
          <c:val>
            <c:numRef>
              <c:f>'6M Depo Charts'!$AI$3:$AI$132</c:f>
              <c:numCache>
                <c:formatCode>0.0000%</c:formatCode>
                <c:ptCount val="130"/>
                <c:pt idx="0">
                  <c:v>2.7837350835947117E-3</c:v>
                </c:pt>
                <c:pt idx="1">
                  <c:v>2.7821734601321617E-3</c:v>
                </c:pt>
                <c:pt idx="2">
                  <c:v>2.7806118366696117E-3</c:v>
                </c:pt>
                <c:pt idx="3">
                  <c:v>2.7759269662819617E-3</c:v>
                </c:pt>
                <c:pt idx="4">
                  <c:v>2.7743653428194117E-3</c:v>
                </c:pt>
                <c:pt idx="5">
                  <c:v>2.7728037193568617E-3</c:v>
                </c:pt>
                <c:pt idx="6">
                  <c:v>2.7712420958943117E-3</c:v>
                </c:pt>
                <c:pt idx="7">
                  <c:v>2.7696804724317617E-3</c:v>
                </c:pt>
                <c:pt idx="8">
                  <c:v>2.7649956020441113E-3</c:v>
                </c:pt>
                <c:pt idx="9">
                  <c:v>2.7634339785815613E-3</c:v>
                </c:pt>
                <c:pt idx="10">
                  <c:v>2.7618723551190113E-3</c:v>
                </c:pt>
                <c:pt idx="11">
                  <c:v>2.7603107316564613E-3</c:v>
                </c:pt>
                <c:pt idx="12">
                  <c:v>2.7587491081939113E-3</c:v>
                </c:pt>
                <c:pt idx="13">
                  <c:v>2.7540642378062613E-3</c:v>
                </c:pt>
                <c:pt idx="14">
                  <c:v>2.7525026143437113E-3</c:v>
                </c:pt>
                <c:pt idx="15">
                  <c:v>2.7509409908811613E-3</c:v>
                </c:pt>
                <c:pt idx="16">
                  <c:v>2.7493793674186113E-3</c:v>
                </c:pt>
                <c:pt idx="17">
                  <c:v>2.7478177439560613E-3</c:v>
                </c:pt>
                <c:pt idx="18">
                  <c:v>2.7431328735684113E-3</c:v>
                </c:pt>
                <c:pt idx="19">
                  <c:v>2.7415712501058613E-3</c:v>
                </c:pt>
                <c:pt idx="20">
                  <c:v>2.7400096266433113E-3</c:v>
                </c:pt>
                <c:pt idx="21">
                  <c:v>2.7384480031807609E-3</c:v>
                </c:pt>
                <c:pt idx="22">
                  <c:v>2.7368863797182109E-3</c:v>
                </c:pt>
                <c:pt idx="23">
                  <c:v>2.7322015093305609E-3</c:v>
                </c:pt>
                <c:pt idx="24">
                  <c:v>2.7306398858680109E-3</c:v>
                </c:pt>
                <c:pt idx="25">
                  <c:v>2.7290782624054609E-3</c:v>
                </c:pt>
                <c:pt idx="26">
                  <c:v>2.7275166389429109E-3</c:v>
                </c:pt>
                <c:pt idx="27">
                  <c:v>2.7259550154803609E-3</c:v>
                </c:pt>
                <c:pt idx="28">
                  <c:v>2.7212701450927109E-3</c:v>
                </c:pt>
                <c:pt idx="29">
                  <c:v>2.7197085216301609E-3</c:v>
                </c:pt>
                <c:pt idx="30">
                  <c:v>2.7181468981676109E-3</c:v>
                </c:pt>
                <c:pt idx="31">
                  <c:v>2.7165852747050609E-3</c:v>
                </c:pt>
                <c:pt idx="32">
                  <c:v>2.7150236512425109E-3</c:v>
                </c:pt>
                <c:pt idx="33">
                  <c:v>2.7103387808548609E-3</c:v>
                </c:pt>
                <c:pt idx="34">
                  <c:v>2.7087771573923109E-3</c:v>
                </c:pt>
                <c:pt idx="35">
                  <c:v>2.7072155339297604E-3</c:v>
                </c:pt>
                <c:pt idx="36">
                  <c:v>2.7056539104672104E-3</c:v>
                </c:pt>
                <c:pt idx="37">
                  <c:v>2.7040922870046604E-3</c:v>
                </c:pt>
                <c:pt idx="38">
                  <c:v>2.6994074166170104E-3</c:v>
                </c:pt>
                <c:pt idx="39">
                  <c:v>2.6978457931544604E-3</c:v>
                </c:pt>
                <c:pt idx="40">
                  <c:v>2.6962841696919104E-3</c:v>
                </c:pt>
                <c:pt idx="41">
                  <c:v>2.6947225462293604E-3</c:v>
                </c:pt>
                <c:pt idx="42">
                  <c:v>2.6931609227668104E-3</c:v>
                </c:pt>
                <c:pt idx="43">
                  <c:v>2.6884760523791604E-3</c:v>
                </c:pt>
                <c:pt idx="44">
                  <c:v>2.6869144289166104E-3</c:v>
                </c:pt>
                <c:pt idx="45">
                  <c:v>2.6853528054540604E-3</c:v>
                </c:pt>
                <c:pt idx="46">
                  <c:v>2.6837911819915104E-3</c:v>
                </c:pt>
                <c:pt idx="47">
                  <c:v>2.6822295585289604E-3</c:v>
                </c:pt>
                <c:pt idx="48">
                  <c:v>2.67754468814131E-3</c:v>
                </c:pt>
                <c:pt idx="49">
                  <c:v>2.67598306467876E-3</c:v>
                </c:pt>
                <c:pt idx="50">
                  <c:v>2.67442144121621E-3</c:v>
                </c:pt>
                <c:pt idx="51">
                  <c:v>2.67285981775366E-3</c:v>
                </c:pt>
                <c:pt idx="52">
                  <c:v>2.67129819429111E-3</c:v>
                </c:pt>
                <c:pt idx="53">
                  <c:v>2.66661332390346E-3</c:v>
                </c:pt>
                <c:pt idx="54">
                  <c:v>2.66505170044091E-3</c:v>
                </c:pt>
                <c:pt idx="55">
                  <c:v>2.66349007697836E-3</c:v>
                </c:pt>
                <c:pt idx="56">
                  <c:v>2.66192845351581E-3</c:v>
                </c:pt>
                <c:pt idx="57">
                  <c:v>2.66036683005326E-3</c:v>
                </c:pt>
                <c:pt idx="58">
                  <c:v>2.65568195966561E-3</c:v>
                </c:pt>
                <c:pt idx="59">
                  <c:v>2.65412033620306E-3</c:v>
                </c:pt>
                <c:pt idx="60">
                  <c:v>2.65255871274051E-3</c:v>
                </c:pt>
                <c:pt idx="61">
                  <c:v>2.65099708927796E-3</c:v>
                </c:pt>
                <c:pt idx="62">
                  <c:v>2.64943546581541E-3</c:v>
                </c:pt>
                <c:pt idx="63">
                  <c:v>2.6447505954277596E-3</c:v>
                </c:pt>
                <c:pt idx="64">
                  <c:v>2.6431889719652096E-3</c:v>
                </c:pt>
                <c:pt idx="65">
                  <c:v>2.6416273485026596E-3</c:v>
                </c:pt>
                <c:pt idx="66">
                  <c:v>2.6400657250401096E-3</c:v>
                </c:pt>
                <c:pt idx="67">
                  <c:v>2.6385041015775596E-3</c:v>
                </c:pt>
                <c:pt idx="68">
                  <c:v>2.6338192311899096E-3</c:v>
                </c:pt>
                <c:pt idx="69">
                  <c:v>2.6322576077273596E-3</c:v>
                </c:pt>
                <c:pt idx="70">
                  <c:v>2.6306959842648096E-3</c:v>
                </c:pt>
                <c:pt idx="71">
                  <c:v>2.6291343608022596E-3</c:v>
                </c:pt>
                <c:pt idx="72">
                  <c:v>2.6275727373397096E-3</c:v>
                </c:pt>
                <c:pt idx="73">
                  <c:v>2.6228878669520596E-3</c:v>
                </c:pt>
                <c:pt idx="74">
                  <c:v>2.6213262434895096E-3</c:v>
                </c:pt>
                <c:pt idx="75">
                  <c:v>2.6197646200269596E-3</c:v>
                </c:pt>
                <c:pt idx="76">
                  <c:v>2.6119565027142091E-3</c:v>
                </c:pt>
                <c:pt idx="77">
                  <c:v>2.6103948792516591E-3</c:v>
                </c:pt>
                <c:pt idx="78">
                  <c:v>2.6088332557891091E-3</c:v>
                </c:pt>
                <c:pt idx="79">
                  <c:v>2.6057100088640092E-3</c:v>
                </c:pt>
                <c:pt idx="80">
                  <c:v>2.6010251384763592E-3</c:v>
                </c:pt>
                <c:pt idx="81">
                  <c:v>2.5994635150138092E-3</c:v>
                </c:pt>
                <c:pt idx="82">
                  <c:v>2.5979018915512592E-3</c:v>
                </c:pt>
                <c:pt idx="83">
                  <c:v>2.5963402680887092E-3</c:v>
                </c:pt>
                <c:pt idx="84">
                  <c:v>2.5947786446261592E-3</c:v>
                </c:pt>
                <c:pt idx="85">
                  <c:v>2.5900937742385092E-3</c:v>
                </c:pt>
                <c:pt idx="86">
                  <c:v>2.5885321507759587E-3</c:v>
                </c:pt>
                <c:pt idx="87">
                  <c:v>2.5869705273134087E-3</c:v>
                </c:pt>
                <c:pt idx="88">
                  <c:v>2.5854089038508587E-3</c:v>
                </c:pt>
                <c:pt idx="89">
                  <c:v>2.5838472803883087E-3</c:v>
                </c:pt>
                <c:pt idx="90">
                  <c:v>2.5791624100006587E-3</c:v>
                </c:pt>
                <c:pt idx="91">
                  <c:v>2.5776007865381087E-3</c:v>
                </c:pt>
                <c:pt idx="92">
                  <c:v>2.5760391630755587E-3</c:v>
                </c:pt>
                <c:pt idx="93">
                  <c:v>2.5744775396130087E-3</c:v>
                </c:pt>
                <c:pt idx="94">
                  <c:v>2.5729159161504587E-3</c:v>
                </c:pt>
                <c:pt idx="95">
                  <c:v>2.5682310457628087E-3</c:v>
                </c:pt>
                <c:pt idx="96">
                  <c:v>2.5666694223002587E-3</c:v>
                </c:pt>
                <c:pt idx="97">
                  <c:v>2.5651077988377087E-3</c:v>
                </c:pt>
                <c:pt idx="98">
                  <c:v>2.5635461753751587E-3</c:v>
                </c:pt>
                <c:pt idx="99">
                  <c:v>2.5619845519126087E-3</c:v>
                </c:pt>
                <c:pt idx="100">
                  <c:v>2.5572996815249587E-3</c:v>
                </c:pt>
                <c:pt idx="101">
                  <c:v>2.5557380580624083E-3</c:v>
                </c:pt>
                <c:pt idx="102">
                  <c:v>2.5541764345998583E-3</c:v>
                </c:pt>
                <c:pt idx="103">
                  <c:v>2.5526148111373083E-3</c:v>
                </c:pt>
                <c:pt idx="104">
                  <c:v>2.5510531876747583E-3</c:v>
                </c:pt>
                <c:pt idx="105">
                  <c:v>2.5463683172871083E-3</c:v>
                </c:pt>
                <c:pt idx="106">
                  <c:v>2.5448066938245583E-3</c:v>
                </c:pt>
                <c:pt idx="107">
                  <c:v>2.5432450703620083E-3</c:v>
                </c:pt>
                <c:pt idx="108">
                  <c:v>2.5416834468994583E-3</c:v>
                </c:pt>
                <c:pt idx="109">
                  <c:v>2.5401218234369083E-3</c:v>
                </c:pt>
                <c:pt idx="110">
                  <c:v>2.5354369530492583E-3</c:v>
                </c:pt>
                <c:pt idx="111">
                  <c:v>2.5338753295867083E-3</c:v>
                </c:pt>
                <c:pt idx="112">
                  <c:v>2.5323137061241583E-3</c:v>
                </c:pt>
                <c:pt idx="113">
                  <c:v>2.5307520826616083E-3</c:v>
                </c:pt>
                <c:pt idx="114">
                  <c:v>2.5291904591990579E-3</c:v>
                </c:pt>
                <c:pt idx="115">
                  <c:v>2.5245055888114079E-3</c:v>
                </c:pt>
                <c:pt idx="116">
                  <c:v>2.5229439653488579E-3</c:v>
                </c:pt>
                <c:pt idx="117">
                  <c:v>2.5213823418863079E-3</c:v>
                </c:pt>
                <c:pt idx="118">
                  <c:v>2.5198207184237579E-3</c:v>
                </c:pt>
                <c:pt idx="119">
                  <c:v>2.5182590949612079E-3</c:v>
                </c:pt>
                <c:pt idx="120">
                  <c:v>2.5135742245735579E-3</c:v>
                </c:pt>
                <c:pt idx="121">
                  <c:v>2.5120126011110079E-3</c:v>
                </c:pt>
                <c:pt idx="122">
                  <c:v>2.5104509776484579E-3</c:v>
                </c:pt>
                <c:pt idx="123">
                  <c:v>2.5088893541859079E-3</c:v>
                </c:pt>
                <c:pt idx="124">
                  <c:v>2.5073277307233579E-3</c:v>
                </c:pt>
                <c:pt idx="125">
                  <c:v>2.5026428603357079E-3</c:v>
                </c:pt>
                <c:pt idx="126">
                  <c:v>2.5010812368731579E-3</c:v>
                </c:pt>
                <c:pt idx="127">
                  <c:v>2.4995196134106074E-3</c:v>
                </c:pt>
                <c:pt idx="128">
                  <c:v>2.4979579899480574E-3</c:v>
                </c:pt>
                <c:pt idx="129">
                  <c:v>2.4963963664855074E-3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 Depo Charts'!$AJ$2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 Depo Charts'!$AF$3:$AF$132</c:f>
              <c:numCache>
                <c:formatCode>ddd\,\ dd\-mmm\-yyyy</c:formatCode>
                <c:ptCount val="130"/>
                <c:pt idx="0">
                  <c:v>41892</c:v>
                </c:pt>
                <c:pt idx="1">
                  <c:v>41893</c:v>
                </c:pt>
                <c:pt idx="2">
                  <c:v>41894</c:v>
                </c:pt>
                <c:pt idx="3">
                  <c:v>41897</c:v>
                </c:pt>
                <c:pt idx="4">
                  <c:v>41898</c:v>
                </c:pt>
                <c:pt idx="5">
                  <c:v>41899</c:v>
                </c:pt>
                <c:pt idx="6">
                  <c:v>41900</c:v>
                </c:pt>
                <c:pt idx="7">
                  <c:v>41901</c:v>
                </c:pt>
                <c:pt idx="8">
                  <c:v>41904</c:v>
                </c:pt>
                <c:pt idx="9">
                  <c:v>41905</c:v>
                </c:pt>
                <c:pt idx="10">
                  <c:v>41906</c:v>
                </c:pt>
                <c:pt idx="11">
                  <c:v>41907</c:v>
                </c:pt>
                <c:pt idx="12">
                  <c:v>41908</c:v>
                </c:pt>
                <c:pt idx="13">
                  <c:v>41911</c:v>
                </c:pt>
                <c:pt idx="14">
                  <c:v>41912</c:v>
                </c:pt>
                <c:pt idx="15">
                  <c:v>41913</c:v>
                </c:pt>
                <c:pt idx="16">
                  <c:v>41914</c:v>
                </c:pt>
                <c:pt idx="17">
                  <c:v>41915</c:v>
                </c:pt>
                <c:pt idx="18">
                  <c:v>41918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42030</c:v>
                </c:pt>
                <c:pt idx="96">
                  <c:v>42031</c:v>
                </c:pt>
                <c:pt idx="97">
                  <c:v>42032</c:v>
                </c:pt>
                <c:pt idx="98">
                  <c:v>42033</c:v>
                </c:pt>
                <c:pt idx="99">
                  <c:v>42034</c:v>
                </c:pt>
                <c:pt idx="100">
                  <c:v>42037</c:v>
                </c:pt>
                <c:pt idx="101">
                  <c:v>42038</c:v>
                </c:pt>
                <c:pt idx="102">
                  <c:v>42039</c:v>
                </c:pt>
                <c:pt idx="103">
                  <c:v>42040</c:v>
                </c:pt>
                <c:pt idx="104">
                  <c:v>42041</c:v>
                </c:pt>
                <c:pt idx="105">
                  <c:v>42044</c:v>
                </c:pt>
                <c:pt idx="106">
                  <c:v>42045</c:v>
                </c:pt>
                <c:pt idx="107">
                  <c:v>42046</c:v>
                </c:pt>
                <c:pt idx="108">
                  <c:v>42047</c:v>
                </c:pt>
                <c:pt idx="109">
                  <c:v>42048</c:v>
                </c:pt>
                <c:pt idx="110">
                  <c:v>42051</c:v>
                </c:pt>
                <c:pt idx="111">
                  <c:v>42052</c:v>
                </c:pt>
                <c:pt idx="112">
                  <c:v>42053</c:v>
                </c:pt>
                <c:pt idx="113">
                  <c:v>42054</c:v>
                </c:pt>
                <c:pt idx="114">
                  <c:v>42055</c:v>
                </c:pt>
                <c:pt idx="115">
                  <c:v>42058</c:v>
                </c:pt>
                <c:pt idx="116">
                  <c:v>42059</c:v>
                </c:pt>
                <c:pt idx="117">
                  <c:v>42060</c:v>
                </c:pt>
                <c:pt idx="118">
                  <c:v>42061</c:v>
                </c:pt>
                <c:pt idx="119">
                  <c:v>42062</c:v>
                </c:pt>
                <c:pt idx="120">
                  <c:v>42065</c:v>
                </c:pt>
                <c:pt idx="121">
                  <c:v>42066</c:v>
                </c:pt>
                <c:pt idx="122">
                  <c:v>42067</c:v>
                </c:pt>
                <c:pt idx="123">
                  <c:v>42068</c:v>
                </c:pt>
                <c:pt idx="124">
                  <c:v>42069</c:v>
                </c:pt>
                <c:pt idx="125">
                  <c:v>42072</c:v>
                </c:pt>
                <c:pt idx="126">
                  <c:v>42073</c:v>
                </c:pt>
                <c:pt idx="127">
                  <c:v>42074</c:v>
                </c:pt>
                <c:pt idx="128">
                  <c:v>42075</c:v>
                </c:pt>
                <c:pt idx="129">
                  <c:v>42076</c:v>
                </c:pt>
              </c:numCache>
            </c:numRef>
          </c:cat>
          <c:val>
            <c:numRef>
              <c:f>'6M Depo Charts'!$AJ$3:$AJ$132</c:f>
              <c:numCache>
                <c:formatCode>0.0000%</c:formatCode>
                <c:ptCount val="130"/>
                <c:pt idx="0">
                  <c:v>2.8452341731342902E-3</c:v>
                </c:pt>
                <c:pt idx="1">
                  <c:v>2.8421074137316982E-3</c:v>
                </c:pt>
                <c:pt idx="2">
                  <c:v>2.8389954552425767E-3</c:v>
                </c:pt>
                <c:pt idx="3">
                  <c:v>2.8297483852560363E-3</c:v>
                </c:pt>
                <c:pt idx="4">
                  <c:v>2.8266956304207973E-3</c:v>
                </c:pt>
                <c:pt idx="5">
                  <c:v>2.8236576764990294E-3</c:v>
                </c:pt>
                <c:pt idx="6">
                  <c:v>2.8206345234907315E-3</c:v>
                </c:pt>
                <c:pt idx="7">
                  <c:v>2.817626171395905E-3</c:v>
                </c:pt>
                <c:pt idx="8">
                  <c:v>2.8086899205922488E-3</c:v>
                </c:pt>
                <c:pt idx="9">
                  <c:v>2.8057407721513048E-3</c:v>
                </c:pt>
                <c:pt idx="10">
                  <c:v>2.8028064246238315E-3</c:v>
                </c:pt>
                <c:pt idx="11">
                  <c:v>2.7998868780098286E-3</c:v>
                </c:pt>
                <c:pt idx="12">
                  <c:v>2.7969821323092967E-3</c:v>
                </c:pt>
                <c:pt idx="13">
                  <c:v>2.7883567006885242E-3</c:v>
                </c:pt>
                <c:pt idx="14">
                  <c:v>2.7855111586418749E-3</c:v>
                </c:pt>
                <c:pt idx="15">
                  <c:v>2.7826804175086965E-3</c:v>
                </c:pt>
                <c:pt idx="16">
                  <c:v>2.7798644772889882E-3</c:v>
                </c:pt>
                <c:pt idx="17">
                  <c:v>2.7770633379827509E-3</c:v>
                </c:pt>
                <c:pt idx="18">
                  <c:v>2.7687487255448626E-3</c:v>
                </c:pt>
                <c:pt idx="19">
                  <c:v>2.7660067898925083E-3</c:v>
                </c:pt>
                <c:pt idx="20">
                  <c:v>2.7632796551536241E-3</c:v>
                </c:pt>
                <c:pt idx="21">
                  <c:v>2.7605673213282108E-3</c:v>
                </c:pt>
                <c:pt idx="22">
                  <c:v>2.7578697884162685E-3</c:v>
                </c:pt>
                <c:pt idx="23">
                  <c:v>2.7498659951612639E-3</c:v>
                </c:pt>
                <c:pt idx="24">
                  <c:v>2.7472276659032042E-3</c:v>
                </c:pt>
                <c:pt idx="25">
                  <c:v>2.7446041375586146E-3</c:v>
                </c:pt>
                <c:pt idx="26">
                  <c:v>2.7419954101274963E-3</c:v>
                </c:pt>
                <c:pt idx="27">
                  <c:v>2.7394014836098482E-3</c:v>
                </c:pt>
                <c:pt idx="28">
                  <c:v>2.7317085095377286E-3</c:v>
                </c:pt>
                <c:pt idx="29">
                  <c:v>2.7291737866739635E-3</c:v>
                </c:pt>
                <c:pt idx="30">
                  <c:v>2.7266538647236684E-3</c:v>
                </c:pt>
                <c:pt idx="31">
                  <c:v>2.7241487436868448E-3</c:v>
                </c:pt>
                <c:pt idx="32">
                  <c:v>2.7216584235634912E-3</c:v>
                </c:pt>
                <c:pt idx="33">
                  <c:v>2.7142762686742559E-3</c:v>
                </c:pt>
                <c:pt idx="34">
                  <c:v>2.7118451522047849E-3</c:v>
                </c:pt>
                <c:pt idx="35">
                  <c:v>2.7094288366487852E-3</c:v>
                </c:pt>
                <c:pt idx="36">
                  <c:v>2.7070273220062562E-3</c:v>
                </c:pt>
                <c:pt idx="37">
                  <c:v>2.7046406082771972E-3</c:v>
                </c:pt>
                <c:pt idx="38">
                  <c:v>2.697569272570846E-3</c:v>
                </c:pt>
                <c:pt idx="39">
                  <c:v>2.69524176249567E-3</c:v>
                </c:pt>
                <c:pt idx="40">
                  <c:v>2.692929053333965E-3</c:v>
                </c:pt>
                <c:pt idx="41">
                  <c:v>2.6906311450857301E-3</c:v>
                </c:pt>
                <c:pt idx="42">
                  <c:v>2.6883480377509665E-3</c:v>
                </c:pt>
                <c:pt idx="43">
                  <c:v>2.6815875212274991E-3</c:v>
                </c:pt>
                <c:pt idx="44">
                  <c:v>2.6793636175466177E-3</c:v>
                </c:pt>
                <c:pt idx="45">
                  <c:v>2.6771545147792073E-3</c:v>
                </c:pt>
                <c:pt idx="46">
                  <c:v>2.6749602129252674E-3</c:v>
                </c:pt>
                <c:pt idx="47">
                  <c:v>2.6727807119847984E-3</c:v>
                </c:pt>
                <c:pt idx="48">
                  <c:v>2.6663310146442147E-3</c:v>
                </c:pt>
                <c:pt idx="49">
                  <c:v>2.6642107173576283E-3</c:v>
                </c:pt>
                <c:pt idx="50">
                  <c:v>2.6621052209845129E-3</c:v>
                </c:pt>
                <c:pt idx="51">
                  <c:v>2.6600145255248676E-3</c:v>
                </c:pt>
                <c:pt idx="52">
                  <c:v>2.6579386309786932E-3</c:v>
                </c:pt>
                <c:pt idx="53">
                  <c:v>2.6517997528209937E-3</c:v>
                </c:pt>
                <c:pt idx="54">
                  <c:v>2.6497830619287019E-3</c:v>
                </c:pt>
                <c:pt idx="55">
                  <c:v>2.6477811719498806E-3</c:v>
                </c:pt>
                <c:pt idx="56">
                  <c:v>2.6457940828845308E-3</c:v>
                </c:pt>
                <c:pt idx="57">
                  <c:v>2.6438217947326505E-3</c:v>
                </c:pt>
                <c:pt idx="58">
                  <c:v>2.6379937357578357E-3</c:v>
                </c:pt>
                <c:pt idx="59">
                  <c:v>2.6360806512598389E-3</c:v>
                </c:pt>
                <c:pt idx="60">
                  <c:v>2.6341823676753122E-3</c:v>
                </c:pt>
                <c:pt idx="61">
                  <c:v>2.6322988850042564E-3</c:v>
                </c:pt>
                <c:pt idx="62">
                  <c:v>2.6304302032466712E-3</c:v>
                </c:pt>
                <c:pt idx="63">
                  <c:v>2.6249129634547405E-3</c:v>
                </c:pt>
                <c:pt idx="64">
                  <c:v>2.6231034853510383E-3</c:v>
                </c:pt>
                <c:pt idx="65">
                  <c:v>2.6213088081608062E-3</c:v>
                </c:pt>
                <c:pt idx="66">
                  <c:v>2.6195289318840455E-3</c:v>
                </c:pt>
                <c:pt idx="67">
                  <c:v>2.6177638565207549E-3</c:v>
                </c:pt>
                <c:pt idx="68">
                  <c:v>2.6125574359117084E-3</c:v>
                </c:pt>
                <c:pt idx="69">
                  <c:v>2.6108515642023003E-3</c:v>
                </c:pt>
                <c:pt idx="70">
                  <c:v>2.6091604934063636E-3</c:v>
                </c:pt>
                <c:pt idx="71">
                  <c:v>2.6074842235238975E-3</c:v>
                </c:pt>
                <c:pt idx="72">
                  <c:v>2.6058227545549015E-3</c:v>
                </c:pt>
                <c:pt idx="73">
                  <c:v>2.6009271531287387E-3</c:v>
                </c:pt>
                <c:pt idx="74">
                  <c:v>2.5993248878136256E-3</c:v>
                </c:pt>
                <c:pt idx="75">
                  <c:v>2.5977374234119836E-3</c:v>
                </c:pt>
                <c:pt idx="76">
                  <c:v>2.5900221151058324E-3</c:v>
                </c:pt>
                <c:pt idx="77">
                  <c:v>2.5885234561850139E-3</c:v>
                </c:pt>
                <c:pt idx="78">
                  <c:v>2.5870395981776664E-3</c:v>
                </c:pt>
                <c:pt idx="79">
                  <c:v>2.5841162849033835E-3</c:v>
                </c:pt>
                <c:pt idx="80">
                  <c:v>2.5798423218429886E-3</c:v>
                </c:pt>
                <c:pt idx="81">
                  <c:v>2.5784472693164652E-3</c:v>
                </c:pt>
                <c:pt idx="82">
                  <c:v>2.5770670177034122E-3</c:v>
                </c:pt>
                <c:pt idx="83">
                  <c:v>2.5757015670038303E-3</c:v>
                </c:pt>
                <c:pt idx="84">
                  <c:v>2.5743509172177189E-3</c:v>
                </c:pt>
                <c:pt idx="85">
                  <c:v>2.5703877733402082E-3</c:v>
                </c:pt>
                <c:pt idx="86">
                  <c:v>2.5690963272079793E-3</c:v>
                </c:pt>
                <c:pt idx="87">
                  <c:v>2.567819681989221E-3</c:v>
                </c:pt>
                <c:pt idx="88">
                  <c:v>2.5665578376839336E-3</c:v>
                </c:pt>
                <c:pt idx="89">
                  <c:v>2.5653107942921168E-3</c:v>
                </c:pt>
                <c:pt idx="90">
                  <c:v>2.5616584695974903E-3</c:v>
                </c:pt>
                <c:pt idx="91">
                  <c:v>2.5604706298595565E-3</c:v>
                </c:pt>
                <c:pt idx="92">
                  <c:v>2.5592975910350927E-3</c:v>
                </c:pt>
                <c:pt idx="93">
                  <c:v>2.5581393531241003E-3</c:v>
                </c:pt>
                <c:pt idx="94">
                  <c:v>2.5569959161265777E-3</c:v>
                </c:pt>
                <c:pt idx="95">
                  <c:v>2.5536544106148358E-3</c:v>
                </c:pt>
                <c:pt idx="96">
                  <c:v>2.5525701772711965E-3</c:v>
                </c:pt>
                <c:pt idx="97">
                  <c:v>2.5515007448410273E-3</c:v>
                </c:pt>
                <c:pt idx="98">
                  <c:v>2.5504461133243296E-3</c:v>
                </c:pt>
                <c:pt idx="99">
                  <c:v>2.5494062827211019E-3</c:v>
                </c:pt>
                <c:pt idx="100">
                  <c:v>2.5463755963922438E-3</c:v>
                </c:pt>
                <c:pt idx="101">
                  <c:v>2.5453949694428991E-3</c:v>
                </c:pt>
                <c:pt idx="102">
                  <c:v>2.5444291434070249E-3</c:v>
                </c:pt>
                <c:pt idx="103">
                  <c:v>2.5434781182846217E-3</c:v>
                </c:pt>
                <c:pt idx="104">
                  <c:v>2.5425418940756891E-3</c:v>
                </c:pt>
                <c:pt idx="105">
                  <c:v>2.5398220269297151E-3</c:v>
                </c:pt>
                <c:pt idx="106">
                  <c:v>2.5389450063746646E-3</c:v>
                </c:pt>
                <c:pt idx="107">
                  <c:v>2.5380827867330855E-3</c:v>
                </c:pt>
                <c:pt idx="108">
                  <c:v>2.5372353680049769E-3</c:v>
                </c:pt>
                <c:pt idx="109">
                  <c:v>2.5364027501903388E-3</c:v>
                </c:pt>
                <c:pt idx="110">
                  <c:v>2.5339937022272486E-3</c:v>
                </c:pt>
                <c:pt idx="111">
                  <c:v>2.5332202880664935E-3</c:v>
                </c:pt>
                <c:pt idx="112">
                  <c:v>2.5324616748192094E-3</c:v>
                </c:pt>
                <c:pt idx="113">
                  <c:v>2.5317178624853949E-3</c:v>
                </c:pt>
                <c:pt idx="114">
                  <c:v>2.5309888510650518E-3</c:v>
                </c:pt>
                <c:pt idx="115">
                  <c:v>2.5288906222848458E-3</c:v>
                </c:pt>
                <c:pt idx="116">
                  <c:v>2.5282208145183853E-3</c:v>
                </c:pt>
                <c:pt idx="117">
                  <c:v>2.5275658076653953E-3</c:v>
                </c:pt>
                <c:pt idx="118">
                  <c:v>2.5269256017258759E-3</c:v>
                </c:pt>
                <c:pt idx="119">
                  <c:v>2.5263001966998279E-3</c:v>
                </c:pt>
                <c:pt idx="120">
                  <c:v>2.5245127871025056E-3</c:v>
                </c:pt>
                <c:pt idx="121">
                  <c:v>2.5239465857303401E-3</c:v>
                </c:pt>
                <c:pt idx="122">
                  <c:v>2.5233951852716447E-3</c:v>
                </c:pt>
                <c:pt idx="123">
                  <c:v>2.5228585857264203E-3</c:v>
                </c:pt>
                <c:pt idx="124">
                  <c:v>2.5223367870946659E-3</c:v>
                </c:pt>
                <c:pt idx="125">
                  <c:v>2.5208601966802283E-3</c:v>
                </c:pt>
                <c:pt idx="126">
                  <c:v>2.5203976017023574E-3</c:v>
                </c:pt>
                <c:pt idx="127">
                  <c:v>2.5199498076379566E-3</c:v>
                </c:pt>
                <c:pt idx="128">
                  <c:v>2.5195168144870272E-3</c:v>
                </c:pt>
                <c:pt idx="129">
                  <c:v>2.5190986222495678E-3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682624"/>
        <c:axId val="362692608"/>
      </c:lineChart>
      <c:dateAx>
        <c:axId val="3626826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62692608"/>
        <c:crosses val="autoZero"/>
        <c:auto val="1"/>
        <c:lblOffset val="100"/>
        <c:baseTimeUnit val="days"/>
      </c:dateAx>
      <c:valAx>
        <c:axId val="3626926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2682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 Depo Charts'!$M$17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 Depo Charts'!$F$18:$F$27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41922</c:v>
                </c:pt>
                <c:pt idx="5">
                  <c:v>41953</c:v>
                </c:pt>
                <c:pt idx="6">
                  <c:v>41983</c:v>
                </c:pt>
                <c:pt idx="7">
                  <c:v>42016</c:v>
                </c:pt>
                <c:pt idx="8">
                  <c:v>42045</c:v>
                </c:pt>
                <c:pt idx="9">
                  <c:v>42073</c:v>
                </c:pt>
              </c:numCache>
            </c:numRef>
          </c:cat>
          <c:val>
            <c:numRef>
              <c:f>'6M Depo Charts'!$M$18:$M$27</c:f>
              <c:numCache>
                <c:formatCode>0.0000%</c:formatCode>
                <c:ptCount val="10"/>
                <c:pt idx="0">
                  <c:v>2.5062107874558549E-3</c:v>
                </c:pt>
                <c:pt idx="1">
                  <c:v>2.1062107881669491E-3</c:v>
                </c:pt>
                <c:pt idx="2">
                  <c:v>2.086210793846275E-3</c:v>
                </c:pt>
                <c:pt idx="3">
                  <c:v>2.1162107881778631E-3</c:v>
                </c:pt>
                <c:pt idx="4">
                  <c:v>1.8995452202324133E-3</c:v>
                </c:pt>
                <c:pt idx="5">
                  <c:v>1.9232790303824175E-3</c:v>
                </c:pt>
                <c:pt idx="6">
                  <c:v>1.903175433084071E-3</c:v>
                </c:pt>
                <c:pt idx="7">
                  <c:v>1.9359441545529418E-3</c:v>
                </c:pt>
                <c:pt idx="8">
                  <c:v>1.9275922511542325E-3</c:v>
                </c:pt>
                <c:pt idx="9">
                  <c:v>1.8964762512345937E-3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 Depo Charts'!$N$17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 Depo Charts'!$F$18:$F$27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41922</c:v>
                </c:pt>
                <c:pt idx="5">
                  <c:v>41953</c:v>
                </c:pt>
                <c:pt idx="6">
                  <c:v>41983</c:v>
                </c:pt>
                <c:pt idx="7">
                  <c:v>42016</c:v>
                </c:pt>
                <c:pt idx="8">
                  <c:v>42045</c:v>
                </c:pt>
                <c:pt idx="9">
                  <c:v>42073</c:v>
                </c:pt>
              </c:numCache>
            </c:numRef>
          </c:cat>
          <c:val>
            <c:numRef>
              <c:f>'6M Depo Charts'!$N$18:$N$27</c:f>
              <c:numCache>
                <c:formatCode>0.0000%</c:formatCode>
                <c:ptCount val="10"/>
                <c:pt idx="0">
                  <c:v>2.6448316098849536E-3</c:v>
                </c:pt>
                <c:pt idx="1">
                  <c:v>2.2402109165150785E-3</c:v>
                </c:pt>
                <c:pt idx="2">
                  <c:v>2.2148201124332729E-3</c:v>
                </c:pt>
                <c:pt idx="3">
                  <c:v>2.2394292970037291E-3</c:v>
                </c:pt>
                <c:pt idx="4">
                  <c:v>2.0158326879368246E-3</c:v>
                </c:pt>
                <c:pt idx="5">
                  <c:v>2.0156929120018173E-3</c:v>
                </c:pt>
                <c:pt idx="6">
                  <c:v>1.9724858442986214E-3</c:v>
                </c:pt>
                <c:pt idx="7">
                  <c:v>1.9798407483221574E-3</c:v>
                </c:pt>
                <c:pt idx="8">
                  <c:v>1.9491554901987604E-3</c:v>
                </c:pt>
                <c:pt idx="9">
                  <c:v>1.8964762512345946E-3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 Depo Charts'!$O$17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 Depo Charts'!$F$18:$F$27</c:f>
              <c:numCache>
                <c:formatCode>ddd\,\ dd\-mmm\-yyyy</c:formatCode>
                <c:ptCount val="10"/>
                <c:pt idx="0">
                  <c:v>41893</c:v>
                </c:pt>
                <c:pt idx="1">
                  <c:v>41899</c:v>
                </c:pt>
                <c:pt idx="2">
                  <c:v>41906</c:v>
                </c:pt>
                <c:pt idx="3">
                  <c:v>41913</c:v>
                </c:pt>
                <c:pt idx="4">
                  <c:v>41922</c:v>
                </c:pt>
                <c:pt idx="5">
                  <c:v>41953</c:v>
                </c:pt>
                <c:pt idx="6">
                  <c:v>41983</c:v>
                </c:pt>
                <c:pt idx="7">
                  <c:v>42016</c:v>
                </c:pt>
                <c:pt idx="8">
                  <c:v>42045</c:v>
                </c:pt>
                <c:pt idx="9">
                  <c:v>42073</c:v>
                </c:pt>
              </c:numCache>
            </c:numRef>
          </c:cat>
          <c:val>
            <c:numRef>
              <c:f>'6M Depo Charts'!$O$18:$O$27</c:f>
              <c:numCache>
                <c:formatCode>0.0000%</c:formatCode>
                <c:ptCount val="10"/>
                <c:pt idx="0">
                  <c:v>2.7047151817688898E-3</c:v>
                </c:pt>
                <c:pt idx="1">
                  <c:v>2.2955582892819617E-3</c:v>
                </c:pt>
                <c:pt idx="2">
                  <c:v>2.2650966583422703E-3</c:v>
                </c:pt>
                <c:pt idx="3">
                  <c:v>2.2848734526882864E-3</c:v>
                </c:pt>
                <c:pt idx="4">
                  <c:v>2.0554141263452253E-3</c:v>
                </c:pt>
                <c:pt idx="5">
                  <c:v>2.0380974997801565E-3</c:v>
                </c:pt>
                <c:pt idx="6">
                  <c:v>1.9827201125782691E-3</c:v>
                </c:pt>
                <c:pt idx="7">
                  <c:v>1.9817459280199062E-3</c:v>
                </c:pt>
                <c:pt idx="8">
                  <c:v>1.9481157501250463E-3</c:v>
                </c:pt>
                <c:pt idx="9">
                  <c:v>1.8964762512345937E-3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078784"/>
        <c:axId val="363080320"/>
      </c:lineChart>
      <c:dateAx>
        <c:axId val="3630787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63080320"/>
        <c:crosses val="autoZero"/>
        <c:auto val="1"/>
        <c:lblOffset val="100"/>
        <c:baseTimeUnit val="days"/>
      </c:dateAx>
      <c:valAx>
        <c:axId val="3630803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3078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590550</xdr:colOff>
      <xdr:row>21</xdr:row>
      <xdr:rowOff>0</xdr:rowOff>
    </xdr:from>
    <xdr:to>
      <xdr:col>41</xdr:col>
      <xdr:colOff>466725</xdr:colOff>
      <xdr:row>40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9525</xdr:rowOff>
    </xdr:from>
    <xdr:to>
      <xdr:col>20</xdr:col>
      <xdr:colOff>295275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142873</xdr:colOff>
      <xdr:row>23</xdr:row>
      <xdr:rowOff>23811</xdr:rowOff>
    </xdr:from>
    <xdr:to>
      <xdr:col>20</xdr:col>
      <xdr:colOff>295273</xdr:colOff>
      <xdr:row>48</xdr:row>
      <xdr:rowOff>100011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447674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142876</xdr:colOff>
      <xdr:row>14</xdr:row>
      <xdr:rowOff>142874</xdr:rowOff>
    </xdr:from>
    <xdr:to>
      <xdr:col>29</xdr:col>
      <xdr:colOff>285750</xdr:colOff>
      <xdr:row>42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276224</xdr:colOff>
      <xdr:row>24</xdr:row>
      <xdr:rowOff>80962</xdr:rowOff>
    </xdr:from>
    <xdr:to>
      <xdr:col>13</xdr:col>
      <xdr:colOff>552449</xdr:colOff>
      <xdr:row>50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11</xdr:col>
      <xdr:colOff>485775</xdr:colOff>
      <xdr:row>47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552450</xdr:colOff>
      <xdr:row>0</xdr:row>
      <xdr:rowOff>0</xdr:rowOff>
    </xdr:from>
    <xdr:to>
      <xdr:col>29</xdr:col>
      <xdr:colOff>114300</xdr:colOff>
      <xdr:row>22</xdr:row>
      <xdr:rowOff>71439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552450</xdr:colOff>
      <xdr:row>22</xdr:row>
      <xdr:rowOff>66675</xdr:rowOff>
    </xdr:from>
    <xdr:to>
      <xdr:col>29</xdr:col>
      <xdr:colOff>123825</xdr:colOff>
      <xdr:row>50</xdr:row>
      <xdr:rowOff>66675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219076</xdr:colOff>
      <xdr:row>14</xdr:row>
      <xdr:rowOff>142874</xdr:rowOff>
    </xdr:from>
    <xdr:to>
      <xdr:col>29</xdr:col>
      <xdr:colOff>361950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5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U4</v>
          </cell>
        </row>
        <row r="7">
          <cell r="D7" t="str">
            <v>V4</v>
          </cell>
        </row>
      </sheetData>
      <sheetData sheetId="8">
        <row r="6">
          <cell r="D6" t="str">
            <v>Future Code</v>
          </cell>
        </row>
        <row r="7">
          <cell r="D7" t="str">
            <v>U4</v>
          </cell>
        </row>
      </sheetData>
      <sheetData sheetId="9">
        <row r="6">
          <cell r="D6" t="str">
            <v>U4</v>
          </cell>
        </row>
        <row r="7">
          <cell r="D7" t="str">
            <v>V4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workbookViewId="0">
      <selection activeCell="D19" sqref="D19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13</v>
      </c>
      <c r="J7" s="18"/>
      <c r="K7" s="15"/>
    </row>
    <row r="8" spans="1:36" x14ac:dyDescent="0.2">
      <c r="B8" s="2"/>
      <c r="C8" s="5" t="s">
        <v>171</v>
      </c>
      <c r="D8" s="17" t="s">
        <v>172</v>
      </c>
      <c r="E8" s="3"/>
      <c r="F8" s="4"/>
      <c r="H8" s="9"/>
      <c r="I8" s="13" t="s">
        <v>15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24</v>
      </c>
      <c r="D10" s="271">
        <v>41864.862141203703</v>
      </c>
      <c r="E10" s="270"/>
      <c r="F10" s="4"/>
      <c r="H10" s="9"/>
      <c r="I10" s="13" t="s">
        <v>19</v>
      </c>
      <c r="J10" s="19" t="s">
        <v>20</v>
      </c>
      <c r="K10" s="15"/>
    </row>
    <row r="11" spans="1:36" x14ac:dyDescent="0.2">
      <c r="B11" s="2"/>
      <c r="C11" s="269" t="s">
        <v>25</v>
      </c>
      <c r="D11" s="356" t="b">
        <v>1</v>
      </c>
      <c r="E11" s="270"/>
      <c r="F11" s="4"/>
      <c r="H11" s="9"/>
      <c r="I11" s="13" t="s">
        <v>22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23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131</v>
      </c>
      <c r="C16" s="358"/>
      <c r="D16" s="358"/>
      <c r="E16" s="358"/>
      <c r="F16" s="359"/>
      <c r="H16" s="358" t="s">
        <v>140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41892</v>
      </c>
      <c r="E18" s="3"/>
      <c r="F18" s="4"/>
      <c r="H18" s="182"/>
      <c r="I18" s="5" t="s">
        <v>26</v>
      </c>
      <c r="J18" s="360">
        <v>41890.444606481484</v>
      </c>
      <c r="K18" s="186"/>
    </row>
    <row r="19" spans="2:11" x14ac:dyDescent="0.2">
      <c r="B19" s="2"/>
      <c r="C19" s="252" t="s">
        <v>14</v>
      </c>
      <c r="D19" s="17" t="str">
        <f>_xll.qlDiscountingSwapEngine(,OisCurve,,,,,EvaluationDate)</f>
        <v>obj_0038c#0001</v>
      </c>
      <c r="E19" s="3"/>
      <c r="F19" s="4"/>
      <c r="H19" s="182"/>
      <c r="I19" s="5" t="s">
        <v>27</v>
      </c>
      <c r="J19" s="360">
        <f>_xll.qlSettingsEvaluationDate(Trigger)</f>
        <v>41890</v>
      </c>
      <c r="K19" s="186"/>
    </row>
    <row r="20" spans="2:11" x14ac:dyDescent="0.2">
      <c r="B20" s="2"/>
      <c r="C20" s="252" t="s">
        <v>18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28</v>
      </c>
      <c r="J20" s="361">
        <f>[1]!TriggerCounter</f>
        <v>5</v>
      </c>
      <c r="K20" s="186"/>
    </row>
    <row r="21" spans="2:11" x14ac:dyDescent="0.2">
      <c r="B21" s="2"/>
      <c r="C21" s="252" t="s">
        <v>21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29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32</v>
      </c>
      <c r="J22" s="6">
        <f>_xll.ohTrigger(Contribution!W16,Contribution!W22,Contribution!W29,Contribution!W39,Contribution!W55)</f>
        <v>4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132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30</v>
      </c>
      <c r="D28" s="6" t="s">
        <v>31</v>
      </c>
      <c r="E28" s="3"/>
      <c r="F28" s="4"/>
    </row>
    <row r="29" spans="2:11" x14ac:dyDescent="0.2">
      <c r="B29" s="2"/>
      <c r="C29" s="252" t="s">
        <v>33</v>
      </c>
      <c r="D29" s="249">
        <v>2</v>
      </c>
      <c r="E29" s="3"/>
      <c r="F29" s="4"/>
    </row>
    <row r="30" spans="2:11" x14ac:dyDescent="0.2">
      <c r="B30" s="2"/>
      <c r="C30" s="252" t="s">
        <v>34</v>
      </c>
      <c r="D30" s="7" t="e">
        <v>#N/A</v>
      </c>
      <c r="E30" s="3"/>
      <c r="F30" s="4"/>
    </row>
    <row r="31" spans="2:11" x14ac:dyDescent="0.2">
      <c r="B31" s="2"/>
      <c r="C31" s="252" t="s">
        <v>35</v>
      </c>
      <c r="D31" s="12" t="s">
        <v>36</v>
      </c>
      <c r="E31" s="3"/>
      <c r="F31" s="4"/>
    </row>
    <row r="32" spans="2:11" x14ac:dyDescent="0.2">
      <c r="B32" s="2"/>
      <c r="C32" s="252" t="s">
        <v>37</v>
      </c>
      <c r="D32" s="17" t="s">
        <v>38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133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134</v>
      </c>
      <c r="D36" s="253" t="str">
        <f>_xll.qlEuribor(,IborTenor,YieldCurve,,D34)</f>
        <v>obj_008a2#0001</v>
      </c>
      <c r="E36" s="29"/>
      <c r="F36" s="4"/>
    </row>
    <row r="37" spans="2:6" x14ac:dyDescent="0.2">
      <c r="B37" s="2"/>
      <c r="C37" s="5" t="s">
        <v>135</v>
      </c>
      <c r="D37" s="251" t="s">
        <v>137</v>
      </c>
      <c r="E37" s="29"/>
      <c r="F37" s="4"/>
    </row>
    <row r="38" spans="2:6" x14ac:dyDescent="0.2">
      <c r="B38" s="2"/>
      <c r="C38" s="5" t="s">
        <v>136</v>
      </c>
      <c r="D38" s="254" t="str">
        <f>_xll.qlInterpolation(,BasisInterpolation,SynthFra!I2:I6,SynthFra!O2:O6)</f>
        <v>obj_003c9#0001</v>
      </c>
      <c r="E38" s="29"/>
      <c r="F38" s="4"/>
    </row>
    <row r="39" spans="2:6" x14ac:dyDescent="0.2">
      <c r="B39" s="2"/>
      <c r="C39" s="5" t="s">
        <v>16</v>
      </c>
      <c r="D39" s="248" t="s">
        <v>17</v>
      </c>
      <c r="E39" s="3"/>
      <c r="F39" s="4"/>
    </row>
    <row r="40" spans="2:6" x14ac:dyDescent="0.2">
      <c r="B40" s="2"/>
      <c r="C40" s="259" t="s">
        <v>138</v>
      </c>
      <c r="D40" s="260" t="str">
        <f>_xll.qlPiecewiseYieldCurve(,NDays,Calendar,_xll.ohPack(SynthFra!A3:A127),DayCounter,,,Accuracy,TraitsID,InterpolatorID)</f>
        <v>obj_0087e#0001</v>
      </c>
      <c r="E40" s="29"/>
      <c r="F40" s="4"/>
    </row>
    <row r="41" spans="2:6" x14ac:dyDescent="0.2">
      <c r="B41" s="2"/>
      <c r="C41" s="261" t="s">
        <v>139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41892</v>
      </c>
      <c r="D43" s="256" t="e">
        <f>MAX(_xll.ohPack(SynthFra!E2:E127))</f>
        <v>#NUM!</v>
      </c>
      <c r="E43" s="29"/>
      <c r="F43" s="4"/>
    </row>
    <row r="44" spans="2:6" x14ac:dyDescent="0.2">
      <c r="B44" s="2"/>
      <c r="C44" s="257">
        <f>MAX(_xll.ohPack(SynthFra!D3:D127))</f>
        <v>43718</v>
      </c>
      <c r="D44" s="258" t="e">
        <f>MIN(_xll.ohPack(SynthFra!E2:E127))</f>
        <v>#NUM!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143"/>
  <sheetViews>
    <sheetView workbookViewId="0">
      <selection activeCell="A12" sqref="A12"/>
    </sheetView>
  </sheetViews>
  <sheetFormatPr defaultRowHeight="11.25" outlineLevelCol="1" x14ac:dyDescent="0.2"/>
  <cols>
    <col min="1" max="1" width="11.6640625" style="36" customWidth="1" outlineLevel="1"/>
    <col min="2" max="2" width="17.83203125" style="36" customWidth="1" outlineLevel="1"/>
    <col min="3" max="3" width="7" style="36" customWidth="1" outlineLevel="1"/>
    <col min="4" max="4" width="31.1640625" style="36" bestFit="1" customWidth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20.1640625" style="36" bestFit="1" customWidth="1"/>
    <col min="29" max="30" width="9.33203125" style="36" bestFit="1" customWidth="1"/>
    <col min="31" max="31" width="11.6640625" style="36" bestFit="1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2.83203125" style="36" customWidth="1"/>
    <col min="42" max="42" width="28.5" style="36" bestFit="1" customWidth="1"/>
    <col min="43" max="44" width="23" style="36" bestFit="1" customWidth="1"/>
    <col min="45" max="47" width="10.5" style="36" bestFit="1" customWidth="1"/>
    <col min="48" max="48" width="2.83203125" style="36" customWidth="1"/>
    <col min="49" max="16384" width="9.33203125" style="36"/>
  </cols>
  <sheetData>
    <row r="1" spans="1:48" x14ac:dyDescent="0.2">
      <c r="B1" s="37" t="s">
        <v>39</v>
      </c>
      <c r="C1" s="38"/>
      <c r="D1" s="37" t="s">
        <v>40</v>
      </c>
      <c r="E1" s="38" t="s">
        <v>41</v>
      </c>
      <c r="F1" s="39" t="s">
        <v>42</v>
      </c>
      <c r="G1" s="38" t="s">
        <v>43</v>
      </c>
      <c r="H1" s="38" t="s">
        <v>44</v>
      </c>
      <c r="I1" s="40" t="s">
        <v>45</v>
      </c>
      <c r="K1" s="41" t="s">
        <v>46</v>
      </c>
      <c r="L1" s="41" t="s">
        <v>47</v>
      </c>
      <c r="M1" s="41"/>
      <c r="N1" s="42" t="s">
        <v>48</v>
      </c>
      <c r="O1" s="42" t="s">
        <v>49</v>
      </c>
      <c r="P1" s="42" t="s">
        <v>50</v>
      </c>
    </row>
    <row r="2" spans="1:48" x14ac:dyDescent="0.2">
      <c r="A2" s="36">
        <v>1</v>
      </c>
      <c r="B2" s="43" t="str">
        <f>_xll.qlMakeDatedOIS(,E2,F2,OvernightIndex,0,,,,Trigger)</f>
        <v>obj_003be#0001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41892</v>
      </c>
      <c r="F2" s="47">
        <f>_xll.qlCalendarAdvance(Calendar,E2,A3,"mf")</f>
        <v>41922</v>
      </c>
      <c r="G2" s="48">
        <f>_xll.qlQuoteValue($D2,AllTriggers)</f>
        <v>5.0000000000000002E-5</v>
      </c>
      <c r="H2" s="49">
        <f>_xll.qlOvernightIndexedSwapFairRate(B2,_xll.ohTrigger(C2,InterestRatesTrigger))</f>
        <v>-7.0666556794352086E-4</v>
      </c>
      <c r="I2" s="50">
        <f>G2-H2</f>
        <v>7.5666556794352089E-4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30</v>
      </c>
      <c r="P2" s="52">
        <f>(O2^2-N2^2)/(O2-N2)</f>
        <v>30</v>
      </c>
      <c r="Q2" s="51"/>
      <c r="R2" s="51"/>
      <c r="S2" s="51"/>
      <c r="T2" s="54">
        <f>(O2^3-N2^3)/3/(O2-N2)</f>
        <v>300</v>
      </c>
      <c r="U2" s="54">
        <f>(O2+N2)/2</f>
        <v>15</v>
      </c>
      <c r="V2" s="54">
        <v>1</v>
      </c>
    </row>
    <row r="3" spans="1:48" x14ac:dyDescent="0.2">
      <c r="A3" s="36" t="str">
        <f>_xll.qlPeriodEquivalent(A2&amp;"M")</f>
        <v>1M</v>
      </c>
      <c r="B3" s="55" t="str">
        <f>_xll.qlMakeDatedOIS(,E3,F3,OvernightIndex,0,,,,Trigger)</f>
        <v>obj_00339#0003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41891</v>
      </c>
      <c r="F3" s="59">
        <f>_xll.qlInterestRateIndexMaturity(A4,E3)</f>
        <v>41921</v>
      </c>
      <c r="G3" s="60">
        <f>_xll.qlQuoteValue(D3,AllTriggers)</f>
        <v>1.8999999999999998E-4</v>
      </c>
      <c r="H3" s="61">
        <f>_xll.qlOvernightIndexedSwapFairRate(B3,_xll.ohTrigger(C3,InterestRatesTrigger))</f>
        <v>-6.7799985117655837E-4</v>
      </c>
      <c r="I3" s="62">
        <f t="shared" ref="I3:I27" si="1">G3-H3</f>
        <v>8.6799985117655832E-4</v>
      </c>
      <c r="J3" s="51" t="b">
        <f>NOT(ISERROR(I3))</f>
        <v>1</v>
      </c>
      <c r="K3" s="63">
        <f>K4</f>
        <v>9.7599046887448617E-6</v>
      </c>
      <c r="L3" s="61">
        <f>_xll.ohFilter($I$2:$I$3,$J$2:$J$3)-K3*_xll.ohFilter($P$2:$P$3,$J$2:$J$3)</f>
        <v>5.9472251989170217E-4</v>
      </c>
      <c r="M3" s="52"/>
      <c r="N3" s="53">
        <f t="shared" si="0"/>
        <v>-1</v>
      </c>
      <c r="O3" s="53">
        <f t="shared" si="0"/>
        <v>29</v>
      </c>
      <c r="P3" s="52">
        <f>(O3^2-N3^2)/(O3-N3)</f>
        <v>28</v>
      </c>
      <c r="Q3" s="51"/>
      <c r="R3" s="51"/>
      <c r="S3" s="51"/>
      <c r="T3" s="54">
        <f>(O3^3-N3^3)/3/(O3-N3)</f>
        <v>271</v>
      </c>
      <c r="U3" s="54">
        <f>(O3+N3)/2</f>
        <v>14</v>
      </c>
      <c r="V3" s="54">
        <v>1</v>
      </c>
    </row>
    <row r="4" spans="1:48" x14ac:dyDescent="0.2">
      <c r="A4" s="36" t="str">
        <f>PROPER(Currency)&amp;IborType&amp;SynthDepo!A3</f>
        <v>Euribor1M</v>
      </c>
      <c r="B4" s="55" t="str">
        <f>_xll.qlMakeDatedOIS(,E4,F4,OvernightIndex,0,,,,Trigger)</f>
        <v>obj_0033b#0003</v>
      </c>
      <c r="C4" s="56" t="b">
        <f>_xll.qlInstrumentSetPricingEngine(B4,OisEngine)</f>
        <v>1</v>
      </c>
      <c r="D4" s="64" t="s">
        <v>51</v>
      </c>
      <c r="E4" s="65">
        <f>F3</f>
        <v>41921</v>
      </c>
      <c r="F4" s="66">
        <f>F5</f>
        <v>41953</v>
      </c>
      <c r="G4" s="67">
        <f>((1+G5*(F5-E5)/360)/(1+G3*(F3-E3)/360)-1)/(F4-E4)*360</f>
        <v>8.1311212572543479E-4</v>
      </c>
      <c r="H4" s="68">
        <f>_xll.qlOvernightIndexedSwapFairRate(B4,_xll.ohTrigger(C4,InterestRatesTrigger))</f>
        <v>-6.60001816153305E-4</v>
      </c>
      <c r="I4" s="69">
        <f>G4-H4</f>
        <v>1.4731139418787398E-3</v>
      </c>
      <c r="J4" s="36" t="b">
        <f>NOT(ISERROR(I4))</f>
        <v>1</v>
      </c>
      <c r="K4" s="68">
        <f>(I4-_xll.ohFilter($I$2:$I$3,$J$2:$J$3))/(P4-_xll.ohFilter($P$2:$P$3,$J$2:$J$3))</f>
        <v>9.7599046887448617E-6</v>
      </c>
      <c r="L4" s="68">
        <f>_xll.ohFilter($I$2:$I$3,$J$2:$J$3)-K4*_xll.ohFilter($P$2:$P$3,$J$2:$J$3)</f>
        <v>5.9472251989170217E-4</v>
      </c>
      <c r="M4" s="70"/>
      <c r="N4" s="71">
        <f t="shared" si="0"/>
        <v>29</v>
      </c>
      <c r="O4" s="71">
        <f t="shared" si="0"/>
        <v>61</v>
      </c>
      <c r="P4" s="70">
        <f>(O4^2-N4^2)/(O4-N4)</f>
        <v>90</v>
      </c>
      <c r="T4" s="72">
        <f>(O4^3-N4^3)/3/(O4-N4)</f>
        <v>2110.3333333333335</v>
      </c>
      <c r="U4" s="72">
        <f>(O4+N4)/2</f>
        <v>45</v>
      </c>
      <c r="V4" s="72">
        <v>1</v>
      </c>
    </row>
    <row r="5" spans="1:48" x14ac:dyDescent="0.2">
      <c r="B5" s="55"/>
      <c r="C5" s="56"/>
      <c r="D5" s="73" t="str">
        <f>Currency&amp;"2X1S"&amp;QuoteSuffix</f>
        <v>EUR2X1S_Quote</v>
      </c>
      <c r="E5" s="65">
        <f>SettlementDate</f>
        <v>41892</v>
      </c>
      <c r="F5" s="66">
        <f>_xll.qlCalendarAdvance(Calendar,E5,"2M","mf")</f>
        <v>41953</v>
      </c>
      <c r="G5" s="74">
        <f>_xll.qlQuoteValue($D5,AllTriggers)</f>
        <v>5.1999999999999995E-4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48" ht="12" thickBot="1" x14ac:dyDescent="0.25">
      <c r="A6" s="36">
        <v>3</v>
      </c>
      <c r="B6" s="43" t="str">
        <f>_xll.qlMakeDatedOIS(,E6,F6,OvernightIndex,0,,,,EvaluationDate)</f>
        <v>obj_003d8#0001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41892</v>
      </c>
      <c r="F6" s="47">
        <f>_xll.qlCalendarAdvance(Calendar,E6,A7,"mf")</f>
        <v>41983</v>
      </c>
      <c r="G6" s="48">
        <f>_xll.qlQuoteValue($D6,AllTriggers)</f>
        <v>8.9999999999999998E-4</v>
      </c>
      <c r="H6" s="49">
        <f>_xll.qlOvernightIndexedSwapFairRate(B6,_xll.ohTrigger(C6,InterestRatesTrigger))</f>
        <v>-7.0303535509186332E-4</v>
      </c>
      <c r="I6" s="50">
        <f t="shared" si="1"/>
        <v>1.6030353550918633E-3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91</v>
      </c>
      <c r="P6" s="52">
        <f>(O6^2-N6^2)/(O6-N6)</f>
        <v>91</v>
      </c>
      <c r="Q6" s="51"/>
      <c r="R6" s="51"/>
      <c r="S6" s="51"/>
      <c r="T6" s="54">
        <f t="shared" ref="T6:T27" si="4">(O6^3-N6^3)/3/(O6-N6)</f>
        <v>2760.3333333333335</v>
      </c>
      <c r="U6" s="54">
        <f t="shared" ref="U6:U27" si="5">(O6+N6)/2</f>
        <v>45.5</v>
      </c>
      <c r="V6" s="54">
        <v>1</v>
      </c>
      <c r="AO6" s="381"/>
      <c r="AP6" s="381"/>
      <c r="AQ6" s="381"/>
      <c r="AR6" s="381"/>
      <c r="AS6" s="381"/>
      <c r="AT6" s="381"/>
      <c r="AU6" s="381"/>
      <c r="AV6" s="381"/>
    </row>
    <row r="7" spans="1:48" ht="13.5" customHeight="1" thickBot="1" x14ac:dyDescent="0.25">
      <c r="A7" s="36" t="str">
        <f>_xll.qlPeriodEquivalent(A6&amp;"M")</f>
        <v>3M</v>
      </c>
      <c r="B7" s="55" t="str">
        <f>_xll.qlMakeDatedOIS(,E7,F7,OvernightIndex,0,,,,EvaluationDate)</f>
        <v>obj_0033a#0003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41891</v>
      </c>
      <c r="F7" s="59">
        <f>_xll.qlInterestRateIndexMaturity(A8,E7)</f>
        <v>41982</v>
      </c>
      <c r="G7" s="60">
        <f>_xll.qlQuoteValue(D7,AllTriggers)</f>
        <v>1.0399999999999999E-3</v>
      </c>
      <c r="H7" s="61">
        <f>_xll.qlOvernightIndexedSwapFairRate(B7,_xll.ohTrigger(C7,InterestRatesTrigger))</f>
        <v>-6.9259739637077256E-4</v>
      </c>
      <c r="I7" s="62">
        <f>G7-H7</f>
        <v>1.7325973963707724E-3</v>
      </c>
      <c r="J7" s="51" t="b">
        <f>AND(NOT(ISERROR(I7)),E10&lt;&gt;SettlementDate)</f>
        <v>1</v>
      </c>
      <c r="K7" s="78"/>
      <c r="L7" s="52"/>
      <c r="M7" s="52"/>
      <c r="N7" s="53">
        <f t="shared" si="2"/>
        <v>-1</v>
      </c>
      <c r="O7" s="53">
        <f t="shared" si="3"/>
        <v>90</v>
      </c>
      <c r="P7" s="52">
        <f t="shared" ref="P7:P27" si="6">(O7^2-N7^2)/(O7-N7)</f>
        <v>89</v>
      </c>
      <c r="Q7" s="51"/>
      <c r="R7" s="51"/>
      <c r="S7" s="51"/>
      <c r="T7" s="54">
        <f t="shared" si="4"/>
        <v>2670.3333333333335</v>
      </c>
      <c r="U7" s="54">
        <f t="shared" si="5"/>
        <v>44.5</v>
      </c>
      <c r="V7" s="54">
        <v>1</v>
      </c>
      <c r="AO7" s="381"/>
      <c r="AP7" s="379" t="s">
        <v>147</v>
      </c>
      <c r="AQ7" s="380" t="s">
        <v>126</v>
      </c>
      <c r="AR7" s="380" t="s">
        <v>127</v>
      </c>
      <c r="AS7" s="380" t="s">
        <v>103</v>
      </c>
      <c r="AT7" s="380" t="s">
        <v>44</v>
      </c>
      <c r="AU7" s="380" t="s">
        <v>148</v>
      </c>
      <c r="AV7" s="381"/>
    </row>
    <row r="8" spans="1:48" ht="13.5" customHeight="1" x14ac:dyDescent="0.25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-41892</v>
      </c>
      <c r="P8" s="52">
        <f t="shared" si="6"/>
        <v>-41892</v>
      </c>
      <c r="Q8" s="51"/>
      <c r="R8" s="51"/>
      <c r="S8" s="51"/>
      <c r="T8" s="54">
        <f t="shared" si="4"/>
        <v>584979888</v>
      </c>
      <c r="U8" s="54">
        <f t="shared" si="5"/>
        <v>-20946</v>
      </c>
      <c r="V8" s="54">
        <v>1</v>
      </c>
      <c r="AB8" s="36" t="s">
        <v>52</v>
      </c>
      <c r="AF8" s="36" t="s">
        <v>53</v>
      </c>
      <c r="AJ8" s="36" t="s">
        <v>54</v>
      </c>
      <c r="AO8" s="381"/>
      <c r="AP8" s="382" t="s">
        <v>146</v>
      </c>
      <c r="AQ8" s="383">
        <v>41852</v>
      </c>
      <c r="AR8" s="383">
        <v>41946</v>
      </c>
      <c r="AS8" s="384">
        <v>2.0899999999999998E-3</v>
      </c>
      <c r="AT8" s="384">
        <v>6.4999999999362844E-4</v>
      </c>
      <c r="AU8" s="385">
        <v>1.4400000000063715E-3</v>
      </c>
      <c r="AV8" s="381"/>
    </row>
    <row r="9" spans="1:48" ht="13.5" customHeight="1" x14ac:dyDescent="0.25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-5.190104359906891E-6</v>
      </c>
      <c r="L9" s="61">
        <f>_xll.ohFilter($I$6:$I$9,$J$6:$J$9)-K9*_xll.ohFilter($P$6:$P$9,$J$6:$J$9)</f>
        <v>2.1945166844024857E-3</v>
      </c>
      <c r="M9" s="52"/>
      <c r="N9" s="53">
        <f t="shared" si="2"/>
        <v>-41892</v>
      </c>
      <c r="O9" s="53">
        <f t="shared" si="3"/>
        <v>-41892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-41892</v>
      </c>
      <c r="V9" s="54">
        <v>1</v>
      </c>
      <c r="X9" s="81">
        <f t="array" ref="X9:X11">_xll.ohFilter(T6:T14,$J6:$J14)</f>
        <v>2670.3333333333335</v>
      </c>
      <c r="Y9" s="84">
        <f t="array" ref="Y9:Y11">_xll.ohFilter(U6:U14,$J6:$J14)</f>
        <v>44.5</v>
      </c>
      <c r="Z9" s="87">
        <f t="array" ref="Z9:Z11">_xll.ohFilter(V6:V14,$J6:$J14)</f>
        <v>1</v>
      </c>
      <c r="AB9" s="90">
        <f t="array" ref="AB9:AB11">MMULT(AF9:AH11,AD9:AD11)</f>
        <v>1.808752479721124E-7</v>
      </c>
      <c r="AD9" s="90">
        <f t="array" ref="AD9:AD11">_xll.ohFilter(I6:I14,$J6:$J14)</f>
        <v>1.7325973963707724E-3</v>
      </c>
      <c r="AF9" s="93">
        <f t="array" ref="AF9:AH11">MINVERSE(X9:Z11)</f>
        <v>1.2711864406779643E-3</v>
      </c>
      <c r="AG9" s="94">
        <v>-1.3835565127820935E-3</v>
      </c>
      <c r="AH9" s="95">
        <v>1.1237007210412945E-4</v>
      </c>
      <c r="AJ9" s="102">
        <f t="array" ref="AJ9:AJ11">MMULT(X9:Z11,AB9:AB11)-AD9:AD11</f>
        <v>-4.3368086899420177E-19</v>
      </c>
      <c r="AO9" s="381"/>
      <c r="AP9" s="386" t="s">
        <v>144</v>
      </c>
      <c r="AQ9" s="387">
        <v>41871</v>
      </c>
      <c r="AR9" s="387">
        <v>41963</v>
      </c>
      <c r="AS9" s="388">
        <v>2.074999999999938E-3</v>
      </c>
      <c r="AT9" s="388">
        <v>6.960283630131276E-4</v>
      </c>
      <c r="AU9" s="389">
        <v>1.3789716369868104E-3</v>
      </c>
      <c r="AV9" s="381"/>
    </row>
    <row r="10" spans="1:48" ht="13.5" customHeight="1" thickBot="1" x14ac:dyDescent="0.3">
      <c r="A10" s="36" t="str">
        <f>_xll.qlIMMNextCode(SettlementDate-1,FALSE)</f>
        <v>U4</v>
      </c>
      <c r="B10" s="79" t="str">
        <f>_xll.qlMakeDatedOIS(,E10,F10,OvernightIndex,0,,,,EvaluationDate)</f>
        <v>obj_003dd#0001</v>
      </c>
      <c r="C10" s="56" t="b">
        <f>_xll.qlInstrumentSetPricingEngine(B10,OisEngine)</f>
        <v>1</v>
      </c>
      <c r="D10" s="64" t="str">
        <f>Currency&amp;"FUT3M"&amp;A10&amp;QuoteSuffix</f>
        <v>EURFUT3MU4_Quote</v>
      </c>
      <c r="E10" s="65">
        <f>_xll.qlIMMdate(A10)</f>
        <v>41899</v>
      </c>
      <c r="F10" s="66">
        <f>_xll.qlCalendarAdvance(Calendar,E10,"3M","mf")</f>
        <v>41990</v>
      </c>
      <c r="G10" s="74">
        <f>1-_xll.qlQuoteValue($D10,AllTriggers)/100</f>
        <v>8.7500000000007017E-4</v>
      </c>
      <c r="H10" s="68">
        <f>_xll.qlOvernightIndexedSwapFairRate(B10,_xll.ohTrigger(C10,InterestRatesTrigger))</f>
        <v>-7.0918967676128876E-4</v>
      </c>
      <c r="I10" s="69">
        <f t="shared" si="1"/>
        <v>1.5841896767613589E-3</v>
      </c>
      <c r="J10" s="36" t="b">
        <f>AND(NOT(ISERROR(I10)))</f>
        <v>1</v>
      </c>
      <c r="K10" s="68">
        <f>(I10-_xll.ohFilter($I$6:$I$9,$J$6:$J$9))/(P10-_xll.ohFilter($P$6:$P$9,$J$6:$J$9))</f>
        <v>-9.2754824755883394E-6</v>
      </c>
      <c r="L10" s="68">
        <f>_xll.ohFilter($I$6:$I$9,$J$6:$J$9)-K10*_xll.ohFilter($P$6:$P$9,$J$6:$J$9)</f>
        <v>2.5581153366981343E-3</v>
      </c>
      <c r="M10" s="70"/>
      <c r="N10" s="71">
        <f t="shared" ref="N10:N18" si="7">E10-SettlementDate</f>
        <v>7</v>
      </c>
      <c r="O10" s="71">
        <f t="shared" ref="O10:O18" si="8">F10-SettlementDate</f>
        <v>98</v>
      </c>
      <c r="P10" s="70">
        <f t="shared" si="6"/>
        <v>105</v>
      </c>
      <c r="T10" s="72">
        <f t="shared" si="4"/>
        <v>3446.333333333333</v>
      </c>
      <c r="U10" s="72">
        <f t="shared" si="5"/>
        <v>52.5</v>
      </c>
      <c r="V10" s="72">
        <v>1</v>
      </c>
      <c r="X10" s="82">
        <v>3446.333333333333</v>
      </c>
      <c r="Y10" s="85">
        <v>52.5</v>
      </c>
      <c r="Z10" s="88">
        <v>1</v>
      </c>
      <c r="AA10" s="41" t="s">
        <v>55</v>
      </c>
      <c r="AB10" s="91">
        <v>-3.6095864004471523E-5</v>
      </c>
      <c r="AC10" s="41" t="s">
        <v>56</v>
      </c>
      <c r="AD10" s="91">
        <v>1.5841896767613589E-3</v>
      </c>
      <c r="AF10" s="96">
        <v>-0.24830508474576235</v>
      </c>
      <c r="AG10" s="97">
        <v>0.25920498173986289</v>
      </c>
      <c r="AH10" s="98">
        <v>-1.0899896994100542E-2</v>
      </c>
      <c r="AJ10" s="103">
        <v>0</v>
      </c>
      <c r="AO10" s="381"/>
      <c r="AP10" s="390" t="s">
        <v>145</v>
      </c>
      <c r="AQ10" s="391">
        <v>41899</v>
      </c>
      <c r="AR10" s="391">
        <v>41990</v>
      </c>
      <c r="AS10" s="392">
        <v>2.074999999999938E-3</v>
      </c>
      <c r="AT10" s="392">
        <v>6.3556743392947956E-4</v>
      </c>
      <c r="AU10" s="393">
        <v>1.4394325660704583E-3</v>
      </c>
      <c r="AV10" s="381"/>
    </row>
    <row r="11" spans="1:48" x14ac:dyDescent="0.2">
      <c r="A11" s="36" t="str">
        <f>_xll.qlIMMNextCode(E10,TRUE)</f>
        <v>Z4</v>
      </c>
      <c r="B11" s="79" t="str">
        <f>_xll.qlMakeDatedOIS(,E11,F11,OvernightIndex,0,,,,EvaluationDate)</f>
        <v>obj_003e2#0002</v>
      </c>
      <c r="C11" s="56" t="b">
        <f>_xll.qlInstrumentSetPricingEngine(B11,OisEngine)</f>
        <v>1</v>
      </c>
      <c r="D11" s="64" t="str">
        <f>Currency&amp;"FUT3M"&amp;A11&amp;QuoteSuffix</f>
        <v>EURFUT3MZ4_Quote</v>
      </c>
      <c r="E11" s="65">
        <f>_xll.qlIMMdate(A11)</f>
        <v>41990</v>
      </c>
      <c r="F11" s="66">
        <f>_xll.qlCalendarAdvance(Calendar,E11,"3M","mf")</f>
        <v>42080</v>
      </c>
      <c r="G11" s="74">
        <f>1-_xll.qlQuoteValue($D11,AllTriggers)/100</f>
        <v>7.7499999999997016E-4</v>
      </c>
      <c r="H11" s="68">
        <f>_xll.qlOvernightIndexedSwapFairRate(B11,_xll.ohTrigger(C11,InterestRatesTrigger))</f>
        <v>-7.3996632625838998E-4</v>
      </c>
      <c r="I11" s="69">
        <f t="shared" si="1"/>
        <v>1.5149663262583601E-3</v>
      </c>
      <c r="J11" s="36" t="b">
        <f>NOT(ISERROR(I11))</f>
        <v>1</v>
      </c>
      <c r="K11" s="68">
        <f>(I11-_xll.ohFilter($I$6:$I$9,$J$6:$J$9))/(P11-_xll.ohFilter($P$6:$P$9,$J$6:$J$9))</f>
        <v>-1.1047262442254428E-6</v>
      </c>
      <c r="L11" s="68">
        <f>_xll.ohFilter($I$6:$I$9,$J$6:$J$9)-K11*_xll.ohFilter($P$6:$P$9,$J$6:$J$9)</f>
        <v>1.8309180321068367E-3</v>
      </c>
      <c r="M11" s="70"/>
      <c r="N11" s="71">
        <f t="shared" si="7"/>
        <v>98</v>
      </c>
      <c r="O11" s="71">
        <f t="shared" si="8"/>
        <v>188</v>
      </c>
      <c r="P11" s="70">
        <f t="shared" si="6"/>
        <v>286</v>
      </c>
      <c r="T11" s="72">
        <f t="shared" si="4"/>
        <v>21124</v>
      </c>
      <c r="U11" s="72">
        <f t="shared" si="5"/>
        <v>143</v>
      </c>
      <c r="V11" s="72">
        <v>1</v>
      </c>
      <c r="X11" s="83">
        <v>21124</v>
      </c>
      <c r="Y11" s="86">
        <v>143</v>
      </c>
      <c r="Z11" s="89">
        <v>1</v>
      </c>
      <c r="AB11" s="92">
        <v>2.8558661407348906E-3</v>
      </c>
      <c r="AD11" s="92">
        <v>1.5149663262583601E-3</v>
      </c>
      <c r="AF11" s="99">
        <v>8.6550847457627</v>
      </c>
      <c r="AG11" s="100">
        <v>-7.8400646127914477</v>
      </c>
      <c r="AH11" s="101">
        <v>0.18497986702874708</v>
      </c>
      <c r="AJ11" s="104">
        <v>4.7704895589362195E-18</v>
      </c>
      <c r="AO11" s="381"/>
      <c r="AP11" s="381"/>
      <c r="AQ11" s="381"/>
      <c r="AR11" s="381"/>
      <c r="AS11" s="381"/>
      <c r="AT11" s="381"/>
      <c r="AU11" s="381"/>
      <c r="AV11" s="381"/>
    </row>
    <row r="12" spans="1:48" x14ac:dyDescent="0.2">
      <c r="A12" s="36">
        <v>1</v>
      </c>
      <c r="B12" s="79" t="str">
        <f>_xll.qlMakeDatedOIS(,E12,F12,OvernightIndex,0,,,,EvaluationDate)</f>
        <v>obj_003d1#0001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41922</v>
      </c>
      <c r="F12" s="66">
        <f>_xll.qlInterestRateIndexMaturity($A$8,E12)</f>
        <v>42016</v>
      </c>
      <c r="G12" s="74">
        <f>_xll.qlQuoteValue(D12,AllTriggers)</f>
        <v>8.3000000000000001E-4</v>
      </c>
      <c r="H12" s="68">
        <f>_xll.qlOvernightIndexedSwapFairRate(B12,_xll.ohTrigger(C12,InterestRatesTrigger))</f>
        <v>-6.5868874184473857E-4</v>
      </c>
      <c r="I12" s="69">
        <f>G12-H12</f>
        <v>1.4886887418447386E-3</v>
      </c>
      <c r="J12" s="36" t="b">
        <v>0</v>
      </c>
      <c r="K12" s="68">
        <f>(I12-_xll.ohFilter($I$6:$I$9,$J$6:$J$9))/(P12-_xll.ohFilter($P$6:$P$9,$J$6:$J$9))</f>
        <v>-3.752440838862058E-6</v>
      </c>
      <c r="L12" s="68">
        <f>_xll.ohFilter($I$6:$I$9,$J$6:$J$9)-K12*_xll.ohFilter($P$6:$P$9,$J$6:$J$9)</f>
        <v>2.0665646310294955E-3</v>
      </c>
      <c r="M12" s="70"/>
      <c r="N12" s="71">
        <f t="shared" si="7"/>
        <v>30</v>
      </c>
      <c r="O12" s="71">
        <f t="shared" si="8"/>
        <v>124</v>
      </c>
      <c r="P12" s="70">
        <f t="shared" si="6"/>
        <v>154</v>
      </c>
      <c r="T12" s="72">
        <f t="shared" si="4"/>
        <v>6665.3333333333339</v>
      </c>
      <c r="U12" s="72">
        <f t="shared" si="5"/>
        <v>77</v>
      </c>
      <c r="V12" s="72">
        <v>1</v>
      </c>
      <c r="X12" s="72"/>
      <c r="Y12" s="72"/>
      <c r="Z12" s="72"/>
    </row>
    <row r="13" spans="1:48" x14ac:dyDescent="0.2">
      <c r="A13" s="36">
        <v>2</v>
      </c>
      <c r="B13" s="79" t="str">
        <f>_xll.qlMakeDatedOIS(,E13,F13,OvernightIndex,0,,,,EvaluationDate)</f>
        <v>obj_003c4#0001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41953</v>
      </c>
      <c r="F13" s="66">
        <f>_xll.qlInterestRateIndexMaturity($A$8,E13)</f>
        <v>42045</v>
      </c>
      <c r="G13" s="74">
        <f>_xll.qlQuoteValue(D13,AllTriggers)</f>
        <v>8.1000000000000006E-4</v>
      </c>
      <c r="H13" s="68">
        <f>_xll.qlOvernightIndexedSwapFairRate(B13,_xll.ohTrigger(C13,InterestRatesTrigger))</f>
        <v>-6.7583689128287332E-4</v>
      </c>
      <c r="I13" s="69">
        <f>G13-H13</f>
        <v>1.4858368912828734E-3</v>
      </c>
      <c r="J13" s="36" t="b">
        <f>AND(NOT(ISERROR(I13)),E13&lt;&gt;$E$11,E13&lt;&gt;$E$10)</f>
        <v>1</v>
      </c>
      <c r="K13" s="68">
        <f>(I13-_xll.ohFilter($I$6:$I$9,$J$6:$J$9))/(P13-_xll.ohFilter($P$6:$P$9,$J$6:$J$9))</f>
        <v>-1.9740840407031919E-6</v>
      </c>
      <c r="L13" s="68">
        <f>_xll.ohFilter($I$6:$I$9,$J$6:$J$9)-K13*_xll.ohFilter($P$6:$P$9,$J$6:$J$9)</f>
        <v>1.9082908759933564E-3</v>
      </c>
      <c r="M13" s="70"/>
      <c r="N13" s="71">
        <f t="shared" si="7"/>
        <v>61</v>
      </c>
      <c r="O13" s="71">
        <f t="shared" si="8"/>
        <v>153</v>
      </c>
      <c r="P13" s="70">
        <f t="shared" si="6"/>
        <v>214</v>
      </c>
      <c r="T13" s="72">
        <f t="shared" si="4"/>
        <v>12154.333333333334</v>
      </c>
      <c r="U13" s="72">
        <f t="shared" si="5"/>
        <v>107</v>
      </c>
      <c r="V13" s="72">
        <v>1</v>
      </c>
      <c r="X13" s="72"/>
      <c r="Y13" s="72"/>
      <c r="Z13" s="72"/>
    </row>
    <row r="14" spans="1:48" x14ac:dyDescent="0.2">
      <c r="A14" s="36">
        <v>3</v>
      </c>
      <c r="B14" s="79" t="str">
        <f>_xll.qlMakeDatedOIS(,E14,F14,OvernightIndex,0,,,,EvaluationDate)</f>
        <v>obj_003e0#0001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41983</v>
      </c>
      <c r="F14" s="66">
        <f>_xll.qlInterestRateIndexMaturity($A$8,E14)</f>
        <v>42073</v>
      </c>
      <c r="G14" s="74">
        <f>_xll.qlQuoteValue(D14,AllTriggers)</f>
        <v>7.7999999999999999E-4</v>
      </c>
      <c r="H14" s="68">
        <f>_xll.qlOvernightIndexedSwapFairRate(B14,_xll.ohTrigger(C14,InterestRatesTrigger))</f>
        <v>-7.166355086694054E-4</v>
      </c>
      <c r="I14" s="69">
        <f>G14-H14</f>
        <v>1.4966355086694053E-3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-1.2894092224118419E-6</v>
      </c>
      <c r="L14" s="68">
        <f>_xll.ohFilter($I$6:$I$9,$J$6:$J$9)-K14*_xll.ohFilter($P$6:$P$9,$J$6:$J$9)</f>
        <v>1.8473548171654263E-3</v>
      </c>
      <c r="M14" s="70"/>
      <c r="N14" s="71">
        <f t="shared" si="7"/>
        <v>91</v>
      </c>
      <c r="O14" s="71">
        <f t="shared" si="8"/>
        <v>181</v>
      </c>
      <c r="P14" s="70">
        <f t="shared" si="6"/>
        <v>272</v>
      </c>
      <c r="T14" s="72">
        <f t="shared" si="4"/>
        <v>19171</v>
      </c>
      <c r="U14" s="72">
        <f t="shared" si="5"/>
        <v>136</v>
      </c>
      <c r="V14" s="72">
        <v>1</v>
      </c>
      <c r="X14" s="72"/>
      <c r="Y14" s="72"/>
      <c r="Z14" s="72"/>
    </row>
    <row r="15" spans="1:48" x14ac:dyDescent="0.2">
      <c r="A15" s="36">
        <v>6</v>
      </c>
      <c r="B15" s="43" t="str">
        <f>_xll.qlMakeDatedOIS(,E15,F15,OvernightIndex,0,,,,EvaluationDate)</f>
        <v>obj_003c8#0001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41892</v>
      </c>
      <c r="F15" s="47">
        <f>_xll.qlCalendarAdvance(Calendar,E15,A16,"mf")</f>
        <v>42073</v>
      </c>
      <c r="G15" s="48">
        <f>_xll.qlQuoteValue($D15,AllTriggers)</f>
        <v>1.9E-3</v>
      </c>
      <c r="H15" s="49">
        <f>_xll.qlOvernightIndexedSwapFairRate(B15,_xll.ohTrigger(C15,InterestRatesTrigger))</f>
        <v>-7.0973453694134084E-4</v>
      </c>
      <c r="I15" s="50">
        <f t="shared" si="1"/>
        <v>2.6097345369413411E-3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181</v>
      </c>
      <c r="P15" s="52">
        <f t="shared" si="6"/>
        <v>181</v>
      </c>
      <c r="Q15" s="51"/>
      <c r="R15" s="51"/>
      <c r="S15" s="51"/>
      <c r="T15" s="54">
        <f t="shared" si="4"/>
        <v>10920.333333333332</v>
      </c>
      <c r="U15" s="54">
        <f t="shared" si="5"/>
        <v>90.5</v>
      </c>
      <c r="V15" s="54">
        <v>1</v>
      </c>
    </row>
    <row r="16" spans="1:48" x14ac:dyDescent="0.2">
      <c r="A16" s="36" t="str">
        <f>_xll.qlPeriodEquivalent(A15&amp;"M")</f>
        <v>6M</v>
      </c>
      <c r="B16" s="55" t="str">
        <f>_xll.qlMakeDatedOIS(,E16,F16,OvernightIndex,0,,,,EvaluationDate)</f>
        <v>obj_00336#0003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41891</v>
      </c>
      <c r="F16" s="59">
        <f>_xll.qlInterestRateIndexMaturity(A17,E16)</f>
        <v>42072</v>
      </c>
      <c r="G16" s="60">
        <f>_xll.qlQuoteValue(D16,AllTriggers)</f>
        <v>2.0300000000000001E-3</v>
      </c>
      <c r="H16" s="61">
        <f>_xll.qlOvernightIndexedSwapFairRate(B16,_xll.ohTrigger(C16,InterestRatesTrigger))</f>
        <v>-7.0376955717066543E-4</v>
      </c>
      <c r="I16" s="62">
        <f t="shared" si="1"/>
        <v>2.7337695571706656E-3</v>
      </c>
      <c r="J16" s="51" t="b">
        <f>AND(ISERROR(I17),ISERROR(I18),NOT(ISERROR(I16)))</f>
        <v>1</v>
      </c>
      <c r="K16" s="52"/>
      <c r="L16" s="52"/>
      <c r="M16" s="52"/>
      <c r="N16" s="53">
        <f t="shared" si="7"/>
        <v>-1</v>
      </c>
      <c r="O16" s="53">
        <f t="shared" si="8"/>
        <v>180</v>
      </c>
      <c r="P16" s="52">
        <f t="shared" si="6"/>
        <v>179</v>
      </c>
      <c r="Q16" s="51"/>
      <c r="R16" s="51"/>
      <c r="S16" s="51"/>
      <c r="T16" s="54">
        <f t="shared" si="4"/>
        <v>10740.333333333332</v>
      </c>
      <c r="U16" s="54">
        <f t="shared" si="5"/>
        <v>89.5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-41892</v>
      </c>
      <c r="O17" s="53">
        <f t="shared" si="8"/>
        <v>-41892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-41892</v>
      </c>
      <c r="V17" s="54">
        <v>1</v>
      </c>
      <c r="AF17" s="36" t="s">
        <v>53</v>
      </c>
      <c r="AJ17" s="36" t="s">
        <v>54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-1.9484624576978435E-6</v>
      </c>
      <c r="L18" s="61">
        <f>_xll.ohFilter($I$15:$I$18,$J$15:$J$18)-K18*_xll.ohFilter($P$15:$P$18,$J$15:$J$18)</f>
        <v>3.0825443370985795E-3</v>
      </c>
      <c r="M18" s="52"/>
      <c r="N18" s="53">
        <f t="shared" si="7"/>
        <v>-41892</v>
      </c>
      <c r="O18" s="53">
        <f t="shared" si="8"/>
        <v>-41892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-41892</v>
      </c>
      <c r="V18" s="54">
        <v>1</v>
      </c>
      <c r="X18" s="81">
        <f t="array" ref="X18:X20">_xll.ohFilter(T15:T24,$J15:$J24)</f>
        <v>10740.333333333332</v>
      </c>
      <c r="Y18" s="84">
        <f t="array" ref="Y18:Y20">_xll.ohFilter(U15:U24,$J15:$J24)</f>
        <v>89.5</v>
      </c>
      <c r="Z18" s="87">
        <f t="array" ref="Z18:Z20">_xll.ohFilter(V15:V24,$J15:$J24)</f>
        <v>1</v>
      </c>
      <c r="AB18" s="90">
        <f t="array" ref="AB18:AB20">MMULT(AF18:AH20,AD18:AD20)</f>
        <v>7.218501166696631E-8</v>
      </c>
      <c r="AD18" s="90">
        <f t="array" ref="AD18:AD20">_xll.ohFilter(I15:I24,$J15:$J24)</f>
        <v>2.7337695571706656E-3</v>
      </c>
      <c r="AF18" s="93">
        <f t="array" ref="AF18:AH20">MINVERSE(X18:Z20)</f>
        <v>5.158627805003864E-4</v>
      </c>
      <c r="AG18" s="94">
        <v>-1.0400459284281981E-3</v>
      </c>
      <c r="AH18" s="95">
        <v>5.2418314792781182E-4</v>
      </c>
      <c r="AJ18" s="102">
        <f t="array" ref="AJ18:AJ20">MMULT(X18:Z20,AB18:AB20)-AD18:AD20</f>
        <v>-4.3368086899420177E-18</v>
      </c>
    </row>
    <row r="19" spans="1:36" x14ac:dyDescent="0.2">
      <c r="A19" s="36">
        <v>1</v>
      </c>
      <c r="B19" s="79" t="str">
        <f>_xll.qlMakeDatedOIS(,E19,F19,OvernightIndex,0,,,,EvaluationDate)</f>
        <v>obj_003e6#0001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41922</v>
      </c>
      <c r="F19" s="66">
        <f>_xll.qlInterestRateIndexMaturity($A$17,E19)</f>
        <v>42104</v>
      </c>
      <c r="G19" s="67">
        <f>_xll.qlQuoteValue(D19,AllTriggers)</f>
        <v>1.82E-3</v>
      </c>
      <c r="H19" s="68">
        <f>_xll.qlOvernightIndexedSwapFairRate(B19,_xll.ohTrigger(C19,InterestRatesTrigger))</f>
        <v>-7.392337316860729E-4</v>
      </c>
      <c r="I19" s="69">
        <f t="shared" si="1"/>
        <v>2.559233731686073E-3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-2.7704099283268656E-6</v>
      </c>
      <c r="L19" s="68">
        <f>_xll.ohFilter($I$15:$I$18,$J$15:$J$18)-K19*_xll.ohFilter($P$15:$P$18,$J$15:$J$18)</f>
        <v>3.2296729343411746E-3</v>
      </c>
      <c r="M19" s="70"/>
      <c r="N19" s="71">
        <f t="shared" ref="N19:N27" si="11">E19-SettlementDate</f>
        <v>30</v>
      </c>
      <c r="O19" s="71">
        <f t="shared" ref="O19:O27" si="12">F19-SettlementDate</f>
        <v>212</v>
      </c>
      <c r="P19" s="70">
        <f t="shared" si="6"/>
        <v>242</v>
      </c>
      <c r="T19" s="72">
        <f t="shared" si="4"/>
        <v>17401.333333333332</v>
      </c>
      <c r="U19" s="72">
        <f t="shared" si="5"/>
        <v>121</v>
      </c>
      <c r="V19" s="72">
        <v>1</v>
      </c>
      <c r="X19" s="82">
        <v>17401.333333333332</v>
      </c>
      <c r="Y19" s="85">
        <v>121</v>
      </c>
      <c r="Z19" s="88">
        <v>1</v>
      </c>
      <c r="AA19" s="41" t="s">
        <v>55</v>
      </c>
      <c r="AB19" s="91">
        <v>-2.0805085339627172E-5</v>
      </c>
      <c r="AC19" s="41" t="s">
        <v>56</v>
      </c>
      <c r="AD19" s="91">
        <v>2.559233731686073E-3</v>
      </c>
      <c r="AF19" s="96">
        <v>-0.1408305390766055</v>
      </c>
      <c r="AG19" s="97">
        <v>0.25167447394476911</v>
      </c>
      <c r="AH19" s="98">
        <v>-0.11084393486816363</v>
      </c>
      <c r="AJ19" s="103">
        <v>-5.2041704279304213E-18</v>
      </c>
    </row>
    <row r="20" spans="1:36" x14ac:dyDescent="0.2">
      <c r="A20" s="36">
        <v>2</v>
      </c>
      <c r="B20" s="79" t="str">
        <f>_xll.qlMakeDatedOIS(,E20,F20,OvernightIndex,0,,,,EvaluationDate)</f>
        <v>obj_003e3#0001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41953</v>
      </c>
      <c r="F20" s="66">
        <f>_xll.qlInterestRateIndexMaturity($A$17,E20)</f>
        <v>42135</v>
      </c>
      <c r="G20" s="67">
        <f>_xll.qlQuoteValue(D20,AllTriggers)</f>
        <v>1.7699999999999999E-3</v>
      </c>
      <c r="H20" s="68">
        <f>_xll.qlOvernightIndexedSwapFairRate(B20,_xll.ohTrigger(C20,InterestRatesTrigger))</f>
        <v>-7.5517783989516698E-4</v>
      </c>
      <c r="I20" s="69">
        <f t="shared" si="1"/>
        <v>2.5251778398951668E-3</v>
      </c>
      <c r="J20" s="36" t="b">
        <f t="shared" si="10"/>
        <v>1</v>
      </c>
      <c r="K20" s="68">
        <f>(I20-_xll.ohFilter($I$15:$I$18,$J$15:$J$18))/(P20-_xll.ohFilter($P$15:$P$18,$J$15:$J$18))</f>
        <v>-1.6687337382039897E-6</v>
      </c>
      <c r="L20" s="68">
        <f>_xll.ohFilter($I$15:$I$18,$J$15:$J$18)-K20*_xll.ohFilter($P$15:$P$18,$J$15:$J$18)</f>
        <v>3.0324728963091797E-3</v>
      </c>
      <c r="M20" s="70"/>
      <c r="N20" s="71">
        <f t="shared" si="11"/>
        <v>61</v>
      </c>
      <c r="O20" s="71">
        <f t="shared" si="12"/>
        <v>243</v>
      </c>
      <c r="P20" s="70">
        <f t="shared" si="6"/>
        <v>304</v>
      </c>
      <c r="T20" s="72">
        <f t="shared" si="4"/>
        <v>25864.333333333336</v>
      </c>
      <c r="U20" s="72">
        <f t="shared" si="5"/>
        <v>152</v>
      </c>
      <c r="V20" s="72">
        <v>1</v>
      </c>
      <c r="X20" s="83">
        <v>25864.333333333336</v>
      </c>
      <c r="Y20" s="86">
        <v>152</v>
      </c>
      <c r="Z20" s="89">
        <v>1</v>
      </c>
      <c r="AB20" s="92">
        <v>3.8205336080935192E-3</v>
      </c>
      <c r="AD20" s="92">
        <v>2.5251778398951668E-3</v>
      </c>
      <c r="AF20" s="99">
        <v>8.0637950305218755</v>
      </c>
      <c r="AG20" s="100">
        <v>-11.354425464761846</v>
      </c>
      <c r="AH20" s="101">
        <v>4.2906304342399704</v>
      </c>
      <c r="AJ20" s="104">
        <v>-5.2041704279304213E-18</v>
      </c>
    </row>
    <row r="21" spans="1:36" x14ac:dyDescent="0.2">
      <c r="A21" s="36">
        <v>3</v>
      </c>
      <c r="B21" s="79" t="str">
        <f>_xll.qlMakeDatedOIS(,E21,F21,OvernightIndex,0,,,,EvaluationDate)</f>
        <v>obj_003c2#0001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41983</v>
      </c>
      <c r="F21" s="66">
        <f>_xll.qlInterestRateIndexMaturity($A$17,E21)</f>
        <v>42165</v>
      </c>
      <c r="G21" s="67">
        <f>_xll.qlQuoteValue(D21,AllTriggers)</f>
        <v>1.7299999999999998E-3</v>
      </c>
      <c r="H21" s="68">
        <f>_xll.qlOvernightIndexedSwapFairRate(B21,_xll.ohTrigger(C21,InterestRatesTrigger))</f>
        <v>-7.4361447145657091E-4</v>
      </c>
      <c r="I21" s="69">
        <f t="shared" si="1"/>
        <v>2.4736144714565707E-3</v>
      </c>
      <c r="J21" s="36" t="b">
        <f t="shared" si="10"/>
        <v>1</v>
      </c>
      <c r="K21" s="68">
        <f>(I21-_xll.ohFilter($I$15:$I$18,$J$15:$J$18))/(P21-_xll.ohFilter($P$15:$P$18,$J$15:$J$18))</f>
        <v>-1.406243706562675E-6</v>
      </c>
      <c r="L21" s="68">
        <f>_xll.ohFilter($I$15:$I$18,$J$15:$J$18)-K21*_xll.ohFilter($P$15:$P$18,$J$15:$J$18)</f>
        <v>2.9854871806453843E-3</v>
      </c>
      <c r="M21" s="70"/>
      <c r="N21" s="71">
        <f t="shared" si="11"/>
        <v>91</v>
      </c>
      <c r="O21" s="71">
        <f t="shared" si="12"/>
        <v>273</v>
      </c>
      <c r="P21" s="70">
        <f t="shared" si="6"/>
        <v>364</v>
      </c>
      <c r="T21" s="72">
        <f t="shared" si="4"/>
        <v>35884.333333333336</v>
      </c>
      <c r="U21" s="72">
        <f t="shared" si="5"/>
        <v>182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obj_003e7#0001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42016</v>
      </c>
      <c r="F22" s="66">
        <f>_xll.qlInterestRateIndexMaturity($A$17,E22)</f>
        <v>42198</v>
      </c>
      <c r="G22" s="67">
        <f>_xll.qlQuoteValue(D22,AllTriggers)</f>
        <v>1.7099999999999999E-3</v>
      </c>
      <c r="H22" s="68">
        <f>_xll.qlOvernightIndexedSwapFairRate(B22,_xll.ohTrigger(C22,InterestRatesTrigger))</f>
        <v>-7.894693366696158E-4</v>
      </c>
      <c r="I22" s="69">
        <f t="shared" si="1"/>
        <v>2.4994693366696156E-3</v>
      </c>
      <c r="J22" s="36" t="b">
        <f t="shared" si="10"/>
        <v>1</v>
      </c>
      <c r="K22" s="68">
        <f>(I22-_xll.ohFilter($I$15:$I$18,$J$15:$J$18))/(P22-_xll.ohFilter($P$15:$P$18,$J$15:$J$18))</f>
        <v>-9.3346701394840609E-7</v>
      </c>
      <c r="L22" s="68">
        <f>_xll.ohFilter($I$15:$I$18,$J$15:$J$18)-K22*_xll.ohFilter($P$15:$P$18,$J$15:$J$18)</f>
        <v>2.9008601526674302E-3</v>
      </c>
      <c r="M22" s="70"/>
      <c r="N22" s="71">
        <f t="shared" si="11"/>
        <v>124</v>
      </c>
      <c r="O22" s="71">
        <f t="shared" si="12"/>
        <v>306</v>
      </c>
      <c r="P22" s="70">
        <f t="shared" si="6"/>
        <v>430</v>
      </c>
      <c r="T22" s="72">
        <f t="shared" si="4"/>
        <v>48985.333333333328</v>
      </c>
      <c r="U22" s="72">
        <f t="shared" si="5"/>
        <v>215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obj_003df#0001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42045</v>
      </c>
      <c r="F23" s="66">
        <f>_xll.qlInterestRateIndexMaturity($A$17,E23)</f>
        <v>42226</v>
      </c>
      <c r="G23" s="67">
        <f>_xll.qlQuoteValue(D23,AllTriggers)</f>
        <v>1.6899999999999999E-3</v>
      </c>
      <c r="H23" s="68">
        <f>_xll.qlOvernightIndexedSwapFairRate(B23,_xll.ohTrigger(C23,InterestRatesTrigger))</f>
        <v>-8.1057280635256693E-4</v>
      </c>
      <c r="I23" s="69">
        <f t="shared" si="1"/>
        <v>2.5005728063525667E-3</v>
      </c>
      <c r="J23" s="36" t="b">
        <f t="shared" si="10"/>
        <v>1</v>
      </c>
      <c r="K23" s="68">
        <f>(I23-_xll.ohFilter($I$15:$I$18,$J$15:$J$18))/(P23-_xll.ohFilter($P$15:$P$18,$J$15:$J$18))</f>
        <v>-7.5713230785097028E-7</v>
      </c>
      <c r="L23" s="68">
        <f>_xll.ohFilter($I$15:$I$18,$J$15:$J$18)-K23*_xll.ohFilter($P$15:$P$18,$J$15:$J$18)</f>
        <v>2.8692962402759891E-3</v>
      </c>
      <c r="M23" s="70"/>
      <c r="N23" s="71">
        <f t="shared" si="11"/>
        <v>153</v>
      </c>
      <c r="O23" s="71">
        <f t="shared" si="12"/>
        <v>334</v>
      </c>
      <c r="P23" s="70">
        <f t="shared" si="6"/>
        <v>487</v>
      </c>
      <c r="T23" s="72">
        <f t="shared" si="4"/>
        <v>62022.333333333336</v>
      </c>
      <c r="U23" s="72">
        <f t="shared" si="5"/>
        <v>243.5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obj_003e1#0001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42073</v>
      </c>
      <c r="F24" s="66">
        <f>_xll.qlInterestRateIndexMaturity($A$17,E24)</f>
        <v>42257</v>
      </c>
      <c r="G24" s="67">
        <f>_xll.qlQuoteValue(D24,AllTriggers)</f>
        <v>1.6699999999999998E-3</v>
      </c>
      <c r="H24" s="68">
        <f>_xll.qlOvernightIndexedSwapFairRate(B24,_xll.ohTrigger(C24,InterestRatesTrigger))</f>
        <v>-8.4942293753102456E-4</v>
      </c>
      <c r="I24" s="69">
        <f t="shared" si="1"/>
        <v>2.5194229375310245E-3</v>
      </c>
      <c r="J24" s="36" t="b">
        <f t="shared" si="10"/>
        <v>1</v>
      </c>
      <c r="K24" s="68">
        <f>(I24-_xll.ohFilter($I$15:$I$18,$J$15:$J$18))/(P24-_xll.ohFilter($P$15:$P$18,$J$15:$J$18))</f>
        <v>-5.8405073471291836E-7</v>
      </c>
      <c r="L24" s="68">
        <f>_xll.ohFilter($I$15:$I$18,$J$15:$J$18)-K24*_xll.ohFilter($P$15:$P$18,$J$15:$J$18)</f>
        <v>2.838314638684278E-3</v>
      </c>
      <c r="M24" s="70"/>
      <c r="N24" s="71">
        <f t="shared" si="11"/>
        <v>181</v>
      </c>
      <c r="O24" s="71">
        <f t="shared" si="12"/>
        <v>365</v>
      </c>
      <c r="P24" s="70">
        <f t="shared" si="6"/>
        <v>546</v>
      </c>
      <c r="T24" s="72">
        <f t="shared" si="4"/>
        <v>77350.333333333343</v>
      </c>
      <c r="U24" s="72">
        <f t="shared" si="5"/>
        <v>273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obj_003e5#0001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41892</v>
      </c>
      <c r="F25" s="47">
        <f>_xll.qlCalendarAdvance(Calendar,E25,A26,"mf")</f>
        <v>42257</v>
      </c>
      <c r="G25" s="48">
        <f>_xll.qlQuoteValue($D25,AllTriggers)</f>
        <v>3.7000000000000002E-3</v>
      </c>
      <c r="H25" s="49">
        <f>_xll.qlOvernightIndexedSwapFairRate(B25,_xll.ohTrigger(C25,InterestRatesTrigger))</f>
        <v>-7.8000000000007284E-4</v>
      </c>
      <c r="I25" s="50">
        <f t="shared" si="1"/>
        <v>4.4800000000000733E-3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obj_00337#0003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41891</v>
      </c>
      <c r="F26" s="59">
        <f>_xll.qlInterestRateIndexMaturity(A27,E26)</f>
        <v>42256</v>
      </c>
      <c r="G26" s="60">
        <f>_xll.qlQuoteValue(D26,AllTriggers)</f>
        <v>3.7399999999999998E-3</v>
      </c>
      <c r="H26" s="61">
        <f>_xll.qlOvernightIndexedSwapFairRate(B26,_xll.ohTrigger(C26,InterestRatesTrigger))</f>
        <v>-7.7643008903323439E-4</v>
      </c>
      <c r="I26" s="62">
        <f t="shared" si="1"/>
        <v>4.516430089033234E-3</v>
      </c>
      <c r="J26" s="51" t="b">
        <f>NOT(ISERROR(I26))</f>
        <v>1</v>
      </c>
      <c r="K26" s="63">
        <f>K27</f>
        <v>-6.200375091821322E-7</v>
      </c>
      <c r="L26" s="61">
        <f>_xll.ohFilter($I$25:$I$26,$J$25:$J$26)-K26*_xll.ohFilter($P$25:$P$26,$J$25:$J$26)</f>
        <v>4.7415037048663478E-3</v>
      </c>
      <c r="M26" s="52"/>
      <c r="N26" s="53">
        <f t="shared" si="11"/>
        <v>-1</v>
      </c>
      <c r="O26" s="53">
        <f t="shared" si="12"/>
        <v>364</v>
      </c>
      <c r="P26" s="52">
        <f t="shared" si="6"/>
        <v>363</v>
      </c>
      <c r="Q26" s="51"/>
      <c r="R26" s="51"/>
      <c r="S26" s="51"/>
      <c r="T26" s="54">
        <f t="shared" si="4"/>
        <v>44044.333333333328</v>
      </c>
      <c r="U26" s="54">
        <f t="shared" si="5"/>
        <v>181.5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obj_003e4#0001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42257</v>
      </c>
      <c r="F27" s="66">
        <f>_xll.qlInterestRateIndexMaturity(A27,E27)</f>
        <v>42625</v>
      </c>
      <c r="G27" s="67">
        <f>_xll.qlQuoteValue(D27,AllTriggers)</f>
        <v>3.4399999999999999E-3</v>
      </c>
      <c r="H27" s="68">
        <f>_xll.qlOvernightIndexedSwapFairRate(B27,_xll.ohTrigger(C27,InterestRatesTrigger))</f>
        <v>-6.2070251978436723E-4</v>
      </c>
      <c r="I27" s="69">
        <f t="shared" si="1"/>
        <v>4.0607025197843668E-3</v>
      </c>
      <c r="J27" s="36" t="b">
        <f>NOT(ISERROR(I27))</f>
        <v>1</v>
      </c>
      <c r="K27" s="68">
        <f>(I27-_xll.ohFilter($I$25:$I$26,$J$25:$J$26))/(P27-_xll.ohFilter($P$25:$P$26,$J$25:$J$26))</f>
        <v>-6.200375091821322E-7</v>
      </c>
      <c r="L27" s="68">
        <f>_xll.ohFilter($I$25:$I$26,$J$25:$J$26)-K27*_xll.ohFilter($P$25:$P$26,$J$25:$J$26)</f>
        <v>4.7415037048663478E-3</v>
      </c>
      <c r="M27" s="70"/>
      <c r="N27" s="71">
        <f t="shared" si="11"/>
        <v>365</v>
      </c>
      <c r="O27" s="71">
        <f t="shared" si="12"/>
        <v>733</v>
      </c>
      <c r="P27" s="70">
        <f t="shared" si="6"/>
        <v>1098</v>
      </c>
      <c r="T27" s="72">
        <f t="shared" si="4"/>
        <v>312686.33333333337</v>
      </c>
      <c r="U27" s="72">
        <f t="shared" si="5"/>
        <v>549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57</v>
      </c>
      <c r="H29" s="41" t="s">
        <v>57</v>
      </c>
      <c r="I29" s="41" t="s">
        <v>57</v>
      </c>
      <c r="J29" s="41" t="s">
        <v>57</v>
      </c>
      <c r="AC29" s="36" t="s">
        <v>57</v>
      </c>
      <c r="AD29" s="36" t="s">
        <v>142</v>
      </c>
      <c r="AE29" s="36" t="s">
        <v>143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58</v>
      </c>
      <c r="O30" s="41" t="b">
        <v>0</v>
      </c>
      <c r="P30" s="41" t="b">
        <v>1</v>
      </c>
      <c r="S30" s="111" t="s">
        <v>58</v>
      </c>
      <c r="T30" s="112">
        <f>AB9</f>
        <v>1.808752479721124E-7</v>
      </c>
      <c r="U30" s="113">
        <f>AB18</f>
        <v>7.218501166696631E-8</v>
      </c>
      <c r="AB30" s="378">
        <f>SettlementDate</f>
        <v>41892</v>
      </c>
      <c r="AC30" s="105">
        <f>$H$32</f>
        <v>1.7325973963707724E-3</v>
      </c>
      <c r="AD30" s="105">
        <f t="shared" ref="AD30:AD61" si="13">$O$32+$O$31*(AB30-SettlementDate)</f>
        <v>2.1945166844024857E-3</v>
      </c>
      <c r="AE30" s="105">
        <f t="shared" ref="AE30:AE61" si="14">$T$32+$T$31*(AB30-SettlementDate)+$T$30*(AB30-SettlementDate)^2</f>
        <v>2.8558661407348906E-3</v>
      </c>
    </row>
    <row r="31" spans="1:36" x14ac:dyDescent="0.2">
      <c r="D31" s="36">
        <v>4</v>
      </c>
      <c r="E31" s="42"/>
      <c r="F31" s="42" t="s">
        <v>59</v>
      </c>
      <c r="G31" s="114">
        <f>_xll.ohFilter(I2:I3,J2:J3)</f>
        <v>8.6799985117655832E-4</v>
      </c>
      <c r="H31" s="115">
        <f>_xll.ohFilter(I6:I9,J6:J9)</f>
        <v>1.7325973963707724E-3</v>
      </c>
      <c r="I31" s="115">
        <f>_xll.ohFilter(I15:I18,J15:J18)</f>
        <v>2.7337695571706656E-3</v>
      </c>
      <c r="J31" s="116">
        <f>_xll.ohFilter(I25:I26,J25:J26)</f>
        <v>4.516430089033234E-3</v>
      </c>
      <c r="M31" s="41" t="s">
        <v>46</v>
      </c>
      <c r="N31" s="105">
        <f>K4</f>
        <v>9.7599046887448617E-6</v>
      </c>
      <c r="O31" s="105">
        <f>K9</f>
        <v>-5.190104359906891E-6</v>
      </c>
      <c r="P31" s="105">
        <f>AVERAGE(K19:K21)</f>
        <v>-1.9484624576978435E-6</v>
      </c>
      <c r="Q31" s="105">
        <f>K26</f>
        <v>-6.200375091821322E-7</v>
      </c>
      <c r="R31" s="105"/>
      <c r="S31" s="117" t="s">
        <v>46</v>
      </c>
      <c r="T31" s="118">
        <f>AB10</f>
        <v>-3.6095864004471523E-5</v>
      </c>
      <c r="U31" s="69">
        <f>AB19</f>
        <v>-2.0805085339627172E-5</v>
      </c>
      <c r="AB31" s="378">
        <f>_xll.qlCalendarAdvance(Calendar,AB30,"1d","mf")</f>
        <v>41893</v>
      </c>
      <c r="AC31" s="105">
        <f t="shared" ref="AC31:AC94" si="15">$H$32</f>
        <v>1.7325973963707724E-3</v>
      </c>
      <c r="AD31" s="105">
        <f t="shared" si="13"/>
        <v>2.1893265800425788E-3</v>
      </c>
      <c r="AE31" s="105">
        <f t="shared" si="14"/>
        <v>2.819951151978391E-3</v>
      </c>
    </row>
    <row r="32" spans="1:36" x14ac:dyDescent="0.2">
      <c r="E32" s="42"/>
      <c r="F32" s="42" t="s">
        <v>60</v>
      </c>
      <c r="G32" s="114">
        <f>IF(G31&lt;H31,G31,H31)</f>
        <v>8.6799985117655832E-4</v>
      </c>
      <c r="H32" s="115">
        <f>H31</f>
        <v>1.7325973963707724E-3</v>
      </c>
      <c r="I32" s="115">
        <f>IF(I31&lt;H31,H31,I31)</f>
        <v>2.7337695571706656E-3</v>
      </c>
      <c r="J32" s="116">
        <f>IF(J31&lt;I31,I31,J31)</f>
        <v>4.516430089033234E-3</v>
      </c>
      <c r="M32" s="41" t="s">
        <v>47</v>
      </c>
      <c r="N32" s="105">
        <f>L4</f>
        <v>5.9472251989170217E-4</v>
      </c>
      <c r="O32" s="105">
        <f>L9</f>
        <v>2.1945166844024857E-3</v>
      </c>
      <c r="P32" s="105">
        <f>L18</f>
        <v>3.0825443370985795E-3</v>
      </c>
      <c r="Q32" s="105">
        <f>L26</f>
        <v>4.7415037048663478E-3</v>
      </c>
      <c r="R32" s="105"/>
      <c r="S32" s="117" t="s">
        <v>47</v>
      </c>
      <c r="T32" s="118">
        <f>AB11</f>
        <v>2.8558661407348906E-3</v>
      </c>
      <c r="U32" s="69">
        <f>AB20</f>
        <v>3.8205336080935192E-3</v>
      </c>
      <c r="AB32" s="378">
        <f>_xll.qlCalendarAdvance(Calendar,AB31,"1d","mf")</f>
        <v>41894</v>
      </c>
      <c r="AC32" s="105">
        <f t="shared" si="15"/>
        <v>1.7325973963707724E-3</v>
      </c>
      <c r="AD32" s="105">
        <f t="shared" si="13"/>
        <v>2.1841364756826718E-3</v>
      </c>
      <c r="AE32" s="105">
        <f t="shared" si="14"/>
        <v>2.7843979137178359E-3</v>
      </c>
    </row>
    <row r="33" spans="2:31" x14ac:dyDescent="0.2">
      <c r="B33" s="37" t="s">
        <v>39</v>
      </c>
      <c r="C33" s="38"/>
      <c r="D33" s="37" t="s">
        <v>40</v>
      </c>
      <c r="E33" s="38" t="s">
        <v>41</v>
      </c>
      <c r="F33" s="39" t="s">
        <v>42</v>
      </c>
      <c r="G33" s="37" t="s">
        <v>61</v>
      </c>
      <c r="H33" s="38" t="s">
        <v>62</v>
      </c>
      <c r="I33" s="38" t="s">
        <v>63</v>
      </c>
      <c r="J33" s="40" t="s">
        <v>31</v>
      </c>
      <c r="K33" s="37" t="s">
        <v>64</v>
      </c>
      <c r="L33" s="40" t="s">
        <v>44</v>
      </c>
      <c r="N33" s="37" t="s">
        <v>61</v>
      </c>
      <c r="O33" s="38" t="s">
        <v>62</v>
      </c>
      <c r="P33" s="38" t="s">
        <v>63</v>
      </c>
      <c r="Q33" s="40" t="s">
        <v>31</v>
      </c>
      <c r="R33" s="38"/>
      <c r="S33" s="119"/>
      <c r="T33" s="38" t="s">
        <v>62</v>
      </c>
      <c r="U33" s="40" t="s">
        <v>63</v>
      </c>
      <c r="AB33" s="378">
        <f>_xll.qlCalendarAdvance(Calendar,AB32,"1d","mf")</f>
        <v>41897</v>
      </c>
      <c r="AC33" s="105">
        <f t="shared" si="15"/>
        <v>1.7325973963707724E-3</v>
      </c>
      <c r="AD33" s="105">
        <f t="shared" si="13"/>
        <v>2.1685661626029513E-3</v>
      </c>
      <c r="AE33" s="105">
        <f t="shared" si="14"/>
        <v>2.6799087019118359E-3</v>
      </c>
    </row>
    <row r="34" spans="2:31" x14ac:dyDescent="0.2">
      <c r="B34" s="43" t="str">
        <f>_xll.qlMakeDatedOIS(,E34,F34,OvernightIndex,0,,,,EvaluationDate)</f>
        <v>obj_003a1#0001</v>
      </c>
      <c r="C34" s="106" t="b">
        <f>_xll.qlInstrumentSetPricingEngine(B34,OisEngine)</f>
        <v>1</v>
      </c>
      <c r="D34" s="120" t="s">
        <v>65</v>
      </c>
      <c r="E34" s="121">
        <f t="shared" ref="E34:E49" si="16">SettlementDate</f>
        <v>41892</v>
      </c>
      <c r="F34" s="122">
        <f>_xll.qlCalendarAdvance(Calendar,SettlementDate,D34,"Following")</f>
        <v>41893</v>
      </c>
      <c r="G34" s="123">
        <f t="shared" ref="G34:J49" si="17">$L34+IF(G$30,G$32,N34)</f>
        <v>5.0448242386036738E-4</v>
      </c>
      <c r="H34" s="123">
        <f t="shared" si="17"/>
        <v>2.0893265793224991E-3</v>
      </c>
      <c r="I34" s="123">
        <f t="shared" si="17"/>
        <v>3.7101551263741817E-3</v>
      </c>
      <c r="J34" s="123">
        <f t="shared" si="17"/>
        <v>4.640883666637086E-3</v>
      </c>
      <c r="K34" s="272">
        <f t="shared" ref="K34:K49" si="18">F34-SettlementDate</f>
        <v>1</v>
      </c>
      <c r="L34" s="125">
        <f>_xll.qlOvernightIndexedSwapFairRate(B34,_xll.ohTrigger(C34,InterestRatesTrigger))</f>
        <v>-1.0000000072007964E-4</v>
      </c>
      <c r="N34" s="126">
        <f>N$31*$K34+N$32</f>
        <v>6.0448242458044702E-4</v>
      </c>
      <c r="O34" s="118">
        <f t="shared" ref="O34:P40" si="19">IF(O$30,T34,O$31*$K34+O$32)</f>
        <v>2.1893265800425788E-3</v>
      </c>
      <c r="P34" s="118">
        <f t="shared" si="19"/>
        <v>3.8101551270942613E-3</v>
      </c>
      <c r="Q34" s="69">
        <f t="shared" ref="Q34:Q49" si="20">Q$31*$K34+Q$32</f>
        <v>4.7408836673571656E-3</v>
      </c>
      <c r="R34" s="118"/>
      <c r="S34" s="127" t="s">
        <v>65</v>
      </c>
      <c r="T34" s="118">
        <f t="shared" ref="T34:U40" si="21">$K34*$K34/3*T$30+$K34/2*T$31+T$32</f>
        <v>2.8378785004819791E-3</v>
      </c>
      <c r="U34" s="69">
        <f t="shared" si="21"/>
        <v>3.8101551270942613E-3</v>
      </c>
      <c r="AB34" s="378">
        <f>_xll.qlCalendarAdvance(Calendar,AB33,"1d","mf")</f>
        <v>41898</v>
      </c>
      <c r="AC34" s="105">
        <f t="shared" si="15"/>
        <v>1.7325973963707724E-3</v>
      </c>
      <c r="AD34" s="105">
        <f t="shared" si="13"/>
        <v>2.1633760582430443E-3</v>
      </c>
      <c r="AE34" s="105">
        <f t="shared" si="14"/>
        <v>2.6458024656350575E-3</v>
      </c>
    </row>
    <row r="35" spans="2:31" x14ac:dyDescent="0.2">
      <c r="B35" s="79" t="str">
        <f>_xll.qlMakeDatedOIS(,E35,F35,OvernightIndex,0,,,,EvaluationDate)</f>
        <v>obj_003cc#0001</v>
      </c>
      <c r="C35" s="70" t="b">
        <f>_xll.qlInstrumentSetPricingEngine(B35,OisEngine)</f>
        <v>1</v>
      </c>
      <c r="D35" s="128" t="s">
        <v>66</v>
      </c>
      <c r="E35" s="65">
        <f t="shared" si="16"/>
        <v>41892</v>
      </c>
      <c r="F35" s="129">
        <f>_xll.qlCalendarAdvance(Calendar,SettlementDate,D35,"Following")</f>
        <v>41899</v>
      </c>
      <c r="G35" s="123">
        <f t="shared" si="17"/>
        <v>1.6304185270393085E-4</v>
      </c>
      <c r="H35" s="123">
        <f t="shared" si="17"/>
        <v>1.6581859538741519E-3</v>
      </c>
      <c r="I35" s="123">
        <f t="shared" si="17"/>
        <v>3.2488948312530659E-3</v>
      </c>
      <c r="J35" s="123">
        <f t="shared" si="17"/>
        <v>4.2371634422930871E-3</v>
      </c>
      <c r="K35" s="130">
        <f t="shared" si="18"/>
        <v>7</v>
      </c>
      <c r="L35" s="131">
        <f>_xll.qlOvernightIndexedSwapFairRate(B35,_xll.ohTrigger(C35,InterestRatesTrigger))</f>
        <v>-5.0000000000898534E-4</v>
      </c>
      <c r="N35" s="126">
        <f>N$31*$K35+N$32</f>
        <v>6.6304185271291618E-4</v>
      </c>
      <c r="O35" s="118">
        <f t="shared" si="19"/>
        <v>2.1581859538831374E-3</v>
      </c>
      <c r="P35" s="118">
        <f t="shared" si="19"/>
        <v>3.7488948312620514E-3</v>
      </c>
      <c r="Q35" s="69">
        <f t="shared" si="20"/>
        <v>4.7371634423020725E-3</v>
      </c>
      <c r="R35" s="118"/>
      <c r="S35" s="132" t="s">
        <v>66</v>
      </c>
      <c r="T35" s="118">
        <f t="shared" si="21"/>
        <v>2.7324849124361183E-3</v>
      </c>
      <c r="U35" s="69">
        <f t="shared" si="21"/>
        <v>3.7488948312620514E-3</v>
      </c>
      <c r="AB35" s="378">
        <f>_xll.qlCalendarAdvance(Calendar,AB34,"1d","mf")</f>
        <v>41899</v>
      </c>
      <c r="AC35" s="105">
        <f t="shared" si="15"/>
        <v>1.7325973963707724E-3</v>
      </c>
      <c r="AD35" s="105">
        <f t="shared" si="13"/>
        <v>2.1581859538831374E-3</v>
      </c>
      <c r="AE35" s="105">
        <f t="shared" si="14"/>
        <v>2.6120579798542235E-3</v>
      </c>
    </row>
    <row r="36" spans="2:31" x14ac:dyDescent="0.2">
      <c r="B36" s="79" t="str">
        <f>_xll.qlMakeDatedOIS(,E36,F36,OvernightIndex,0,,,,EvaluationDate)</f>
        <v>obj_003aa#0001</v>
      </c>
      <c r="C36" s="70" t="b">
        <f>_xll.qlInstrumentSetPricingEngine(B36,OisEngine)</f>
        <v>1</v>
      </c>
      <c r="D36" s="128" t="s">
        <v>67</v>
      </c>
      <c r="E36" s="65">
        <f t="shared" si="16"/>
        <v>41892</v>
      </c>
      <c r="F36" s="129">
        <f>_xll.qlCalendarAdvance(Calendar,SettlementDate,D36,"Following")</f>
        <v>41906</v>
      </c>
      <c r="G36" s="123">
        <f t="shared" si="17"/>
        <v>2.1136119120447074E-4</v>
      </c>
      <c r="H36" s="123">
        <f t="shared" si="17"/>
        <v>1.6018552290341299E-3</v>
      </c>
      <c r="I36" s="123">
        <f t="shared" si="17"/>
        <v>3.159614103815378E-3</v>
      </c>
      <c r="J36" s="123">
        <f t="shared" si="17"/>
        <v>4.2128231854081386E-3</v>
      </c>
      <c r="K36" s="130">
        <f t="shared" si="18"/>
        <v>14</v>
      </c>
      <c r="L36" s="131">
        <f>_xll.qlOvernightIndexedSwapFairRate(B36,_xll.ohTrigger(C36,InterestRatesTrigger))</f>
        <v>-5.1999999432965946E-4</v>
      </c>
      <c r="N36" s="126">
        <f>N$31*$K36+N$32</f>
        <v>7.3136118553413019E-4</v>
      </c>
      <c r="O36" s="118">
        <f t="shared" si="19"/>
        <v>2.1218552233637895E-3</v>
      </c>
      <c r="P36" s="118">
        <f t="shared" si="19"/>
        <v>3.6796140981450376E-3</v>
      </c>
      <c r="Q36" s="69">
        <f t="shared" si="20"/>
        <v>4.7328231797377981E-3</v>
      </c>
      <c r="R36" s="118"/>
      <c r="S36" s="132" t="s">
        <v>67</v>
      </c>
      <c r="T36" s="118">
        <f t="shared" si="21"/>
        <v>2.6150122755711014E-3</v>
      </c>
      <c r="U36" s="69">
        <f t="shared" si="21"/>
        <v>3.6796140981450376E-3</v>
      </c>
      <c r="AB36" s="378">
        <f>_xll.qlCalendarAdvance(Calendar,AB35,"1d","mf")</f>
        <v>41900</v>
      </c>
      <c r="AC36" s="105">
        <f t="shared" si="15"/>
        <v>1.7325973963707724E-3</v>
      </c>
      <c r="AD36" s="105">
        <f t="shared" si="13"/>
        <v>2.1529958495232304E-3</v>
      </c>
      <c r="AE36" s="105">
        <f t="shared" si="14"/>
        <v>2.5786752445693334E-3</v>
      </c>
    </row>
    <row r="37" spans="2:31" x14ac:dyDescent="0.2">
      <c r="B37" s="133" t="str">
        <f>_xll.qlMakeDatedOIS(,E37,F37,OvernightIndex,0,,,,EvaluationDate)</f>
        <v>obj_003b7#0001</v>
      </c>
      <c r="C37" s="134" t="b">
        <f>_xll.qlInstrumentSetPricingEngine(B37,OisEngine)</f>
        <v>1</v>
      </c>
      <c r="D37" s="135" t="s">
        <v>68</v>
      </c>
      <c r="E37" s="136">
        <f t="shared" si="16"/>
        <v>41892</v>
      </c>
      <c r="F37" s="137">
        <f>_xll.qlCalendarAdvance(Calendar,SettlementDate,D37,"Following")</f>
        <v>41913</v>
      </c>
      <c r="G37" s="138">
        <f t="shared" si="17"/>
        <v>3.0968051835727291E-4</v>
      </c>
      <c r="H37" s="138">
        <f t="shared" si="17"/>
        <v>1.5955244928463697E-3</v>
      </c>
      <c r="I37" s="138">
        <f t="shared" si="17"/>
        <v>3.1226914087444067E-3</v>
      </c>
      <c r="J37" s="138">
        <f t="shared" si="17"/>
        <v>4.2384829171754519E-3</v>
      </c>
      <c r="K37" s="139">
        <f t="shared" si="18"/>
        <v>21</v>
      </c>
      <c r="L37" s="140">
        <f>_xll.qlOvernightIndexedSwapFairRate(B37,_xll.ohTrigger(C37,InterestRatesTrigger))</f>
        <v>-4.899999999980713E-4</v>
      </c>
      <c r="N37" s="141">
        <f>N$31*$K37+N$32</f>
        <v>7.996805183553442E-4</v>
      </c>
      <c r="O37" s="142">
        <f t="shared" si="19"/>
        <v>2.0855244928444411E-3</v>
      </c>
      <c r="P37" s="142">
        <f t="shared" si="19"/>
        <v>3.6126914087424781E-3</v>
      </c>
      <c r="Q37" s="143">
        <f t="shared" si="20"/>
        <v>4.7284829171735229E-3</v>
      </c>
      <c r="R37" s="142"/>
      <c r="S37" s="144" t="s">
        <v>68</v>
      </c>
      <c r="T37" s="142">
        <f t="shared" si="21"/>
        <v>2.50344823013984E-3</v>
      </c>
      <c r="U37" s="143">
        <f t="shared" si="21"/>
        <v>3.6126914087424781E-3</v>
      </c>
      <c r="AB37" s="378">
        <f>_xll.qlCalendarAdvance(Calendar,AB36,"1d","mf")</f>
        <v>41901</v>
      </c>
      <c r="AC37" s="105">
        <f t="shared" si="15"/>
        <v>1.7325973963707724E-3</v>
      </c>
      <c r="AD37" s="105">
        <f t="shared" si="13"/>
        <v>2.1478057451633239E-3</v>
      </c>
      <c r="AE37" s="105">
        <f t="shared" si="14"/>
        <v>2.5456542597803878E-3</v>
      </c>
    </row>
    <row r="38" spans="2:31" x14ac:dyDescent="0.2">
      <c r="B38" s="79" t="str">
        <f>_xll.qlMakeDatedOIS(,E38,F38,OvernightIndex,0,,,,EvaluationDate)</f>
        <v>obj_003cd#0001</v>
      </c>
      <c r="C38" s="70" t="b">
        <f>_xll.qlInstrumentSetPricingEngine(B38,OisEngine)</f>
        <v>1</v>
      </c>
      <c r="D38" s="128" t="s">
        <v>61</v>
      </c>
      <c r="E38" s="65">
        <f t="shared" si="16"/>
        <v>41892</v>
      </c>
      <c r="F38" s="129">
        <f>_xll.qlCalendarAdvance(Calendar,SettlementDate,D38,"mf",TRUE)</f>
        <v>41922</v>
      </c>
      <c r="G38" s="145">
        <f t="shared" si="17"/>
        <v>1.8085409261052714E-4</v>
      </c>
      <c r="H38" s="145">
        <f t="shared" si="17"/>
        <v>1.332147985661758E-3</v>
      </c>
      <c r="I38" s="145">
        <f t="shared" si="17"/>
        <v>2.8234472635556809E-3</v>
      </c>
      <c r="J38" s="145">
        <f t="shared" si="17"/>
        <v>4.0162370116473634E-3</v>
      </c>
      <c r="K38" s="124">
        <f t="shared" si="18"/>
        <v>30</v>
      </c>
      <c r="L38" s="131">
        <f>_xll.qlOvernightIndexedSwapFairRate(B38,_xll.ohTrigger(C38,InterestRatesTrigger))</f>
        <v>-7.0666556794352086E-4</v>
      </c>
      <c r="N38" s="126">
        <f>N$31*$K38+N$32</f>
        <v>8.8751966055404801E-4</v>
      </c>
      <c r="O38" s="118">
        <f t="shared" si="19"/>
        <v>2.0388135536052788E-3</v>
      </c>
      <c r="P38" s="118">
        <f t="shared" si="19"/>
        <v>3.5301128314992017E-3</v>
      </c>
      <c r="Q38" s="69">
        <f t="shared" si="20"/>
        <v>4.7229025795908841E-3</v>
      </c>
      <c r="R38" s="118"/>
      <c r="S38" s="132" t="s">
        <v>61</v>
      </c>
      <c r="T38" s="118">
        <f t="shared" si="21"/>
        <v>2.3686907550594517E-3</v>
      </c>
      <c r="U38" s="69">
        <f t="shared" si="21"/>
        <v>3.5301128314992017E-3</v>
      </c>
      <c r="AB38" s="378">
        <f>_xll.qlCalendarAdvance(Calendar,AB37,"1d","mf")</f>
        <v>41904</v>
      </c>
      <c r="AC38" s="105">
        <f t="shared" si="15"/>
        <v>1.7325973963707724E-3</v>
      </c>
      <c r="AD38" s="105">
        <f t="shared" si="13"/>
        <v>2.132235432083603E-3</v>
      </c>
      <c r="AE38" s="105">
        <f t="shared" si="14"/>
        <v>2.4487618083892165E-3</v>
      </c>
    </row>
    <row r="39" spans="2:31" x14ac:dyDescent="0.2">
      <c r="B39" s="79" t="str">
        <f>_xll.qlMakeDatedOIS(,E39,F39,OvernightIndex,0,,,,EvaluationDate)</f>
        <v>obj_003ac#0001</v>
      </c>
      <c r="C39" s="70" t="b">
        <f>_xll.qlInstrumentSetPricingEngine(B39,OisEngine)</f>
        <v>1</v>
      </c>
      <c r="D39" s="128" t="s">
        <v>69</v>
      </c>
      <c r="E39" s="65">
        <f t="shared" si="16"/>
        <v>41892</v>
      </c>
      <c r="F39" s="129">
        <f>_xll.qlCalendarAdvance(Calendar,SettlementDate,D39,"mf",TRUE)</f>
        <v>41953</v>
      </c>
      <c r="G39" s="146"/>
      <c r="H39" s="123">
        <f t="shared" si="17"/>
        <v>1.1949885606546483E-3</v>
      </c>
      <c r="I39" s="123">
        <f t="shared" si="17"/>
        <v>2.5925802235789671E-3</v>
      </c>
      <c r="J39" s="123">
        <f t="shared" si="17"/>
        <v>4.0207496590127208E-3</v>
      </c>
      <c r="K39" s="130">
        <f t="shared" si="18"/>
        <v>61</v>
      </c>
      <c r="L39" s="131">
        <f>_xll.qlOvernightIndexedSwapFairRate(B39,_xll.ohTrigger(C39,InterestRatesTrigger))</f>
        <v>-6.8293175779351697E-4</v>
      </c>
      <c r="N39" s="146"/>
      <c r="O39" s="118">
        <f t="shared" si="19"/>
        <v>1.8779203184481653E-3</v>
      </c>
      <c r="P39" s="118">
        <f t="shared" si="19"/>
        <v>3.2755119813724842E-3</v>
      </c>
      <c r="Q39" s="69">
        <f t="shared" si="20"/>
        <v>4.7036814168062374E-3</v>
      </c>
      <c r="R39" s="118"/>
      <c r="S39" s="132" t="s">
        <v>69</v>
      </c>
      <c r="T39" s="118">
        <f t="shared" si="21"/>
        <v>1.9792878878332528E-3</v>
      </c>
      <c r="U39" s="69">
        <f t="shared" si="21"/>
        <v>3.2755119813724842E-3</v>
      </c>
      <c r="AB39" s="378">
        <f>_xll.qlCalendarAdvance(Calendar,AB38,"1d","mf")</f>
        <v>41905</v>
      </c>
      <c r="AC39" s="105">
        <f t="shared" si="15"/>
        <v>1.7325973963707724E-3</v>
      </c>
      <c r="AD39" s="105">
        <f t="shared" si="13"/>
        <v>2.127045327723696E-3</v>
      </c>
      <c r="AE39" s="105">
        <f t="shared" si="14"/>
        <v>2.4171878255840481E-3</v>
      </c>
    </row>
    <row r="40" spans="2:31" x14ac:dyDescent="0.2">
      <c r="B40" s="79" t="str">
        <f>_xll.qlMakeDatedOIS(,E40,F40,OvernightIndex,0,,,,EvaluationDate)</f>
        <v>obj_003b9#0001</v>
      </c>
      <c r="C40" s="70" t="b">
        <f>_xll.qlInstrumentSetPricingEngine(B40,OisEngine)</f>
        <v>1</v>
      </c>
      <c r="D40" s="128" t="s">
        <v>62</v>
      </c>
      <c r="E40" s="65">
        <f t="shared" si="16"/>
        <v>41892</v>
      </c>
      <c r="F40" s="129">
        <f>_xll.qlCalendarAdvance(Calendar,SettlementDate,D40,"mf",TRUE)</f>
        <v>41983</v>
      </c>
      <c r="G40" s="147"/>
      <c r="H40" s="123">
        <f t="shared" si="17"/>
        <v>1.0191818325590953E-3</v>
      </c>
      <c r="I40" s="123">
        <f t="shared" si="17"/>
        <v>2.370121563920002E-3</v>
      </c>
      <c r="J40" s="123">
        <f t="shared" si="17"/>
        <v>3.9820449364389105E-3</v>
      </c>
      <c r="K40" s="130">
        <f t="shared" si="18"/>
        <v>91</v>
      </c>
      <c r="L40" s="131">
        <f>_xll.qlOvernightIndexedSwapFairRate(B40,_xll.ohTrigger(C40,InterestRatesTrigger))</f>
        <v>-7.0303535509186332E-4</v>
      </c>
      <c r="N40" s="147"/>
      <c r="O40" s="118">
        <f t="shared" si="19"/>
        <v>1.7222171876509586E-3</v>
      </c>
      <c r="P40" s="118">
        <f t="shared" si="19"/>
        <v>3.0731569190118654E-3</v>
      </c>
      <c r="Q40" s="69">
        <f t="shared" si="20"/>
        <v>4.6850802915307738E-3</v>
      </c>
      <c r="R40" s="118"/>
      <c r="S40" s="132" t="s">
        <v>62</v>
      </c>
      <c r="T40" s="118">
        <f t="shared" si="21"/>
        <v>1.7127803046837905E-3</v>
      </c>
      <c r="U40" s="69">
        <f t="shared" si="21"/>
        <v>3.0731569190118654E-3</v>
      </c>
      <c r="AB40" s="378">
        <f>_xll.qlCalendarAdvance(Calendar,AB39,"1d","mf")</f>
        <v>41906</v>
      </c>
      <c r="AC40" s="105">
        <f t="shared" si="15"/>
        <v>1.7325973963707724E-3</v>
      </c>
      <c r="AD40" s="105">
        <f t="shared" si="13"/>
        <v>2.1218552233637895E-3</v>
      </c>
      <c r="AE40" s="105">
        <f t="shared" si="14"/>
        <v>2.3859755932748236E-3</v>
      </c>
    </row>
    <row r="41" spans="2:31" x14ac:dyDescent="0.2">
      <c r="B41" s="79" t="str">
        <f>_xll.qlMakeDatedOIS(,E41,F41,OvernightIndex,0,,,,EvaluationDate)</f>
        <v>obj_003b3#0001</v>
      </c>
      <c r="C41" s="70" t="b">
        <f>_xll.qlInstrumentSetPricingEngine(B41,OisEngine)</f>
        <v>1</v>
      </c>
      <c r="D41" s="128" t="s">
        <v>70</v>
      </c>
      <c r="E41" s="65">
        <f t="shared" si="16"/>
        <v>41892</v>
      </c>
      <c r="F41" s="129">
        <f>_xll.qlCalendarAdvance(Calendar,SettlementDate,D41,"mf",TRUE)</f>
        <v>42016</v>
      </c>
      <c r="G41" s="148"/>
      <c r="H41" s="149"/>
      <c r="I41" s="123">
        <f t="shared" si="17"/>
        <v>2.2303239298773997E-3</v>
      </c>
      <c r="J41" s="123">
        <f t="shared" si="17"/>
        <v>3.9943524201047709E-3</v>
      </c>
      <c r="K41" s="130">
        <f t="shared" si="18"/>
        <v>124</v>
      </c>
      <c r="L41" s="131">
        <f>_xll.qlOvernightIndexedSwapFairRate(B41,_xll.ohTrigger(C41,InterestRatesTrigger))</f>
        <v>-6.7026663362299282E-4</v>
      </c>
      <c r="N41" s="148"/>
      <c r="O41" s="149"/>
      <c r="P41" s="118">
        <f>IF(P$30,U41,P$31*$K41+P$32)</f>
        <v>2.9005905635003924E-3</v>
      </c>
      <c r="Q41" s="69">
        <f t="shared" si="20"/>
        <v>4.6646190537277636E-3</v>
      </c>
      <c r="R41" s="118"/>
      <c r="S41" s="132" t="s">
        <v>70</v>
      </c>
      <c r="T41" s="149"/>
      <c r="U41" s="69">
        <f>$K41*$K41/3*U$30+$K41/2*U$31+U$32</f>
        <v>2.9005905635003924E-3</v>
      </c>
      <c r="AB41" s="378">
        <f>_xll.qlCalendarAdvance(Calendar,AB40,"1d","mf")</f>
        <v>41907</v>
      </c>
      <c r="AC41" s="105">
        <f t="shared" si="15"/>
        <v>1.7325973963707724E-3</v>
      </c>
      <c r="AD41" s="105">
        <f t="shared" si="13"/>
        <v>2.1166651190038825E-3</v>
      </c>
      <c r="AE41" s="105">
        <f t="shared" si="14"/>
        <v>2.3551251114615431E-3</v>
      </c>
    </row>
    <row r="42" spans="2:31" x14ac:dyDescent="0.2">
      <c r="B42" s="79" t="str">
        <f>_xll.qlMakeDatedOIS(,E42,F42,OvernightIndex,0,,,,EvaluationDate)</f>
        <v>obj_003af#0001</v>
      </c>
      <c r="C42" s="70" t="b">
        <f>_xll.qlInstrumentSetPricingEngine(B42,OisEngine)</f>
        <v>1</v>
      </c>
      <c r="D42" s="128" t="s">
        <v>71</v>
      </c>
      <c r="E42" s="65">
        <f t="shared" si="16"/>
        <v>41892</v>
      </c>
      <c r="F42" s="129">
        <f>_xll.qlCalendarAdvance(Calendar,SettlementDate,D42,"mf",TRUE)</f>
        <v>42045</v>
      </c>
      <c r="G42" s="148"/>
      <c r="H42" s="150"/>
      <c r="I42" s="123">
        <f t="shared" si="17"/>
        <v>2.1135856886276769E-3</v>
      </c>
      <c r="J42" s="123">
        <f t="shared" si="17"/>
        <v>3.9680194289397792E-3</v>
      </c>
      <c r="K42" s="130">
        <f t="shared" si="18"/>
        <v>153</v>
      </c>
      <c r="L42" s="131">
        <f>_xll.qlOvernightIndexedSwapFairRate(B42,_xll.ohTrigger(C42,InterestRatesTrigger))</f>
        <v>-6.7861853702170182E-4</v>
      </c>
      <c r="N42" s="148"/>
      <c r="O42" s="150"/>
      <c r="P42" s="118">
        <f>IF(P$30,U42,P$31*$K42+P$32)</f>
        <v>2.7922042256493785E-3</v>
      </c>
      <c r="Q42" s="69">
        <f t="shared" si="20"/>
        <v>4.6466379659614813E-3</v>
      </c>
      <c r="R42" s="118"/>
      <c r="S42" s="132" t="s">
        <v>71</v>
      </c>
      <c r="T42" s="150"/>
      <c r="U42" s="69">
        <f>$K42*$K42/3*U$30+$K42/2*U$31+U$32</f>
        <v>2.7922042256493785E-3</v>
      </c>
      <c r="AB42" s="378">
        <f>_xll.qlCalendarAdvance(Calendar,AB41,"1d","mf")</f>
        <v>41908</v>
      </c>
      <c r="AC42" s="105">
        <f t="shared" si="15"/>
        <v>1.7325973963707724E-3</v>
      </c>
      <c r="AD42" s="105">
        <f t="shared" si="13"/>
        <v>2.1114750146439755E-3</v>
      </c>
      <c r="AE42" s="105">
        <f t="shared" si="14"/>
        <v>2.3246363801442071E-3</v>
      </c>
    </row>
    <row r="43" spans="2:31" x14ac:dyDescent="0.2">
      <c r="B43" s="79" t="str">
        <f>_xll.qlMakeDatedOIS(,E43,F43,OvernightIndex,0,,,,EvaluationDate)</f>
        <v>obj_003a0#0001</v>
      </c>
      <c r="C43" s="70" t="b">
        <f>_xll.qlInstrumentSetPricingEngine(B43,OisEngine)</f>
        <v>1</v>
      </c>
      <c r="D43" s="151" t="s">
        <v>63</v>
      </c>
      <c r="E43" s="65">
        <f t="shared" si="16"/>
        <v>41892</v>
      </c>
      <c r="F43" s="129">
        <f>_xll.qlCalendarAdvance(Calendar,SettlementDate,D43,"mf",TRUE)</f>
        <v>42073</v>
      </c>
      <c r="G43" s="148"/>
      <c r="H43" s="150"/>
      <c r="I43" s="123">
        <f t="shared" si="17"/>
        <v>2.016223236989747E-3</v>
      </c>
      <c r="J43" s="123">
        <f t="shared" si="17"/>
        <v>3.9195423787630416E-3</v>
      </c>
      <c r="K43" s="130">
        <f t="shared" si="18"/>
        <v>181</v>
      </c>
      <c r="L43" s="131">
        <f>_xll.qlOvernightIndexedSwapFairRate(B43,_xll.ohTrigger(C43,InterestRatesTrigger))</f>
        <v>-7.0973453694134084E-4</v>
      </c>
      <c r="N43" s="148"/>
      <c r="O43" s="150"/>
      <c r="P43" s="118">
        <f>IF(P$30,U43,P$31*$K43+P$32)</f>
        <v>2.7259577739310878E-3</v>
      </c>
      <c r="Q43" s="69">
        <f t="shared" si="20"/>
        <v>4.629276915704382E-3</v>
      </c>
      <c r="R43" s="118"/>
      <c r="S43" s="152" t="s">
        <v>63</v>
      </c>
      <c r="T43" s="153"/>
      <c r="U43" s="143">
        <f>$K43*$K43/3*U$30+$K43/2*U$31+U$32</f>
        <v>2.7259577739310878E-3</v>
      </c>
      <c r="AB43" s="378">
        <f>_xll.qlCalendarAdvance(Calendar,AB42,"1d","mf")</f>
        <v>41911</v>
      </c>
      <c r="AC43" s="105">
        <f t="shared" si="15"/>
        <v>1.7325973963707724E-3</v>
      </c>
      <c r="AD43" s="105">
        <f t="shared" si="13"/>
        <v>2.0959047015642546E-3</v>
      </c>
      <c r="AE43" s="105">
        <f t="shared" si="14"/>
        <v>2.235340689167864E-3</v>
      </c>
    </row>
    <row r="44" spans="2:31" x14ac:dyDescent="0.2">
      <c r="B44" s="79" t="str">
        <f>_xll.qlMakeDatedOIS(,E44,F44,OvernightIndex,0,,,,EvaluationDate)</f>
        <v>obj_003cf#0001</v>
      </c>
      <c r="C44" s="70" t="b">
        <f>_xll.qlInstrumentSetPricingEngine(B44,OisEngine)</f>
        <v>1</v>
      </c>
      <c r="D44" s="151" t="s">
        <v>72</v>
      </c>
      <c r="E44" s="65">
        <f t="shared" si="16"/>
        <v>41892</v>
      </c>
      <c r="F44" s="129">
        <f>_xll.qlCalendarAdvance(Calendar,SettlementDate,D44,"mf",TRUE)</f>
        <v>42104</v>
      </c>
      <c r="G44" s="148"/>
      <c r="H44" s="154"/>
      <c r="I44" s="149"/>
      <c r="J44" s="123">
        <f t="shared" si="17"/>
        <v>3.875468095963985E-3</v>
      </c>
      <c r="K44" s="130">
        <f t="shared" si="18"/>
        <v>212</v>
      </c>
      <c r="L44" s="131">
        <f>_xll.qlOvernightIndexedSwapFairRate(B44,_xll.ohTrigger(C44,InterestRatesTrigger))</f>
        <v>-7.3458765695575117E-4</v>
      </c>
      <c r="N44" s="155" t="s">
        <v>73</v>
      </c>
      <c r="O44" s="156"/>
      <c r="P44" s="149"/>
      <c r="Q44" s="69">
        <f t="shared" si="20"/>
        <v>4.6100557529197362E-3</v>
      </c>
      <c r="R44" s="118"/>
      <c r="S44" s="118"/>
      <c r="AB44" s="378">
        <f>_xll.qlCalendarAdvance(Calendar,AB43,"1d","mf")</f>
        <v>41912</v>
      </c>
      <c r="AC44" s="105">
        <f t="shared" si="15"/>
        <v>1.7325973963707724E-3</v>
      </c>
      <c r="AD44" s="105">
        <f t="shared" si="13"/>
        <v>2.0907145972043481E-3</v>
      </c>
      <c r="AE44" s="105">
        <f t="shared" si="14"/>
        <v>2.2062989598343056E-3</v>
      </c>
    </row>
    <row r="45" spans="2:31" x14ac:dyDescent="0.2">
      <c r="B45" s="79" t="str">
        <f>_xll.qlMakeDatedOIS(,E45,F45,OvernightIndex,0,,,,EvaluationDate)</f>
        <v>obj_003bc#0001</v>
      </c>
      <c r="C45" s="70" t="b">
        <f>_xll.qlInstrumentSetPricingEngine(B45,OisEngine)</f>
        <v>1</v>
      </c>
      <c r="D45" s="151" t="s">
        <v>74</v>
      </c>
      <c r="E45" s="65">
        <f t="shared" si="16"/>
        <v>41892</v>
      </c>
      <c r="F45" s="129">
        <f>_xll.qlCalendarAdvance(Calendar,SettlementDate,D45,"mf",TRUE)</f>
        <v>42135</v>
      </c>
      <c r="G45" s="148"/>
      <c r="H45" s="154"/>
      <c r="I45" s="150"/>
      <c r="J45" s="123">
        <f t="shared" si="17"/>
        <v>3.8538580494185395E-3</v>
      </c>
      <c r="K45" s="130">
        <f t="shared" si="18"/>
        <v>243</v>
      </c>
      <c r="L45" s="131">
        <f>_xll.qlOvernightIndexedSwapFairRate(B45,_xll.ohTrigger(C45,InterestRatesTrigger))</f>
        <v>-7.3697654071654985E-4</v>
      </c>
      <c r="N45" s="157"/>
      <c r="O45" s="158" t="s">
        <v>75</v>
      </c>
      <c r="P45" s="159"/>
      <c r="Q45" s="69">
        <f t="shared" si="20"/>
        <v>4.5908345901350895E-3</v>
      </c>
      <c r="R45" s="118"/>
      <c r="S45" s="118"/>
      <c r="AB45" s="378">
        <f>_xll.qlCalendarAdvance(Calendar,AB44,"1d","mf")</f>
        <v>41913</v>
      </c>
      <c r="AC45" s="105">
        <f t="shared" si="15"/>
        <v>1.7325973963707724E-3</v>
      </c>
      <c r="AD45" s="105">
        <f t="shared" si="13"/>
        <v>2.0855244928444411E-3</v>
      </c>
      <c r="AE45" s="105">
        <f t="shared" si="14"/>
        <v>2.1776189809966898E-3</v>
      </c>
    </row>
    <row r="46" spans="2:31" x14ac:dyDescent="0.2">
      <c r="B46" s="79" t="str">
        <f>_xll.qlMakeDatedOIS(,E46,F46,OvernightIndex,0,,,,EvaluationDate)</f>
        <v>obj_003d0#0001</v>
      </c>
      <c r="C46" s="70" t="b">
        <f>_xll.qlInstrumentSetPricingEngine(B46,OisEngine)</f>
        <v>1</v>
      </c>
      <c r="D46" s="151" t="s">
        <v>76</v>
      </c>
      <c r="E46" s="65">
        <f t="shared" si="16"/>
        <v>41892</v>
      </c>
      <c r="F46" s="129">
        <f>_xll.qlCalendarAdvance(Calendar,SettlementDate,D46,"mf",TRUE)</f>
        <v>42165</v>
      </c>
      <c r="G46" s="148"/>
      <c r="H46" s="154"/>
      <c r="I46" s="150"/>
      <c r="J46" s="123">
        <f t="shared" si="17"/>
        <v>3.842233464859777E-3</v>
      </c>
      <c r="K46" s="130">
        <f t="shared" si="18"/>
        <v>273</v>
      </c>
      <c r="L46" s="131">
        <f>_xll.qlOvernightIndexedSwapFairRate(B46,_xll.ohTrigger(C46,InterestRatesTrigger))</f>
        <v>-7.2999999999984861E-4</v>
      </c>
      <c r="N46" s="148"/>
      <c r="O46" s="156"/>
      <c r="P46" s="160" t="s">
        <v>77</v>
      </c>
      <c r="Q46" s="69">
        <f t="shared" si="20"/>
        <v>4.5722334648596258E-3</v>
      </c>
      <c r="R46" s="118"/>
      <c r="S46" s="118"/>
      <c r="AB46" s="378">
        <f>_xll.qlCalendarAdvance(Calendar,AB45,"1d","mf")</f>
        <v>41914</v>
      </c>
      <c r="AC46" s="105">
        <f t="shared" si="15"/>
        <v>1.7325973963707724E-3</v>
      </c>
      <c r="AD46" s="105">
        <f t="shared" si="13"/>
        <v>2.0803343884845341E-3</v>
      </c>
      <c r="AE46" s="105">
        <f t="shared" si="14"/>
        <v>2.1493007526550197E-3</v>
      </c>
    </row>
    <row r="47" spans="2:31" x14ac:dyDescent="0.2">
      <c r="B47" s="79" t="str">
        <f>_xll.qlMakeDatedOIS(,E47,F47,OvernightIndex,0,,,,EvaluationDate)</f>
        <v>obj_003b1#0001</v>
      </c>
      <c r="C47" s="70" t="b">
        <f>_xll.qlInstrumentSetPricingEngine(B47,OisEngine)</f>
        <v>1</v>
      </c>
      <c r="D47" s="151" t="s">
        <v>78</v>
      </c>
      <c r="E47" s="65">
        <f t="shared" si="16"/>
        <v>41892</v>
      </c>
      <c r="F47" s="129">
        <f>_xll.qlCalendarAdvance(Calendar,SettlementDate,D47,"mf",TRUE)</f>
        <v>42195</v>
      </c>
      <c r="G47" s="148"/>
      <c r="H47" s="154"/>
      <c r="I47" s="150"/>
      <c r="J47" s="123">
        <f t="shared" si="17"/>
        <v>3.813632339584273E-3</v>
      </c>
      <c r="K47" s="130">
        <f t="shared" si="18"/>
        <v>303</v>
      </c>
      <c r="L47" s="131">
        <f>_xll.qlOvernightIndexedSwapFairRate(B47,_xll.ohTrigger(C47,InterestRatesTrigger))</f>
        <v>-7.399999999998881E-4</v>
      </c>
      <c r="N47" s="148"/>
      <c r="O47" s="154"/>
      <c r="P47" s="150"/>
      <c r="Q47" s="69">
        <f t="shared" si="20"/>
        <v>4.5536323395841613E-3</v>
      </c>
      <c r="R47" s="118"/>
      <c r="S47" s="118"/>
      <c r="AB47" s="378">
        <f>_xll.qlCalendarAdvance(Calendar,AB46,"1d","mf")</f>
        <v>41915</v>
      </c>
      <c r="AC47" s="105">
        <f t="shared" si="15"/>
        <v>1.7325973963707724E-3</v>
      </c>
      <c r="AD47" s="105">
        <f t="shared" si="13"/>
        <v>2.0751442841246272E-3</v>
      </c>
      <c r="AE47" s="105">
        <f t="shared" si="14"/>
        <v>2.1213442748092932E-3</v>
      </c>
    </row>
    <row r="48" spans="2:31" x14ac:dyDescent="0.2">
      <c r="B48" s="79" t="str">
        <f>_xll.qlMakeDatedOIS(,E48,F48,OvernightIndex,0,,,,EvaluationDate)</f>
        <v>obj_003d5#0001</v>
      </c>
      <c r="C48" s="70" t="b">
        <f>_xll.qlInstrumentSetPricingEngine(B48,OisEngine)</f>
        <v>1</v>
      </c>
      <c r="D48" s="151" t="s">
        <v>79</v>
      </c>
      <c r="E48" s="65">
        <f t="shared" si="16"/>
        <v>41892</v>
      </c>
      <c r="F48" s="129">
        <f>_xll.qlCalendarAdvance(Calendar,SettlementDate,D48,"mf",TRUE)</f>
        <v>42226</v>
      </c>
      <c r="G48" s="148"/>
      <c r="H48" s="154"/>
      <c r="I48" s="150"/>
      <c r="J48" s="123">
        <f t="shared" si="17"/>
        <v>3.784411176799628E-3</v>
      </c>
      <c r="K48" s="130">
        <f t="shared" si="18"/>
        <v>334</v>
      </c>
      <c r="L48" s="131">
        <f>_xll.qlOvernightIndexedSwapFairRate(B48,_xll.ohTrigger(C48,InterestRatesTrigger))</f>
        <v>-7.4999999999988737E-4</v>
      </c>
      <c r="N48" s="148"/>
      <c r="O48" s="154"/>
      <c r="P48" s="150"/>
      <c r="Q48" s="69">
        <f t="shared" si="20"/>
        <v>4.5344111767995155E-3</v>
      </c>
      <c r="R48" s="118"/>
      <c r="S48" s="118"/>
      <c r="AB48" s="378">
        <f>_xll.qlCalendarAdvance(Calendar,AB47,"1d","mf")</f>
        <v>41918</v>
      </c>
      <c r="AC48" s="105">
        <f t="shared" si="15"/>
        <v>1.7325973963707724E-3</v>
      </c>
      <c r="AD48" s="105">
        <f t="shared" si="13"/>
        <v>2.0595739710449067E-3</v>
      </c>
      <c r="AE48" s="105">
        <f t="shared" si="14"/>
        <v>2.0396453442477788E-3</v>
      </c>
    </row>
    <row r="49" spans="2:31" x14ac:dyDescent="0.2">
      <c r="B49" s="133" t="str">
        <f>_xll.qlMakeDatedOIS(,E49,F49,OvernightIndex,0,,,,EvaluationDate)</f>
        <v>obj_003ad#0001</v>
      </c>
      <c r="C49" s="134" t="b">
        <f>_xll.qlInstrumentSetPricingEngine(B49,OisEngine)</f>
        <v>1</v>
      </c>
      <c r="D49" s="151" t="s">
        <v>80</v>
      </c>
      <c r="E49" s="65">
        <f t="shared" si="16"/>
        <v>41892</v>
      </c>
      <c r="F49" s="129">
        <f>_xll.qlCalendarAdvance(Calendar,SettlementDate,D49,"mf",TRUE)</f>
        <v>42257</v>
      </c>
      <c r="G49" s="148"/>
      <c r="H49" s="154"/>
      <c r="I49" s="150"/>
      <c r="J49" s="123">
        <f t="shared" si="17"/>
        <v>3.7351900140147969E-3</v>
      </c>
      <c r="K49" s="130">
        <f t="shared" si="18"/>
        <v>365</v>
      </c>
      <c r="L49" s="131">
        <f>_xll.qlOvernightIndexedSwapFairRate(B49,_xll.ohTrigger(C49,InterestRatesTrigger))</f>
        <v>-7.8000000000007284E-4</v>
      </c>
      <c r="N49" s="161"/>
      <c r="O49" s="162"/>
      <c r="P49" s="153"/>
      <c r="Q49" s="143">
        <f t="shared" si="20"/>
        <v>4.5151900140148696E-3</v>
      </c>
      <c r="R49" s="118"/>
      <c r="S49" s="118"/>
      <c r="AB49" s="378">
        <f>_xll.qlCalendarAdvance(Calendar,AB48,"1d","mf")</f>
        <v>41919</v>
      </c>
      <c r="AC49" s="105">
        <f t="shared" si="15"/>
        <v>1.7325973963707724E-3</v>
      </c>
      <c r="AD49" s="105">
        <f t="shared" si="13"/>
        <v>2.0543838666849997E-3</v>
      </c>
      <c r="AE49" s="105">
        <f t="shared" si="14"/>
        <v>2.0131358683858295E-3</v>
      </c>
    </row>
    <row r="50" spans="2:31" x14ac:dyDescent="0.2">
      <c r="D50" s="106"/>
      <c r="E50" s="106"/>
      <c r="F50" s="106"/>
      <c r="G50" s="106"/>
      <c r="H50" s="106"/>
      <c r="I50" s="106"/>
      <c r="J50" s="106"/>
      <c r="K50" s="106"/>
      <c r="L50" s="106"/>
      <c r="AB50" s="378">
        <f>_xll.qlCalendarAdvance(Calendar,AB49,"1d","mf")</f>
        <v>41920</v>
      </c>
      <c r="AC50" s="105">
        <f t="shared" si="15"/>
        <v>1.7325973963707724E-3</v>
      </c>
      <c r="AD50" s="105">
        <f t="shared" si="13"/>
        <v>2.0491937623250927E-3</v>
      </c>
      <c r="AE50" s="105">
        <f t="shared" si="14"/>
        <v>1.9869881430198241E-3</v>
      </c>
    </row>
    <row r="51" spans="2:31" x14ac:dyDescent="0.2">
      <c r="N51" s="163"/>
      <c r="O51" s="163"/>
      <c r="P51" s="163"/>
      <c r="Q51" s="163"/>
      <c r="R51" s="163"/>
      <c r="S51" s="163"/>
      <c r="AB51" s="378">
        <f>_xll.qlCalendarAdvance(Calendar,AB50,"1d","mf")</f>
        <v>41921</v>
      </c>
      <c r="AC51" s="105">
        <f t="shared" si="15"/>
        <v>1.7325973963707724E-3</v>
      </c>
      <c r="AD51" s="105">
        <f t="shared" si="13"/>
        <v>2.0440036579651858E-3</v>
      </c>
      <c r="AE51" s="105">
        <f t="shared" si="14"/>
        <v>1.9612021681497628E-3</v>
      </c>
    </row>
    <row r="52" spans="2:31" x14ac:dyDescent="0.2">
      <c r="AB52" s="378">
        <f>_xll.qlCalendarAdvance(Calendar,AB51,"1d","mf")</f>
        <v>41922</v>
      </c>
      <c r="AC52" s="105">
        <f t="shared" si="15"/>
        <v>1.7325973963707724E-3</v>
      </c>
      <c r="AD52" s="105">
        <f t="shared" si="13"/>
        <v>2.0388135536052788E-3</v>
      </c>
      <c r="AE52" s="105">
        <f t="shared" si="14"/>
        <v>1.9357779437756462E-3</v>
      </c>
    </row>
    <row r="53" spans="2:31" x14ac:dyDescent="0.2">
      <c r="AB53" s="378">
        <f>_xll.qlCalendarAdvance(Calendar,AB52,"1d","mf")</f>
        <v>41925</v>
      </c>
      <c r="AC53" s="105">
        <f t="shared" si="15"/>
        <v>1.7325973963707724E-3</v>
      </c>
      <c r="AD53" s="105">
        <f t="shared" si="13"/>
        <v>2.0232432405255583E-3</v>
      </c>
      <c r="AE53" s="105">
        <f t="shared" si="14"/>
        <v>1.8616757736289607E-3</v>
      </c>
    </row>
    <row r="54" spans="2:31" x14ac:dyDescent="0.2">
      <c r="AB54" s="378">
        <f>_xll.qlCalendarAdvance(Calendar,AB53,"1d","mf")</f>
        <v>41926</v>
      </c>
      <c r="AC54" s="105">
        <f t="shared" si="15"/>
        <v>1.7325973963707724E-3</v>
      </c>
      <c r="AD54" s="105">
        <f t="shared" si="13"/>
        <v>2.0180531361656514E-3</v>
      </c>
      <c r="AE54" s="105">
        <f t="shared" si="14"/>
        <v>1.8376985512386207E-3</v>
      </c>
    </row>
    <row r="55" spans="2:31" x14ac:dyDescent="0.2">
      <c r="AB55" s="378">
        <f>_xll.qlCalendarAdvance(Calendar,AB54,"1d","mf")</f>
        <v>41927</v>
      </c>
      <c r="AC55" s="105">
        <f t="shared" si="15"/>
        <v>1.7325973963707724E-3</v>
      </c>
      <c r="AD55" s="105">
        <f t="shared" si="13"/>
        <v>2.0128630318057444E-3</v>
      </c>
      <c r="AE55" s="105">
        <f t="shared" si="14"/>
        <v>1.814083079344225E-3</v>
      </c>
    </row>
    <row r="56" spans="2:31" x14ac:dyDescent="0.2">
      <c r="AB56" s="378">
        <f>_xll.qlCalendarAdvance(Calendar,AB55,"1d","mf")</f>
        <v>41928</v>
      </c>
      <c r="AC56" s="105">
        <f t="shared" si="15"/>
        <v>1.7325973963707724E-3</v>
      </c>
      <c r="AD56" s="105">
        <f t="shared" si="13"/>
        <v>2.0076729274458379E-3</v>
      </c>
      <c r="AE56" s="105">
        <f t="shared" si="14"/>
        <v>1.7908293579457736E-3</v>
      </c>
    </row>
    <row r="57" spans="2:31" x14ac:dyDescent="0.2">
      <c r="AB57" s="378">
        <f>_xll.qlCalendarAdvance(Calendar,AB56,"1d","mf")</f>
        <v>41929</v>
      </c>
      <c r="AC57" s="105">
        <f t="shared" si="15"/>
        <v>1.7325973963707724E-3</v>
      </c>
      <c r="AD57" s="105">
        <f t="shared" si="13"/>
        <v>2.0024828230859309E-3</v>
      </c>
      <c r="AE57" s="105">
        <f t="shared" si="14"/>
        <v>1.7679373870432662E-3</v>
      </c>
    </row>
    <row r="58" spans="2:31" x14ac:dyDescent="0.2">
      <c r="AB58" s="378">
        <f>_xll.qlCalendarAdvance(Calendar,AB57,"1d","mf")</f>
        <v>41932</v>
      </c>
      <c r="AC58" s="105">
        <f t="shared" si="15"/>
        <v>1.7325973963707724E-3</v>
      </c>
      <c r="AD58" s="105">
        <f t="shared" si="13"/>
        <v>1.98691251000621E-3</v>
      </c>
      <c r="AE58" s="105">
        <f t="shared" si="14"/>
        <v>1.7014319773114095E-3</v>
      </c>
    </row>
    <row r="59" spans="2:31" x14ac:dyDescent="0.2">
      <c r="AB59" s="378">
        <f>_xll.qlCalendarAdvance(Calendar,AB58,"1d","mf")</f>
        <v>41933</v>
      </c>
      <c r="AC59" s="105">
        <f t="shared" si="15"/>
        <v>1.7325973963707724E-3</v>
      </c>
      <c r="AD59" s="105">
        <f t="shared" si="13"/>
        <v>1.981722405646303E-3</v>
      </c>
      <c r="AE59" s="105">
        <f t="shared" si="14"/>
        <v>1.6799870083926791E-3</v>
      </c>
    </row>
    <row r="60" spans="2:31" x14ac:dyDescent="0.2">
      <c r="AB60" s="378">
        <f>_xll.qlCalendarAdvance(Calendar,AB59,"1d","mf")</f>
        <v>41934</v>
      </c>
      <c r="AC60" s="105">
        <f t="shared" si="15"/>
        <v>1.7325973963707724E-3</v>
      </c>
      <c r="AD60" s="105">
        <f t="shared" si="13"/>
        <v>1.9765323012863965E-3</v>
      </c>
      <c r="AE60" s="105">
        <f t="shared" si="14"/>
        <v>1.6589037899698929E-3</v>
      </c>
    </row>
    <row r="61" spans="2:31" x14ac:dyDescent="0.2">
      <c r="AB61" s="378">
        <f>_xll.qlCalendarAdvance(Calendar,AB60,"1d","mf")</f>
        <v>41935</v>
      </c>
      <c r="AC61" s="105">
        <f t="shared" si="15"/>
        <v>1.7325973963707724E-3</v>
      </c>
      <c r="AD61" s="105">
        <f t="shared" si="13"/>
        <v>1.9713421969264895E-3</v>
      </c>
      <c r="AE61" s="105">
        <f t="shared" si="14"/>
        <v>1.638182322043051E-3</v>
      </c>
    </row>
    <row r="62" spans="2:31" x14ac:dyDescent="0.2">
      <c r="AB62" s="378">
        <f>_xll.qlCalendarAdvance(Calendar,AB61,"1d","mf")</f>
        <v>41936</v>
      </c>
      <c r="AC62" s="105">
        <f t="shared" si="15"/>
        <v>1.7325973963707724E-3</v>
      </c>
      <c r="AD62" s="105">
        <f t="shared" ref="AD62:AD93" si="22">$O$32+$O$31*(AB62-SettlementDate)</f>
        <v>1.9661520925665825E-3</v>
      </c>
      <c r="AE62" s="105">
        <f t="shared" ref="AE62:AE93" si="23">$T$32+$T$31*(AB62-SettlementDate)+$T$30*(AB62-SettlementDate)^2</f>
        <v>1.6178226046121532E-3</v>
      </c>
    </row>
    <row r="63" spans="2:31" x14ac:dyDescent="0.2">
      <c r="AB63" s="378">
        <f>_xll.qlCalendarAdvance(Calendar,AB62,"1d","mf")</f>
        <v>41939</v>
      </c>
      <c r="AC63" s="105">
        <f t="shared" si="15"/>
        <v>1.7325973963707724E-3</v>
      </c>
      <c r="AD63" s="105">
        <f t="shared" si="22"/>
        <v>1.9505817794868618E-3</v>
      </c>
      <c r="AE63" s="105">
        <f t="shared" si="23"/>
        <v>1.5589139552951254E-3</v>
      </c>
    </row>
    <row r="64" spans="2:31" x14ac:dyDescent="0.2">
      <c r="AB64" s="378">
        <f>_xll.qlCalendarAdvance(Calendar,AB63,"1d","mf")</f>
        <v>41940</v>
      </c>
      <c r="AC64" s="105">
        <f t="shared" si="15"/>
        <v>1.7325973963707724E-3</v>
      </c>
      <c r="AD64" s="105">
        <f t="shared" si="22"/>
        <v>1.9453916751269551E-3</v>
      </c>
      <c r="AE64" s="105">
        <f t="shared" si="23"/>
        <v>1.5400012398480043E-3</v>
      </c>
    </row>
    <row r="65" spans="28:31" x14ac:dyDescent="0.2">
      <c r="AB65" s="378">
        <f>_xll.qlCalendarAdvance(Calendar,AB64,"1d","mf")</f>
        <v>41941</v>
      </c>
      <c r="AC65" s="105">
        <f t="shared" si="15"/>
        <v>1.7325973963707724E-3</v>
      </c>
      <c r="AD65" s="105">
        <f t="shared" si="22"/>
        <v>1.9402015707670481E-3</v>
      </c>
      <c r="AE65" s="105">
        <f t="shared" si="23"/>
        <v>1.5214502748968277E-3</v>
      </c>
    </row>
    <row r="66" spans="28:31" x14ac:dyDescent="0.2">
      <c r="AB66" s="378">
        <f>_xll.qlCalendarAdvance(Calendar,AB65,"1d","mf")</f>
        <v>41942</v>
      </c>
      <c r="AC66" s="105">
        <f t="shared" si="15"/>
        <v>1.7325973963707724E-3</v>
      </c>
      <c r="AD66" s="105">
        <f t="shared" si="22"/>
        <v>1.9350114664071411E-3</v>
      </c>
      <c r="AE66" s="105">
        <f t="shared" si="23"/>
        <v>1.5032610604415954E-3</v>
      </c>
    </row>
    <row r="67" spans="28:31" x14ac:dyDescent="0.2">
      <c r="AB67" s="378">
        <f>_xll.qlCalendarAdvance(Calendar,AB66,"1d","mf")</f>
        <v>41943</v>
      </c>
      <c r="AC67" s="105">
        <f t="shared" si="15"/>
        <v>1.7325973963707724E-3</v>
      </c>
      <c r="AD67" s="105">
        <f t="shared" si="22"/>
        <v>1.9298213620472342E-3</v>
      </c>
      <c r="AE67" s="105">
        <f t="shared" si="23"/>
        <v>1.4854335964823073E-3</v>
      </c>
    </row>
    <row r="68" spans="28:31" x14ac:dyDescent="0.2">
      <c r="AB68" s="378">
        <f>_xll.qlCalendarAdvance(Calendar,AB67,"1d","mf")</f>
        <v>41946</v>
      </c>
      <c r="AC68" s="105">
        <f t="shared" si="15"/>
        <v>1.7325973963707724E-3</v>
      </c>
      <c r="AD68" s="105">
        <f t="shared" si="22"/>
        <v>1.9142510489675137E-3</v>
      </c>
      <c r="AE68" s="105">
        <f t="shared" si="23"/>
        <v>1.4341217075801082E-3</v>
      </c>
    </row>
    <row r="69" spans="28:31" x14ac:dyDescent="0.2">
      <c r="AB69" s="378">
        <f>_xll.qlCalendarAdvance(Calendar,AB68,"1d","mf")</f>
        <v>41947</v>
      </c>
      <c r="AC69" s="105">
        <f t="shared" si="15"/>
        <v>1.7325973963707724E-3</v>
      </c>
      <c r="AD69" s="105">
        <f t="shared" si="22"/>
        <v>1.9090609446076067E-3</v>
      </c>
      <c r="AE69" s="105">
        <f t="shared" si="23"/>
        <v>1.4177412456045969E-3</v>
      </c>
    </row>
    <row r="70" spans="28:31" x14ac:dyDescent="0.2">
      <c r="AB70" s="378">
        <f>_xll.qlCalendarAdvance(Calendar,AB69,"1d","mf")</f>
        <v>41948</v>
      </c>
      <c r="AC70" s="105">
        <f t="shared" si="15"/>
        <v>1.7325973963707724E-3</v>
      </c>
      <c r="AD70" s="105">
        <f t="shared" si="22"/>
        <v>1.9038708402476998E-3</v>
      </c>
      <c r="AE70" s="105">
        <f t="shared" si="23"/>
        <v>1.4017225341250298E-3</v>
      </c>
    </row>
    <row r="71" spans="28:31" x14ac:dyDescent="0.2">
      <c r="AB71" s="378">
        <f>_xll.qlCalendarAdvance(Calendar,AB70,"1d","mf")</f>
        <v>41949</v>
      </c>
      <c r="AC71" s="105">
        <f t="shared" si="15"/>
        <v>1.7325973963707724E-3</v>
      </c>
      <c r="AD71" s="105">
        <f t="shared" si="22"/>
        <v>1.898680735887793E-3</v>
      </c>
      <c r="AE71" s="105">
        <f t="shared" si="23"/>
        <v>1.3860655731414069E-3</v>
      </c>
    </row>
    <row r="72" spans="28:31" x14ac:dyDescent="0.2">
      <c r="AB72" s="378">
        <f>_xll.qlCalendarAdvance(Calendar,AB71,"1d","mf")</f>
        <v>41950</v>
      </c>
      <c r="AC72" s="105">
        <f t="shared" si="15"/>
        <v>1.7325973963707724E-3</v>
      </c>
      <c r="AD72" s="105">
        <f t="shared" si="22"/>
        <v>1.893490631527886E-3</v>
      </c>
      <c r="AE72" s="105">
        <f t="shared" si="23"/>
        <v>1.3707703626537283E-3</v>
      </c>
    </row>
    <row r="73" spans="28:31" x14ac:dyDescent="0.2">
      <c r="AB73" s="378">
        <f>_xll.qlCalendarAdvance(Calendar,AB72,"1d","mf")</f>
        <v>41953</v>
      </c>
      <c r="AC73" s="105">
        <f t="shared" si="15"/>
        <v>1.7325973963707724E-3</v>
      </c>
      <c r="AD73" s="105">
        <f t="shared" si="22"/>
        <v>1.8779203184481653E-3</v>
      </c>
      <c r="AE73" s="105">
        <f t="shared" si="23"/>
        <v>1.3270552341663581E-3</v>
      </c>
    </row>
    <row r="74" spans="28:31" x14ac:dyDescent="0.2">
      <c r="AB74" s="378">
        <f>_xll.qlCalendarAdvance(Calendar,AB73,"1d","mf")</f>
        <v>41954</v>
      </c>
      <c r="AC74" s="105">
        <f t="shared" si="15"/>
        <v>1.7325973963707724E-3</v>
      </c>
      <c r="AD74" s="105">
        <f t="shared" si="22"/>
        <v>1.8727302140882584E-3</v>
      </c>
      <c r="AE74" s="105">
        <f t="shared" si="23"/>
        <v>1.3132070256624564E-3</v>
      </c>
    </row>
    <row r="75" spans="28:31" x14ac:dyDescent="0.2">
      <c r="AB75" s="378">
        <f>_xll.qlCalendarAdvance(Calendar,AB74,"1d","mf")</f>
        <v>41955</v>
      </c>
      <c r="AC75" s="105">
        <f t="shared" si="15"/>
        <v>1.7325973963707724E-3</v>
      </c>
      <c r="AD75" s="105">
        <f t="shared" si="22"/>
        <v>1.8675401097283516E-3</v>
      </c>
      <c r="AE75" s="105">
        <f t="shared" si="23"/>
        <v>1.2997205676544988E-3</v>
      </c>
    </row>
    <row r="76" spans="28:31" x14ac:dyDescent="0.2">
      <c r="AB76" s="378">
        <f>_xll.qlCalendarAdvance(Calendar,AB75,"1d","mf")</f>
        <v>41956</v>
      </c>
      <c r="AC76" s="105">
        <f t="shared" si="15"/>
        <v>1.7325973963707724E-3</v>
      </c>
      <c r="AD76" s="105">
        <f t="shared" si="22"/>
        <v>1.8623500053684447E-3</v>
      </c>
      <c r="AE76" s="105">
        <f t="shared" si="23"/>
        <v>1.2865958601424856E-3</v>
      </c>
    </row>
    <row r="77" spans="28:31" x14ac:dyDescent="0.2">
      <c r="AB77" s="378">
        <f>_xll.qlCalendarAdvance(Calendar,AB76,"1d","mf")</f>
        <v>41957</v>
      </c>
      <c r="AC77" s="105">
        <f t="shared" si="15"/>
        <v>1.7325973963707724E-3</v>
      </c>
      <c r="AD77" s="105">
        <f t="shared" si="22"/>
        <v>1.8571599010085379E-3</v>
      </c>
      <c r="AE77" s="105">
        <f t="shared" si="23"/>
        <v>1.2738329031264164E-3</v>
      </c>
    </row>
    <row r="78" spans="28:31" x14ac:dyDescent="0.2">
      <c r="AB78" s="378">
        <f>_xll.qlCalendarAdvance(Calendar,AB77,"1d","mf")</f>
        <v>41960</v>
      </c>
      <c r="AC78" s="105">
        <f t="shared" si="15"/>
        <v>1.7325973963707724E-3</v>
      </c>
      <c r="AD78" s="105">
        <f t="shared" si="22"/>
        <v>1.8415895879288172E-3</v>
      </c>
      <c r="AE78" s="105">
        <f t="shared" si="23"/>
        <v>1.2377145350538745E-3</v>
      </c>
    </row>
    <row r="79" spans="28:31" x14ac:dyDescent="0.2">
      <c r="AB79" s="378">
        <f>_xll.qlCalendarAdvance(Calendar,AB78,"1d","mf")</f>
        <v>41961</v>
      </c>
      <c r="AC79" s="105">
        <f t="shared" si="15"/>
        <v>1.7325973963707724E-3</v>
      </c>
      <c r="AD79" s="105">
        <f t="shared" si="22"/>
        <v>1.8363994835689102E-3</v>
      </c>
      <c r="AE79" s="105">
        <f t="shared" si="23"/>
        <v>1.2263985800215829E-3</v>
      </c>
    </row>
    <row r="80" spans="28:31" x14ac:dyDescent="0.2">
      <c r="AB80" s="378">
        <f>_xll.qlCalendarAdvance(Calendar,AB79,"1d","mf")</f>
        <v>41962</v>
      </c>
      <c r="AC80" s="105">
        <f t="shared" si="15"/>
        <v>1.7325973963707724E-3</v>
      </c>
      <c r="AD80" s="105">
        <f t="shared" si="22"/>
        <v>1.8312093792090035E-3</v>
      </c>
      <c r="AE80" s="105">
        <f t="shared" si="23"/>
        <v>1.2154443754852349E-3</v>
      </c>
    </row>
    <row r="81" spans="28:31" x14ac:dyDescent="0.2">
      <c r="AB81" s="378">
        <f>_xll.qlCalendarAdvance(Calendar,AB80,"1d","mf")</f>
        <v>41963</v>
      </c>
      <c r="AC81" s="105">
        <f t="shared" si="15"/>
        <v>1.7325973963707724E-3</v>
      </c>
      <c r="AD81" s="105">
        <f t="shared" si="22"/>
        <v>1.8260192748490965E-3</v>
      </c>
      <c r="AE81" s="105">
        <f t="shared" si="23"/>
        <v>1.2048519214448313E-3</v>
      </c>
    </row>
    <row r="82" spans="28:31" x14ac:dyDescent="0.2">
      <c r="AB82" s="378">
        <f>_xll.qlCalendarAdvance(Calendar,AB81,"1d","mf")</f>
        <v>41964</v>
      </c>
      <c r="AC82" s="105">
        <f t="shared" si="15"/>
        <v>1.7325973963707724E-3</v>
      </c>
      <c r="AD82" s="105">
        <f t="shared" si="22"/>
        <v>1.8208291704891895E-3</v>
      </c>
      <c r="AE82" s="105">
        <f t="shared" si="23"/>
        <v>1.1946212179003717E-3</v>
      </c>
    </row>
    <row r="83" spans="28:31" x14ac:dyDescent="0.2">
      <c r="AB83" s="378">
        <f>_xll.qlCalendarAdvance(Calendar,AB82,"1d","mf")</f>
        <v>41967</v>
      </c>
      <c r="AC83" s="105">
        <f t="shared" si="15"/>
        <v>1.7325973963707724E-3</v>
      </c>
      <c r="AD83" s="105">
        <f t="shared" si="22"/>
        <v>1.8052588574094689E-3</v>
      </c>
      <c r="AE83" s="105">
        <f t="shared" si="23"/>
        <v>1.1660996102426586E-3</v>
      </c>
    </row>
    <row r="84" spans="28:31" x14ac:dyDescent="0.2">
      <c r="AB84" s="378">
        <f>_xll.qlCalendarAdvance(Calendar,AB83,"1d","mf")</f>
        <v>41968</v>
      </c>
      <c r="AC84" s="105">
        <f t="shared" si="15"/>
        <v>1.7325973963707724E-3</v>
      </c>
      <c r="AD84" s="105">
        <f t="shared" si="22"/>
        <v>1.8000687530495621E-3</v>
      </c>
      <c r="AE84" s="105">
        <f t="shared" si="23"/>
        <v>1.1573159086819764E-3</v>
      </c>
    </row>
    <row r="85" spans="28:31" x14ac:dyDescent="0.2">
      <c r="AB85" s="378">
        <f>_xll.qlCalendarAdvance(Calendar,AB84,"1d","mf")</f>
        <v>41969</v>
      </c>
      <c r="AC85" s="105">
        <f t="shared" si="15"/>
        <v>1.7325973963707724E-3</v>
      </c>
      <c r="AD85" s="105">
        <f t="shared" si="22"/>
        <v>1.7948786486896551E-3</v>
      </c>
      <c r="AE85" s="105">
        <f t="shared" si="23"/>
        <v>1.1488939576172379E-3</v>
      </c>
    </row>
    <row r="86" spans="28:31" x14ac:dyDescent="0.2">
      <c r="AB86" s="378">
        <f>_xll.qlCalendarAdvance(Calendar,AB85,"1d","mf")</f>
        <v>41970</v>
      </c>
      <c r="AC86" s="105">
        <f t="shared" si="15"/>
        <v>1.7325973963707724E-3</v>
      </c>
      <c r="AD86" s="105">
        <f t="shared" si="22"/>
        <v>1.7896885443297482E-3</v>
      </c>
      <c r="AE86" s="105">
        <f t="shared" si="23"/>
        <v>1.1408337570484439E-3</v>
      </c>
    </row>
    <row r="87" spans="28:31" x14ac:dyDescent="0.2">
      <c r="AB87" s="378">
        <f>_xll.qlCalendarAdvance(Calendar,AB86,"1d","mf")</f>
        <v>41971</v>
      </c>
      <c r="AC87" s="105">
        <f t="shared" si="15"/>
        <v>1.7325973963707724E-3</v>
      </c>
      <c r="AD87" s="105">
        <f t="shared" si="22"/>
        <v>1.7844984399698414E-3</v>
      </c>
      <c r="AE87" s="105">
        <f t="shared" si="23"/>
        <v>1.1331353069755938E-3</v>
      </c>
    </row>
    <row r="88" spans="28:31" x14ac:dyDescent="0.2">
      <c r="AB88" s="378">
        <f>_xll.qlCalendarAdvance(Calendar,AB87,"1d","mf")</f>
        <v>41974</v>
      </c>
      <c r="AC88" s="105">
        <f t="shared" si="15"/>
        <v>1.7325973963707724E-3</v>
      </c>
      <c r="AD88" s="105">
        <f t="shared" si="22"/>
        <v>1.7689281268901207E-3</v>
      </c>
      <c r="AE88" s="105">
        <f t="shared" si="23"/>
        <v>1.1122104597327093E-3</v>
      </c>
    </row>
    <row r="89" spans="28:31" x14ac:dyDescent="0.2">
      <c r="AB89" s="378">
        <f>_xll.qlCalendarAdvance(Calendar,AB88,"1d","mf")</f>
        <v>41975</v>
      </c>
      <c r="AC89" s="105">
        <f t="shared" si="15"/>
        <v>1.7325973963707724E-3</v>
      </c>
      <c r="AD89" s="105">
        <f t="shared" si="22"/>
        <v>1.7637380225302137E-3</v>
      </c>
      <c r="AE89" s="105">
        <f t="shared" si="23"/>
        <v>1.1059590116436363E-3</v>
      </c>
    </row>
    <row r="90" spans="28:31" x14ac:dyDescent="0.2">
      <c r="AB90" s="378">
        <f>_xll.qlCalendarAdvance(Calendar,AB89,"1d","mf")</f>
        <v>41976</v>
      </c>
      <c r="AC90" s="105">
        <f t="shared" si="15"/>
        <v>1.7325973963707724E-3</v>
      </c>
      <c r="AD90" s="105">
        <f t="shared" si="22"/>
        <v>1.7585479181703068E-3</v>
      </c>
      <c r="AE90" s="105">
        <f t="shared" si="23"/>
        <v>1.1000693140505076E-3</v>
      </c>
    </row>
    <row r="91" spans="28:31" x14ac:dyDescent="0.2">
      <c r="AB91" s="378">
        <f>_xll.qlCalendarAdvance(Calendar,AB90,"1d","mf")</f>
        <v>41977</v>
      </c>
      <c r="AC91" s="105">
        <f t="shared" si="15"/>
        <v>1.7325973963707724E-3</v>
      </c>
      <c r="AD91" s="105">
        <f t="shared" si="22"/>
        <v>1.7533578138104E-3</v>
      </c>
      <c r="AE91" s="105">
        <f t="shared" si="23"/>
        <v>1.0945413669533235E-3</v>
      </c>
    </row>
    <row r="92" spans="28:31" x14ac:dyDescent="0.2">
      <c r="AB92" s="378">
        <f>_xll.qlCalendarAdvance(Calendar,AB91,"1d","mf")</f>
        <v>41978</v>
      </c>
      <c r="AC92" s="105">
        <f t="shared" si="15"/>
        <v>1.7325973963707724E-3</v>
      </c>
      <c r="AD92" s="105">
        <f t="shared" si="22"/>
        <v>1.7481677094504931E-3</v>
      </c>
      <c r="AE92" s="105">
        <f t="shared" si="23"/>
        <v>1.089375170352083E-3</v>
      </c>
    </row>
    <row r="93" spans="28:31" x14ac:dyDescent="0.2">
      <c r="AB93" s="378">
        <f>_xll.qlCalendarAdvance(Calendar,AB92,"1d","mf")</f>
        <v>41981</v>
      </c>
      <c r="AC93" s="105">
        <f t="shared" si="15"/>
        <v>1.7325973963707724E-3</v>
      </c>
      <c r="AD93" s="105">
        <f t="shared" si="22"/>
        <v>1.7325973963707724E-3</v>
      </c>
      <c r="AE93" s="105">
        <f t="shared" si="23"/>
        <v>1.0760470835240272E-3</v>
      </c>
    </row>
    <row r="94" spans="28:31" x14ac:dyDescent="0.2">
      <c r="AB94" s="378">
        <f>_xll.qlCalendarAdvance(Calendar,AB93,"1d","mf")</f>
        <v>41982</v>
      </c>
      <c r="AC94" s="105">
        <f t="shared" si="15"/>
        <v>1.7325973963707724E-3</v>
      </c>
      <c r="AD94" s="105">
        <f t="shared" ref="AD94:AD96" si="24">$O$32+$O$31*(AB94-SettlementDate)</f>
        <v>1.7274072920108656E-3</v>
      </c>
      <c r="AE94" s="105">
        <f t="shared" ref="AE94:AE96" si="25">$T$32+$T$31*(AB94-SettlementDate)+$T$30*(AB94-SettlementDate)^2</f>
        <v>1.0723278889065639E-3</v>
      </c>
    </row>
    <row r="95" spans="28:31" x14ac:dyDescent="0.2">
      <c r="AB95" s="378">
        <f>_xll.qlCalendarAdvance(Calendar,AB94,"1d","mf")</f>
        <v>41983</v>
      </c>
      <c r="AC95" s="105">
        <f t="shared" ref="AC95:AC96" si="26">$H$32</f>
        <v>1.7325973963707724E-3</v>
      </c>
      <c r="AD95" s="105">
        <f t="shared" si="24"/>
        <v>1.7222171876509586E-3</v>
      </c>
      <c r="AE95" s="105">
        <f t="shared" si="25"/>
        <v>1.0689704447850445E-3</v>
      </c>
    </row>
    <row r="96" spans="28:31" x14ac:dyDescent="0.2">
      <c r="AB96" s="378">
        <f>_xll.qlCalendarAdvance(Calendar,AB95,"1d","mf")</f>
        <v>41984</v>
      </c>
      <c r="AC96" s="105">
        <f t="shared" si="26"/>
        <v>1.7325973963707724E-3</v>
      </c>
      <c r="AD96" s="105">
        <f t="shared" si="24"/>
        <v>1.7170270832910519E-3</v>
      </c>
      <c r="AE96" s="105">
        <f t="shared" si="25"/>
        <v>1.06597475115947E-3</v>
      </c>
    </row>
    <row r="97" spans="28:31" x14ac:dyDescent="0.2">
      <c r="AB97" s="378"/>
      <c r="AC97" s="105"/>
      <c r="AD97" s="105"/>
      <c r="AE97" s="105"/>
    </row>
    <row r="98" spans="28:31" x14ac:dyDescent="0.2">
      <c r="AB98" s="378"/>
      <c r="AC98" s="105"/>
      <c r="AD98" s="105"/>
      <c r="AE98" s="105"/>
    </row>
    <row r="99" spans="28:31" x14ac:dyDescent="0.2">
      <c r="AB99" s="378"/>
      <c r="AC99" s="105"/>
      <c r="AD99" s="105"/>
      <c r="AE99" s="105"/>
    </row>
    <row r="100" spans="28:31" x14ac:dyDescent="0.2">
      <c r="AB100" s="378"/>
      <c r="AC100" s="105"/>
      <c r="AD100" s="105"/>
      <c r="AE100" s="105"/>
    </row>
    <row r="101" spans="28:31" x14ac:dyDescent="0.2">
      <c r="AB101" s="378"/>
      <c r="AC101" s="105"/>
      <c r="AD101" s="105"/>
      <c r="AE101" s="105"/>
    </row>
    <row r="102" spans="28:31" x14ac:dyDescent="0.2">
      <c r="AB102" s="378"/>
      <c r="AC102" s="105"/>
      <c r="AD102" s="105"/>
      <c r="AE102" s="105"/>
    </row>
    <row r="103" spans="28:31" x14ac:dyDescent="0.2">
      <c r="AB103" s="378"/>
      <c r="AC103" s="105"/>
      <c r="AD103" s="105"/>
      <c r="AE103" s="105"/>
    </row>
    <row r="104" spans="28:31" x14ac:dyDescent="0.2">
      <c r="AB104" s="378"/>
      <c r="AC104" s="105"/>
      <c r="AD104" s="105"/>
      <c r="AE104" s="105"/>
    </row>
    <row r="105" spans="28:31" x14ac:dyDescent="0.2">
      <c r="AB105" s="378"/>
      <c r="AC105" s="105"/>
      <c r="AD105" s="105"/>
      <c r="AE105" s="105"/>
    </row>
    <row r="106" spans="28:31" x14ac:dyDescent="0.2">
      <c r="AB106" s="378"/>
      <c r="AC106" s="105"/>
      <c r="AD106" s="105"/>
      <c r="AE106" s="105"/>
    </row>
    <row r="107" spans="28:31" x14ac:dyDescent="0.2">
      <c r="AB107" s="378"/>
      <c r="AC107" s="105"/>
      <c r="AD107" s="105"/>
      <c r="AE107" s="105"/>
    </row>
    <row r="108" spans="28:31" x14ac:dyDescent="0.2">
      <c r="AB108" s="378"/>
      <c r="AC108" s="105"/>
      <c r="AD108" s="105"/>
      <c r="AE108" s="105"/>
    </row>
    <row r="109" spans="28:31" x14ac:dyDescent="0.2">
      <c r="AB109" s="378"/>
      <c r="AC109" s="105"/>
      <c r="AD109" s="105"/>
      <c r="AE109" s="105"/>
    </row>
    <row r="110" spans="28:31" x14ac:dyDescent="0.2">
      <c r="AB110" s="378"/>
      <c r="AC110" s="105"/>
      <c r="AD110" s="105"/>
      <c r="AE110" s="105"/>
    </row>
    <row r="111" spans="28:31" x14ac:dyDescent="0.2">
      <c r="AB111" s="378"/>
      <c r="AC111" s="105"/>
      <c r="AD111" s="105"/>
      <c r="AE111" s="105"/>
    </row>
    <row r="112" spans="28:31" x14ac:dyDescent="0.2">
      <c r="AB112" s="378"/>
      <c r="AC112" s="105"/>
      <c r="AD112" s="105"/>
      <c r="AE112" s="105"/>
    </row>
    <row r="113" spans="28:31" x14ac:dyDescent="0.2">
      <c r="AB113" s="378"/>
      <c r="AC113" s="105"/>
      <c r="AD113" s="105"/>
      <c r="AE113" s="105"/>
    </row>
    <row r="114" spans="28:31" x14ac:dyDescent="0.2">
      <c r="AB114" s="378"/>
      <c r="AC114" s="105"/>
      <c r="AD114" s="105"/>
      <c r="AE114" s="105"/>
    </row>
    <row r="115" spans="28:31" x14ac:dyDescent="0.2">
      <c r="AB115" s="378"/>
      <c r="AC115" s="105"/>
      <c r="AD115" s="105"/>
      <c r="AE115" s="105"/>
    </row>
    <row r="116" spans="28:31" x14ac:dyDescent="0.2">
      <c r="AB116" s="378"/>
      <c r="AC116" s="105"/>
      <c r="AD116" s="105"/>
      <c r="AE116" s="105"/>
    </row>
    <row r="117" spans="28:31" x14ac:dyDescent="0.2">
      <c r="AB117" s="378"/>
      <c r="AC117" s="105"/>
      <c r="AD117" s="105"/>
      <c r="AE117" s="105"/>
    </row>
    <row r="118" spans="28:31" x14ac:dyDescent="0.2">
      <c r="AB118" s="378"/>
      <c r="AC118" s="105"/>
      <c r="AD118" s="105"/>
      <c r="AE118" s="105"/>
    </row>
    <row r="119" spans="28:31" x14ac:dyDescent="0.2">
      <c r="AB119" s="378"/>
      <c r="AC119" s="105"/>
      <c r="AD119" s="105"/>
      <c r="AE119" s="105"/>
    </row>
    <row r="120" spans="28:31" x14ac:dyDescent="0.2">
      <c r="AB120" s="378"/>
      <c r="AC120" s="105"/>
      <c r="AD120" s="105"/>
      <c r="AE120" s="105"/>
    </row>
    <row r="121" spans="28:31" x14ac:dyDescent="0.2">
      <c r="AB121" s="378"/>
      <c r="AC121" s="105"/>
      <c r="AD121" s="105"/>
      <c r="AE121" s="105"/>
    </row>
    <row r="122" spans="28:31" x14ac:dyDescent="0.2">
      <c r="AB122" s="378"/>
      <c r="AC122" s="105"/>
      <c r="AD122" s="105"/>
      <c r="AE122" s="105"/>
    </row>
    <row r="123" spans="28:31" x14ac:dyDescent="0.2">
      <c r="AB123" s="378"/>
      <c r="AC123" s="105"/>
      <c r="AD123" s="105"/>
      <c r="AE123" s="105"/>
    </row>
    <row r="124" spans="28:31" x14ac:dyDescent="0.2">
      <c r="AB124" s="378"/>
      <c r="AC124" s="105"/>
      <c r="AD124" s="105"/>
      <c r="AE124" s="105"/>
    </row>
    <row r="125" spans="28:31" x14ac:dyDescent="0.2">
      <c r="AB125" s="378"/>
      <c r="AC125" s="105"/>
      <c r="AD125" s="105"/>
      <c r="AE125" s="105"/>
    </row>
    <row r="126" spans="28:31" x14ac:dyDescent="0.2">
      <c r="AB126" s="378"/>
      <c r="AC126" s="105"/>
      <c r="AD126" s="105"/>
      <c r="AE126" s="105"/>
    </row>
    <row r="127" spans="28:31" x14ac:dyDescent="0.2">
      <c r="AB127" s="378"/>
      <c r="AC127" s="105"/>
      <c r="AD127" s="105"/>
      <c r="AE127" s="105"/>
    </row>
    <row r="128" spans="28:31" x14ac:dyDescent="0.2">
      <c r="AB128" s="378"/>
      <c r="AC128" s="105"/>
      <c r="AD128" s="105"/>
      <c r="AE128" s="105"/>
    </row>
    <row r="129" spans="28:31" x14ac:dyDescent="0.2">
      <c r="AB129" s="378"/>
      <c r="AC129" s="105"/>
      <c r="AD129" s="105"/>
      <c r="AE129" s="105"/>
    </row>
    <row r="130" spans="28:31" x14ac:dyDescent="0.2">
      <c r="AB130" s="378"/>
      <c r="AC130" s="105"/>
      <c r="AD130" s="105"/>
      <c r="AE130" s="105"/>
    </row>
    <row r="131" spans="28:31" x14ac:dyDescent="0.2">
      <c r="AB131" s="378"/>
      <c r="AC131" s="105"/>
      <c r="AD131" s="105"/>
      <c r="AE131" s="105"/>
    </row>
    <row r="132" spans="28:31" x14ac:dyDescent="0.2">
      <c r="AB132" s="378"/>
      <c r="AC132" s="105"/>
      <c r="AD132" s="105"/>
      <c r="AE132" s="105"/>
    </row>
    <row r="133" spans="28:31" x14ac:dyDescent="0.2">
      <c r="AB133" s="378"/>
      <c r="AC133" s="105"/>
      <c r="AD133" s="105"/>
      <c r="AE133" s="105"/>
    </row>
    <row r="134" spans="28:31" x14ac:dyDescent="0.2">
      <c r="AB134" s="378"/>
      <c r="AC134" s="105"/>
      <c r="AD134" s="105"/>
      <c r="AE134" s="105"/>
    </row>
    <row r="135" spans="28:31" x14ac:dyDescent="0.2">
      <c r="AB135" s="378"/>
      <c r="AC135" s="105"/>
      <c r="AD135" s="105"/>
      <c r="AE135" s="105"/>
    </row>
    <row r="136" spans="28:31" x14ac:dyDescent="0.2">
      <c r="AB136" s="378"/>
      <c r="AC136" s="105"/>
      <c r="AD136" s="105"/>
      <c r="AE136" s="105"/>
    </row>
    <row r="137" spans="28:31" x14ac:dyDescent="0.2">
      <c r="AB137" s="378"/>
      <c r="AC137" s="105"/>
      <c r="AD137" s="105"/>
      <c r="AE137" s="105"/>
    </row>
    <row r="138" spans="28:31" x14ac:dyDescent="0.2">
      <c r="AB138" s="378"/>
      <c r="AC138" s="105"/>
      <c r="AD138" s="105"/>
      <c r="AE138" s="105"/>
    </row>
    <row r="139" spans="28:31" x14ac:dyDescent="0.2">
      <c r="AB139" s="378"/>
      <c r="AC139" s="105"/>
      <c r="AD139" s="105"/>
      <c r="AE139" s="105"/>
    </row>
    <row r="140" spans="28:31" x14ac:dyDescent="0.2">
      <c r="AB140" s="378"/>
      <c r="AC140" s="105"/>
      <c r="AD140" s="105"/>
      <c r="AE140" s="105"/>
    </row>
    <row r="141" spans="28:31" x14ac:dyDescent="0.2">
      <c r="AB141" s="378"/>
      <c r="AC141" s="105"/>
      <c r="AD141" s="105"/>
      <c r="AE141" s="105"/>
    </row>
    <row r="142" spans="28:31" x14ac:dyDescent="0.2">
      <c r="AB142" s="378"/>
      <c r="AC142" s="105"/>
      <c r="AD142" s="105"/>
      <c r="AE142" s="105"/>
    </row>
    <row r="143" spans="28:31" x14ac:dyDescent="0.2">
      <c r="AB143" s="378"/>
      <c r="AC143" s="105"/>
      <c r="AD143" s="105"/>
      <c r="AE143" s="105"/>
    </row>
  </sheetData>
  <dataValidations disablePrompts="1"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531" t="s">
        <v>102</v>
      </c>
      <c r="C1" s="532"/>
      <c r="D1" s="532"/>
      <c r="E1" s="193" t="s">
        <v>103</v>
      </c>
      <c r="F1" s="193" t="s">
        <v>104</v>
      </c>
      <c r="G1" s="193" t="s">
        <v>105</v>
      </c>
      <c r="H1" s="193" t="s">
        <v>106</v>
      </c>
      <c r="I1" s="193" t="s">
        <v>107</v>
      </c>
      <c r="J1" s="193" t="s">
        <v>108</v>
      </c>
      <c r="K1" s="193" t="s">
        <v>109</v>
      </c>
      <c r="L1" s="194" t="s">
        <v>110</v>
      </c>
    </row>
    <row r="2" spans="2:13" x14ac:dyDescent="0.2">
      <c r="B2" s="196"/>
      <c r="C2" s="197" t="s">
        <v>31</v>
      </c>
      <c r="D2" s="198" t="s">
        <v>111</v>
      </c>
      <c r="E2" s="265" t="str">
        <f>Contribution!$D$40</f>
        <v>EUR1YD_SYNTH1Y_Quote#0001</v>
      </c>
      <c r="F2" s="265" t="str">
        <f>_xll.qlDepositRateHelper(,E2,$F$10,)</f>
        <v>obj_003ca#0001</v>
      </c>
      <c r="G2" s="199" t="e">
        <f>_xll.qlRateHelperQuoteValue(F2,InterestRatesTrigger)</f>
        <v>#NUM!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41892</v>
      </c>
      <c r="L2" s="202">
        <f>_xll.qlRateHelperLatestDate($F2,InterestRatesTrigger)</f>
        <v>42257</v>
      </c>
    </row>
    <row r="3" spans="2:13" ht="11.25" customHeight="1" x14ac:dyDescent="0.2">
      <c r="B3" s="203">
        <v>12</v>
      </c>
      <c r="C3" s="204" t="s">
        <v>112</v>
      </c>
      <c r="D3" s="204" t="s">
        <v>113</v>
      </c>
      <c r="E3" s="266" t="s">
        <v>114</v>
      </c>
      <c r="F3" s="266" t="str">
        <f>_xll.qlFraRateHelper(,E3,B3&amp;"M",$F$10)</f>
        <v>obj_003c5#0001</v>
      </c>
      <c r="G3" s="205">
        <f>_xll.qlRateHelperQuoteValue(F3,InterestRatesTrigger)</f>
        <v>3.4399999999999999E-3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42257</v>
      </c>
      <c r="L3" s="208">
        <f>_xll.qlRateHelperLatestDate($F3,InterestRatesTrigger)</f>
        <v>42625</v>
      </c>
      <c r="M3" s="209"/>
    </row>
    <row r="4" spans="2:13" x14ac:dyDescent="0.2">
      <c r="B4" s="210" t="s">
        <v>115</v>
      </c>
      <c r="C4" s="211" t="s">
        <v>116</v>
      </c>
      <c r="D4" s="212" t="s">
        <v>117</v>
      </c>
      <c r="E4" s="267" t="s">
        <v>118</v>
      </c>
      <c r="F4" s="267" t="str">
        <f>_xll.qlSwapRateHelper2(,E4,D4,Calendar,"annual","mf","30/360 (Bond Basis)",$F$10,0,"0D",Discounting)</f>
        <v>obj_00399#0001</v>
      </c>
      <c r="G4" s="213">
        <f>_xll.qlRateHelperQuoteValue(F4,InterestRatesTrigger)</f>
        <v>4.1200000000000004E-3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41892</v>
      </c>
      <c r="L4" s="216">
        <f>_xll.qlRateHelperLatestDate($F4,InterestRatesTrigger)</f>
        <v>42989</v>
      </c>
    </row>
    <row r="5" spans="2:13" x14ac:dyDescent="0.2">
      <c r="B5" s="217" t="s">
        <v>115</v>
      </c>
      <c r="C5" s="218" t="s">
        <v>116</v>
      </c>
      <c r="D5" s="219" t="s">
        <v>119</v>
      </c>
      <c r="E5" s="268" t="s">
        <v>120</v>
      </c>
      <c r="F5" s="268" t="str">
        <f>_xll.qlSwapRateHelper2(,E5,D5,Calendar,"annual","mf","30/360 (Bond Basis)",$F$10,0,"0D",Discounting)</f>
        <v>obj_0039a#0001</v>
      </c>
      <c r="G5" s="220">
        <f>_xll.qlRateHelperQuoteValue(F5,InterestRatesTrigger)</f>
        <v>4.9899999999999996E-3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41892</v>
      </c>
      <c r="L5" s="223">
        <f>_xll.qlRateHelperLatestDate($F5,InterestRatesTrigger)</f>
        <v>43353</v>
      </c>
    </row>
    <row r="6" spans="2:13" x14ac:dyDescent="0.2">
      <c r="B6" s="224" t="s">
        <v>115</v>
      </c>
      <c r="C6" s="197" t="s">
        <v>116</v>
      </c>
      <c r="D6" s="198" t="s">
        <v>121</v>
      </c>
      <c r="E6" s="265" t="s">
        <v>122</v>
      </c>
      <c r="F6" s="265" t="str">
        <f>_xll.qlSwapRateHelper2(,E6,D6,Calendar,"annual","mf","30/360 (Bond Basis)",$F$10,0,"0D",Discounting)</f>
        <v>obj_0037f#0001</v>
      </c>
      <c r="G6" s="199">
        <f>_xll.qlRateHelperQuoteValue(F6,InterestRatesTrigger)</f>
        <v>6.1099999999999991E-3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41892</v>
      </c>
      <c r="L6" s="202">
        <f>_xll.qlRateHelperLatestDate($F6,InterestRatesTrigger)</f>
        <v>43718</v>
      </c>
    </row>
    <row r="10" spans="2:13" x14ac:dyDescent="0.2">
      <c r="F10" s="195" t="str">
        <f>_xll.qlEuribor(,IborTenor,,,EvaluationDate)</f>
        <v>obj_0037c#0001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>
      <selection activeCell="J14" sqref="J14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81</v>
      </c>
      <c r="K2" s="175"/>
      <c r="L2" s="283" t="s">
        <v>82</v>
      </c>
      <c r="M2" s="175"/>
      <c r="N2" s="275" t="s">
        <v>83</v>
      </c>
      <c r="O2" s="287" t="s">
        <v>84</v>
      </c>
      <c r="P2" s="353">
        <f>_xll.ohTrigger(O3:O7)</f>
        <v>11</v>
      </c>
    </row>
    <row r="3" spans="1:16" x14ac:dyDescent="0.2">
      <c r="A3" s="335">
        <v>1</v>
      </c>
      <c r="B3" s="323" t="s">
        <v>85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EURSND_SYNTH1M_Quote#0001</v>
      </c>
      <c r="E3" s="319" t="str">
        <f>_xll.ohRangeRetrieveError(D3)</f>
        <v/>
      </c>
      <c r="F3" s="173"/>
      <c r="H3" s="174"/>
      <c r="I3" s="277" t="s">
        <v>85</v>
      </c>
      <c r="J3" s="278">
        <f>SynthDepo!G34</f>
        <v>5.0448242386036738E-4</v>
      </c>
      <c r="K3" s="178" t="s">
        <v>86</v>
      </c>
      <c r="L3" s="284">
        <v>7.562493980206341E-4</v>
      </c>
      <c r="M3" s="175"/>
      <c r="N3" s="288">
        <f t="array" ref="N3:N84">QuoteLive</f>
        <v>5.0448242386036738E-4</v>
      </c>
      <c r="O3" s="289">
        <f>_xll.qlSimpleQuoteSetValue(D3,ROUND($N3,6),EvaluationDate)</f>
        <v>0</v>
      </c>
      <c r="P3" s="176"/>
    </row>
    <row r="4" spans="1:16" x14ac:dyDescent="0.2">
      <c r="A4" s="336" t="str">
        <f>_xll.qlPeriodEquivalent(Months1M&amp;"M")</f>
        <v>1M</v>
      </c>
      <c r="B4" s="326" t="s">
        <v>87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EURSWD_SYNTH1M_Quote#0001</v>
      </c>
      <c r="E4" s="320" t="str">
        <f>_xll.ohRangeRetrieveError(D4)</f>
        <v/>
      </c>
      <c r="F4" s="173"/>
      <c r="H4" s="174"/>
      <c r="I4" s="277" t="s">
        <v>87</v>
      </c>
      <c r="J4" s="278">
        <f>SynthDepo!G35</f>
        <v>1.6304185270393085E-4</v>
      </c>
      <c r="K4" s="178" t="s">
        <v>86</v>
      </c>
      <c r="L4" s="284">
        <v>7.139280586619277E-4</v>
      </c>
      <c r="M4" s="175"/>
      <c r="N4" s="288">
        <v>1.6304185270393085E-4</v>
      </c>
      <c r="O4" s="289">
        <f>_xll.qlSimpleQuoteSetValue(D4,ROUND($N4,6),EvaluationDate)</f>
        <v>0</v>
      </c>
      <c r="P4" s="176"/>
    </row>
    <row r="5" spans="1:16" x14ac:dyDescent="0.2">
      <c r="A5" s="337"/>
      <c r="B5" s="326" t="s">
        <v>88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EUR2WD_SYNTH1M_Quote#0001</v>
      </c>
      <c r="E5" s="320" t="str">
        <f>_xll.ohRangeRetrieveError(D5)</f>
        <v/>
      </c>
      <c r="F5" s="173"/>
      <c r="H5" s="174"/>
      <c r="I5" s="277" t="s">
        <v>88</v>
      </c>
      <c r="J5" s="278">
        <f>SynthDepo!G36</f>
        <v>2.1136119120447074E-4</v>
      </c>
      <c r="K5" s="178" t="s">
        <v>86</v>
      </c>
      <c r="L5" s="284">
        <v>7.1986570928168924E-4</v>
      </c>
      <c r="M5" s="175"/>
      <c r="N5" s="288">
        <v>2.1136119120447074E-4</v>
      </c>
      <c r="O5" s="289">
        <f>_xll.qlSimpleQuoteSetValue(D5,ROUND($N5,6),EvaluationDate)</f>
        <v>0</v>
      </c>
      <c r="P5" s="176"/>
    </row>
    <row r="6" spans="1:16" x14ac:dyDescent="0.2">
      <c r="A6" s="337"/>
      <c r="B6" s="326" t="s">
        <v>89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EUR3WD_SYNTH1M_Quote#0001</v>
      </c>
      <c r="E6" s="320" t="str">
        <f>_xll.ohRangeRetrieveError(D6)</f>
        <v/>
      </c>
      <c r="F6" s="173"/>
      <c r="H6" s="174"/>
      <c r="I6" s="279" t="s">
        <v>89</v>
      </c>
      <c r="J6" s="280">
        <f>SynthDepo!G37</f>
        <v>3.0968051835727291E-4</v>
      </c>
      <c r="K6" s="178" t="s">
        <v>86</v>
      </c>
      <c r="L6" s="285">
        <v>9.4580336066685212E-4</v>
      </c>
      <c r="M6" s="175"/>
      <c r="N6" s="290">
        <v>3.0968051835727291E-4</v>
      </c>
      <c r="O6" s="291">
        <f>_xll.qlSimpleQuoteSetValue(D6,ROUND($N6,6),EvaluationDate)</f>
        <v>0</v>
      </c>
      <c r="P6" s="176"/>
    </row>
    <row r="7" spans="1:16" ht="12" thickBot="1" x14ac:dyDescent="0.25">
      <c r="A7" s="338"/>
      <c r="B7" s="334" t="s">
        <v>90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EUR1MD_SYNTH1M_Quote#0001</v>
      </c>
      <c r="E7" s="331" t="str">
        <f>_xll.ohRangeRetrieveError(D7)</f>
        <v/>
      </c>
      <c r="F7" s="173"/>
      <c r="H7" s="297"/>
      <c r="I7" s="281" t="s">
        <v>90</v>
      </c>
      <c r="J7" s="282">
        <f>SynthDepo!G38</f>
        <v>1.8085409261052714E-4</v>
      </c>
      <c r="K7" s="298" t="s">
        <v>86</v>
      </c>
      <c r="L7" s="286">
        <v>8.9999999999999998E-4</v>
      </c>
      <c r="M7" s="297"/>
      <c r="N7" s="292">
        <v>1.8085409261052714E-4</v>
      </c>
      <c r="O7" s="293">
        <f>_xll.qlSimpleQuoteSetValue(D7,ROUND($N7,6),EvaluationDate)</f>
        <v>0</v>
      </c>
      <c r="P7" s="297"/>
    </row>
    <row r="8" spans="1:16" x14ac:dyDescent="0.2">
      <c r="A8" s="317">
        <v>3</v>
      </c>
      <c r="B8" s="323" t="s">
        <v>85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EURSND_SYNTH3M_Quote#0001</v>
      </c>
      <c r="E8" s="319"/>
      <c r="F8" s="181"/>
      <c r="H8" s="184"/>
      <c r="I8" s="299" t="s">
        <v>85</v>
      </c>
      <c r="J8" s="300">
        <f>'3M Depo Charts'!D32</f>
        <v>1.5351142650928177E-3</v>
      </c>
      <c r="K8" s="185"/>
      <c r="L8" s="301">
        <v>2.0854566594392708E-3</v>
      </c>
      <c r="M8" s="183"/>
      <c r="N8" s="302">
        <v>1.5351142650928177E-3</v>
      </c>
      <c r="O8" s="303">
        <f>_xll.qlSimpleQuoteSetValue(D8,ROUND($N8,6),EvaluationDate)</f>
        <v>0</v>
      </c>
      <c r="P8" s="354">
        <f>_xll.ohTrigger(O8:O14)</f>
        <v>11</v>
      </c>
    </row>
    <row r="9" spans="1:16" x14ac:dyDescent="0.2">
      <c r="A9" s="318" t="str">
        <f>_xll.qlPeriodEquivalent(Months3M&amp;"M")</f>
        <v>3M</v>
      </c>
      <c r="B9" s="326" t="s">
        <v>87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EURSWD_SYNTH3M_Quote#0001</v>
      </c>
      <c r="E9" s="320"/>
      <c r="F9" s="181"/>
      <c r="H9" s="184"/>
      <c r="I9" s="294" t="s">
        <v>87</v>
      </c>
      <c r="J9" s="278">
        <f>'3M Depo Charts'!D33</f>
        <v>1.1318726019303039E-3</v>
      </c>
      <c r="K9" s="185"/>
      <c r="L9" s="284">
        <v>2.0363357259103824E-3</v>
      </c>
      <c r="M9" s="183"/>
      <c r="N9" s="288">
        <v>1.1318726019303039E-3</v>
      </c>
      <c r="O9" s="289">
        <f>_xll.qlSimpleQuoteSetValue(D9,ROUND($N9,6),EvaluationDate)</f>
        <v>-5.2599999999999999E-4</v>
      </c>
      <c r="P9" s="176"/>
    </row>
    <row r="10" spans="1:16" x14ac:dyDescent="0.2">
      <c r="A10" s="180"/>
      <c r="B10" s="326" t="s">
        <v>88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EUR2WD_SYNTH3M_Quote#0001</v>
      </c>
      <c r="E10" s="320"/>
      <c r="F10" s="181"/>
      <c r="H10" s="184"/>
      <c r="I10" s="294" t="s">
        <v>88</v>
      </c>
      <c r="J10" s="278">
        <f>'3M Depo Charts'!D34</f>
        <v>1.1081410605831908E-3</v>
      </c>
      <c r="K10" s="185"/>
      <c r="L10" s="284">
        <v>2.0303740867323259E-3</v>
      </c>
      <c r="M10" s="183"/>
      <c r="N10" s="288">
        <v>1.1081410605831908E-3</v>
      </c>
      <c r="O10" s="289">
        <f>_xll.qlSimpleQuoteSetValue(D10,ROUND($N10,6),EvaluationDate)</f>
        <v>-4.9399999999999986E-4</v>
      </c>
      <c r="P10" s="176"/>
    </row>
    <row r="11" spans="1:16" x14ac:dyDescent="0.2">
      <c r="A11" s="180"/>
      <c r="B11" s="326" t="s">
        <v>89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EUR3WD_SYNTH3M_Quote#0001</v>
      </c>
      <c r="E11" s="320"/>
      <c r="F11" s="181"/>
      <c r="H11" s="184"/>
      <c r="I11" s="295" t="s">
        <v>89</v>
      </c>
      <c r="J11" s="280">
        <f>'3M Depo Charts'!D35</f>
        <v>1.1344637785215808E-3</v>
      </c>
      <c r="K11" s="185"/>
      <c r="L11" s="285">
        <v>2.2444124483196708E-3</v>
      </c>
      <c r="M11" s="183"/>
      <c r="N11" s="290">
        <v>1.1344637785215808E-3</v>
      </c>
      <c r="O11" s="291">
        <f>_xll.qlSimpleQuoteSetValue(D11,ROUND($N11,6),EvaluationDate)</f>
        <v>-4.6199999999999995E-4</v>
      </c>
      <c r="P11" s="176"/>
    </row>
    <row r="12" spans="1:16" x14ac:dyDescent="0.2">
      <c r="A12" s="180"/>
      <c r="B12" s="326" t="s">
        <v>90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EUR1MD_SYNTH3M_Quote#0001</v>
      </c>
      <c r="E12" s="321"/>
      <c r="F12" s="181"/>
      <c r="H12" s="184"/>
      <c r="I12" s="294" t="s">
        <v>90</v>
      </c>
      <c r="J12" s="278">
        <f>'3M Depo Charts'!D36</f>
        <v>9.1315002838882194E-4</v>
      </c>
      <c r="K12" s="185"/>
      <c r="L12" s="284">
        <v>2.1816101022273638E-3</v>
      </c>
      <c r="M12" s="183"/>
      <c r="N12" s="288">
        <v>9.1315002838882194E-4</v>
      </c>
      <c r="O12" s="289">
        <f>_xll.qlSimpleQuoteSetValue(D12,ROUND($N12,6),EvaluationDate)</f>
        <v>-4.190000000000001E-4</v>
      </c>
      <c r="P12" s="176"/>
    </row>
    <row r="13" spans="1:16" x14ac:dyDescent="0.2">
      <c r="A13" s="180"/>
      <c r="B13" s="326" t="s">
        <v>91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EUR2MD_SYNTH3M_Quote#0001</v>
      </c>
      <c r="E13" s="321"/>
      <c r="F13" s="181"/>
      <c r="H13" s="184"/>
      <c r="I13" s="294" t="s">
        <v>91</v>
      </c>
      <c r="J13" s="278">
        <f>'3M Depo Charts'!D37</f>
        <v>9.2156012287206743E-4</v>
      </c>
      <c r="K13" s="185"/>
      <c r="L13" s="284">
        <v>2.100593842366712E-3</v>
      </c>
      <c r="M13" s="183"/>
      <c r="N13" s="288">
        <v>9.2156012287206743E-4</v>
      </c>
      <c r="O13" s="289">
        <f>_xll.qlSimpleQuoteSetValue(D13,ROUND($N13,6),EvaluationDate)</f>
        <v>-2.7300000000000013E-4</v>
      </c>
      <c r="P13" s="176"/>
    </row>
    <row r="14" spans="1:16" ht="12" thickBot="1" x14ac:dyDescent="0.25">
      <c r="A14" s="180"/>
      <c r="B14" s="329" t="s">
        <v>92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EUR3MD_SYNTH3M_Quote#0001</v>
      </c>
      <c r="E14" s="322"/>
      <c r="F14" s="181"/>
      <c r="H14" s="184"/>
      <c r="I14" s="296" t="s">
        <v>92</v>
      </c>
      <c r="J14" s="282">
        <f>'3M Depo Charts'!D38</f>
        <v>8.8764054432404046E-4</v>
      </c>
      <c r="K14" s="185"/>
      <c r="L14" s="286">
        <v>1.99E-3</v>
      </c>
      <c r="M14" s="183"/>
      <c r="N14" s="292">
        <v>8.8764054432404046E-4</v>
      </c>
      <c r="O14" s="293">
        <f>_xll.qlSimpleQuoteSetValue(D14,ROUND($N14,6),EvaluationDate)</f>
        <v>-1.3099999999999993E-4</v>
      </c>
      <c r="P14" s="176"/>
    </row>
    <row r="15" spans="1:16" x14ac:dyDescent="0.2">
      <c r="A15" s="335">
        <v>6</v>
      </c>
      <c r="B15" s="339" t="s">
        <v>85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EURSND_SYNTH6M_Quote#0001</v>
      </c>
      <c r="E15" s="319" t="str">
        <f>_xll.ohRangeRetrieveError(D15)</f>
        <v/>
      </c>
      <c r="F15" s="181"/>
      <c r="H15" s="184"/>
      <c r="I15" s="299" t="s">
        <v>85</v>
      </c>
      <c r="J15" s="300">
        <f>'6M Depo Charts'!D32</f>
        <v>2.7047151817688898E-3</v>
      </c>
      <c r="K15" s="185"/>
      <c r="L15" s="301">
        <v>3.429611293926924E-3</v>
      </c>
      <c r="M15" s="183"/>
      <c r="N15" s="302">
        <v>2.7047151817688898E-3</v>
      </c>
      <c r="O15" s="303">
        <f>_xll.qlSimpleQuoteSetValue(D15,ROUND($N15,6),EvaluationDate)</f>
        <v>0</v>
      </c>
      <c r="P15" s="355">
        <f>_xll.ohTrigger(O15:O24)</f>
        <v>11</v>
      </c>
    </row>
    <row r="16" spans="1:16" x14ac:dyDescent="0.2">
      <c r="A16" s="336" t="str">
        <f>_xll.qlPeriodEquivalent(Months6M&amp;"M")</f>
        <v>6M</v>
      </c>
      <c r="B16" s="340" t="s">
        <v>87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EURSWD_SYNTH6M_Quote#0001</v>
      </c>
      <c r="E16" s="320" t="str">
        <f>_xll.ohRangeRetrieveError(D16)</f>
        <v/>
      </c>
      <c r="F16" s="181"/>
      <c r="H16" s="184"/>
      <c r="I16" s="294" t="s">
        <v>87</v>
      </c>
      <c r="J16" s="278">
        <f>'6M Depo Charts'!D33</f>
        <v>2.2955582892819617E-3</v>
      </c>
      <c r="K16" s="185"/>
      <c r="L16" s="284">
        <v>3.3663605344225103E-3</v>
      </c>
      <c r="M16" s="183"/>
      <c r="N16" s="288">
        <v>2.2955582892819617E-3</v>
      </c>
      <c r="O16" s="289">
        <f>_xll.qlSimpleQuoteSetValue(D16,ROUND($N16,6),EvaluationDate)</f>
        <v>0</v>
      </c>
      <c r="P16" s="186"/>
    </row>
    <row r="17" spans="1:16" x14ac:dyDescent="0.2">
      <c r="A17" s="342"/>
      <c r="B17" s="340" t="s">
        <v>88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EUR2WD_SYNTH6M_Quote#0001</v>
      </c>
      <c r="E17" s="320" t="str">
        <f>_xll.ohRangeRetrieveError(D17)</f>
        <v/>
      </c>
      <c r="F17" s="181"/>
      <c r="H17" s="182"/>
      <c r="I17" s="294" t="s">
        <v>88</v>
      </c>
      <c r="J17" s="278">
        <f>'6M Depo Charts'!D34</f>
        <v>2.2650966583422703E-3</v>
      </c>
      <c r="K17" s="185"/>
      <c r="L17" s="284">
        <v>3.3368531136497635E-3</v>
      </c>
      <c r="M17" s="183"/>
      <c r="N17" s="288">
        <v>2.2650966583422703E-3</v>
      </c>
      <c r="O17" s="289">
        <f>_xll.qlSimpleQuoteSetValue(D17,ROUND($N17,6),EvaluationDate)</f>
        <v>0</v>
      </c>
      <c r="P17" s="186"/>
    </row>
    <row r="18" spans="1:16" x14ac:dyDescent="0.2">
      <c r="A18" s="343"/>
      <c r="B18" s="340" t="s">
        <v>89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EUR3WD_SYNTH6M_Quote#0001</v>
      </c>
      <c r="E18" s="320" t="str">
        <f>_xll.ohRangeRetrieveError(D18)</f>
        <v/>
      </c>
      <c r="F18" s="181"/>
      <c r="H18" s="182"/>
      <c r="I18" s="294" t="s">
        <v>89</v>
      </c>
      <c r="J18" s="278">
        <f>'6M Depo Charts'!D35</f>
        <v>2.2848734526882864E-3</v>
      </c>
      <c r="K18" s="185"/>
      <c r="L18" s="284">
        <v>3.5288493112855738E-3</v>
      </c>
      <c r="M18" s="183"/>
      <c r="N18" s="288">
        <v>2.2848734526882864E-3</v>
      </c>
      <c r="O18" s="289">
        <f>_xll.qlSimpleQuoteSetValue(D18,ROUND($N18,6),EvaluationDate)</f>
        <v>0</v>
      </c>
      <c r="P18" s="186"/>
    </row>
    <row r="19" spans="1:16" x14ac:dyDescent="0.2">
      <c r="A19" s="343"/>
      <c r="B19" s="340" t="s">
        <v>90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EUR1MD_SYNTH6M_Quote#0001</v>
      </c>
      <c r="E19" s="320" t="str">
        <f>_xll.ohRangeRetrieveError(D19)</f>
        <v/>
      </c>
      <c r="F19" s="181"/>
      <c r="H19" s="182"/>
      <c r="I19" s="294" t="s">
        <v>90</v>
      </c>
      <c r="J19" s="278">
        <f>'6M Depo Charts'!D36</f>
        <v>2.0554141263452253E-3</v>
      </c>
      <c r="K19" s="185"/>
      <c r="L19" s="284">
        <v>3.437166475867978E-3</v>
      </c>
      <c r="M19" s="183"/>
      <c r="N19" s="288">
        <v>2.0554141263452253E-3</v>
      </c>
      <c r="O19" s="289">
        <f>_xll.qlSimpleQuoteSetValue(D19,ROUND($N19,6),EvaluationDate)</f>
        <v>0</v>
      </c>
      <c r="P19" s="186"/>
    </row>
    <row r="20" spans="1:16" x14ac:dyDescent="0.2">
      <c r="A20" s="343"/>
      <c r="B20" s="340" t="s">
        <v>91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EUR2MD_SYNTH6M_Quote#0001</v>
      </c>
      <c r="E20" s="320" t="str">
        <f>_xll.ohRangeRetrieveError(D20)</f>
        <v/>
      </c>
      <c r="F20" s="181"/>
      <c r="H20" s="182"/>
      <c r="I20" s="294" t="s">
        <v>91</v>
      </c>
      <c r="J20" s="278">
        <f>'6M Depo Charts'!D37</f>
        <v>2.0380974997801565E-3</v>
      </c>
      <c r="K20" s="185"/>
      <c r="L20" s="284">
        <v>3.2879203926415284E-3</v>
      </c>
      <c r="M20" s="183"/>
      <c r="N20" s="288">
        <v>2.0380974997801565E-3</v>
      </c>
      <c r="O20" s="289">
        <f>_xll.qlSimpleQuoteSetValue(D20,ROUND($N20,6),EvaluationDate)</f>
        <v>0</v>
      </c>
      <c r="P20" s="186"/>
    </row>
    <row r="21" spans="1:16" x14ac:dyDescent="0.2">
      <c r="A21" s="343"/>
      <c r="B21" s="340" t="s">
        <v>92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EUR3MD_SYNTH6M_Quote#0001</v>
      </c>
      <c r="E21" s="320" t="str">
        <f>_xll.ohRangeRetrieveError(D21)</f>
        <v/>
      </c>
      <c r="F21" s="181"/>
      <c r="H21" s="182"/>
      <c r="I21" s="294" t="s">
        <v>92</v>
      </c>
      <c r="J21" s="278">
        <f>'6M Depo Charts'!D38</f>
        <v>1.9827201125782691E-3</v>
      </c>
      <c r="K21" s="185"/>
      <c r="L21" s="284">
        <v>3.1341719188593851E-3</v>
      </c>
      <c r="M21" s="183"/>
      <c r="N21" s="288">
        <v>1.9827201125782691E-3</v>
      </c>
      <c r="O21" s="289">
        <f>_xll.qlSimpleQuoteSetValue(D21,ROUND($N21,6),EvaluationDate)</f>
        <v>0</v>
      </c>
      <c r="P21" s="186"/>
    </row>
    <row r="22" spans="1:16" x14ac:dyDescent="0.2">
      <c r="A22" s="343"/>
      <c r="B22" s="340" t="s">
        <v>93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EUR4MD_SYNTH6M_Quote#0001</v>
      </c>
      <c r="E22" s="320" t="str">
        <f>_xll.ohRangeRetrieveError(D22)</f>
        <v/>
      </c>
      <c r="F22" s="181"/>
      <c r="H22" s="182"/>
      <c r="I22" s="294" t="s">
        <v>93</v>
      </c>
      <c r="J22" s="278">
        <f>'6M Depo Charts'!D39</f>
        <v>1.9817459280199062E-3</v>
      </c>
      <c r="K22" s="185"/>
      <c r="L22" s="284">
        <v>3.0638881440993079E-3</v>
      </c>
      <c r="M22" s="183"/>
      <c r="N22" s="288">
        <v>1.9817459280199062E-3</v>
      </c>
      <c r="O22" s="289">
        <f>_xll.qlSimpleQuoteSetValue(D22,ROUND($N22,6),EvaluationDate)</f>
        <v>0</v>
      </c>
      <c r="P22" s="186"/>
    </row>
    <row r="23" spans="1:16" x14ac:dyDescent="0.2">
      <c r="A23" s="343"/>
      <c r="B23" s="340" t="s">
        <v>94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EUR5MD_SYNTH6M_Quote#0001</v>
      </c>
      <c r="E23" s="320" t="str">
        <f>_xll.ohRangeRetrieveError(D23)</f>
        <v/>
      </c>
      <c r="F23" s="181"/>
      <c r="H23" s="182"/>
      <c r="I23" s="294" t="s">
        <v>94</v>
      </c>
      <c r="J23" s="278">
        <f>'6M Depo Charts'!D40</f>
        <v>1.9481157501250463E-3</v>
      </c>
      <c r="K23" s="185"/>
      <c r="L23" s="284">
        <v>3.0024559434110483E-3</v>
      </c>
      <c r="M23" s="183"/>
      <c r="N23" s="288">
        <v>1.9481157501250463E-3</v>
      </c>
      <c r="O23" s="289">
        <f>_xll.qlSimpleQuoteSetValue(D23,ROUND($N23,6),EvaluationDate)</f>
        <v>0</v>
      </c>
      <c r="P23" s="186"/>
    </row>
    <row r="24" spans="1:16" ht="12" thickBot="1" x14ac:dyDescent="0.25">
      <c r="A24" s="344"/>
      <c r="B24" s="334" t="s">
        <v>95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EUR6MD_SYNTH6M_Quote#0001</v>
      </c>
      <c r="E24" s="320" t="str">
        <f>_xll.ohRangeRetrieveError(D24)</f>
        <v/>
      </c>
      <c r="F24" s="181"/>
      <c r="H24" s="182"/>
      <c r="I24" s="296" t="s">
        <v>95</v>
      </c>
      <c r="J24" s="282">
        <f>'6M Depo Charts'!D41</f>
        <v>1.8964762512345937E-3</v>
      </c>
      <c r="K24" s="185"/>
      <c r="L24" s="286">
        <v>2.9900000000000013E-3</v>
      </c>
      <c r="M24" s="183"/>
      <c r="N24" s="292">
        <v>1.8964762512345937E-3</v>
      </c>
      <c r="O24" s="293">
        <f>_xll.qlSimpleQuoteSetValue(D24,ROUND($N24,6),EvaluationDate)</f>
        <v>0</v>
      </c>
      <c r="P24" s="186"/>
    </row>
    <row r="25" spans="1:16" x14ac:dyDescent="0.2">
      <c r="A25" s="335">
        <v>12</v>
      </c>
      <c r="B25" s="323" t="s">
        <v>85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EURSND_SYNTH1Y_Quote#0001</v>
      </c>
      <c r="E25" s="319" t="str">
        <f>_xll.ohRangeRetrieveError(D25)</f>
        <v/>
      </c>
      <c r="F25" s="190"/>
      <c r="H25" s="184"/>
      <c r="I25" s="304" t="s">
        <v>85</v>
      </c>
      <c r="J25" s="300">
        <f>SynthDepo!J34</f>
        <v>4.640883666637086E-3</v>
      </c>
      <c r="K25" s="185"/>
      <c r="L25" s="301">
        <v>4.7040184877368135E-3</v>
      </c>
      <c r="M25" s="183"/>
      <c r="N25" s="302">
        <v>4.640883666637086E-3</v>
      </c>
      <c r="O25" s="303">
        <f>_xll.qlSimpleQuoteSetValue(D25,ROUND($N25,6),EvaluationDate)</f>
        <v>0</v>
      </c>
      <c r="P25" s="355">
        <f>_xll.ohTrigger(O25:O40)</f>
        <v>11</v>
      </c>
    </row>
    <row r="26" spans="1:16" x14ac:dyDescent="0.2">
      <c r="A26" s="336" t="str">
        <f>_xll.qlPeriodEquivalent(Months12M&amp;"M")</f>
        <v>1Y</v>
      </c>
      <c r="B26" s="326" t="s">
        <v>87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EURSWD_SYNTH1Y_Quote#0001</v>
      </c>
      <c r="E26" s="320" t="str">
        <f>_xll.ohRangeRetrieveError(D26)</f>
        <v/>
      </c>
      <c r="F26" s="190"/>
      <c r="H26" s="184"/>
      <c r="I26" s="305" t="s">
        <v>87</v>
      </c>
      <c r="J26" s="278">
        <f>SynthDepo!J35</f>
        <v>4.2371634422930871E-3</v>
      </c>
      <c r="K26" s="185"/>
      <c r="L26" s="284">
        <v>4.6648534527061547E-3</v>
      </c>
      <c r="M26" s="183"/>
      <c r="N26" s="288">
        <v>4.2371634422930871E-3</v>
      </c>
      <c r="O26" s="289">
        <f>_xll.qlSimpleQuoteSetValue(D26,ROUND($N26,6),EvaluationDate)</f>
        <v>0</v>
      </c>
      <c r="P26" s="186"/>
    </row>
    <row r="27" spans="1:16" x14ac:dyDescent="0.2">
      <c r="A27" s="343"/>
      <c r="B27" s="326" t="s">
        <v>88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EUR2WD_SYNTH1Y_Quote#0001</v>
      </c>
      <c r="E27" s="320" t="str">
        <f>_xll.ohRangeRetrieveError(D27)</f>
        <v/>
      </c>
      <c r="F27" s="190"/>
      <c r="H27" s="182"/>
      <c r="I27" s="305" t="s">
        <v>88</v>
      </c>
      <c r="J27" s="278">
        <f>SynthDepo!J36</f>
        <v>4.2128231854081386E-3</v>
      </c>
      <c r="K27" s="185"/>
      <c r="L27" s="284">
        <v>4.6763146358999993E-3</v>
      </c>
      <c r="M27" s="183"/>
      <c r="N27" s="288">
        <v>4.2128231854081386E-3</v>
      </c>
      <c r="O27" s="289">
        <f>_xll.qlSimpleQuoteSetValue(D27,ROUND($N27,6),EvaluationDate)</f>
        <v>0</v>
      </c>
      <c r="P27" s="186"/>
    </row>
    <row r="28" spans="1:16" x14ac:dyDescent="0.2">
      <c r="A28" s="343"/>
      <c r="B28" s="326" t="s">
        <v>89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EUR3WD_SYNTH1Y_Quote#0001</v>
      </c>
      <c r="E28" s="320" t="str">
        <f>_xll.ohRangeRetrieveError(D28)</f>
        <v/>
      </c>
      <c r="F28" s="190"/>
      <c r="H28" s="182"/>
      <c r="I28" s="305" t="s">
        <v>89</v>
      </c>
      <c r="J28" s="278">
        <f>SynthDepo!J37</f>
        <v>4.2384829171754519E-3</v>
      </c>
      <c r="K28" s="185"/>
      <c r="L28" s="284">
        <v>4.9077758198592461E-3</v>
      </c>
      <c r="M28" s="183"/>
      <c r="N28" s="288">
        <v>4.2384829171754519E-3</v>
      </c>
      <c r="O28" s="289">
        <f>_xll.qlSimpleQuoteSetValue(D28,ROUND($N28,6),EvaluationDate)</f>
        <v>0</v>
      </c>
      <c r="P28" s="186"/>
    </row>
    <row r="29" spans="1:16" x14ac:dyDescent="0.2">
      <c r="A29" s="343"/>
      <c r="B29" s="326" t="s">
        <v>90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EUR1MD_SYNTH1Y_Quote#0001</v>
      </c>
      <c r="E29" s="320" t="str">
        <f>_xll.ohRangeRetrieveError(D29)</f>
        <v/>
      </c>
      <c r="F29" s="190"/>
      <c r="H29" s="182"/>
      <c r="I29" s="306" t="s">
        <v>90</v>
      </c>
      <c r="J29" s="280">
        <f>SynthDepo!J38</f>
        <v>4.0162370116473634E-3</v>
      </c>
      <c r="K29" s="185"/>
      <c r="L29" s="285">
        <v>4.869863220012512E-3</v>
      </c>
      <c r="M29" s="183"/>
      <c r="N29" s="290">
        <v>4.0162370116473634E-3</v>
      </c>
      <c r="O29" s="291">
        <f>_xll.qlSimpleQuoteSetValue(D29,ROUND($N29,6),EvaluationDate)</f>
        <v>0</v>
      </c>
      <c r="P29" s="186"/>
    </row>
    <row r="30" spans="1:16" x14ac:dyDescent="0.2">
      <c r="A30" s="343"/>
      <c r="B30" s="326" t="s">
        <v>91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EUR2MD_SYNTH1Y_Quote#0001</v>
      </c>
      <c r="E30" s="320" t="str">
        <f>_xll.ohRangeRetrieveError(D30)</f>
        <v/>
      </c>
      <c r="F30" s="190"/>
      <c r="H30" s="182"/>
      <c r="I30" s="305" t="s">
        <v>91</v>
      </c>
      <c r="J30" s="278">
        <f>SynthDepo!J39</f>
        <v>4.0207496590127208E-3</v>
      </c>
      <c r="K30" s="185"/>
      <c r="L30" s="284">
        <v>4.8635161988885818E-3</v>
      </c>
      <c r="M30" s="183"/>
      <c r="N30" s="288">
        <v>4.0207496590127208E-3</v>
      </c>
      <c r="O30" s="289">
        <f>_xll.qlSimpleQuoteSetValue(D30,ROUND($N30,6),EvaluationDate)</f>
        <v>0</v>
      </c>
      <c r="P30" s="355"/>
    </row>
    <row r="31" spans="1:16" x14ac:dyDescent="0.2">
      <c r="A31" s="343"/>
      <c r="B31" s="326" t="s">
        <v>92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EUR3MD_SYNTH1Y_Quote#0001</v>
      </c>
      <c r="E31" s="320" t="str">
        <f>_xll.ohRangeRetrieveError(D31)</f>
        <v/>
      </c>
      <c r="F31" s="190"/>
      <c r="H31" s="182"/>
      <c r="I31" s="305" t="s">
        <v>92</v>
      </c>
      <c r="J31" s="278">
        <f>SynthDepo!J40</f>
        <v>3.9820449364389105E-3</v>
      </c>
      <c r="K31" s="185"/>
      <c r="L31" s="284">
        <v>4.8350585191322629E-3</v>
      </c>
      <c r="M31" s="183"/>
      <c r="N31" s="288">
        <v>3.9820449364389105E-3</v>
      </c>
      <c r="O31" s="289">
        <f>_xll.qlSimpleQuoteSetValue(D31,ROUND($N31,6),EvaluationDate)</f>
        <v>0</v>
      </c>
      <c r="P31" s="186"/>
    </row>
    <row r="32" spans="1:16" x14ac:dyDescent="0.2">
      <c r="A32" s="343"/>
      <c r="B32" s="326" t="s">
        <v>93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EUR4MD_SYNTH1Y_Quote#0001</v>
      </c>
      <c r="E32" s="320" t="str">
        <f>_xll.ohRangeRetrieveError(D32)</f>
        <v/>
      </c>
      <c r="F32" s="190"/>
      <c r="H32" s="182"/>
      <c r="I32" s="305" t="s">
        <v>93</v>
      </c>
      <c r="J32" s="278">
        <f>SynthDepo!J41</f>
        <v>3.9943524201047709E-3</v>
      </c>
      <c r="K32" s="185"/>
      <c r="L32" s="284">
        <v>4.8448761772627346E-3</v>
      </c>
      <c r="M32" s="183"/>
      <c r="N32" s="288">
        <v>3.9943524201047709E-3</v>
      </c>
      <c r="O32" s="289">
        <f>_xll.qlSimpleQuoteSetValue(D32,ROUND($N32,6),EvaluationDate)</f>
        <v>0</v>
      </c>
      <c r="P32" s="186"/>
    </row>
    <row r="33" spans="1:16" x14ac:dyDescent="0.2">
      <c r="A33" s="343"/>
      <c r="B33" s="326" t="s">
        <v>94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EUR5MD_SYNTH1Y_Quote#0001</v>
      </c>
      <c r="E33" s="320" t="str">
        <f>_xll.ohRangeRetrieveError(D33)</f>
        <v/>
      </c>
      <c r="F33" s="190"/>
      <c r="H33" s="184"/>
      <c r="I33" s="305" t="s">
        <v>94</v>
      </c>
      <c r="J33" s="278">
        <f>SynthDepo!J42</f>
        <v>3.9680194289397792E-3</v>
      </c>
      <c r="K33" s="185"/>
      <c r="L33" s="284">
        <v>4.8440652908529717E-3</v>
      </c>
      <c r="M33" s="183"/>
      <c r="N33" s="288">
        <v>3.9680194289397792E-3</v>
      </c>
      <c r="O33" s="289">
        <f>_xll.qlSimpleQuoteSetValue(D33,ROUND($N33,6),EvaluationDate)</f>
        <v>0</v>
      </c>
      <c r="P33" s="186"/>
    </row>
    <row r="34" spans="1:16" x14ac:dyDescent="0.2">
      <c r="A34" s="343"/>
      <c r="B34" s="326" t="s">
        <v>95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EUR6MD_SYNTH1Y_Quote#0001</v>
      </c>
      <c r="E34" s="320" t="str">
        <f>_xll.ohRangeRetrieveError(D34)</f>
        <v/>
      </c>
      <c r="F34" s="190"/>
      <c r="H34" s="184"/>
      <c r="I34" s="305" t="s">
        <v>95</v>
      </c>
      <c r="J34" s="278">
        <f>SynthDepo!J43</f>
        <v>3.9195423787630416E-3</v>
      </c>
      <c r="K34" s="185"/>
      <c r="L34" s="284">
        <v>4.8632546250425525E-3</v>
      </c>
      <c r="M34" s="183"/>
      <c r="N34" s="288">
        <v>3.9195423787630416E-3</v>
      </c>
      <c r="O34" s="289">
        <f>_xll.qlSimpleQuoteSetValue(D34,ROUND($N34,6),EvaluationDate)</f>
        <v>0</v>
      </c>
      <c r="P34" s="186"/>
    </row>
    <row r="35" spans="1:16" x14ac:dyDescent="0.2">
      <c r="A35" s="343"/>
      <c r="B35" s="326" t="s">
        <v>96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EUR7MD_SYNTH1Y_Quote#0001</v>
      </c>
      <c r="E35" s="320" t="str">
        <f>_xll.ohRangeRetrieveError(D35)</f>
        <v/>
      </c>
      <c r="F35" s="190"/>
      <c r="H35" s="184"/>
      <c r="I35" s="305" t="s">
        <v>96</v>
      </c>
      <c r="J35" s="278">
        <f>SynthDepo!J44</f>
        <v>3.875468095963985E-3</v>
      </c>
      <c r="K35" s="185"/>
      <c r="L35" s="284">
        <v>4.8790025836616558E-3</v>
      </c>
      <c r="M35" s="183"/>
      <c r="N35" s="288">
        <v>3.875468095963985E-3</v>
      </c>
      <c r="O35" s="289">
        <f>_xll.qlSimpleQuoteSetValue(D35,ROUND($N35,6),EvaluationDate)</f>
        <v>0</v>
      </c>
      <c r="P35" s="186"/>
    </row>
    <row r="36" spans="1:16" x14ac:dyDescent="0.2">
      <c r="A36" s="343"/>
      <c r="B36" s="326" t="s">
        <v>97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EUR8MD_SYNTH1Y_Quote#0001</v>
      </c>
      <c r="E36" s="320" t="str">
        <f>_xll.ohRangeRetrieveError(D36)</f>
        <v/>
      </c>
      <c r="F36" s="190"/>
      <c r="H36" s="184"/>
      <c r="I36" s="305" t="s">
        <v>97</v>
      </c>
      <c r="J36" s="278">
        <f>SynthDepo!J45</f>
        <v>3.8538580494185395E-3</v>
      </c>
      <c r="K36" s="185"/>
      <c r="L36" s="284">
        <v>4.8629140975407414E-3</v>
      </c>
      <c r="M36" s="183"/>
      <c r="N36" s="288">
        <v>3.8538580494185395E-3</v>
      </c>
      <c r="O36" s="289">
        <f>_xll.qlSimpleQuoteSetValue(D36,ROUND($N36,6),EvaluationDate)</f>
        <v>0</v>
      </c>
      <c r="P36" s="186"/>
    </row>
    <row r="37" spans="1:16" x14ac:dyDescent="0.2">
      <c r="A37" s="347"/>
      <c r="B37" s="326" t="s">
        <v>98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EUR9MD_SYNTH1Y_Quote#0001</v>
      </c>
      <c r="E37" s="320" t="str">
        <f>_xll.ohRangeRetrieveError(D37)</f>
        <v/>
      </c>
      <c r="F37" s="190"/>
      <c r="H37" s="184"/>
      <c r="I37" s="305" t="s">
        <v>98</v>
      </c>
      <c r="J37" s="278">
        <f>SynthDepo!J46</f>
        <v>3.842233464859777E-3</v>
      </c>
      <c r="K37" s="185"/>
      <c r="L37" s="284">
        <v>4.8403784016282569E-3</v>
      </c>
      <c r="M37" s="183"/>
      <c r="N37" s="288">
        <v>3.842233464859777E-3</v>
      </c>
      <c r="O37" s="289">
        <f>_xll.qlSimpleQuoteSetValue(D37,ROUND($N37,6),EvaluationDate)</f>
        <v>0</v>
      </c>
      <c r="P37" s="186"/>
    </row>
    <row r="38" spans="1:16" x14ac:dyDescent="0.2">
      <c r="A38" s="348"/>
      <c r="B38" s="326" t="s">
        <v>99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EUR10MD_SYNTH1Y_Quote#0001</v>
      </c>
      <c r="E38" s="320" t="str">
        <f>_xll.ohRangeRetrieveError(D38)</f>
        <v/>
      </c>
      <c r="F38" s="190"/>
      <c r="H38" s="184"/>
      <c r="I38" s="305" t="s">
        <v>99</v>
      </c>
      <c r="J38" s="278">
        <f>SynthDepo!J47</f>
        <v>3.813632339584273E-3</v>
      </c>
      <c r="K38" s="185"/>
      <c r="L38" s="284">
        <v>4.8168493542828112E-3</v>
      </c>
      <c r="M38" s="183"/>
      <c r="N38" s="288">
        <v>3.813632339584273E-3</v>
      </c>
      <c r="O38" s="289">
        <f>_xll.qlSimpleQuoteSetValue(D38,ROUND($N38,6),EvaluationDate)</f>
        <v>0</v>
      </c>
      <c r="P38" s="186"/>
    </row>
    <row r="39" spans="1:16" x14ac:dyDescent="0.2">
      <c r="A39" s="343"/>
      <c r="B39" s="326" t="s">
        <v>100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EUR11MD_SYNTH1Y_Quote#0001</v>
      </c>
      <c r="E39" s="320" t="str">
        <f>_xll.ohRangeRetrieveError(D39)</f>
        <v/>
      </c>
      <c r="F39" s="190"/>
      <c r="H39" s="184"/>
      <c r="I39" s="305" t="s">
        <v>100</v>
      </c>
      <c r="J39" s="278">
        <f>SynthDepo!J48</f>
        <v>3.784411176799628E-3</v>
      </c>
      <c r="K39" s="185"/>
      <c r="L39" s="284">
        <v>4.803111566528958E-3</v>
      </c>
      <c r="M39" s="183"/>
      <c r="N39" s="288">
        <v>3.784411176799628E-3</v>
      </c>
      <c r="O39" s="289">
        <f>_xll.qlSimpleQuoteSetValue(D39,ROUND($N39,6),EvaluationDate)</f>
        <v>0</v>
      </c>
      <c r="P39" s="186"/>
    </row>
    <row r="40" spans="1:16" ht="12" thickBot="1" x14ac:dyDescent="0.25">
      <c r="A40" s="349"/>
      <c r="B40" s="346" t="s">
        <v>101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EUR1YD_SYNTH1Y_Quote#0001</v>
      </c>
      <c r="E40" s="320" t="str">
        <f>_xll.ohRangeRetrieveError(D40)</f>
        <v/>
      </c>
      <c r="F40" s="190"/>
      <c r="H40" s="184"/>
      <c r="I40" s="350" t="s">
        <v>101</v>
      </c>
      <c r="J40" s="282">
        <f>SynthDepo!J49</f>
        <v>3.7351900140147969E-3</v>
      </c>
      <c r="K40" s="185"/>
      <c r="L40" s="286">
        <v>4.79E-3</v>
      </c>
      <c r="M40" s="183"/>
      <c r="N40" s="292">
        <v>3.7351900140147969E-3</v>
      </c>
      <c r="O40" s="293">
        <f>_xll.qlSimpleQuoteSetValue(D40,ROUND($N40,6),EvaluationDate)</f>
        <v>0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EUR1x13F_SYNTH1Y_Quote#0001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 t="e">
        <f>SynthFra!N9</f>
        <v>#NUM!</v>
      </c>
      <c r="K41" s="241"/>
      <c r="L41" s="311">
        <v>4.7700661411049939E-3</v>
      </c>
      <c r="M41" s="242"/>
      <c r="N41" s="313" t="e">
        <v>#NUM!</v>
      </c>
      <c r="O41" s="314" t="e">
        <f>_xll.qlSimpleQuoteSetValue(D41,ROUND(N41,6),EvaluationDate)</f>
        <v>#NUM!</v>
      </c>
      <c r="P41" s="355">
        <f>_xll.ohTrigger(O41:O84)</f>
        <v>11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EUR2x14F_SYNTH1Y_Quote#0001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 t="e">
        <f>SynthFra!N10</f>
        <v>#NUM!</v>
      </c>
      <c r="K42" s="242"/>
      <c r="L42" s="311">
        <v>4.7515568028134595E-3</v>
      </c>
      <c r="M42" s="242"/>
      <c r="N42" s="313" t="e">
        <v>#NUM!</v>
      </c>
      <c r="O42" s="314" t="e">
        <f>_xll.qlSimpleQuoteSetValue(D42,ROUND(N42,6),EvaluationDate)</f>
        <v>#NUM!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EUR3x15F_SYNTH1Y_Quote#0001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 t="e">
        <f>SynthFra!N11</f>
        <v>#NUM!</v>
      </c>
      <c r="K43" s="242"/>
      <c r="L43" s="311">
        <v>4.7396889879977432E-3</v>
      </c>
      <c r="M43" s="242"/>
      <c r="N43" s="313" t="e">
        <v>#NUM!</v>
      </c>
      <c r="O43" s="314" t="e">
        <f>_xll.qlSimpleQuoteSetValue(D43,ROUND(N43,6),EvaluationDate)</f>
        <v>#NUM!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EUR4x16F_SYNTH1Y_Quote#0001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 t="e">
        <f>SynthFra!N12</f>
        <v>#NUM!</v>
      </c>
      <c r="K44" s="242"/>
      <c r="L44" s="311">
        <v>4.7382947299897012E-3</v>
      </c>
      <c r="M44" s="242"/>
      <c r="N44" s="313" t="e">
        <v>#NUM!</v>
      </c>
      <c r="O44" s="314" t="e">
        <f>_xll.qlSimpleQuoteSetValue(D44,ROUND(N44,6),EvaluationDate)</f>
        <v>#NUM!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EUR5x17F_SYNTH1Y_Quote#0001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 t="e">
        <f>SynthFra!N13</f>
        <v>#NUM!</v>
      </c>
      <c r="K45" s="242"/>
      <c r="L45" s="311">
        <v>4.7409566804829774E-3</v>
      </c>
      <c r="M45" s="242"/>
      <c r="N45" s="313" t="e">
        <v>#NUM!</v>
      </c>
      <c r="O45" s="314" t="e">
        <f>_xll.qlSimpleQuoteSetValue(D45,ROUND(N45,6),EvaluationDate)</f>
        <v>#NUM!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EUR6x18F_SYNTH1Y_Quote#0001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 t="e">
        <f>SynthFra!N14</f>
        <v>#NUM!</v>
      </c>
      <c r="K46" s="242"/>
      <c r="L46" s="311">
        <v>4.7354559024513111E-3</v>
      </c>
      <c r="M46" s="242"/>
      <c r="N46" s="313" t="e">
        <v>#NUM!</v>
      </c>
      <c r="O46" s="314" t="e">
        <f>_xll.qlSimpleQuoteSetValue(D46,ROUND(N46,6),EvaluationDate)</f>
        <v>#NUM!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EUR7x19F_SYNTH1Y_Quote#0001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 t="e">
        <f>SynthFra!N15</f>
        <v>#NUM!</v>
      </c>
      <c r="K47" s="242"/>
      <c r="L47" s="311">
        <v>4.7459620043513442E-3</v>
      </c>
      <c r="M47" s="242"/>
      <c r="N47" s="313" t="e">
        <v>#NUM!</v>
      </c>
      <c r="O47" s="314" t="e">
        <f>_xll.qlSimpleQuoteSetValue(D47,ROUND(N47,6),EvaluationDate)</f>
        <v>#NUM!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EUR8x20F_SYNTH1Y_Quote#0001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 t="e">
        <f>SynthFra!N16</f>
        <v>#NUM!</v>
      </c>
      <c r="K48" s="242"/>
      <c r="L48" s="311">
        <v>4.7765964932973146E-3</v>
      </c>
      <c r="M48" s="242"/>
      <c r="N48" s="313" t="e">
        <v>#NUM!</v>
      </c>
      <c r="O48" s="314" t="e">
        <f>_xll.qlSimpleQuoteSetValue(D48,ROUND(N48,6),EvaluationDate)</f>
        <v>#NUM!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EUR9x21F_SYNTH1Y_Quote#0001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 t="e">
        <f>SynthFra!N17</f>
        <v>#NUM!</v>
      </c>
      <c r="K49" s="242"/>
      <c r="L49" s="311">
        <v>4.8164173191503441E-3</v>
      </c>
      <c r="M49" s="242"/>
      <c r="N49" s="313" t="e">
        <v>#NUM!</v>
      </c>
      <c r="O49" s="314" t="e">
        <f>_xll.qlSimpleQuoteSetValue(D49,ROUND(N49,6),EvaluationDate)</f>
        <v>#NUM!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EUR10x22F_SYNTH1Y_Quote#0001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 t="e">
        <f>SynthFra!N18</f>
        <v>#NUM!</v>
      </c>
      <c r="K50" s="242"/>
      <c r="L50" s="311">
        <v>4.8794754983958995E-3</v>
      </c>
      <c r="M50" s="242"/>
      <c r="N50" s="313" t="e">
        <v>#NUM!</v>
      </c>
      <c r="O50" s="314" t="e">
        <f>_xll.qlSimpleQuoteSetValue(D50,ROUND(N50,6),EvaluationDate)</f>
        <v>#NUM!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EUR11x23F_SYNTH1Y_Quote#0001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 t="e">
        <f>SynthFra!N19</f>
        <v>#NUM!</v>
      </c>
      <c r="K51" s="242"/>
      <c r="L51" s="311">
        <v>4.9383818223575852E-3</v>
      </c>
      <c r="M51" s="242"/>
      <c r="N51" s="313" t="e">
        <v>#NUM!</v>
      </c>
      <c r="O51" s="314" t="e">
        <f>_xll.qlSimpleQuoteSetValue(D51,ROUND(N51,6),EvaluationDate)</f>
        <v>#NUM!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EUR13x25F_SYNTH1Y_Quote#0001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 t="e">
        <f>SynthFra!N21</f>
        <v>#NUM!</v>
      </c>
      <c r="K52" s="242"/>
      <c r="L52" s="311">
        <v>5.1446630132367475E-3</v>
      </c>
      <c r="M52" s="242"/>
      <c r="N52" s="313" t="e">
        <v>#NUM!</v>
      </c>
      <c r="O52" s="314" t="e">
        <f>_xll.qlSimpleQuoteSetValue(D52,ROUND(N52,6),EvaluationDate)</f>
        <v>#NUM!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EUR14x26F_SYNTH1Y_Quote#0001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 t="e">
        <f>SynthFra!N22</f>
        <v>#NUM!</v>
      </c>
      <c r="K53" s="242"/>
      <c r="L53" s="311">
        <v>5.2894906890553163E-3</v>
      </c>
      <c r="M53" s="242"/>
      <c r="N53" s="313" t="e">
        <v>#NUM!</v>
      </c>
      <c r="O53" s="314" t="e">
        <f>_xll.qlSimpleQuoteSetValue(D53,ROUND(N53,6),EvaluationDate)</f>
        <v>#NUM!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EUR15x27F_SYNTH1Y_Quote#0001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 t="e">
        <f>SynthFra!N23</f>
        <v>#NUM!</v>
      </c>
      <c r="K54" s="242"/>
      <c r="L54" s="311">
        <v>5.433394050819578E-3</v>
      </c>
      <c r="M54" s="242"/>
      <c r="N54" s="313" t="e">
        <v>#NUM!</v>
      </c>
      <c r="O54" s="314" t="e">
        <f>_xll.qlSimpleQuoteSetValue(D54,ROUND(N54,6),EvaluationDate)</f>
        <v>#NUM!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EUR16x28F_SYNTH1Y_Quote#0001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 t="e">
        <f>SynthFra!N24</f>
        <v>#NUM!</v>
      </c>
      <c r="K55" s="242"/>
      <c r="L55" s="311">
        <v>5.5531179599257238E-3</v>
      </c>
      <c r="M55" s="242"/>
      <c r="N55" s="313" t="e">
        <v>#NUM!</v>
      </c>
      <c r="O55" s="314" t="e">
        <f>_xll.qlSimpleQuoteSetValue(D55,ROUND(N55,6),EvaluationDate)</f>
        <v>#NUM!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EUR17x29F_SYNTH1Y_Quote#0001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 t="e">
        <f>SynthFra!N25</f>
        <v>#NUM!</v>
      </c>
      <c r="K56" s="242"/>
      <c r="L56" s="311">
        <v>5.6834582938863603E-3</v>
      </c>
      <c r="M56" s="242"/>
      <c r="N56" s="313" t="e">
        <v>#NUM!</v>
      </c>
      <c r="O56" s="314" t="e">
        <f>_xll.qlSimpleQuoteSetValue(D56,ROUND(N56,6),EvaluationDate)</f>
        <v>#NUM!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EUR18x30F_SYNTH1Y_Quote#0001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 t="e">
        <f>SynthFra!N26</f>
        <v>#NUM!</v>
      </c>
      <c r="K57" s="242"/>
      <c r="L57" s="311">
        <v>5.8112493961860624E-3</v>
      </c>
      <c r="M57" s="242"/>
      <c r="N57" s="313" t="e">
        <v>#NUM!</v>
      </c>
      <c r="O57" s="314" t="e">
        <f>_xll.qlSimpleQuoteSetValue(D57,ROUND(N57,6),EvaluationDate)</f>
        <v>#NUM!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EUR19x31F_SYNTH1Y_Quote#0001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 t="e">
        <f>SynthFra!N27</f>
        <v>#NUM!</v>
      </c>
      <c r="K58" s="242"/>
      <c r="L58" s="311">
        <v>5.9154011710082204E-3</v>
      </c>
      <c r="M58" s="242"/>
      <c r="N58" s="313" t="e">
        <v>#NUM!</v>
      </c>
      <c r="O58" s="314" t="e">
        <f>_xll.qlSimpleQuoteSetValue(D58,ROUND(N58,6),EvaluationDate)</f>
        <v>#NUM!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EUR20x32F_SYNTH1Y_Quote#0001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 t="e">
        <f>SynthFra!N28</f>
        <v>#NUM!</v>
      </c>
      <c r="K59" s="242"/>
      <c r="L59" s="311">
        <v>6.031980065765382E-3</v>
      </c>
      <c r="M59" s="242"/>
      <c r="N59" s="313" t="e">
        <v>#NUM!</v>
      </c>
      <c r="O59" s="314" t="e">
        <f>_xll.qlSimpleQuoteSetValue(D59,ROUND(N59,6),EvaluationDate)</f>
        <v>#NUM!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EUR21x33F_SYNTH1Y_Quote#0001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 t="e">
        <f>SynthFra!N29</f>
        <v>#NUM!</v>
      </c>
      <c r="K60" s="242"/>
      <c r="L60" s="311">
        <v>6.1445746360823082E-3</v>
      </c>
      <c r="M60" s="242"/>
      <c r="N60" s="313" t="e">
        <v>#NUM!</v>
      </c>
      <c r="O60" s="314" t="e">
        <f>_xll.qlSimpleQuoteSetValue(D60,ROUND(N60,6),EvaluationDate)</f>
        <v>#NUM!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EUR22x34F_SYNTH1Y_Quote#0001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 t="e">
        <f>SynthFra!N30</f>
        <v>#NUM!</v>
      </c>
      <c r="K61" s="242"/>
      <c r="L61" s="311">
        <v>6.2393291505778601E-3</v>
      </c>
      <c r="M61" s="242"/>
      <c r="N61" s="313" t="e">
        <v>#NUM!</v>
      </c>
      <c r="O61" s="314" t="e">
        <f>_xll.qlSimpleQuoteSetValue(D61,ROUND(N61,6),EvaluationDate)</f>
        <v>#NUM!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EUR23x35F_SYNTH1Y_Quote#0001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 t="e">
        <f>SynthFra!N31</f>
        <v>#NUM!</v>
      </c>
      <c r="K62" s="242"/>
      <c r="L62" s="311">
        <v>6.3360222212636803E-3</v>
      </c>
      <c r="M62" s="242"/>
      <c r="N62" s="313" t="e">
        <v>#NUM!</v>
      </c>
      <c r="O62" s="314" t="e">
        <f>_xll.qlSimpleQuoteSetValue(D62,ROUND(N62,6),EvaluationDate)</f>
        <v>#NUM!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EUR25x37F_SYNTH1Y_Quote#0001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 t="e">
        <f>SynthFra!N33</f>
        <v>#NUM!</v>
      </c>
      <c r="K63" s="242"/>
      <c r="L63" s="311">
        <v>6.639818956233931E-3</v>
      </c>
      <c r="M63" s="242"/>
      <c r="N63" s="313" t="e">
        <v>#NUM!</v>
      </c>
      <c r="O63" s="314" t="e">
        <f>_xll.qlSimpleQuoteSetValue(D63,ROUND(N63,6),EvaluationDate)</f>
        <v>#NUM!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EUR26x38F_SYNTH1Y_Quote#0001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 t="e">
        <f>SynthFra!N34</f>
        <v>#NUM!</v>
      </c>
      <c r="K64" s="242"/>
      <c r="L64" s="311">
        <v>6.8510723261093424E-3</v>
      </c>
      <c r="M64" s="242"/>
      <c r="N64" s="313" t="e">
        <v>#NUM!</v>
      </c>
      <c r="O64" s="314" t="e">
        <f>_xll.qlSimpleQuoteSetValue(D64,ROUND(N64,6),EvaluationDate)</f>
        <v>#NUM!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EUR27x39F_SYNTH1Y_Quote#0001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 t="e">
        <f>SynthFra!N35</f>
        <v>#NUM!</v>
      </c>
      <c r="K65" s="242"/>
      <c r="L65" s="311">
        <v>7.0436982688492755E-3</v>
      </c>
      <c r="M65" s="242"/>
      <c r="N65" s="313" t="e">
        <v>#NUM!</v>
      </c>
      <c r="O65" s="314" t="e">
        <f>_xll.qlSimpleQuoteSetValue(D65,ROUND(N65,6),EvaluationDate)</f>
        <v>#NUM!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EUR28x40F_SYNTH1Y_Quote#0001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 t="e">
        <f>SynthFra!N36</f>
        <v>#NUM!</v>
      </c>
      <c r="K66" s="242"/>
      <c r="L66" s="311">
        <v>7.2438428722524009E-3</v>
      </c>
      <c r="M66" s="242"/>
      <c r="N66" s="313" t="e">
        <v>#NUM!</v>
      </c>
      <c r="O66" s="314" t="e">
        <f>_xll.qlSimpleQuoteSetValue(D66,ROUND(N66,6),EvaluationDate)</f>
        <v>#NUM!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EUR29x41F_SYNTH1Y_Quote#0001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 t="e">
        <f>SynthFra!N37</f>
        <v>#NUM!</v>
      </c>
      <c r="K67" s="242"/>
      <c r="L67" s="311">
        <v>7.4579744439444307E-3</v>
      </c>
      <c r="M67" s="242"/>
      <c r="N67" s="313" t="e">
        <v>#NUM!</v>
      </c>
      <c r="O67" s="314" t="e">
        <f>_xll.qlSimpleQuoteSetValue(D67,ROUND(N67,6),EvaluationDate)</f>
        <v>#NUM!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EUR30x42F_SYNTH1Y_Quote#0001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 t="e">
        <f>SynthFra!N38</f>
        <v>#NUM!</v>
      </c>
      <c r="K68" s="242"/>
      <c r="L68" s="311">
        <v>7.6590058479533846E-3</v>
      </c>
      <c r="M68" s="242"/>
      <c r="N68" s="313" t="e">
        <v>#NUM!</v>
      </c>
      <c r="O68" s="314" t="e">
        <f>_xll.qlSimpleQuoteSetValue(D68,ROUND(N68,6),EvaluationDate)</f>
        <v>#NUM!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EUR31x43F_SYNTH1Y_Quote#0001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 t="e">
        <f>SynthFra!N39</f>
        <v>#NUM!</v>
      </c>
      <c r="K69" s="242"/>
      <c r="L69" s="311">
        <v>7.8466083864149657E-3</v>
      </c>
      <c r="M69" s="242"/>
      <c r="N69" s="313" t="e">
        <v>#NUM!</v>
      </c>
      <c r="O69" s="314" t="e">
        <f>_xll.qlSimpleQuoteSetValue(D69,ROUND(N69,6),EvaluationDate)</f>
        <v>#NUM!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EUR32x44F_SYNTH1Y_Quote#0001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 t="e">
        <f>SynthFra!N40</f>
        <v>#NUM!</v>
      </c>
      <c r="K70" s="242"/>
      <c r="L70" s="311">
        <v>8.0740132699437667E-3</v>
      </c>
      <c r="M70" s="242"/>
      <c r="N70" s="313" t="e">
        <v>#NUM!</v>
      </c>
      <c r="O70" s="314" t="e">
        <f>_xll.qlSimpleQuoteSetValue(D70,ROUND(N70,6),EvaluationDate)</f>
        <v>#NUM!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EUR33x45F_SYNTH1Y_Quote#0001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 t="e">
        <f>SynthFra!N41</f>
        <v>#NUM!</v>
      </c>
      <c r="K71" s="242"/>
      <c r="L71" s="311">
        <v>8.2540136788414216E-3</v>
      </c>
      <c r="M71" s="242"/>
      <c r="N71" s="313" t="e">
        <v>#NUM!</v>
      </c>
      <c r="O71" s="314" t="e">
        <f>_xll.qlSimpleQuoteSetValue(D71,ROUND(N71,6),EvaluationDate)</f>
        <v>#NUM!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EUR34x46F_SYNTH1Y_Quote#0001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 t="e">
        <f>SynthFra!N42</f>
        <v>#NUM!</v>
      </c>
      <c r="K72" s="242"/>
      <c r="L72" s="311">
        <v>8.4597312837310056E-3</v>
      </c>
      <c r="M72" s="242"/>
      <c r="N72" s="313" t="e">
        <v>#NUM!</v>
      </c>
      <c r="O72" s="314" t="e">
        <f>_xll.qlSimpleQuoteSetValue(D72,ROUND(N72,6),EvaluationDate)</f>
        <v>#NUM!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EUR35x47F_SYNTH1Y_Quote#0001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 t="e">
        <f>SynthFra!N43</f>
        <v>#NUM!</v>
      </c>
      <c r="K73" s="242"/>
      <c r="L73" s="311">
        <v>8.6706802526084654E-3</v>
      </c>
      <c r="M73" s="242"/>
      <c r="N73" s="313" t="e">
        <v>#NUM!</v>
      </c>
      <c r="O73" s="314" t="e">
        <f>_xll.qlSimpleQuoteSetValue(D73,ROUND(N73,6),EvaluationDate)</f>
        <v>#NUM!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EUR37x49F_SYNTH1Y_Quote#0001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 t="e">
        <f>SynthFra!N45</f>
        <v>#NUM!</v>
      </c>
      <c r="K74" s="242"/>
      <c r="L74" s="311">
        <v>9.1432212149377481E-3</v>
      </c>
      <c r="M74" s="242"/>
      <c r="N74" s="313" t="e">
        <v>#NUM!</v>
      </c>
      <c r="O74" s="314" t="e">
        <f>_xll.qlSimpleQuoteSetValue(D74,ROUND(N74,6),EvaluationDate)</f>
        <v>#NUM!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EUR38x50F_SYNTH1Y_Quote#0001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 t="e">
        <f>SynthFra!N46</f>
        <v>#NUM!</v>
      </c>
      <c r="K75" s="242"/>
      <c r="L75" s="311">
        <v>9.3954275791548678E-3</v>
      </c>
      <c r="M75" s="242"/>
      <c r="N75" s="313" t="e">
        <v>#NUM!</v>
      </c>
      <c r="O75" s="314" t="e">
        <f>_xll.qlSimpleQuoteSetValue(D75,ROUND(N75,6),EvaluationDate)</f>
        <v>#NUM!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EUR39x51F_SYNTH1Y_Quote#0001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 t="e">
        <f>SynthFra!N47</f>
        <v>#NUM!</v>
      </c>
      <c r="K76" s="242"/>
      <c r="L76" s="311">
        <v>9.6519392757855437E-3</v>
      </c>
      <c r="M76" s="242"/>
      <c r="N76" s="313" t="e">
        <v>#NUM!</v>
      </c>
      <c r="O76" s="314" t="e">
        <f>_xll.qlSimpleQuoteSetValue(D76,ROUND(N76,6),EvaluationDate)</f>
        <v>#NUM!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EUR40x52F_SYNTH1Y_Quote#0001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 t="e">
        <f>SynthFra!N48</f>
        <v>#NUM!</v>
      </c>
      <c r="K77" s="242"/>
      <c r="L77" s="311">
        <v>9.9176410657655142E-3</v>
      </c>
      <c r="M77" s="242"/>
      <c r="N77" s="313" t="e">
        <v>#NUM!</v>
      </c>
      <c r="O77" s="314" t="e">
        <f>_xll.qlSimpleQuoteSetValue(D77,ROUND(N77,6),EvaluationDate)</f>
        <v>#NUM!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EUR41x53F_SYNTH1Y_Quote#0001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 t="e">
        <f>SynthFra!N49</f>
        <v>#NUM!</v>
      </c>
      <c r="K78" s="242"/>
      <c r="L78" s="311">
        <v>1.0169476546966039E-2</v>
      </c>
      <c r="M78" s="242"/>
      <c r="N78" s="313" t="e">
        <v>#NUM!</v>
      </c>
      <c r="O78" s="314" t="e">
        <f>_xll.qlSimpleQuoteSetValue(D78,ROUND(N78,6),EvaluationDate)</f>
        <v>#NUM!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EUR42x54F_SYNTH1Y_Quote#0001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 t="e">
        <f>SynthFra!N50</f>
        <v>#NUM!</v>
      </c>
      <c r="K79" s="242"/>
      <c r="L79" s="311">
        <v>1.0430748495225153E-2</v>
      </c>
      <c r="M79" s="242"/>
      <c r="N79" s="313" t="e">
        <v>#NUM!</v>
      </c>
      <c r="O79" s="314" t="e">
        <f>_xll.qlSimpleQuoteSetValue(D79,ROUND(N79,6),EvaluationDate)</f>
        <v>#NUM!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EUR43x55F_SYNTH1Y_Quote#0001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 t="e">
        <f>SynthFra!N51</f>
        <v>#NUM!</v>
      </c>
      <c r="K80" s="242"/>
      <c r="L80" s="311">
        <v>1.0665919792036266E-2</v>
      </c>
      <c r="M80" s="242"/>
      <c r="N80" s="313" t="e">
        <v>#NUM!</v>
      </c>
      <c r="O80" s="314" t="e">
        <f>_xll.qlSimpleQuoteSetValue(D80,ROUND(N80,6),EvaluationDate)</f>
        <v>#NUM!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EUR44x56F_SYNTH1Y_Quote#0001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 t="e">
        <f>SynthFra!N52</f>
        <v>#NUM!</v>
      </c>
      <c r="K81" s="242"/>
      <c r="L81" s="311">
        <v>1.0933906562113356E-2</v>
      </c>
      <c r="M81" s="242"/>
      <c r="N81" s="313" t="e">
        <v>#NUM!</v>
      </c>
      <c r="O81" s="314" t="e">
        <f>_xll.qlSimpleQuoteSetValue(D81,ROUND(N81,6),EvaluationDate)</f>
        <v>#NUM!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EUR45x57F_SYNTH1Y_Quote#0001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 t="e">
        <f>SynthFra!N53</f>
        <v>#NUM!</v>
      </c>
      <c r="K82" s="242"/>
      <c r="L82" s="311">
        <v>1.1176202147415193E-2</v>
      </c>
      <c r="M82" s="242"/>
      <c r="N82" s="313" t="e">
        <v>#NUM!</v>
      </c>
      <c r="O82" s="314" t="e">
        <f>_xll.qlSimpleQuoteSetValue(D82,ROUND(N82,6),EvaluationDate)</f>
        <v>#NUM!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EUR46x58F_SYNTH1Y_Quote#0001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 t="e">
        <f>SynthFra!N54</f>
        <v>#NUM!</v>
      </c>
      <c r="K83" s="242"/>
      <c r="L83" s="311">
        <v>1.1437519693685599E-2</v>
      </c>
      <c r="M83" s="242"/>
      <c r="N83" s="313" t="e">
        <v>#NUM!</v>
      </c>
      <c r="O83" s="314" t="e">
        <f>_xll.qlSimpleQuoteSetValue(D83,ROUND(N83,6),EvaluationDate)</f>
        <v>#NUM!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EUR47x59F_SYNTH1Y_Quote#0001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 t="e">
        <f>SynthFra!N55</f>
        <v>#NUM!</v>
      </c>
      <c r="K84" s="242"/>
      <c r="L84" s="312">
        <v>1.1693071994383112E-2</v>
      </c>
      <c r="M84" s="242"/>
      <c r="N84" s="351" t="e">
        <v>#NUM!</v>
      </c>
      <c r="O84" s="352" t="e">
        <f>_xll.qlSimpleQuoteSetValue(D84,ROUND(N84,6),EvaluationDate)</f>
        <v>#NUM!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D127"/>
  <sheetViews>
    <sheetView zoomScaleNormal="100" workbookViewId="0">
      <selection activeCell="N8" sqref="N8"/>
    </sheetView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customWidth="1" outlineLevel="1"/>
    <col min="8" max="8" width="17.6640625" style="195" customWidth="1" outlineLevel="1"/>
    <col min="9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" width="9.33203125" style="195"/>
    <col min="17" max="17" width="2.83203125" style="195" customWidth="1"/>
    <col min="18" max="18" width="27.5" style="195" bestFit="1" customWidth="1"/>
    <col min="19" max="19" width="20.1640625" style="195" hidden="1" customWidth="1"/>
    <col min="20" max="20" width="20.1640625" style="195" bestFit="1" customWidth="1"/>
    <col min="21" max="21" width="20.1640625" style="195" customWidth="1"/>
    <col min="22" max="22" width="20.1640625" style="195" hidden="1" customWidth="1"/>
    <col min="23" max="23" width="10" style="195" bestFit="1" customWidth="1"/>
    <col min="24" max="24" width="9.33203125" style="195" customWidth="1"/>
    <col min="25" max="25" width="10" style="195" bestFit="1" customWidth="1"/>
    <col min="26" max="26" width="9.33203125" style="195"/>
    <col min="27" max="27" width="2.83203125" style="195" customWidth="1"/>
    <col min="28" max="16384" width="9.33203125" style="195"/>
  </cols>
  <sheetData>
    <row r="1" spans="1:30" ht="22.5" x14ac:dyDescent="0.2">
      <c r="A1" s="226" t="s">
        <v>123</v>
      </c>
      <c r="B1" s="193" t="s">
        <v>124</v>
      </c>
      <c r="C1" s="193" t="s">
        <v>109</v>
      </c>
      <c r="D1" s="194" t="s">
        <v>110</v>
      </c>
      <c r="E1" s="227" t="s">
        <v>124</v>
      </c>
      <c r="F1" s="227"/>
      <c r="G1" s="227" t="s">
        <v>125</v>
      </c>
      <c r="H1" s="227"/>
      <c r="I1" s="227" t="s">
        <v>126</v>
      </c>
      <c r="J1" s="227" t="s">
        <v>127</v>
      </c>
      <c r="K1" s="227" t="s">
        <v>128</v>
      </c>
      <c r="L1" s="227" t="s">
        <v>44</v>
      </c>
      <c r="M1" s="227" t="s">
        <v>129</v>
      </c>
      <c r="N1" s="227" t="s">
        <v>130</v>
      </c>
    </row>
    <row r="2" spans="1:30" x14ac:dyDescent="0.2">
      <c r="A2" s="228"/>
      <c r="B2" s="229"/>
      <c r="C2" s="230"/>
      <c r="D2" s="231">
        <f>SettlementDate</f>
        <v>41892</v>
      </c>
      <c r="E2" s="232" t="e">
        <f t="array" ref="E2:E127">_xll.qlPiecewiseYieldCurveData(YieldCurve,InterestRatesTrigger)</f>
        <v>#NUM!</v>
      </c>
      <c r="F2" s="195">
        <v>0</v>
      </c>
      <c r="G2" s="233">
        <f>_xll.qlInterestRateIndexFixingDate(IborIndex,I2)</f>
        <v>41890</v>
      </c>
      <c r="H2" s="195" t="str">
        <f>_xll.qlMakeDatedOIS(,I2,J2,OvernightIndex,0,"Act/360",0)</f>
        <v>obj_008c8#0001</v>
      </c>
      <c r="I2" s="233">
        <f>_xll.qlCalendarAdvance(Calendar,$D$2,F2&amp;"M","mf")</f>
        <v>41892</v>
      </c>
      <c r="J2" s="233">
        <f>_xll.qlInterestRateIndexMaturity(IborIndex,I2)</f>
        <v>42257</v>
      </c>
      <c r="K2" s="232" t="e">
        <f>_xll.qlIndexFixing(IborIndex,G2,TRUE,InterestRatesTrigger)</f>
        <v>#NUM!</v>
      </c>
      <c r="L2" s="232">
        <f>_xll.qlOvernightIndexedSwapFairRate(H2,Contribution!$P$25)</f>
        <v>-7.8000000000007284E-4</v>
      </c>
      <c r="M2" s="209" t="e">
        <f>ROUND(K2-L2,6)</f>
        <v>#NUM!</v>
      </c>
      <c r="N2" s="232"/>
      <c r="O2" s="195" t="str">
        <f>_xll.qlSimpleQuote(,,,,EvaluationDate)</f>
        <v>obj_00376#0001</v>
      </c>
      <c r="P2" s="232" t="e">
        <f>_xll.qlSimpleQuoteSetValue(O2,M2)</f>
        <v>#NUM!</v>
      </c>
      <c r="AB2" s="209"/>
      <c r="AC2" s="209"/>
      <c r="AD2" s="369"/>
    </row>
    <row r="3" spans="1:30" x14ac:dyDescent="0.2">
      <c r="A3" s="234" t="str">
        <f>RateHelpersFra!F2</f>
        <v>obj_003ca#0001</v>
      </c>
      <c r="B3" s="235" t="e">
        <f>_xll.qlRateHelperRate($A3,InterestRatesTrigger)</f>
        <v>#NUM!</v>
      </c>
      <c r="C3" s="236">
        <f>_xll.qlRateHelperEarliestDate($A3)</f>
        <v>41892</v>
      </c>
      <c r="D3" s="231">
        <f>_xll.qlRateHelperLatestDate($A3)</f>
        <v>42257</v>
      </c>
      <c r="E3" s="232" t="e">
        <v>#NUM!</v>
      </c>
      <c r="F3" s="195">
        <v>12</v>
      </c>
      <c r="G3" s="233">
        <f>_xll.qlInterestRateIndexFixingDate(IborIndex,I3)</f>
        <v>42255</v>
      </c>
      <c r="H3" s="195" t="str">
        <f>_xll.qlMakeDatedOIS(,I3,J3,OvernightIndex,0,"Act/360",0)</f>
        <v>obj_008b4#0001</v>
      </c>
      <c r="I3" s="233">
        <f>_xll.qlCalendarAdvance(Calendar,$D$2,F3&amp;"M","mf")</f>
        <v>42257</v>
      </c>
      <c r="J3" s="233">
        <f>_xll.qlInterestRateIndexMaturity(IborIndex,I3)</f>
        <v>42625</v>
      </c>
      <c r="K3" s="232" t="e">
        <f>_xll.qlIndexFixing(IborIndex,G3,TRUE,InterestRatesTrigger)</f>
        <v>#NUM!</v>
      </c>
      <c r="L3" s="232">
        <f>_xll.qlOvernightIndexedSwapFairRate(H3,Contribution!$P$25)</f>
        <v>-6.2070251978436723E-4</v>
      </c>
      <c r="M3" s="209" t="e">
        <f>ROUND(K3-L3,6)</f>
        <v>#NUM!</v>
      </c>
      <c r="N3" s="232"/>
      <c r="O3" s="195" t="str">
        <f>_xll.qlSimpleQuote(,,,,EvaluationDate)</f>
        <v>obj_00392#0001</v>
      </c>
      <c r="P3" s="232" t="e">
        <f>_xll.qlSimpleQuoteSetValue(O3,M3)</f>
        <v>#NUM!</v>
      </c>
      <c r="AB3" s="209"/>
      <c r="AC3" s="209"/>
      <c r="AD3" s="369"/>
    </row>
    <row r="4" spans="1:30" x14ac:dyDescent="0.2">
      <c r="A4" s="234" t="str">
        <f>RateHelpersFra!F3</f>
        <v>obj_003c5#0001</v>
      </c>
      <c r="B4" s="235">
        <f>_xll.qlRateHelperRate($A4,InterestRatesTrigger)</f>
        <v>3.4399999999999999E-3</v>
      </c>
      <c r="C4" s="236">
        <f>_xll.qlRateHelperEarliestDate($A4)</f>
        <v>42257</v>
      </c>
      <c r="D4" s="231">
        <f>_xll.qlRateHelperLatestDate($A4)</f>
        <v>42625</v>
      </c>
      <c r="E4" s="232" t="e">
        <v>#NUM!</v>
      </c>
      <c r="F4" s="195">
        <v>24</v>
      </c>
      <c r="G4" s="233">
        <f>_xll.qlInterestRateIndexFixingDate(IborIndex,I4)</f>
        <v>42621</v>
      </c>
      <c r="H4" s="195" t="str">
        <f>_xll.qlMakeDatedOIS(,I4,J4,OvernightIndex,0,"Act/360",0)</f>
        <v>obj_008bf#0001</v>
      </c>
      <c r="I4" s="233">
        <f>_xll.qlCalendarAdvance(Calendar,$D$2,F4&amp;"M","mf")</f>
        <v>42625</v>
      </c>
      <c r="J4" s="233">
        <f>_xll.qlInterestRateIndexMaturity(IborIndex,I4)</f>
        <v>42990</v>
      </c>
      <c r="K4" s="232" t="e">
        <f>_xll.qlIndexFixing(IborIndex,G4,TRUE,InterestRatesTrigger)</f>
        <v>#NUM!</v>
      </c>
      <c r="L4" s="232">
        <f>_xll.qlOvernightIndexedSwapFairRate(H4,Contribution!$P$25)</f>
        <v>5.7192766076674673E-4</v>
      </c>
      <c r="M4" s="209" t="e">
        <f>ROUND(K4-L4,6)</f>
        <v>#NUM!</v>
      </c>
      <c r="N4" s="232"/>
      <c r="O4" s="195" t="str">
        <f>_xll.qlSimpleQuote(,,,,EvaluationDate)</f>
        <v>obj_00380#0001</v>
      </c>
      <c r="P4" s="232" t="e">
        <f>_xll.qlSimpleQuoteSetValue(O4,M4)</f>
        <v>#NUM!</v>
      </c>
      <c r="AB4" s="209"/>
      <c r="AC4" s="209"/>
      <c r="AD4" s="369"/>
    </row>
    <row r="5" spans="1:30" x14ac:dyDescent="0.2">
      <c r="A5" s="234" t="str">
        <f>RateHelpersFra!F4</f>
        <v>obj_00399#0001</v>
      </c>
      <c r="B5" s="235">
        <f>_xll.qlRateHelperRate($A5,InterestRatesTrigger)</f>
        <v>4.1200000000000004E-3</v>
      </c>
      <c r="C5" s="236">
        <f>_xll.qlRateHelperEarliestDate($A5)</f>
        <v>41892</v>
      </c>
      <c r="D5" s="231">
        <f>_xll.qlRateHelperLatestDate($A5)</f>
        <v>42989</v>
      </c>
      <c r="E5" s="232" t="e">
        <v>#NUM!</v>
      </c>
      <c r="F5" s="195">
        <v>36</v>
      </c>
      <c r="G5" s="233">
        <f>_xll.qlInterestRateIndexFixingDate(IborIndex,I5)</f>
        <v>42985</v>
      </c>
      <c r="H5" s="195" t="str">
        <f>_xll.qlMakeDatedOIS(,I5,J5,OvernightIndex,0,"Act/360",0)</f>
        <v>obj_008b2#0001</v>
      </c>
      <c r="I5" s="233">
        <f>_xll.qlCalendarAdvance(Calendar,$D$2,F5&amp;"M","mf")</f>
        <v>42989</v>
      </c>
      <c r="J5" s="233">
        <f>_xll.qlInterestRateIndexMaturity(IborIndex,I5)</f>
        <v>43354</v>
      </c>
      <c r="K5" s="232" t="e">
        <f>_xll.qlIndexFixing(IborIndex,G5,TRUE,InterestRatesTrigger)</f>
        <v>#NUM!</v>
      </c>
      <c r="L5" s="232">
        <f>_xll.qlOvernightIndexedSwapFairRate(H5,Contribution!$P$25)</f>
        <v>2.7443877612391577E-3</v>
      </c>
      <c r="M5" s="209" t="e">
        <f>ROUND(K5-L5,6)</f>
        <v>#NUM!</v>
      </c>
      <c r="N5" s="232"/>
      <c r="O5" s="195" t="str">
        <f>_xll.qlSimpleQuote(,,,,EvaluationDate)</f>
        <v>obj_00383#0001</v>
      </c>
      <c r="P5" s="232" t="e">
        <f>_xll.qlSimpleQuoteSetValue(O5,M5)</f>
        <v>#NUM!</v>
      </c>
      <c r="AB5" s="209"/>
      <c r="AC5" s="209"/>
      <c r="AD5" s="369"/>
    </row>
    <row r="6" spans="1:30" x14ac:dyDescent="0.2">
      <c r="A6" s="234" t="str">
        <f>RateHelpersFra!F5</f>
        <v>obj_0039a#0001</v>
      </c>
      <c r="B6" s="235">
        <f>_xll.qlRateHelperRate($A6,InterestRatesTrigger)</f>
        <v>4.9899999999999996E-3</v>
      </c>
      <c r="C6" s="236">
        <f>_xll.qlRateHelperEarliestDate($A6)</f>
        <v>41892</v>
      </c>
      <c r="D6" s="231">
        <f>_xll.qlRateHelperLatestDate($A6)</f>
        <v>43353</v>
      </c>
      <c r="E6" s="232" t="e">
        <v>#NUM!</v>
      </c>
      <c r="F6" s="195">
        <v>48</v>
      </c>
      <c r="G6" s="233">
        <f>_xll.qlInterestRateIndexFixingDate(IborIndex,I6)</f>
        <v>43349</v>
      </c>
      <c r="H6" s="195" t="str">
        <f>_xll.qlMakeDatedOIS(,I6,J6,OvernightIndex,0,"Act/360",0)</f>
        <v>obj_008bc#0001</v>
      </c>
      <c r="I6" s="233">
        <f>_xll.qlCalendarAdvance(Calendar,$D$2,F6&amp;"M","mf")</f>
        <v>43353</v>
      </c>
      <c r="J6" s="233">
        <f>_xll.qlInterestRateIndexMaturity(IborIndex,I6)</f>
        <v>43718</v>
      </c>
      <c r="K6" s="232" t="e">
        <f>_xll.qlIndexFixing(IborIndex,G6,TRUE,InterestRatesTrigger)</f>
        <v>#NUM!</v>
      </c>
      <c r="L6" s="232">
        <f>_xll.qlOvernightIndexedSwapFairRate(H6,Contribution!$P$25)</f>
        <v>5.4534158587521888E-3</v>
      </c>
      <c r="M6" s="209" t="e">
        <f>ROUND(K6-L6,6)</f>
        <v>#NUM!</v>
      </c>
      <c r="N6" s="232"/>
      <c r="O6" s="195" t="str">
        <f>_xll.qlSimpleQuote(,,,,EvaluationDate)</f>
        <v>obj_00379#0001</v>
      </c>
      <c r="P6" s="232" t="e">
        <f>_xll.qlSimpleQuoteSetValue(O6,M6)</f>
        <v>#NUM!</v>
      </c>
      <c r="AB6" s="209"/>
      <c r="AC6" s="209"/>
      <c r="AD6" s="369"/>
    </row>
    <row r="7" spans="1:30" x14ac:dyDescent="0.2">
      <c r="A7" s="234" t="str">
        <f>RateHelpersFra!F6</f>
        <v>obj_0037f#0001</v>
      </c>
      <c r="B7" s="235">
        <f>_xll.qlRateHelperRate($A7,InterestRatesTrigger)</f>
        <v>6.1099999999999991E-3</v>
      </c>
      <c r="C7" s="236">
        <f>_xll.qlRateHelperEarliestDate($A7)</f>
        <v>41892</v>
      </c>
      <c r="D7" s="231">
        <f>_xll.qlRateHelperLatestDate($A7)</f>
        <v>43718</v>
      </c>
      <c r="E7" s="232" t="e">
        <v>#NUM!</v>
      </c>
      <c r="G7" s="233"/>
      <c r="I7" s="233"/>
      <c r="J7" s="233"/>
      <c r="K7" s="232"/>
      <c r="L7" s="232"/>
      <c r="M7" s="209"/>
      <c r="AB7" s="209"/>
      <c r="AC7" s="209"/>
      <c r="AD7" s="369"/>
    </row>
    <row r="8" spans="1:30" x14ac:dyDescent="0.2">
      <c r="A8" s="234"/>
      <c r="B8" s="235"/>
      <c r="C8" s="236"/>
      <c r="D8" s="231"/>
      <c r="E8" s="232" t="e">
        <v>#NUM!</v>
      </c>
      <c r="F8" s="374">
        <v>0</v>
      </c>
      <c r="G8" s="375">
        <f>_xll.qlInterestRateIndexFixingDate(IborIndex,I8)</f>
        <v>41890</v>
      </c>
      <c r="H8" s="374" t="str">
        <f>_xll.qlMakeDatedOIS(,I8,J8,OvernightIndex,0,"Act/360",0)</f>
        <v>obj_008ae#0001</v>
      </c>
      <c r="I8" s="375">
        <f>_xll.qlCalendarAdvance(Calendar,$D$2,F8&amp;"M","mf")</f>
        <v>41892</v>
      </c>
      <c r="J8" s="375">
        <f>_xll.qlInterestRateIndexMaturity(IborIndex,I8)</f>
        <v>42257</v>
      </c>
      <c r="K8" s="374"/>
      <c r="L8" s="376">
        <f>_xll.qlOvernightIndexedSwapFairRate(H8,_xll.ohTrigger($P$2:$P$6))</f>
        <v>-7.8000000000007284E-4</v>
      </c>
      <c r="M8" s="377" t="e">
        <f>_xll.qlInterpolationInterpolate(BasisInterpolator,I8,,L8)</f>
        <v>#NUM!</v>
      </c>
      <c r="N8" s="376" t="e">
        <f>L8+M8</f>
        <v>#NUM!</v>
      </c>
      <c r="AB8" s="209"/>
      <c r="AC8" s="209"/>
      <c r="AD8" s="369"/>
    </row>
    <row r="9" spans="1:30" x14ac:dyDescent="0.2">
      <c r="A9" s="234"/>
      <c r="B9" s="235"/>
      <c r="C9" s="236"/>
      <c r="D9" s="231"/>
      <c r="E9" s="232" t="e">
        <v>#NUM!</v>
      </c>
      <c r="F9" s="195">
        <v>1</v>
      </c>
      <c r="G9" s="233">
        <f>_xll.qlInterestRateIndexFixingDate(IborIndex,I9)</f>
        <v>41920</v>
      </c>
      <c r="H9" s="195" t="str">
        <f>_xll.qlMakeDatedOIS(,I9,J9,OvernightIndex,0,"Act/360",0)</f>
        <v>obj_008d5#0001</v>
      </c>
      <c r="I9" s="233">
        <f>_xll.qlCalendarAdvance(Calendar,$D$2,F9&amp;"M","mf")</f>
        <v>41922</v>
      </c>
      <c r="J9" s="233">
        <f>_xll.qlInterestRateIndexMaturity(IborIndex,I9)</f>
        <v>42289</v>
      </c>
      <c r="L9" s="232">
        <f>_xll.qlOvernightIndexedSwapFairRate(H9,_xll.ohTrigger($P$2:$P$6))</f>
        <v>-7.9035738431828336E-4</v>
      </c>
      <c r="M9" s="209" t="e">
        <f>_xll.qlInterpolationInterpolate(BasisInterpolator,I9,,L9)</f>
        <v>#NUM!</v>
      </c>
      <c r="N9" s="232" t="e">
        <f>L9+M9</f>
        <v>#NUM!</v>
      </c>
      <c r="O9" s="369"/>
      <c r="AB9" s="209"/>
      <c r="AC9" s="209"/>
      <c r="AD9" s="369"/>
    </row>
    <row r="10" spans="1:30" x14ac:dyDescent="0.2">
      <c r="A10" s="234"/>
      <c r="B10" s="235"/>
      <c r="C10" s="236"/>
      <c r="D10" s="231"/>
      <c r="E10" s="232" t="e">
        <v>#NUM!</v>
      </c>
      <c r="F10" s="195">
        <v>2</v>
      </c>
      <c r="G10" s="233">
        <f>_xll.qlInterestRateIndexFixingDate(IborIndex,I10)</f>
        <v>41949</v>
      </c>
      <c r="H10" s="195" t="str">
        <f>_xll.qlMakeDatedOIS(,I10,J10,OvernightIndex,0,"Act/360",0)</f>
        <v>obj_008a8#0001</v>
      </c>
      <c r="I10" s="233">
        <f>_xll.qlCalendarAdvance(Calendar,$D$2,F10&amp;"M","mf")</f>
        <v>41953</v>
      </c>
      <c r="J10" s="233">
        <f>_xll.qlInterestRateIndexMaturity(IborIndex,I10)</f>
        <v>42318</v>
      </c>
      <c r="L10" s="232">
        <f>_xll.qlOvernightIndexedSwapFairRate(H10,_xll.ohTrigger($P$2:$P$6))</f>
        <v>-8.0458367561176618E-4</v>
      </c>
      <c r="M10" s="209" t="e">
        <f>_xll.qlInterpolationInterpolate(BasisInterpolator,I10,,L10)</f>
        <v>#NUM!</v>
      </c>
      <c r="N10" s="232" t="e">
        <f t="shared" ref="N10:N56" si="0">L10+M10</f>
        <v>#NUM!</v>
      </c>
      <c r="O10" s="369"/>
      <c r="AB10" s="209"/>
      <c r="AC10" s="209"/>
      <c r="AD10" s="369"/>
    </row>
    <row r="11" spans="1:30" x14ac:dyDescent="0.2">
      <c r="A11" s="234"/>
      <c r="B11" s="235"/>
      <c r="C11" s="236"/>
      <c r="D11" s="231"/>
      <c r="E11" s="232" t="e">
        <v>#NUM!</v>
      </c>
      <c r="F11" s="195">
        <v>3</v>
      </c>
      <c r="G11" s="233">
        <f>_xll.qlInterestRateIndexFixingDate(IborIndex,I11)</f>
        <v>41981</v>
      </c>
      <c r="H11" s="195" t="str">
        <f>_xll.qlMakeDatedOIS(,I11,J11,OvernightIndex,0,"Act/360",0)</f>
        <v>obj_008c5#0001</v>
      </c>
      <c r="I11" s="233">
        <f>_xll.qlCalendarAdvance(Calendar,$D$2,F11&amp;"M","mf")</f>
        <v>41983</v>
      </c>
      <c r="J11" s="233">
        <f>_xll.qlInterestRateIndexMaturity(IborIndex,I11)</f>
        <v>42348</v>
      </c>
      <c r="L11" s="232">
        <f>_xll.qlOvernightIndexedSwapFairRate(H11,_xll.ohTrigger($P$2:$P$6))</f>
        <v>-8.1166007125218478E-4</v>
      </c>
      <c r="M11" s="209" t="e">
        <f>_xll.qlInterpolationInterpolate(BasisInterpolator,I11,,L11)</f>
        <v>#NUM!</v>
      </c>
      <c r="N11" s="232" t="e">
        <f t="shared" si="0"/>
        <v>#NUM!</v>
      </c>
      <c r="O11" s="369"/>
      <c r="AB11" s="209"/>
      <c r="AC11" s="209"/>
      <c r="AD11" s="369"/>
    </row>
    <row r="12" spans="1:30" x14ac:dyDescent="0.2">
      <c r="A12" s="234"/>
      <c r="B12" s="235"/>
      <c r="C12" s="236"/>
      <c r="D12" s="231"/>
      <c r="E12" s="232" t="e">
        <v>#NUM!</v>
      </c>
      <c r="F12" s="195">
        <v>4</v>
      </c>
      <c r="G12" s="233">
        <f>_xll.qlInterestRateIndexFixingDate(IborIndex,I12)</f>
        <v>42012</v>
      </c>
      <c r="H12" s="195" t="str">
        <f>_xll.qlMakeDatedOIS(,I12,J12,OvernightIndex,0,"Act/360",0)</f>
        <v>obj_008a5#0001</v>
      </c>
      <c r="I12" s="233">
        <f>_xll.qlCalendarAdvance(Calendar,$D$2,F12&amp;"M","mf")</f>
        <v>42016</v>
      </c>
      <c r="J12" s="233">
        <f>_xll.qlInterestRateIndexMaturity(IborIndex,I12)</f>
        <v>42381</v>
      </c>
      <c r="L12" s="232">
        <f>_xll.qlOvernightIndexedSwapFairRate(H12,_xll.ohTrigger($P$2:$P$6))</f>
        <v>-8.2521915093543817E-4</v>
      </c>
      <c r="M12" s="209" t="e">
        <f>_xll.qlInterpolationInterpolate(BasisInterpolator,I12,,L12)</f>
        <v>#NUM!</v>
      </c>
      <c r="N12" s="232" t="e">
        <f t="shared" si="0"/>
        <v>#NUM!</v>
      </c>
      <c r="O12" s="369"/>
      <c r="AB12" s="209"/>
      <c r="AC12" s="209"/>
      <c r="AD12" s="369"/>
    </row>
    <row r="13" spans="1:30" x14ac:dyDescent="0.2">
      <c r="A13" s="234"/>
      <c r="B13" s="235"/>
      <c r="C13" s="236"/>
      <c r="D13" s="231"/>
      <c r="E13" s="232" t="e">
        <v>#NUM!</v>
      </c>
      <c r="F13" s="195">
        <v>5</v>
      </c>
      <c r="G13" s="233">
        <f>_xll.qlInterestRateIndexFixingDate(IborIndex,I13)</f>
        <v>42041</v>
      </c>
      <c r="H13" s="195" t="str">
        <f>_xll.qlMakeDatedOIS(,I13,J13,OvernightIndex,0,"Act/360",0)</f>
        <v>obj_008d7#0001</v>
      </c>
      <c r="I13" s="233">
        <f>_xll.qlCalendarAdvance(Calendar,$D$2,F13&amp;"M","mf")</f>
        <v>42045</v>
      </c>
      <c r="J13" s="233">
        <f>_xll.qlInterestRateIndexMaturity(IborIndex,I13)</f>
        <v>42410</v>
      </c>
      <c r="L13" s="232">
        <f>_xll.qlOvernightIndexedSwapFairRate(H13,_xll.ohTrigger($P$2:$P$6))</f>
        <v>-8.2645783850800625E-4</v>
      </c>
      <c r="M13" s="209" t="e">
        <f>_xll.qlInterpolationInterpolate(BasisInterpolator,I13,,L13)</f>
        <v>#NUM!</v>
      </c>
      <c r="N13" s="232" t="e">
        <f t="shared" si="0"/>
        <v>#NUM!</v>
      </c>
      <c r="O13" s="369"/>
      <c r="AB13" s="209"/>
      <c r="AC13" s="209"/>
      <c r="AD13" s="369"/>
    </row>
    <row r="14" spans="1:30" x14ac:dyDescent="0.2">
      <c r="A14" s="234"/>
      <c r="B14" s="235"/>
      <c r="C14" s="236"/>
      <c r="D14" s="231"/>
      <c r="E14" s="232" t="e">
        <v>#NUM!</v>
      </c>
      <c r="F14" s="195">
        <v>6</v>
      </c>
      <c r="G14" s="233">
        <f>_xll.qlInterestRateIndexFixingDate(IborIndex,I14)</f>
        <v>42069</v>
      </c>
      <c r="H14" s="195" t="str">
        <f>_xll.qlMakeDatedOIS(,I14,J14,OvernightIndex,0,"Act/360",0)</f>
        <v>obj_008a4#0001</v>
      </c>
      <c r="I14" s="233">
        <f>_xll.qlCalendarAdvance(Calendar,$D$2,F14&amp;"M","mf")</f>
        <v>42073</v>
      </c>
      <c r="J14" s="233">
        <f>_xll.qlInterestRateIndexMaturity(IborIndex,I14)</f>
        <v>42439</v>
      </c>
      <c r="L14" s="232">
        <f>_xll.qlOvernightIndexedSwapFairRate(H14,_xll.ohTrigger($P$2:$P$6))</f>
        <v>-8.1473275599342474E-4</v>
      </c>
      <c r="M14" s="209" t="e">
        <f>_xll.qlInterpolationInterpolate(BasisInterpolator,I14,,L14)</f>
        <v>#NUM!</v>
      </c>
      <c r="N14" s="232" t="e">
        <f t="shared" si="0"/>
        <v>#NUM!</v>
      </c>
      <c r="O14" s="369"/>
      <c r="AB14" s="209"/>
      <c r="AC14" s="209"/>
      <c r="AD14" s="369"/>
    </row>
    <row r="15" spans="1:30" x14ac:dyDescent="0.2">
      <c r="A15" s="234"/>
      <c r="B15" s="235"/>
      <c r="C15" s="236"/>
      <c r="D15" s="231"/>
      <c r="E15" s="232" t="e">
        <v>#NUM!</v>
      </c>
      <c r="F15" s="195">
        <v>7</v>
      </c>
      <c r="G15" s="233">
        <f>_xll.qlInterestRateIndexFixingDate(IborIndex,I15)</f>
        <v>42102</v>
      </c>
      <c r="H15" s="195" t="str">
        <f>_xll.qlMakeDatedOIS(,I15,J15,OvernightIndex,0,"Act/360",0)</f>
        <v>obj_008cb#0001</v>
      </c>
      <c r="I15" s="233">
        <f>_xll.qlCalendarAdvance(Calendar,$D$2,F15&amp;"M","mf")</f>
        <v>42104</v>
      </c>
      <c r="J15" s="233">
        <f>_xll.qlInterestRateIndexMaturity(IborIndex,I15)</f>
        <v>42471</v>
      </c>
      <c r="L15" s="232">
        <f>_xll.qlOvernightIndexedSwapFairRate(H15,_xll.ohTrigger($P$2:$P$6))</f>
        <v>-7.8806784776262598E-4</v>
      </c>
      <c r="M15" s="209" t="e">
        <f>_xll.qlInterpolationInterpolate(BasisInterpolator,I15,,L15)</f>
        <v>#NUM!</v>
      </c>
      <c r="N15" s="232" t="e">
        <f t="shared" si="0"/>
        <v>#NUM!</v>
      </c>
      <c r="O15" s="369"/>
      <c r="AB15" s="209"/>
      <c r="AC15" s="209"/>
      <c r="AD15" s="369"/>
    </row>
    <row r="16" spans="1:30" x14ac:dyDescent="0.2">
      <c r="A16" s="234"/>
      <c r="B16" s="235"/>
      <c r="C16" s="236"/>
      <c r="D16" s="231"/>
      <c r="E16" s="232" t="e">
        <v>#NUM!</v>
      </c>
      <c r="F16" s="195">
        <v>8</v>
      </c>
      <c r="G16" s="233">
        <f>_xll.qlInterestRateIndexFixingDate(IborIndex,I16)</f>
        <v>42131</v>
      </c>
      <c r="H16" s="195" t="str">
        <f>_xll.qlMakeDatedOIS(,I16,J16,OvernightIndex,0,"Act/360",0)</f>
        <v>obj_008a7#0001</v>
      </c>
      <c r="I16" s="233">
        <f>_xll.qlCalendarAdvance(Calendar,$D$2,F16&amp;"M","mf")</f>
        <v>42135</v>
      </c>
      <c r="J16" s="233">
        <f>_xll.qlInterestRateIndexMaturity(IborIndex,I16)</f>
        <v>42501</v>
      </c>
      <c r="L16" s="232">
        <f>_xll.qlOvernightIndexedSwapFairRate(H16,_xll.ohTrigger($P$2:$P$6))</f>
        <v>-7.7328173023494804E-4</v>
      </c>
      <c r="M16" s="209" t="e">
        <f>_xll.qlInterpolationInterpolate(BasisInterpolator,I16,,L16)</f>
        <v>#NUM!</v>
      </c>
      <c r="N16" s="232" t="e">
        <f t="shared" si="0"/>
        <v>#NUM!</v>
      </c>
      <c r="O16" s="369"/>
      <c r="AB16" s="209"/>
      <c r="AC16" s="209"/>
      <c r="AD16" s="369"/>
    </row>
    <row r="17" spans="1:30" x14ac:dyDescent="0.2">
      <c r="A17" s="234"/>
      <c r="B17" s="235"/>
      <c r="C17" s="236"/>
      <c r="D17" s="231"/>
      <c r="E17" s="232" t="e">
        <v>#NUM!</v>
      </c>
      <c r="F17" s="195">
        <v>9</v>
      </c>
      <c r="G17" s="233">
        <f>_xll.qlInterestRateIndexFixingDate(IborIndex,I17)</f>
        <v>42163</v>
      </c>
      <c r="H17" s="195" t="str">
        <f>_xll.qlMakeDatedOIS(,I17,J17,OvernightIndex,0,"Act/360",0)</f>
        <v>obj_008ad#0001</v>
      </c>
      <c r="I17" s="233">
        <f>_xll.qlCalendarAdvance(Calendar,$D$2,F17&amp;"M","mf")</f>
        <v>42165</v>
      </c>
      <c r="J17" s="233">
        <f>_xll.qlInterestRateIndexMaturity(IborIndex,I17)</f>
        <v>42531</v>
      </c>
      <c r="L17" s="232">
        <f>_xll.qlOvernightIndexedSwapFairRate(H17,_xll.ohTrigger($P$2:$P$6))</f>
        <v>-7.6493727192821338E-4</v>
      </c>
      <c r="M17" s="209" t="e">
        <f>_xll.qlInterpolationInterpolate(BasisInterpolator,I17,,L17)</f>
        <v>#NUM!</v>
      </c>
      <c r="N17" s="232" t="e">
        <f t="shared" si="0"/>
        <v>#NUM!</v>
      </c>
      <c r="O17" s="369"/>
      <c r="AB17" s="209"/>
      <c r="AC17" s="209"/>
      <c r="AD17" s="369"/>
    </row>
    <row r="18" spans="1:30" x14ac:dyDescent="0.2">
      <c r="A18" s="234"/>
      <c r="B18" s="235"/>
      <c r="C18" s="236"/>
      <c r="D18" s="231"/>
      <c r="E18" s="232" t="e">
        <v>#NUM!</v>
      </c>
      <c r="F18" s="195">
        <v>10</v>
      </c>
      <c r="G18" s="233">
        <f>_xll.qlInterestRateIndexFixingDate(IborIndex,I18)</f>
        <v>42193</v>
      </c>
      <c r="H18" s="195" t="str">
        <f>_xll.qlMakeDatedOIS(,I18,J18,OvernightIndex,0,"Act/360",0)</f>
        <v>obj_008c4#0001</v>
      </c>
      <c r="I18" s="233">
        <f>_xll.qlCalendarAdvance(Calendar,$D$2,F18&amp;"M","mf")</f>
        <v>42195</v>
      </c>
      <c r="J18" s="233">
        <f>_xll.qlInterestRateIndexMaturity(IborIndex,I18)</f>
        <v>42562</v>
      </c>
      <c r="L18" s="232">
        <f>_xll.qlOvernightIndexedSwapFairRate(H18,_xll.ohTrigger($P$2:$P$6))</f>
        <v>-7.2535922509227324E-4</v>
      </c>
      <c r="M18" s="209" t="e">
        <f>_xll.qlInterpolationInterpolate(BasisInterpolator,I18,,L18)</f>
        <v>#NUM!</v>
      </c>
      <c r="N18" s="232" t="e">
        <f t="shared" si="0"/>
        <v>#NUM!</v>
      </c>
      <c r="O18" s="369"/>
      <c r="AB18" s="209"/>
      <c r="AC18" s="209"/>
      <c r="AD18" s="369"/>
    </row>
    <row r="19" spans="1:30" x14ac:dyDescent="0.2">
      <c r="A19" s="234"/>
      <c r="B19" s="235"/>
      <c r="C19" s="236"/>
      <c r="D19" s="231"/>
      <c r="E19" s="232" t="e">
        <v>#NUM!</v>
      </c>
      <c r="F19" s="195">
        <v>11</v>
      </c>
      <c r="G19" s="233">
        <f>_xll.qlInterestRateIndexFixingDate(IborIndex,I19)</f>
        <v>42222</v>
      </c>
      <c r="H19" s="195" t="str">
        <f>_xll.qlMakeDatedOIS(,I19,J19,OvernightIndex,0,"Act/360",0)</f>
        <v>obj_008a9#0001</v>
      </c>
      <c r="I19" s="233">
        <f>_xll.qlCalendarAdvance(Calendar,$D$2,F19&amp;"M","mf")</f>
        <v>42226</v>
      </c>
      <c r="J19" s="233">
        <f>_xll.qlInterestRateIndexMaturity(IborIndex,I19)</f>
        <v>42592</v>
      </c>
      <c r="L19" s="232">
        <f>_xll.qlOvernightIndexedSwapFairRate(H19,_xll.ohTrigger($P$2:$P$6))</f>
        <v>-6.8506607167237313E-4</v>
      </c>
      <c r="M19" s="209" t="e">
        <f>_xll.qlInterpolationInterpolate(BasisInterpolator,I19,,L19)</f>
        <v>#NUM!</v>
      </c>
      <c r="N19" s="232" t="e">
        <f t="shared" si="0"/>
        <v>#NUM!</v>
      </c>
      <c r="O19" s="369"/>
      <c r="AB19" s="209"/>
      <c r="AC19" s="209"/>
      <c r="AD19" s="369"/>
    </row>
    <row r="20" spans="1:30" x14ac:dyDescent="0.2">
      <c r="A20" s="234"/>
      <c r="B20" s="235"/>
      <c r="C20" s="236"/>
      <c r="D20" s="231"/>
      <c r="E20" s="232" t="e">
        <v>#NUM!</v>
      </c>
      <c r="F20" s="370">
        <v>12</v>
      </c>
      <c r="G20" s="371">
        <f>_xll.qlInterestRateIndexFixingDate(IborIndex,I20)</f>
        <v>42255</v>
      </c>
      <c r="H20" s="370" t="str">
        <f>_xll.qlMakeDatedOIS(,I20,J20,OvernightIndex,0,"Act/360",0)</f>
        <v>obj_008b9#0001</v>
      </c>
      <c r="I20" s="371">
        <f>_xll.qlCalendarAdvance(Calendar,$D$2,F20&amp;"M","mf")</f>
        <v>42257</v>
      </c>
      <c r="J20" s="371">
        <f>_xll.qlInterestRateIndexMaturity(IborIndex,I20)</f>
        <v>42625</v>
      </c>
      <c r="K20" s="370"/>
      <c r="L20" s="372">
        <f>_xll.qlOvernightIndexedSwapFairRate(H20,_xll.ohTrigger($P$2:$P$6))</f>
        <v>-6.2070251978436723E-4</v>
      </c>
      <c r="M20" s="373" t="e">
        <f>_xll.qlInterpolationInterpolate(BasisInterpolator,I20,,L20)</f>
        <v>#NUM!</v>
      </c>
      <c r="N20" s="372" t="e">
        <f t="shared" ref="N20" si="1">L20+M20</f>
        <v>#NUM!</v>
      </c>
      <c r="O20" s="369"/>
      <c r="AB20" s="209"/>
      <c r="AC20" s="209"/>
      <c r="AD20" s="369"/>
    </row>
    <row r="21" spans="1:30" x14ac:dyDescent="0.2">
      <c r="A21" s="234"/>
      <c r="B21" s="235"/>
      <c r="C21" s="236"/>
      <c r="D21" s="231"/>
      <c r="E21" s="232" t="e">
        <v>#NUM!</v>
      </c>
      <c r="F21" s="195">
        <v>13</v>
      </c>
      <c r="G21" s="233">
        <f>_xll.qlInterestRateIndexFixingDate(IborIndex,I21)</f>
        <v>42285</v>
      </c>
      <c r="H21" s="195" t="str">
        <f>_xll.qlMakeDatedOIS(,I21,J21,OvernightIndex,0,"Act/360",0)</f>
        <v>obj_008c0#0001</v>
      </c>
      <c r="I21" s="233">
        <f>_xll.qlCalendarAdvance(Calendar,$D$2,F21&amp;"M","mf")</f>
        <v>42289</v>
      </c>
      <c r="J21" s="233">
        <f>_xll.qlInterestRateIndexMaturity(IborIndex,I21)</f>
        <v>42655</v>
      </c>
      <c r="L21" s="232">
        <f>_xll.qlOvernightIndexedSwapFairRate(H21,_xll.ohTrigger($P$2:$P$6))</f>
        <v>-5.0519882054433365E-4</v>
      </c>
      <c r="M21" s="209" t="e">
        <f>_xll.qlInterpolationInterpolate(BasisInterpolator,I21,,L21)</f>
        <v>#NUM!</v>
      </c>
      <c r="N21" s="232" t="e">
        <f t="shared" si="0"/>
        <v>#NUM!</v>
      </c>
      <c r="O21" s="369"/>
      <c r="AB21" s="209"/>
      <c r="AC21" s="209"/>
      <c r="AD21" s="369"/>
    </row>
    <row r="22" spans="1:30" x14ac:dyDescent="0.2">
      <c r="A22" s="234"/>
      <c r="B22" s="235"/>
      <c r="C22" s="236"/>
      <c r="D22" s="231"/>
      <c r="E22" s="232" t="e">
        <v>#NUM!</v>
      </c>
      <c r="F22" s="195">
        <v>14</v>
      </c>
      <c r="G22" s="233">
        <f>_xll.qlInterestRateIndexFixingDate(IborIndex,I22)</f>
        <v>42314</v>
      </c>
      <c r="H22" s="195" t="str">
        <f>_xll.qlMakeDatedOIS(,I22,J22,OvernightIndex,0,"Act/360",0)</f>
        <v>obj_008b3#0001</v>
      </c>
      <c r="I22" s="233">
        <f>_xll.qlCalendarAdvance(Calendar,$D$2,F22&amp;"M","mf")</f>
        <v>42318</v>
      </c>
      <c r="J22" s="233">
        <f>_xll.qlInterestRateIndexMaturity(IborIndex,I22)</f>
        <v>42684</v>
      </c>
      <c r="L22" s="232">
        <f>_xll.qlOvernightIndexedSwapFairRate(H22,_xll.ohTrigger($P$2:$P$6))</f>
        <v>-3.9463639992990356E-4</v>
      </c>
      <c r="M22" s="209" t="e">
        <f>_xll.qlInterpolationInterpolate(BasisInterpolator,I22,,L22)</f>
        <v>#NUM!</v>
      </c>
      <c r="N22" s="232" t="e">
        <f t="shared" si="0"/>
        <v>#NUM!</v>
      </c>
      <c r="O22" s="369"/>
      <c r="AB22" s="209"/>
      <c r="AC22" s="209"/>
      <c r="AD22" s="369"/>
    </row>
    <row r="23" spans="1:30" x14ac:dyDescent="0.2">
      <c r="A23" s="234"/>
      <c r="B23" s="235"/>
      <c r="C23" s="236"/>
      <c r="D23" s="231"/>
      <c r="E23" s="232" t="e">
        <v>#NUM!</v>
      </c>
      <c r="F23" s="195">
        <v>15</v>
      </c>
      <c r="G23" s="233">
        <f>_xll.qlInterestRateIndexFixingDate(IborIndex,I23)</f>
        <v>42346</v>
      </c>
      <c r="H23" s="195" t="str">
        <f>_xll.qlMakeDatedOIS(,I23,J23,OvernightIndex,0,"Act/360",0)</f>
        <v>obj_008d4#0001</v>
      </c>
      <c r="I23" s="233">
        <f>_xll.qlCalendarAdvance(Calendar,$D$2,F23&amp;"M","mf")</f>
        <v>42348</v>
      </c>
      <c r="J23" s="233">
        <f>_xll.qlInterestRateIndexMaturity(IborIndex,I23)</f>
        <v>42716</v>
      </c>
      <c r="L23" s="232">
        <f>_xll.qlOvernightIndexedSwapFairRate(H23,_xll.ohTrigger($P$2:$P$6))</f>
        <v>-2.7565104920754377E-4</v>
      </c>
      <c r="M23" s="209" t="e">
        <f>_xll.qlInterpolationInterpolate(BasisInterpolator,I23,,L23)</f>
        <v>#NUM!</v>
      </c>
      <c r="N23" s="232" t="e">
        <f t="shared" si="0"/>
        <v>#NUM!</v>
      </c>
      <c r="O23" s="369"/>
      <c r="AB23" s="209"/>
      <c r="AC23" s="209"/>
      <c r="AD23" s="369"/>
    </row>
    <row r="24" spans="1:30" x14ac:dyDescent="0.2">
      <c r="A24" s="234"/>
      <c r="B24" s="235"/>
      <c r="C24" s="236"/>
      <c r="D24" s="231"/>
      <c r="E24" s="232" t="e">
        <v>#NUM!</v>
      </c>
      <c r="F24" s="195">
        <v>16</v>
      </c>
      <c r="G24" s="233">
        <f>_xll.qlInterestRateIndexFixingDate(IborIndex,I24)</f>
        <v>42376</v>
      </c>
      <c r="H24" s="195" t="str">
        <f>_xll.qlMakeDatedOIS(,I24,J24,OvernightIndex,0,"Act/360",0)</f>
        <v>obj_008b6#0001</v>
      </c>
      <c r="I24" s="233">
        <f>_xll.qlCalendarAdvance(Calendar,$D$2,F24&amp;"M","mf")</f>
        <v>42380</v>
      </c>
      <c r="J24" s="233">
        <f>_xll.qlInterestRateIndexMaturity(IborIndex,I24)</f>
        <v>42746</v>
      </c>
      <c r="L24" s="232">
        <f>_xll.qlOvernightIndexedSwapFairRate(H24,_xll.ohTrigger($P$2:$P$6))</f>
        <v>-1.6696765833486808E-4</v>
      </c>
      <c r="M24" s="209" t="e">
        <f>_xll.qlInterpolationInterpolate(BasisInterpolator,I24,,L24)</f>
        <v>#NUM!</v>
      </c>
      <c r="N24" s="232" t="e">
        <f t="shared" si="0"/>
        <v>#NUM!</v>
      </c>
      <c r="O24" s="369"/>
      <c r="AB24" s="209"/>
      <c r="AC24" s="209"/>
      <c r="AD24" s="369"/>
    </row>
    <row r="25" spans="1:30" x14ac:dyDescent="0.2">
      <c r="A25" s="234"/>
      <c r="B25" s="235"/>
      <c r="C25" s="236"/>
      <c r="D25" s="231"/>
      <c r="E25" s="232" t="e">
        <v>#NUM!</v>
      </c>
      <c r="F25" s="195">
        <v>17</v>
      </c>
      <c r="G25" s="233">
        <f>_xll.qlInterestRateIndexFixingDate(IborIndex,I25)</f>
        <v>42408</v>
      </c>
      <c r="H25" s="195" t="str">
        <f>_xll.qlMakeDatedOIS(,I25,J25,OvernightIndex,0,"Act/360",0)</f>
        <v>obj_008b5#0001</v>
      </c>
      <c r="I25" s="233">
        <f>_xll.qlCalendarAdvance(Calendar,$D$2,F25&amp;"M","mf")</f>
        <v>42410</v>
      </c>
      <c r="J25" s="233">
        <f>_xll.qlInterestRateIndexMaturity(IborIndex,I25)</f>
        <v>42776</v>
      </c>
      <c r="L25" s="232">
        <f>_xll.qlOvernightIndexedSwapFairRate(H25,_xll.ohTrigger($P$2:$P$6))</f>
        <v>-6.0755113398672739E-5</v>
      </c>
      <c r="M25" s="209" t="e">
        <f>_xll.qlInterpolationInterpolate(BasisInterpolator,I25,,L25)</f>
        <v>#NUM!</v>
      </c>
      <c r="N25" s="232" t="e">
        <f t="shared" si="0"/>
        <v>#NUM!</v>
      </c>
      <c r="O25" s="369"/>
      <c r="AB25" s="209"/>
      <c r="AC25" s="209"/>
      <c r="AD25" s="369"/>
    </row>
    <row r="26" spans="1:30" x14ac:dyDescent="0.2">
      <c r="A26" s="234"/>
      <c r="B26" s="235"/>
      <c r="C26" s="236"/>
      <c r="D26" s="231"/>
      <c r="E26" s="232" t="e">
        <v>#NUM!</v>
      </c>
      <c r="F26" s="195">
        <v>18</v>
      </c>
      <c r="G26" s="233">
        <f>_xll.qlInterestRateIndexFixingDate(IborIndex,I26)</f>
        <v>42437</v>
      </c>
      <c r="H26" s="195" t="str">
        <f>_xll.qlMakeDatedOIS(,I26,J26,OvernightIndex,0,"Act/360",0)</f>
        <v>obj_008d8#0001</v>
      </c>
      <c r="I26" s="233">
        <f>_xll.qlCalendarAdvance(Calendar,$D$2,F26&amp;"M","mf")</f>
        <v>42439</v>
      </c>
      <c r="J26" s="233">
        <f>_xll.qlInterestRateIndexMaturity(IborIndex,I26)</f>
        <v>42804</v>
      </c>
      <c r="L26" s="232">
        <f>_xll.qlOvernightIndexedSwapFairRate(H26,_xll.ohTrigger($P$2:$P$6))</f>
        <v>4.0492520704373118E-5</v>
      </c>
      <c r="M26" s="209" t="e">
        <f>_xll.qlInterpolationInterpolate(BasisInterpolator,I26,,L26)</f>
        <v>#NUM!</v>
      </c>
      <c r="N26" s="232" t="e">
        <f t="shared" si="0"/>
        <v>#NUM!</v>
      </c>
      <c r="O26" s="369"/>
      <c r="AB26" s="209"/>
      <c r="AC26" s="209"/>
      <c r="AD26" s="369"/>
    </row>
    <row r="27" spans="1:30" x14ac:dyDescent="0.2">
      <c r="A27" s="234"/>
      <c r="B27" s="235"/>
      <c r="C27" s="236"/>
      <c r="D27" s="231"/>
      <c r="E27" s="232" t="e">
        <v>#NUM!</v>
      </c>
      <c r="F27" s="195">
        <v>19</v>
      </c>
      <c r="G27" s="233">
        <f>_xll.qlInterestRateIndexFixingDate(IborIndex,I27)</f>
        <v>42467</v>
      </c>
      <c r="H27" s="195" t="str">
        <f>_xll.qlMakeDatedOIS(,I27,J27,OvernightIndex,0,"Act/360",0)</f>
        <v>obj_008ba#0001</v>
      </c>
      <c r="I27" s="233">
        <f>_xll.qlCalendarAdvance(Calendar,$D$2,F27&amp;"M","mf")</f>
        <v>42471</v>
      </c>
      <c r="J27" s="233">
        <f>_xll.qlInterestRateIndexMaturity(IborIndex,I27)</f>
        <v>42836</v>
      </c>
      <c r="L27" s="232">
        <f>_xll.qlOvernightIndexedSwapFairRate(H27,_xll.ohTrigger($P$2:$P$6))</f>
        <v>1.402527677350032E-4</v>
      </c>
      <c r="M27" s="209" t="e">
        <f>_xll.qlInterpolationInterpolate(BasisInterpolator,I27,,L27)</f>
        <v>#NUM!</v>
      </c>
      <c r="N27" s="232" t="e">
        <f t="shared" si="0"/>
        <v>#NUM!</v>
      </c>
      <c r="O27" s="369"/>
      <c r="AB27" s="209"/>
      <c r="AC27" s="209"/>
      <c r="AD27" s="369"/>
    </row>
    <row r="28" spans="1:30" x14ac:dyDescent="0.2">
      <c r="A28" s="234"/>
      <c r="B28" s="235"/>
      <c r="C28" s="236"/>
      <c r="D28" s="231"/>
      <c r="E28" s="232" t="e">
        <v>#NUM!</v>
      </c>
      <c r="F28" s="195">
        <v>20</v>
      </c>
      <c r="G28" s="233">
        <f>_xll.qlInterestRateIndexFixingDate(IborIndex,I28)</f>
        <v>42496</v>
      </c>
      <c r="H28" s="195" t="str">
        <f>_xll.qlMakeDatedOIS(,I28,J28,OvernightIndex,0,"Act/360",0)</f>
        <v>obj_008c7#0001</v>
      </c>
      <c r="I28" s="233">
        <f>_xll.qlCalendarAdvance(Calendar,$D$2,F28&amp;"M","mf")</f>
        <v>42500</v>
      </c>
      <c r="J28" s="233">
        <f>_xll.qlInterestRateIndexMaturity(IborIndex,I28)</f>
        <v>42865</v>
      </c>
      <c r="L28" s="232">
        <f>_xll.qlOvernightIndexedSwapFairRate(H28,_xll.ohTrigger($P$2:$P$6))</f>
        <v>2.3066920694128751E-4</v>
      </c>
      <c r="M28" s="209" t="e">
        <f>_xll.qlInterpolationInterpolate(BasisInterpolator,I28,,L28)</f>
        <v>#NUM!</v>
      </c>
      <c r="N28" s="232" t="e">
        <f t="shared" si="0"/>
        <v>#NUM!</v>
      </c>
      <c r="O28" s="369"/>
      <c r="AB28" s="209"/>
      <c r="AC28" s="209"/>
      <c r="AD28" s="369"/>
    </row>
    <row r="29" spans="1:30" x14ac:dyDescent="0.2">
      <c r="A29" s="234"/>
      <c r="B29" s="235"/>
      <c r="C29" s="236"/>
      <c r="D29" s="231"/>
      <c r="E29" s="232" t="e">
        <v>#NUM!</v>
      </c>
      <c r="F29" s="195">
        <v>21</v>
      </c>
      <c r="G29" s="233">
        <f>_xll.qlInterestRateIndexFixingDate(IborIndex,I29)</f>
        <v>42529</v>
      </c>
      <c r="H29" s="195" t="str">
        <f>_xll.qlMakeDatedOIS(,I29,J29,OvernightIndex,0,"Act/360",0)</f>
        <v>obj_008b7#0001</v>
      </c>
      <c r="I29" s="233">
        <f>_xll.qlCalendarAdvance(Calendar,$D$2,F29&amp;"M","mf")</f>
        <v>42531</v>
      </c>
      <c r="J29" s="233">
        <f>_xll.qlInterestRateIndexMaturity(IborIndex,I29)</f>
        <v>42898</v>
      </c>
      <c r="L29" s="232">
        <f>_xll.qlOvernightIndexedSwapFairRate(H29,_xll.ohTrigger($P$2:$P$6))</f>
        <v>3.2863114778602904E-4</v>
      </c>
      <c r="M29" s="209" t="e">
        <f>_xll.qlInterpolationInterpolate(BasisInterpolator,I29,,L29)</f>
        <v>#NUM!</v>
      </c>
      <c r="N29" s="232" t="e">
        <f t="shared" si="0"/>
        <v>#NUM!</v>
      </c>
      <c r="O29" s="369"/>
      <c r="AB29" s="209"/>
      <c r="AC29" s="209"/>
      <c r="AD29" s="369"/>
    </row>
    <row r="30" spans="1:30" x14ac:dyDescent="0.2">
      <c r="A30" s="234"/>
      <c r="B30" s="235"/>
      <c r="C30" s="236"/>
      <c r="D30" s="231"/>
      <c r="E30" s="232" t="e">
        <v>#NUM!</v>
      </c>
      <c r="F30" s="195">
        <v>22</v>
      </c>
      <c r="G30" s="233">
        <f>_xll.qlInterestRateIndexFixingDate(IborIndex,I30)</f>
        <v>42558</v>
      </c>
      <c r="H30" s="195" t="str">
        <f>_xll.qlMakeDatedOIS(,I30,J30,OvernightIndex,0,"Act/360",0)</f>
        <v>obj_008b1#0001</v>
      </c>
      <c r="I30" s="233">
        <f>_xll.qlCalendarAdvance(Calendar,$D$2,F30&amp;"M","mf")</f>
        <v>42562</v>
      </c>
      <c r="J30" s="233">
        <f>_xll.qlInterestRateIndexMaturity(IborIndex,I30)</f>
        <v>42927</v>
      </c>
      <c r="L30" s="232">
        <f>_xll.qlOvernightIndexedSwapFairRate(H30,_xll.ohTrigger($P$2:$P$6))</f>
        <v>4.0602971322909251E-4</v>
      </c>
      <c r="M30" s="209" t="e">
        <f>_xll.qlInterpolationInterpolate(BasisInterpolator,I30,,L30)</f>
        <v>#NUM!</v>
      </c>
      <c r="N30" s="232" t="e">
        <f t="shared" si="0"/>
        <v>#NUM!</v>
      </c>
      <c r="O30" s="369"/>
      <c r="AB30" s="209"/>
      <c r="AC30" s="209"/>
      <c r="AD30" s="369"/>
    </row>
    <row r="31" spans="1:30" x14ac:dyDescent="0.2">
      <c r="A31" s="234"/>
      <c r="B31" s="235"/>
      <c r="C31" s="236"/>
      <c r="D31" s="231"/>
      <c r="E31" s="232" t="e">
        <v>#NUM!</v>
      </c>
      <c r="F31" s="195">
        <v>23</v>
      </c>
      <c r="G31" s="233">
        <f>_xll.qlInterestRateIndexFixingDate(IborIndex,I31)</f>
        <v>42590</v>
      </c>
      <c r="H31" s="195" t="str">
        <f>_xll.qlMakeDatedOIS(,I31,J31,OvernightIndex,0,"Act/360",0)</f>
        <v>obj_008cf#0001</v>
      </c>
      <c r="I31" s="233">
        <f>_xll.qlCalendarAdvance(Calendar,$D$2,F31&amp;"M","mf")</f>
        <v>42592</v>
      </c>
      <c r="J31" s="233">
        <f>_xll.qlInterestRateIndexMaturity(IborIndex,I31)</f>
        <v>42957</v>
      </c>
      <c r="L31" s="232">
        <f>_xll.qlOvernightIndexedSwapFairRate(H31,_xll.ohTrigger($P$2:$P$6))</f>
        <v>4.8219628964097267E-4</v>
      </c>
      <c r="M31" s="209" t="e">
        <f>_xll.qlInterpolationInterpolate(BasisInterpolator,I31,,L31)</f>
        <v>#NUM!</v>
      </c>
      <c r="N31" s="232" t="e">
        <f t="shared" si="0"/>
        <v>#NUM!</v>
      </c>
      <c r="O31" s="369"/>
      <c r="AB31" s="209"/>
      <c r="AC31" s="209"/>
      <c r="AD31" s="369"/>
    </row>
    <row r="32" spans="1:30" x14ac:dyDescent="0.2">
      <c r="A32" s="234"/>
      <c r="B32" s="235"/>
      <c r="C32" s="236"/>
      <c r="D32" s="231"/>
      <c r="E32" s="232" t="e">
        <v>#NUM!</v>
      </c>
      <c r="F32" s="374">
        <v>24</v>
      </c>
      <c r="G32" s="375">
        <f>_xll.qlInterestRateIndexFixingDate(IborIndex,I32)</f>
        <v>42621</v>
      </c>
      <c r="H32" s="374" t="str">
        <f>_xll.qlMakeDatedOIS(,I32,J32,OvernightIndex,0,"Act/360",0)</f>
        <v>obj_008d3#0001</v>
      </c>
      <c r="I32" s="375">
        <f>_xll.qlCalendarAdvance(Calendar,$D$2,F32&amp;"M","mf")</f>
        <v>42625</v>
      </c>
      <c r="J32" s="375">
        <f>_xll.qlInterestRateIndexMaturity(IborIndex,I32)</f>
        <v>42990</v>
      </c>
      <c r="K32" s="374"/>
      <c r="L32" s="376">
        <f>_xll.qlOvernightIndexedSwapFairRate(H32,_xll.ohTrigger($P$2:$P$6))</f>
        <v>5.7192766076674673E-4</v>
      </c>
      <c r="M32" s="377" t="e">
        <f>_xll.qlInterpolationInterpolate(BasisInterpolator,I32,,L32)</f>
        <v>#NUM!</v>
      </c>
      <c r="N32" s="376" t="e">
        <f t="shared" ref="N32" si="2">L32+M32</f>
        <v>#NUM!</v>
      </c>
      <c r="O32" s="369"/>
      <c r="AB32" s="209"/>
      <c r="AC32" s="209"/>
      <c r="AD32" s="369"/>
    </row>
    <row r="33" spans="1:30" x14ac:dyDescent="0.2">
      <c r="A33" s="234"/>
      <c r="B33" s="235"/>
      <c r="C33" s="236"/>
      <c r="D33" s="231"/>
      <c r="E33" s="232" t="e">
        <v>#NUM!</v>
      </c>
      <c r="F33" s="195">
        <v>25</v>
      </c>
      <c r="G33" s="233">
        <f>_xll.qlInterestRateIndexFixingDate(IborIndex,I33)</f>
        <v>42649</v>
      </c>
      <c r="H33" s="195" t="str">
        <f>_xll.qlMakeDatedOIS(,I33,J33,OvernightIndex,0,"Act/360",0)</f>
        <v>obj_008d6#0001</v>
      </c>
      <c r="I33" s="233">
        <f>_xll.qlCalendarAdvance(Calendar,$D$2,F33&amp;"M","mf")</f>
        <v>42653</v>
      </c>
      <c r="J33" s="233">
        <f>_xll.qlInterestRateIndexMaturity(IborIndex,I33)</f>
        <v>43018</v>
      </c>
      <c r="L33" s="232">
        <f>_xll.qlOvernightIndexedSwapFairRate(H33,_xll.ohTrigger($P$2:$P$6))</f>
        <v>7.3829987838120109E-4</v>
      </c>
      <c r="M33" s="209" t="e">
        <f>_xll.qlInterpolationInterpolate(BasisInterpolator,I33,,L33)</f>
        <v>#NUM!</v>
      </c>
      <c r="N33" s="232" t="e">
        <f t="shared" si="0"/>
        <v>#NUM!</v>
      </c>
      <c r="O33" s="369"/>
      <c r="AB33" s="209"/>
      <c r="AC33" s="209"/>
      <c r="AD33" s="369"/>
    </row>
    <row r="34" spans="1:30" x14ac:dyDescent="0.2">
      <c r="A34" s="234"/>
      <c r="B34" s="235"/>
      <c r="C34" s="236"/>
      <c r="D34" s="231"/>
      <c r="E34" s="232" t="e">
        <v>#NUM!</v>
      </c>
      <c r="F34" s="195">
        <v>26</v>
      </c>
      <c r="G34" s="233">
        <f>_xll.qlInterestRateIndexFixingDate(IborIndex,I34)</f>
        <v>42682</v>
      </c>
      <c r="H34" s="195" t="str">
        <f>_xll.qlMakeDatedOIS(,I34,J34,OvernightIndex,0,"Act/360",0)</f>
        <v>obj_008bb#0001</v>
      </c>
      <c r="I34" s="233">
        <f>_xll.qlCalendarAdvance(Calendar,$D$2,F34&amp;"M","mf")</f>
        <v>42684</v>
      </c>
      <c r="J34" s="233">
        <f>_xll.qlInterestRateIndexMaturity(IborIndex,I34)</f>
        <v>43049</v>
      </c>
      <c r="L34" s="232">
        <f>_xll.qlOvernightIndexedSwapFairRate(H34,_xll.ohTrigger($P$2:$P$6))</f>
        <v>9.2253040751432206E-4</v>
      </c>
      <c r="M34" s="209" t="e">
        <f>_xll.qlInterpolationInterpolate(BasisInterpolator,I34,,L34)</f>
        <v>#NUM!</v>
      </c>
      <c r="N34" s="232" t="e">
        <f t="shared" si="0"/>
        <v>#NUM!</v>
      </c>
      <c r="O34" s="369"/>
      <c r="AB34" s="209"/>
      <c r="AC34" s="209"/>
      <c r="AD34" s="369"/>
    </row>
    <row r="35" spans="1:30" x14ac:dyDescent="0.2">
      <c r="A35" s="234"/>
      <c r="B35" s="235"/>
      <c r="C35" s="236"/>
      <c r="D35" s="231"/>
      <c r="E35" s="232" t="e">
        <v>#NUM!</v>
      </c>
      <c r="F35" s="195">
        <v>27</v>
      </c>
      <c r="G35" s="233">
        <f>_xll.qlInterestRateIndexFixingDate(IborIndex,I35)</f>
        <v>42712</v>
      </c>
      <c r="H35" s="195" t="str">
        <f>_xll.qlMakeDatedOIS(,I35,J35,OvernightIndex,0,"Act/360",0)</f>
        <v>obj_008a6#0001</v>
      </c>
      <c r="I35" s="233">
        <f>_xll.qlCalendarAdvance(Calendar,$D$2,F35&amp;"M","mf")</f>
        <v>42716</v>
      </c>
      <c r="J35" s="233">
        <f>_xll.qlInterestRateIndexMaturity(IborIndex,I35)</f>
        <v>43081</v>
      </c>
      <c r="L35" s="232">
        <f>_xll.qlOvernightIndexedSwapFairRate(H35,_xll.ohTrigger($P$2:$P$6))</f>
        <v>1.1127399253194948E-3</v>
      </c>
      <c r="M35" s="209" t="e">
        <f>_xll.qlInterpolationInterpolate(BasisInterpolator,I35,,L35)</f>
        <v>#NUM!</v>
      </c>
      <c r="N35" s="232" t="e">
        <f t="shared" si="0"/>
        <v>#NUM!</v>
      </c>
      <c r="O35" s="369"/>
      <c r="AB35" s="209"/>
      <c r="AC35" s="209"/>
      <c r="AD35" s="369"/>
    </row>
    <row r="36" spans="1:30" x14ac:dyDescent="0.2">
      <c r="A36" s="234"/>
      <c r="B36" s="235"/>
      <c r="C36" s="236"/>
      <c r="D36" s="231"/>
      <c r="E36" s="232" t="e">
        <v>#NUM!</v>
      </c>
      <c r="F36" s="195">
        <v>28</v>
      </c>
      <c r="G36" s="233">
        <f>_xll.qlInterestRateIndexFixingDate(IborIndex,I36)</f>
        <v>42741</v>
      </c>
      <c r="H36" s="195" t="str">
        <f>_xll.qlMakeDatedOIS(,I36,J36,OvernightIndex,0,"Act/360",0)</f>
        <v>obj_008d0#0001</v>
      </c>
      <c r="I36" s="233">
        <f>_xll.qlCalendarAdvance(Calendar,$D$2,F36&amp;"M","mf")</f>
        <v>42745</v>
      </c>
      <c r="J36" s="233">
        <f>_xll.qlInterestRateIndexMaturity(IborIndex,I36)</f>
        <v>43110</v>
      </c>
      <c r="L36" s="232">
        <f>_xll.qlOvernightIndexedSwapFairRate(H36,_xll.ohTrigger($P$2:$P$6))</f>
        <v>1.2851489559599642E-3</v>
      </c>
      <c r="M36" s="209" t="e">
        <f>_xll.qlInterpolationInterpolate(BasisInterpolator,I36,,L36)</f>
        <v>#NUM!</v>
      </c>
      <c r="N36" s="232" t="e">
        <f t="shared" si="0"/>
        <v>#NUM!</v>
      </c>
      <c r="O36" s="369"/>
      <c r="AB36" s="209"/>
      <c r="AC36" s="209"/>
      <c r="AD36" s="369"/>
    </row>
    <row r="37" spans="1:30" x14ac:dyDescent="0.2">
      <c r="A37" s="234"/>
      <c r="B37" s="235"/>
      <c r="C37" s="236"/>
      <c r="D37" s="231"/>
      <c r="E37" s="232" t="e">
        <v>#NUM!</v>
      </c>
      <c r="F37" s="195">
        <v>29</v>
      </c>
      <c r="G37" s="233">
        <f>_xll.qlInterestRateIndexFixingDate(IborIndex,I37)</f>
        <v>42774</v>
      </c>
      <c r="H37" s="195" t="str">
        <f>_xll.qlMakeDatedOIS(,I37,J37,OvernightIndex,0,"Act/360",0)</f>
        <v>obj_008bd#0001</v>
      </c>
      <c r="I37" s="233">
        <f>_xll.qlCalendarAdvance(Calendar,$D$2,F37&amp;"M","mf")</f>
        <v>42776</v>
      </c>
      <c r="J37" s="233">
        <f>_xll.qlInterestRateIndexMaturity(IborIndex,I37)</f>
        <v>43143</v>
      </c>
      <c r="L37" s="232">
        <f>_xll.qlOvernightIndexedSwapFairRate(H37,_xll.ohTrigger($P$2:$P$6))</f>
        <v>1.4763904177314117E-3</v>
      </c>
      <c r="M37" s="209" t="e">
        <f>_xll.qlInterpolationInterpolate(BasisInterpolator,I37,,L37)</f>
        <v>#NUM!</v>
      </c>
      <c r="N37" s="232" t="e">
        <f t="shared" si="0"/>
        <v>#NUM!</v>
      </c>
      <c r="O37" s="369"/>
      <c r="AB37" s="209"/>
      <c r="AC37" s="209"/>
      <c r="AD37" s="369"/>
    </row>
    <row r="38" spans="1:30" x14ac:dyDescent="0.2">
      <c r="A38" s="234"/>
      <c r="B38" s="235"/>
      <c r="C38" s="236"/>
      <c r="D38" s="231"/>
      <c r="E38" s="232" t="e">
        <v>#NUM!</v>
      </c>
      <c r="F38" s="195">
        <v>30</v>
      </c>
      <c r="G38" s="233">
        <f>_xll.qlInterestRateIndexFixingDate(IborIndex,I38)</f>
        <v>42802</v>
      </c>
      <c r="H38" s="195" t="str">
        <f>_xll.qlMakeDatedOIS(,I38,J38,OvernightIndex,0,"Act/360",0)</f>
        <v>obj_008d2#0001</v>
      </c>
      <c r="I38" s="233">
        <f>_xll.qlCalendarAdvance(Calendar,$D$2,F38&amp;"M","mf")</f>
        <v>42804</v>
      </c>
      <c r="J38" s="233">
        <f>_xll.qlInterestRateIndexMaturity(IborIndex,I38)</f>
        <v>43171</v>
      </c>
      <c r="L38" s="232">
        <f>_xll.qlOvernightIndexedSwapFairRate(H38,_xll.ohTrigger($P$2:$P$6))</f>
        <v>1.6420089792223526E-3</v>
      </c>
      <c r="M38" s="209" t="e">
        <f>_xll.qlInterpolationInterpolate(BasisInterpolator,I38,,L38)</f>
        <v>#NUM!</v>
      </c>
      <c r="N38" s="232" t="e">
        <f t="shared" si="0"/>
        <v>#NUM!</v>
      </c>
      <c r="O38" s="369"/>
      <c r="AB38" s="209"/>
      <c r="AC38" s="209"/>
      <c r="AD38" s="369"/>
    </row>
    <row r="39" spans="1:30" x14ac:dyDescent="0.2">
      <c r="A39" s="234"/>
      <c r="B39" s="235"/>
      <c r="C39" s="236"/>
      <c r="D39" s="231"/>
      <c r="E39" s="232" t="e">
        <v>#NUM!</v>
      </c>
      <c r="F39" s="195">
        <v>31</v>
      </c>
      <c r="G39" s="233">
        <f>_xll.qlInterestRateIndexFixingDate(IborIndex,I39)</f>
        <v>42831</v>
      </c>
      <c r="H39" s="195" t="str">
        <f>_xll.qlMakeDatedOIS(,I39,J39,OvernightIndex,0,"Act/360",0)</f>
        <v>obj_008c9#0001</v>
      </c>
      <c r="I39" s="233">
        <f>_xll.qlCalendarAdvance(Calendar,$D$2,F39&amp;"M","mf")</f>
        <v>42835</v>
      </c>
      <c r="J39" s="233">
        <f>_xll.qlInterestRateIndexMaturity(IborIndex,I39)</f>
        <v>43200</v>
      </c>
      <c r="L39" s="232">
        <f>_xll.qlOvernightIndexedSwapFairRate(H39,_xll.ohTrigger($P$2:$P$6))</f>
        <v>1.8204031715649428E-3</v>
      </c>
      <c r="M39" s="209" t="e">
        <f>_xll.qlInterpolationInterpolate(BasisInterpolator,I39,,L39)</f>
        <v>#NUM!</v>
      </c>
      <c r="N39" s="232" t="e">
        <f t="shared" si="0"/>
        <v>#NUM!</v>
      </c>
      <c r="O39" s="369"/>
      <c r="AB39" s="209"/>
      <c r="AC39" s="209"/>
      <c r="AD39" s="369"/>
    </row>
    <row r="40" spans="1:30" x14ac:dyDescent="0.2">
      <c r="A40" s="234"/>
      <c r="B40" s="235"/>
      <c r="C40" s="236"/>
      <c r="D40" s="231"/>
      <c r="E40" s="232" t="e">
        <v>#NUM!</v>
      </c>
      <c r="F40" s="195">
        <v>32</v>
      </c>
      <c r="G40" s="233">
        <f>_xll.qlInterestRateIndexFixingDate(IborIndex,I40)</f>
        <v>42863</v>
      </c>
      <c r="H40" s="195" t="str">
        <f>_xll.qlMakeDatedOIS(,I40,J40,OvernightIndex,0,"Act/360",0)</f>
        <v>obj_008c6#0001</v>
      </c>
      <c r="I40" s="233">
        <f>_xll.qlCalendarAdvance(Calendar,$D$2,F40&amp;"M","mf")</f>
        <v>42865</v>
      </c>
      <c r="J40" s="233">
        <f>_xll.qlInterestRateIndexMaturity(IborIndex,I40)</f>
        <v>43230</v>
      </c>
      <c r="L40" s="232">
        <f>_xll.qlOvernightIndexedSwapFairRate(H40,_xll.ohTrigger($P$2:$P$6))</f>
        <v>1.9988857019385786E-3</v>
      </c>
      <c r="M40" s="209" t="e">
        <f>_xll.qlInterpolationInterpolate(BasisInterpolator,I40,,L40)</f>
        <v>#NUM!</v>
      </c>
      <c r="N40" s="232" t="e">
        <f t="shared" si="0"/>
        <v>#NUM!</v>
      </c>
      <c r="O40" s="369"/>
      <c r="AB40" s="209"/>
      <c r="AC40" s="209"/>
      <c r="AD40" s="369"/>
    </row>
    <row r="41" spans="1:30" x14ac:dyDescent="0.2">
      <c r="A41" s="234"/>
      <c r="B41" s="235"/>
      <c r="C41" s="236"/>
      <c r="D41" s="231"/>
      <c r="E41" s="232" t="e">
        <v>#NUM!</v>
      </c>
      <c r="F41" s="195">
        <v>33</v>
      </c>
      <c r="G41" s="233">
        <f>_xll.qlInterestRateIndexFixingDate(IborIndex,I41)</f>
        <v>42894</v>
      </c>
      <c r="H41" s="195" t="str">
        <f>_xll.qlMakeDatedOIS(,I41,J41,OvernightIndex,0,"Act/360",0)</f>
        <v>obj_008af#0001</v>
      </c>
      <c r="I41" s="233">
        <f>_xll.qlCalendarAdvance(Calendar,$D$2,F41&amp;"M","mf")</f>
        <v>42898</v>
      </c>
      <c r="J41" s="233">
        <f>_xll.qlInterestRateIndexMaturity(IborIndex,I41)</f>
        <v>43263</v>
      </c>
      <c r="L41" s="232">
        <f>_xll.qlOvernightIndexedSwapFairRate(H41,_xll.ohTrigger($P$2:$P$6))</f>
        <v>2.1952537215666683E-3</v>
      </c>
      <c r="M41" s="209" t="e">
        <f>_xll.qlInterpolationInterpolate(BasisInterpolator,I41,,L41)</f>
        <v>#NUM!</v>
      </c>
      <c r="N41" s="232" t="e">
        <f t="shared" si="0"/>
        <v>#NUM!</v>
      </c>
      <c r="O41" s="369"/>
      <c r="AB41" s="209"/>
      <c r="AC41" s="209"/>
      <c r="AD41" s="369"/>
    </row>
    <row r="42" spans="1:30" x14ac:dyDescent="0.2">
      <c r="A42" s="234"/>
      <c r="B42" s="235"/>
      <c r="C42" s="236"/>
      <c r="D42" s="231"/>
      <c r="E42" s="232" t="e">
        <v>#NUM!</v>
      </c>
      <c r="F42" s="195">
        <v>34</v>
      </c>
      <c r="G42" s="233">
        <f>_xll.qlInterestRateIndexFixingDate(IborIndex,I42)</f>
        <v>42922</v>
      </c>
      <c r="H42" s="195" t="str">
        <f>_xll.qlMakeDatedOIS(,I42,J42,OvernightIndex,0,"Act/360",0)</f>
        <v>obj_008aa#0001</v>
      </c>
      <c r="I42" s="233">
        <f>_xll.qlCalendarAdvance(Calendar,$D$2,F42&amp;"M","mf")</f>
        <v>42926</v>
      </c>
      <c r="J42" s="233">
        <f>_xll.qlInterestRateIndexMaturity(IborIndex,I42)</f>
        <v>43291</v>
      </c>
      <c r="L42" s="232">
        <f>_xll.qlOvernightIndexedSwapFairRate(H42,_xll.ohTrigger($P$2:$P$6))</f>
        <v>2.3618996079058461E-3</v>
      </c>
      <c r="M42" s="209" t="e">
        <f>_xll.qlInterpolationInterpolate(BasisInterpolator,I42,,L42)</f>
        <v>#NUM!</v>
      </c>
      <c r="N42" s="232" t="e">
        <f t="shared" si="0"/>
        <v>#NUM!</v>
      </c>
      <c r="O42" s="369"/>
      <c r="AB42" s="209"/>
      <c r="AC42" s="209"/>
      <c r="AD42" s="369"/>
    </row>
    <row r="43" spans="1:30" x14ac:dyDescent="0.2">
      <c r="A43" s="234"/>
      <c r="B43" s="235"/>
      <c r="C43" s="236"/>
      <c r="D43" s="231"/>
      <c r="E43" s="232" t="e">
        <v>#NUM!</v>
      </c>
      <c r="F43" s="195">
        <v>35</v>
      </c>
      <c r="G43" s="233">
        <f>_xll.qlInterestRateIndexFixingDate(IborIndex,I43)</f>
        <v>42955</v>
      </c>
      <c r="H43" s="195" t="str">
        <f>_xll.qlMakeDatedOIS(,I43,J43,OvernightIndex,0,"Act/360",0)</f>
        <v>obj_008cd#0001</v>
      </c>
      <c r="I43" s="233">
        <f>_xll.qlCalendarAdvance(Calendar,$D$2,F43&amp;"M","mf")</f>
        <v>42957</v>
      </c>
      <c r="J43" s="233">
        <f>_xll.qlInterestRateIndexMaturity(IborIndex,I43)</f>
        <v>43322</v>
      </c>
      <c r="L43" s="232">
        <f>_xll.qlOvernightIndexedSwapFairRate(H43,_xll.ohTrigger($P$2:$P$6))</f>
        <v>2.5464331812288187E-3</v>
      </c>
      <c r="M43" s="209" t="e">
        <f>_xll.qlInterpolationInterpolate(BasisInterpolator,I43,,L43)</f>
        <v>#NUM!</v>
      </c>
      <c r="N43" s="232" t="e">
        <f t="shared" si="0"/>
        <v>#NUM!</v>
      </c>
      <c r="O43" s="369"/>
      <c r="AB43" s="209"/>
      <c r="AC43" s="209"/>
      <c r="AD43" s="369"/>
    </row>
    <row r="44" spans="1:30" x14ac:dyDescent="0.2">
      <c r="A44" s="234"/>
      <c r="B44" s="235"/>
      <c r="C44" s="236"/>
      <c r="D44" s="231"/>
      <c r="E44" s="232" t="e">
        <v>#NUM!</v>
      </c>
      <c r="F44" s="374">
        <v>36</v>
      </c>
      <c r="G44" s="375">
        <f>_xll.qlInterestRateIndexFixingDate(IborIndex,I44)</f>
        <v>42985</v>
      </c>
      <c r="H44" s="374" t="str">
        <f>_xll.qlMakeDatedOIS(,I44,J44,OvernightIndex,0,"Act/360",0)</f>
        <v>obj_008ca#0001</v>
      </c>
      <c r="I44" s="375">
        <f>_xll.qlCalendarAdvance(Calendar,$D$2,F44&amp;"M","mf")</f>
        <v>42989</v>
      </c>
      <c r="J44" s="375">
        <f>_xll.qlInterestRateIndexMaturity(IborIndex,I44)</f>
        <v>43354</v>
      </c>
      <c r="K44" s="374"/>
      <c r="L44" s="376">
        <f>_xll.qlOvernightIndexedSwapFairRate(H44,_xll.ohTrigger($P$2:$P$6))</f>
        <v>2.7443877612391577E-3</v>
      </c>
      <c r="M44" s="377" t="e">
        <f>_xll.qlInterpolationInterpolate(BasisInterpolator,I44,,L44)</f>
        <v>#NUM!</v>
      </c>
      <c r="N44" s="376" t="e">
        <f t="shared" ref="N44" si="3">L44+M44</f>
        <v>#NUM!</v>
      </c>
      <c r="O44" s="369"/>
      <c r="AB44" s="209"/>
      <c r="AC44" s="209"/>
      <c r="AD44" s="369"/>
    </row>
    <row r="45" spans="1:30" x14ac:dyDescent="0.2">
      <c r="A45" s="234"/>
      <c r="B45" s="235"/>
      <c r="C45" s="236"/>
      <c r="D45" s="231"/>
      <c r="E45" s="209" t="e">
        <v>#NUM!</v>
      </c>
      <c r="F45" s="195">
        <v>37</v>
      </c>
      <c r="G45" s="233">
        <f>_xll.qlInterestRateIndexFixingDate(IborIndex,I45)</f>
        <v>43014</v>
      </c>
      <c r="H45" s="195" t="str">
        <f>_xll.qlMakeDatedOIS(,I45,J45,OvernightIndex,0,"Act/360",0)</f>
        <v>obj_008cc#0001</v>
      </c>
      <c r="I45" s="233">
        <f>_xll.qlCalendarAdvance(Calendar,$D$2,F45&amp;"M","mf")</f>
        <v>43018</v>
      </c>
      <c r="J45" s="233">
        <f>_xll.qlInterestRateIndexMaturity(IborIndex,I45)</f>
        <v>43383</v>
      </c>
      <c r="L45" s="232">
        <f>_xll.qlOvernightIndexedSwapFairRate(H45,_xll.ohTrigger($P$2:$P$6))</f>
        <v>2.9599453664246474E-3</v>
      </c>
      <c r="M45" s="209" t="e">
        <f>_xll.qlInterpolationInterpolate(BasisInterpolator,I45,,L45)</f>
        <v>#NUM!</v>
      </c>
      <c r="N45" s="232" t="e">
        <f t="shared" si="0"/>
        <v>#NUM!</v>
      </c>
      <c r="O45" s="369"/>
      <c r="AB45" s="209"/>
      <c r="AC45" s="209"/>
      <c r="AD45" s="369"/>
    </row>
    <row r="46" spans="1:30" x14ac:dyDescent="0.2">
      <c r="A46" s="234"/>
      <c r="B46" s="235"/>
      <c r="C46" s="236"/>
      <c r="D46" s="231"/>
      <c r="E46" s="209" t="e">
        <v>#NUM!</v>
      </c>
      <c r="F46" s="195">
        <v>38</v>
      </c>
      <c r="G46" s="233">
        <f>_xll.qlInterestRateIndexFixingDate(IborIndex,I46)</f>
        <v>43047</v>
      </c>
      <c r="H46" s="195" t="str">
        <f>_xll.qlMakeDatedOIS(,I46,J46,OvernightIndex,0,"Act/360",0)</f>
        <v>obj_008b0#0001</v>
      </c>
      <c r="I46" s="233">
        <f>_xll.qlCalendarAdvance(Calendar,$D$2,F46&amp;"M","mf")</f>
        <v>43049</v>
      </c>
      <c r="J46" s="233">
        <f>_xll.qlInterestRateIndexMaturity(IborIndex,I46)</f>
        <v>43416</v>
      </c>
      <c r="L46" s="232">
        <f>_xll.qlOvernightIndexedSwapFairRate(H46,_xll.ohTrigger($P$2:$P$6))</f>
        <v>3.2027678206680817E-3</v>
      </c>
      <c r="M46" s="209" t="e">
        <f>_xll.qlInterpolationInterpolate(BasisInterpolator,I46,,L46)</f>
        <v>#NUM!</v>
      </c>
      <c r="N46" s="232" t="e">
        <f t="shared" si="0"/>
        <v>#NUM!</v>
      </c>
      <c r="O46" s="369"/>
      <c r="AB46" s="209"/>
      <c r="AC46" s="209"/>
      <c r="AD46" s="369"/>
    </row>
    <row r="47" spans="1:30" x14ac:dyDescent="0.2">
      <c r="A47" s="234"/>
      <c r="B47" s="235"/>
      <c r="C47" s="236"/>
      <c r="D47" s="231"/>
      <c r="E47" s="209" t="e">
        <v>#NUM!</v>
      </c>
      <c r="F47" s="195">
        <v>39</v>
      </c>
      <c r="G47" s="233">
        <f>_xll.qlInterestRateIndexFixingDate(IborIndex,I47)</f>
        <v>43076</v>
      </c>
      <c r="H47" s="195" t="str">
        <f>_xll.qlMakeDatedOIS(,I47,J47,OvernightIndex,0,"Act/360",0)</f>
        <v>obj_008c3#0001</v>
      </c>
      <c r="I47" s="233">
        <f>_xll.qlCalendarAdvance(Calendar,$D$2,F47&amp;"M","mf")</f>
        <v>43080</v>
      </c>
      <c r="J47" s="233">
        <f>_xll.qlInterestRateIndexMaturity(IborIndex,I47)</f>
        <v>43445</v>
      </c>
      <c r="L47" s="232">
        <f>_xll.qlOvernightIndexedSwapFairRate(H47,_xll.ohTrigger($P$2:$P$6))</f>
        <v>3.4209502592152728E-3</v>
      </c>
      <c r="M47" s="209" t="e">
        <f>_xll.qlInterpolationInterpolate(BasisInterpolator,I47,,L47)</f>
        <v>#NUM!</v>
      </c>
      <c r="N47" s="232" t="e">
        <f t="shared" si="0"/>
        <v>#NUM!</v>
      </c>
      <c r="O47" s="369"/>
      <c r="AB47" s="209"/>
      <c r="AC47" s="209"/>
      <c r="AD47" s="369"/>
    </row>
    <row r="48" spans="1:30" x14ac:dyDescent="0.2">
      <c r="A48" s="234"/>
      <c r="B48" s="235"/>
      <c r="C48" s="236"/>
      <c r="D48" s="231"/>
      <c r="E48" s="209" t="e">
        <v>#NUM!</v>
      </c>
      <c r="F48" s="195">
        <v>40</v>
      </c>
      <c r="G48" s="233">
        <f>_xll.qlInterestRateIndexFixingDate(IborIndex,I48)</f>
        <v>43108</v>
      </c>
      <c r="H48" s="195" t="str">
        <f>_xll.qlMakeDatedOIS(,I48,J48,OvernightIndex,0,"Act/360",0)</f>
        <v>obj_008ab#0001</v>
      </c>
      <c r="I48" s="233">
        <f>_xll.qlCalendarAdvance(Calendar,$D$2,F48&amp;"M","mf")</f>
        <v>43110</v>
      </c>
      <c r="J48" s="233">
        <f>_xll.qlInterestRateIndexMaturity(IborIndex,I48)</f>
        <v>43475</v>
      </c>
      <c r="L48" s="232">
        <f>_xll.qlOvernightIndexedSwapFairRate(H48,_xll.ohTrigger($P$2:$P$6))</f>
        <v>3.6440942617432018E-3</v>
      </c>
      <c r="M48" s="209" t="e">
        <f>_xll.qlInterpolationInterpolate(BasisInterpolator,I48,,L48)</f>
        <v>#NUM!</v>
      </c>
      <c r="N48" s="232" t="e">
        <f t="shared" si="0"/>
        <v>#NUM!</v>
      </c>
      <c r="O48" s="369"/>
      <c r="AB48" s="209"/>
      <c r="AC48" s="209"/>
      <c r="AD48" s="369"/>
    </row>
    <row r="49" spans="1:30" x14ac:dyDescent="0.2">
      <c r="A49" s="234"/>
      <c r="B49" s="235"/>
      <c r="C49" s="236"/>
      <c r="D49" s="231"/>
      <c r="E49" s="209" t="e">
        <v>#NUM!</v>
      </c>
      <c r="F49" s="195">
        <v>41</v>
      </c>
      <c r="G49" s="233">
        <f>_xll.qlInterestRateIndexFixingDate(IborIndex,I49)</f>
        <v>43139</v>
      </c>
      <c r="H49" s="195" t="str">
        <f>_xll.qlMakeDatedOIS(,I49,J49,OvernightIndex,0,"Act/360",0)</f>
        <v>obj_008b8#0001</v>
      </c>
      <c r="I49" s="233">
        <f>_xll.qlCalendarAdvance(Calendar,$D$2,F49&amp;"M","mf")</f>
        <v>43143</v>
      </c>
      <c r="J49" s="233">
        <f>_xll.qlInterestRateIndexMaturity(IborIndex,I49)</f>
        <v>43508</v>
      </c>
      <c r="L49" s="232">
        <f>_xll.qlOvernightIndexedSwapFairRate(H49,_xll.ohTrigger($P$2:$P$6))</f>
        <v>3.8896107733791194E-3</v>
      </c>
      <c r="M49" s="209" t="e">
        <f>_xll.qlInterpolationInterpolate(BasisInterpolator,I49,,L49)</f>
        <v>#NUM!</v>
      </c>
      <c r="N49" s="232" t="e">
        <f t="shared" si="0"/>
        <v>#NUM!</v>
      </c>
      <c r="O49" s="369"/>
      <c r="AB49" s="209"/>
      <c r="AC49" s="209"/>
      <c r="AD49" s="369"/>
    </row>
    <row r="50" spans="1:30" x14ac:dyDescent="0.2">
      <c r="A50" s="234"/>
      <c r="B50" s="235"/>
      <c r="C50" s="236"/>
      <c r="D50" s="231"/>
      <c r="E50" s="209" t="e">
        <v>#NUM!</v>
      </c>
      <c r="F50" s="195">
        <v>42</v>
      </c>
      <c r="G50" s="233">
        <f>_xll.qlInterestRateIndexFixingDate(IborIndex,I50)</f>
        <v>43167</v>
      </c>
      <c r="H50" s="195" t="str">
        <f>_xll.qlMakeDatedOIS(,I50,J50,OvernightIndex,0,"Act/360",0)</f>
        <v>obj_008d9#0001</v>
      </c>
      <c r="I50" s="233">
        <f>_xll.qlCalendarAdvance(Calendar,$D$2,F50&amp;"M","mf")</f>
        <v>43171</v>
      </c>
      <c r="J50" s="233">
        <f>_xll.qlInterestRateIndexMaturity(IborIndex,I50)</f>
        <v>43536</v>
      </c>
      <c r="L50" s="232">
        <f>_xll.qlOvernightIndexedSwapFairRate(H50,_xll.ohTrigger($P$2:$P$6))</f>
        <v>4.0979755636999021E-3</v>
      </c>
      <c r="M50" s="209" t="e">
        <f>_xll.qlInterpolationInterpolate(BasisInterpolator,I50,,L50)</f>
        <v>#NUM!</v>
      </c>
      <c r="N50" s="232" t="e">
        <f t="shared" si="0"/>
        <v>#NUM!</v>
      </c>
      <c r="O50" s="369"/>
      <c r="AB50" s="209"/>
      <c r="AC50" s="209"/>
      <c r="AD50" s="369"/>
    </row>
    <row r="51" spans="1:30" x14ac:dyDescent="0.2">
      <c r="A51" s="234"/>
      <c r="B51" s="235"/>
      <c r="C51" s="236"/>
      <c r="D51" s="231"/>
      <c r="E51" s="209" t="e">
        <v>#NUM!</v>
      </c>
      <c r="F51" s="195">
        <v>43</v>
      </c>
      <c r="G51" s="233">
        <f>_xll.qlInterestRateIndexFixingDate(IborIndex,I51)</f>
        <v>43196</v>
      </c>
      <c r="H51" s="195" t="str">
        <f>_xll.qlMakeDatedOIS(,I51,J51,OvernightIndex,0,"Act/360",0)</f>
        <v>obj_008ce#0001</v>
      </c>
      <c r="I51" s="233">
        <f>_xll.qlCalendarAdvance(Calendar,$D$2,F51&amp;"M","mf")</f>
        <v>43200</v>
      </c>
      <c r="J51" s="233">
        <f>_xll.qlInterestRateIndexMaturity(IborIndex,I51)</f>
        <v>43565</v>
      </c>
      <c r="L51" s="232">
        <f>_xll.qlOvernightIndexedSwapFairRate(H51,_xll.ohTrigger($P$2:$P$6))</f>
        <v>4.3138281766167295E-3</v>
      </c>
      <c r="M51" s="209" t="e">
        <f>_xll.qlInterpolationInterpolate(BasisInterpolator,I51,,L51)</f>
        <v>#NUM!</v>
      </c>
      <c r="N51" s="232" t="e">
        <f t="shared" si="0"/>
        <v>#NUM!</v>
      </c>
      <c r="O51" s="369"/>
    </row>
    <row r="52" spans="1:30" x14ac:dyDescent="0.2">
      <c r="A52" s="234"/>
      <c r="B52" s="235"/>
      <c r="C52" s="236"/>
      <c r="D52" s="231"/>
      <c r="E52" s="209" t="e">
        <v>#NUM!</v>
      </c>
      <c r="F52" s="195">
        <v>44</v>
      </c>
      <c r="G52" s="233">
        <f>_xll.qlInterestRateIndexFixingDate(IborIndex,I52)</f>
        <v>43228</v>
      </c>
      <c r="H52" s="195" t="str">
        <f>_xll.qlMakeDatedOIS(,I52,J52,OvernightIndex,0,"Act/360",0)</f>
        <v>obj_008d1#0001</v>
      </c>
      <c r="I52" s="233">
        <f>_xll.qlCalendarAdvance(Calendar,$D$2,F52&amp;"M","mf")</f>
        <v>43230</v>
      </c>
      <c r="J52" s="233">
        <f>_xll.qlInterestRateIndexMaturity(IborIndex,I52)</f>
        <v>43595</v>
      </c>
      <c r="L52" s="232">
        <f>_xll.qlOvernightIndexedSwapFairRate(H52,_xll.ohTrigger($P$2:$P$6))</f>
        <v>4.537173488489742E-3</v>
      </c>
      <c r="M52" s="209" t="e">
        <f>_xll.qlInterpolationInterpolate(BasisInterpolator,I52,,L52)</f>
        <v>#NUM!</v>
      </c>
      <c r="N52" s="232" t="e">
        <f t="shared" si="0"/>
        <v>#NUM!</v>
      </c>
      <c r="O52" s="369"/>
    </row>
    <row r="53" spans="1:30" x14ac:dyDescent="0.2">
      <c r="A53" s="234"/>
      <c r="B53" s="235"/>
      <c r="C53" s="236"/>
      <c r="D53" s="231"/>
      <c r="E53" s="209" t="e">
        <v>#NUM!</v>
      </c>
      <c r="F53" s="195">
        <v>45</v>
      </c>
      <c r="G53" s="233">
        <f>_xll.qlInterestRateIndexFixingDate(IborIndex,I53)</f>
        <v>43258</v>
      </c>
      <c r="H53" s="195" t="str">
        <f>_xll.qlMakeDatedOIS(,I53,J53,OvernightIndex,0,"Act/360",0)</f>
        <v>obj_008ac#0001</v>
      </c>
      <c r="I53" s="233">
        <f>_xll.qlCalendarAdvance(Calendar,$D$2,F53&amp;"M","mf")</f>
        <v>43262</v>
      </c>
      <c r="J53" s="233">
        <f>_xll.qlInterestRateIndexMaturity(IborIndex,I53)</f>
        <v>43627</v>
      </c>
      <c r="L53" s="232">
        <f>_xll.qlOvernightIndexedSwapFairRate(H53,_xll.ohTrigger($P$2:$P$6))</f>
        <v>4.7754639912779388E-3</v>
      </c>
      <c r="M53" s="209" t="e">
        <f>_xll.qlInterpolationInterpolate(BasisInterpolator,I53,,L53)</f>
        <v>#NUM!</v>
      </c>
      <c r="N53" s="232" t="e">
        <f t="shared" si="0"/>
        <v>#NUM!</v>
      </c>
      <c r="O53" s="369"/>
    </row>
    <row r="54" spans="1:30" x14ac:dyDescent="0.2">
      <c r="A54" s="234"/>
      <c r="B54" s="235"/>
      <c r="C54" s="236"/>
      <c r="D54" s="231"/>
      <c r="E54" s="209" t="e">
        <v>#NUM!</v>
      </c>
      <c r="F54" s="195">
        <v>46</v>
      </c>
      <c r="G54" s="233">
        <f>_xll.qlInterestRateIndexFixingDate(IborIndex,I54)</f>
        <v>43287</v>
      </c>
      <c r="H54" s="195" t="str">
        <f>_xll.qlMakeDatedOIS(,I54,J54,OvernightIndex,0,"Act/360",0)</f>
        <v>obj_008c1#0001</v>
      </c>
      <c r="I54" s="233">
        <f>_xll.qlCalendarAdvance(Calendar,$D$2,F54&amp;"M","mf")</f>
        <v>43291</v>
      </c>
      <c r="J54" s="233">
        <f>_xll.qlInterestRateIndexMaturity(IborIndex,I54)</f>
        <v>43656</v>
      </c>
      <c r="L54" s="232">
        <f>_xll.qlOvernightIndexedSwapFairRate(H54,_xll.ohTrigger($P$2:$P$6))</f>
        <v>4.9914642594292187E-3</v>
      </c>
      <c r="M54" s="209" t="e">
        <f>_xll.qlInterpolationInterpolate(BasisInterpolator,I54,,L54)</f>
        <v>#NUM!</v>
      </c>
      <c r="N54" s="232" t="e">
        <f t="shared" si="0"/>
        <v>#NUM!</v>
      </c>
      <c r="O54" s="369"/>
    </row>
    <row r="55" spans="1:30" x14ac:dyDescent="0.2">
      <c r="A55" s="234"/>
      <c r="B55" s="235"/>
      <c r="C55" s="236"/>
      <c r="D55" s="231"/>
      <c r="E55" s="209" t="e">
        <v>#NUM!</v>
      </c>
      <c r="F55" s="195">
        <v>47</v>
      </c>
      <c r="G55" s="233">
        <f>_xll.qlInterestRateIndexFixingDate(IborIndex,I55)</f>
        <v>43320</v>
      </c>
      <c r="H55" s="195" t="str">
        <f>_xll.qlMakeDatedOIS(,I55,J55,OvernightIndex,0,"Act/360",0)</f>
        <v>obj_008c2#0001</v>
      </c>
      <c r="I55" s="233">
        <f>_xll.qlCalendarAdvance(Calendar,$D$2,F55&amp;"M","mf")</f>
        <v>43322</v>
      </c>
      <c r="J55" s="233">
        <f>_xll.qlInterestRateIndexMaturity(IborIndex,I55)</f>
        <v>43689</v>
      </c>
      <c r="L55" s="232">
        <f>_xll.qlOvernightIndexedSwapFairRate(H55,_xll.ohTrigger($P$2:$P$6))</f>
        <v>5.2237475444310505E-3</v>
      </c>
      <c r="M55" s="209" t="e">
        <f>_xll.qlInterpolationInterpolate(BasisInterpolator,I55,,L55)</f>
        <v>#NUM!</v>
      </c>
      <c r="N55" s="232" t="e">
        <f t="shared" si="0"/>
        <v>#NUM!</v>
      </c>
      <c r="O55" s="369"/>
    </row>
    <row r="56" spans="1:30" x14ac:dyDescent="0.2">
      <c r="A56" s="234"/>
      <c r="B56" s="235"/>
      <c r="C56" s="236"/>
      <c r="D56" s="231"/>
      <c r="E56" s="209" t="e">
        <v>#NUM!</v>
      </c>
      <c r="F56" s="374">
        <v>48</v>
      </c>
      <c r="G56" s="375">
        <f>_xll.qlInterestRateIndexFixingDate(IborIndex,I56)</f>
        <v>43349</v>
      </c>
      <c r="H56" s="374" t="str">
        <f>_xll.qlMakeDatedOIS(,I56,J56,OvernightIndex,0,"Act/360",0)</f>
        <v>obj_008be#0001</v>
      </c>
      <c r="I56" s="375">
        <f>_xll.qlCalendarAdvance(Calendar,$D$2,F56&amp;"M","mf")</f>
        <v>43353</v>
      </c>
      <c r="J56" s="375">
        <f>_xll.qlInterestRateIndexMaturity(IborIndex,I56)</f>
        <v>43718</v>
      </c>
      <c r="K56" s="374"/>
      <c r="L56" s="376">
        <f>_xll.qlOvernightIndexedSwapFairRate(H56,_xll.ohTrigger($P$2:$P$6))</f>
        <v>5.4534158587521888E-3</v>
      </c>
      <c r="M56" s="377" t="e">
        <f>_xll.qlInterpolationInterpolate(BasisInterpolator,I56,,L56)</f>
        <v>#NUM!</v>
      </c>
      <c r="N56" s="376" t="e">
        <f t="shared" si="0"/>
        <v>#NUM!</v>
      </c>
      <c r="O56" s="369"/>
    </row>
    <row r="57" spans="1:30" x14ac:dyDescent="0.2">
      <c r="A57" s="234"/>
      <c r="B57" s="235"/>
      <c r="C57" s="236"/>
      <c r="D57" s="231"/>
      <c r="E57" s="209" t="e">
        <v>#NUM!</v>
      </c>
    </row>
    <row r="58" spans="1:30" x14ac:dyDescent="0.2">
      <c r="A58" s="234"/>
      <c r="B58" s="235"/>
      <c r="C58" s="236"/>
      <c r="D58" s="231"/>
      <c r="E58" s="209" t="e">
        <v>#NUM!</v>
      </c>
    </row>
    <row r="59" spans="1:30" x14ac:dyDescent="0.2">
      <c r="A59" s="234"/>
      <c r="B59" s="235"/>
      <c r="C59" s="236"/>
      <c r="D59" s="231"/>
      <c r="E59" s="209" t="e">
        <v>#NUM!</v>
      </c>
    </row>
    <row r="60" spans="1:30" x14ac:dyDescent="0.2">
      <c r="A60" s="234"/>
      <c r="B60" s="235"/>
      <c r="C60" s="236"/>
      <c r="D60" s="231"/>
      <c r="E60" s="209" t="e">
        <v>#NUM!</v>
      </c>
    </row>
    <row r="61" spans="1:30" x14ac:dyDescent="0.2">
      <c r="A61" s="234"/>
      <c r="B61" s="235"/>
      <c r="C61" s="236"/>
      <c r="D61" s="231"/>
      <c r="E61" s="209" t="e">
        <v>#NUM!</v>
      </c>
    </row>
    <row r="62" spans="1:30" x14ac:dyDescent="0.2">
      <c r="A62" s="234"/>
      <c r="B62" s="235"/>
      <c r="C62" s="236"/>
      <c r="D62" s="231"/>
      <c r="E62" s="209" t="e">
        <v>#NUM!</v>
      </c>
    </row>
    <row r="63" spans="1:30" x14ac:dyDescent="0.2">
      <c r="A63" s="234"/>
      <c r="B63" s="235"/>
      <c r="C63" s="236"/>
      <c r="D63" s="231"/>
      <c r="E63" s="209" t="e">
        <v>#NUM!</v>
      </c>
    </row>
    <row r="64" spans="1:30" x14ac:dyDescent="0.2">
      <c r="A64" s="234"/>
      <c r="B64" s="235"/>
      <c r="C64" s="236"/>
      <c r="D64" s="231"/>
      <c r="E64" s="209" t="e">
        <v>#NUM!</v>
      </c>
    </row>
    <row r="65" spans="1:5" x14ac:dyDescent="0.2">
      <c r="A65" s="234"/>
      <c r="B65" s="235"/>
      <c r="C65" s="236"/>
      <c r="D65" s="231"/>
      <c r="E65" s="209" t="e">
        <v>#NUM!</v>
      </c>
    </row>
    <row r="66" spans="1:5" x14ac:dyDescent="0.2">
      <c r="A66" s="234"/>
      <c r="B66" s="235"/>
      <c r="C66" s="236"/>
      <c r="D66" s="231"/>
      <c r="E66" s="209" t="e">
        <v>#NUM!</v>
      </c>
    </row>
    <row r="67" spans="1:5" x14ac:dyDescent="0.2">
      <c r="A67" s="234"/>
      <c r="B67" s="235"/>
      <c r="C67" s="236"/>
      <c r="D67" s="231"/>
      <c r="E67" s="209" t="e">
        <v>#NUM!</v>
      </c>
    </row>
    <row r="68" spans="1:5" x14ac:dyDescent="0.2">
      <c r="A68" s="234"/>
      <c r="B68" s="235"/>
      <c r="C68" s="236"/>
      <c r="D68" s="231"/>
      <c r="E68" s="209" t="e">
        <v>#NUM!</v>
      </c>
    </row>
    <row r="69" spans="1:5" x14ac:dyDescent="0.2">
      <c r="A69" s="234"/>
      <c r="B69" s="235"/>
      <c r="C69" s="236"/>
      <c r="D69" s="231"/>
      <c r="E69" s="209" t="e">
        <v>#NUM!</v>
      </c>
    </row>
    <row r="70" spans="1:5" x14ac:dyDescent="0.2">
      <c r="A70" s="234"/>
      <c r="B70" s="235"/>
      <c r="C70" s="236"/>
      <c r="D70" s="231"/>
      <c r="E70" s="209" t="e">
        <v>#NUM!</v>
      </c>
    </row>
    <row r="71" spans="1:5" x14ac:dyDescent="0.2">
      <c r="A71" s="234"/>
      <c r="B71" s="235"/>
      <c r="C71" s="236"/>
      <c r="D71" s="231"/>
      <c r="E71" s="209" t="e">
        <v>#NUM!</v>
      </c>
    </row>
    <row r="72" spans="1:5" x14ac:dyDescent="0.2">
      <c r="A72" s="234"/>
      <c r="B72" s="235"/>
      <c r="C72" s="236"/>
      <c r="D72" s="231"/>
      <c r="E72" s="209" t="e">
        <v>#NUM!</v>
      </c>
    </row>
    <row r="73" spans="1:5" x14ac:dyDescent="0.2">
      <c r="A73" s="234"/>
      <c r="B73" s="235"/>
      <c r="C73" s="236"/>
      <c r="D73" s="231"/>
      <c r="E73" s="209" t="e">
        <v>#NUM!</v>
      </c>
    </row>
    <row r="74" spans="1:5" x14ac:dyDescent="0.2">
      <c r="A74" s="234"/>
      <c r="B74" s="235"/>
      <c r="C74" s="236"/>
      <c r="D74" s="231"/>
      <c r="E74" s="209" t="e">
        <v>#NUM!</v>
      </c>
    </row>
    <row r="75" spans="1:5" x14ac:dyDescent="0.2">
      <c r="A75" s="234"/>
      <c r="B75" s="235"/>
      <c r="C75" s="236"/>
      <c r="D75" s="231"/>
      <c r="E75" s="209" t="e">
        <v>#NUM!</v>
      </c>
    </row>
    <row r="76" spans="1:5" x14ac:dyDescent="0.2">
      <c r="A76" s="234"/>
      <c r="B76" s="235"/>
      <c r="C76" s="236"/>
      <c r="D76" s="231"/>
      <c r="E76" s="209" t="e">
        <v>#NUM!</v>
      </c>
    </row>
    <row r="77" spans="1:5" x14ac:dyDescent="0.2">
      <c r="A77" s="234"/>
      <c r="B77" s="235"/>
      <c r="C77" s="236"/>
      <c r="D77" s="231"/>
      <c r="E77" s="209" t="e">
        <v>#NUM!</v>
      </c>
    </row>
    <row r="78" spans="1:5" x14ac:dyDescent="0.2">
      <c r="A78" s="234"/>
      <c r="B78" s="235"/>
      <c r="C78" s="236"/>
      <c r="D78" s="231"/>
      <c r="E78" s="209" t="e">
        <v>#NUM!</v>
      </c>
    </row>
    <row r="79" spans="1:5" x14ac:dyDescent="0.2">
      <c r="A79" s="234"/>
      <c r="B79" s="235"/>
      <c r="C79" s="236"/>
      <c r="D79" s="231"/>
      <c r="E79" s="209" t="e">
        <v>#NUM!</v>
      </c>
    </row>
    <row r="80" spans="1:5" x14ac:dyDescent="0.2">
      <c r="A80" s="234"/>
      <c r="B80" s="235"/>
      <c r="C80" s="236"/>
      <c r="D80" s="231"/>
      <c r="E80" s="209" t="e">
        <v>#NUM!</v>
      </c>
    </row>
    <row r="81" spans="1:5" x14ac:dyDescent="0.2">
      <c r="A81" s="234"/>
      <c r="B81" s="235"/>
      <c r="C81" s="236"/>
      <c r="D81" s="231"/>
      <c r="E81" s="209" t="e">
        <v>#NUM!</v>
      </c>
    </row>
    <row r="82" spans="1:5" x14ac:dyDescent="0.2">
      <c r="A82" s="234"/>
      <c r="B82" s="235"/>
      <c r="C82" s="236"/>
      <c r="D82" s="231"/>
      <c r="E82" s="209" t="e">
        <v>#NUM!</v>
      </c>
    </row>
    <row r="83" spans="1:5" x14ac:dyDescent="0.2">
      <c r="A83" s="234"/>
      <c r="B83" s="235"/>
      <c r="C83" s="236"/>
      <c r="D83" s="231"/>
      <c r="E83" s="209" t="e">
        <v>#NUM!</v>
      </c>
    </row>
    <row r="84" spans="1:5" x14ac:dyDescent="0.2">
      <c r="A84" s="234"/>
      <c r="B84" s="235"/>
      <c r="C84" s="236"/>
      <c r="D84" s="231"/>
      <c r="E84" s="209" t="e">
        <v>#NUM!</v>
      </c>
    </row>
    <row r="85" spans="1:5" x14ac:dyDescent="0.2">
      <c r="A85" s="234"/>
      <c r="B85" s="235"/>
      <c r="C85" s="236"/>
      <c r="D85" s="231"/>
      <c r="E85" s="209" t="e">
        <v>#NUM!</v>
      </c>
    </row>
    <row r="86" spans="1:5" x14ac:dyDescent="0.2">
      <c r="A86" s="234"/>
      <c r="B86" s="235"/>
      <c r="C86" s="236"/>
      <c r="D86" s="231"/>
      <c r="E86" s="209" t="e">
        <v>#NUM!</v>
      </c>
    </row>
    <row r="87" spans="1:5" x14ac:dyDescent="0.2">
      <c r="A87" s="234"/>
      <c r="B87" s="235"/>
      <c r="C87" s="236"/>
      <c r="D87" s="231"/>
      <c r="E87" s="209" t="e">
        <v>#NUM!</v>
      </c>
    </row>
    <row r="88" spans="1:5" x14ac:dyDescent="0.2">
      <c r="A88" s="234"/>
      <c r="B88" s="235"/>
      <c r="C88" s="236"/>
      <c r="D88" s="231"/>
      <c r="E88" s="209" t="e">
        <v>#NUM!</v>
      </c>
    </row>
    <row r="89" spans="1:5" x14ac:dyDescent="0.2">
      <c r="A89" s="234"/>
      <c r="B89" s="235"/>
      <c r="C89" s="236"/>
      <c r="D89" s="231"/>
      <c r="E89" s="209" t="e">
        <v>#NUM!</v>
      </c>
    </row>
    <row r="90" spans="1:5" x14ac:dyDescent="0.2">
      <c r="A90" s="234"/>
      <c r="B90" s="235"/>
      <c r="C90" s="236"/>
      <c r="D90" s="231"/>
      <c r="E90" s="209" t="e">
        <v>#NUM!</v>
      </c>
    </row>
    <row r="91" spans="1:5" x14ac:dyDescent="0.2">
      <c r="A91" s="234"/>
      <c r="B91" s="235"/>
      <c r="C91" s="236"/>
      <c r="D91" s="231"/>
      <c r="E91" s="209" t="e">
        <v>#NUM!</v>
      </c>
    </row>
    <row r="92" spans="1:5" x14ac:dyDescent="0.2">
      <c r="A92" s="234"/>
      <c r="B92" s="235"/>
      <c r="C92" s="236"/>
      <c r="D92" s="231"/>
      <c r="E92" s="209" t="e">
        <v>#NUM!</v>
      </c>
    </row>
    <row r="93" spans="1:5" x14ac:dyDescent="0.2">
      <c r="A93" s="234"/>
      <c r="B93" s="235"/>
      <c r="C93" s="236"/>
      <c r="D93" s="231"/>
      <c r="E93" s="209" t="e">
        <v>#NUM!</v>
      </c>
    </row>
    <row r="94" spans="1:5" x14ac:dyDescent="0.2">
      <c r="A94" s="234"/>
      <c r="B94" s="235"/>
      <c r="C94" s="236"/>
      <c r="D94" s="231"/>
      <c r="E94" s="209" t="e">
        <v>#NUM!</v>
      </c>
    </row>
    <row r="95" spans="1:5" x14ac:dyDescent="0.2">
      <c r="A95" s="234"/>
      <c r="B95" s="235"/>
      <c r="C95" s="236"/>
      <c r="D95" s="231"/>
      <c r="E95" s="209" t="e">
        <v>#NUM!</v>
      </c>
    </row>
    <row r="96" spans="1:5" x14ac:dyDescent="0.2">
      <c r="A96" s="234"/>
      <c r="B96" s="235"/>
      <c r="C96" s="236"/>
      <c r="D96" s="231"/>
      <c r="E96" s="209" t="e">
        <v>#NUM!</v>
      </c>
    </row>
    <row r="97" spans="1:5" x14ac:dyDescent="0.2">
      <c r="A97" s="234"/>
      <c r="B97" s="235"/>
      <c r="C97" s="236"/>
      <c r="D97" s="231"/>
      <c r="E97" s="209" t="e">
        <v>#NUM!</v>
      </c>
    </row>
    <row r="98" spans="1:5" x14ac:dyDescent="0.2">
      <c r="A98" s="234"/>
      <c r="B98" s="235"/>
      <c r="C98" s="236"/>
      <c r="D98" s="231"/>
      <c r="E98" s="209" t="e">
        <v>#NUM!</v>
      </c>
    </row>
    <row r="99" spans="1:5" x14ac:dyDescent="0.2">
      <c r="A99" s="234"/>
      <c r="B99" s="235"/>
      <c r="C99" s="236"/>
      <c r="D99" s="231"/>
      <c r="E99" s="209" t="e">
        <v>#NUM!</v>
      </c>
    </row>
    <row r="100" spans="1:5" x14ac:dyDescent="0.2">
      <c r="A100" s="234"/>
      <c r="B100" s="235"/>
      <c r="C100" s="236"/>
      <c r="D100" s="231"/>
      <c r="E100" s="209" t="e">
        <v>#NUM!</v>
      </c>
    </row>
    <row r="101" spans="1:5" x14ac:dyDescent="0.2">
      <c r="A101" s="234"/>
      <c r="B101" s="235"/>
      <c r="C101" s="236"/>
      <c r="D101" s="231"/>
      <c r="E101" s="209" t="e">
        <v>#NUM!</v>
      </c>
    </row>
    <row r="102" spans="1:5" x14ac:dyDescent="0.2">
      <c r="A102" s="234"/>
      <c r="B102" s="235"/>
      <c r="C102" s="236"/>
      <c r="D102" s="231"/>
      <c r="E102" s="209" t="e">
        <v>#NUM!</v>
      </c>
    </row>
    <row r="103" spans="1:5" x14ac:dyDescent="0.2">
      <c r="A103" s="234"/>
      <c r="B103" s="235"/>
      <c r="C103" s="236"/>
      <c r="D103" s="231"/>
      <c r="E103" s="209" t="e">
        <v>#NUM!</v>
      </c>
    </row>
    <row r="104" spans="1:5" x14ac:dyDescent="0.2">
      <c r="A104" s="234"/>
      <c r="B104" s="235"/>
      <c r="C104" s="236"/>
      <c r="D104" s="231"/>
      <c r="E104" s="209" t="e">
        <v>#NUM!</v>
      </c>
    </row>
    <row r="105" spans="1:5" x14ac:dyDescent="0.2">
      <c r="A105" s="234"/>
      <c r="B105" s="235"/>
      <c r="C105" s="236"/>
      <c r="D105" s="231"/>
      <c r="E105" s="209" t="e">
        <v>#NUM!</v>
      </c>
    </row>
    <row r="106" spans="1:5" x14ac:dyDescent="0.2">
      <c r="A106" s="234"/>
      <c r="B106" s="235"/>
      <c r="C106" s="236"/>
      <c r="D106" s="231"/>
      <c r="E106" s="209" t="e">
        <v>#NUM!</v>
      </c>
    </row>
    <row r="107" spans="1:5" x14ac:dyDescent="0.2">
      <c r="A107" s="234"/>
      <c r="B107" s="235"/>
      <c r="C107" s="236"/>
      <c r="D107" s="231"/>
      <c r="E107" s="209" t="e">
        <v>#NUM!</v>
      </c>
    </row>
    <row r="108" spans="1:5" x14ac:dyDescent="0.2">
      <c r="A108" s="234"/>
      <c r="B108" s="235"/>
      <c r="C108" s="236"/>
      <c r="D108" s="231"/>
      <c r="E108" s="209" t="e">
        <v>#NUM!</v>
      </c>
    </row>
    <row r="109" spans="1:5" x14ac:dyDescent="0.2">
      <c r="A109" s="234"/>
      <c r="B109" s="235"/>
      <c r="C109" s="236"/>
      <c r="D109" s="231"/>
      <c r="E109" s="209" t="e">
        <v>#NUM!</v>
      </c>
    </row>
    <row r="110" spans="1:5" x14ac:dyDescent="0.2">
      <c r="A110" s="234"/>
      <c r="B110" s="235"/>
      <c r="C110" s="236"/>
      <c r="D110" s="231"/>
      <c r="E110" s="209" t="e">
        <v>#NUM!</v>
      </c>
    </row>
    <row r="111" spans="1:5" x14ac:dyDescent="0.2">
      <c r="A111" s="234"/>
      <c r="B111" s="235"/>
      <c r="C111" s="236"/>
      <c r="D111" s="231"/>
      <c r="E111" s="209" t="e">
        <v>#NUM!</v>
      </c>
    </row>
    <row r="112" spans="1:5" x14ac:dyDescent="0.2">
      <c r="A112" s="234"/>
      <c r="B112" s="235"/>
      <c r="C112" s="236"/>
      <c r="D112" s="231"/>
      <c r="E112" s="209" t="e">
        <v>#NUM!</v>
      </c>
    </row>
    <row r="113" spans="1:5" x14ac:dyDescent="0.2">
      <c r="A113" s="234"/>
      <c r="B113" s="235"/>
      <c r="C113" s="236"/>
      <c r="D113" s="231"/>
      <c r="E113" s="209" t="e">
        <v>#NUM!</v>
      </c>
    </row>
    <row r="114" spans="1:5" x14ac:dyDescent="0.2">
      <c r="A114" s="234"/>
      <c r="B114" s="235"/>
      <c r="C114" s="236"/>
      <c r="D114" s="231"/>
      <c r="E114" s="209" t="e">
        <v>#NUM!</v>
      </c>
    </row>
    <row r="115" spans="1:5" x14ac:dyDescent="0.2">
      <c r="A115" s="234"/>
      <c r="B115" s="235"/>
      <c r="C115" s="236"/>
      <c r="D115" s="231"/>
      <c r="E115" s="209" t="e">
        <v>#NUM!</v>
      </c>
    </row>
    <row r="116" spans="1:5" x14ac:dyDescent="0.2">
      <c r="A116" s="234"/>
      <c r="B116" s="235"/>
      <c r="C116" s="236"/>
      <c r="D116" s="231"/>
      <c r="E116" s="209" t="e">
        <v>#NUM!</v>
      </c>
    </row>
    <row r="117" spans="1:5" x14ac:dyDescent="0.2">
      <c r="A117" s="234"/>
      <c r="B117" s="235"/>
      <c r="C117" s="236"/>
      <c r="D117" s="231"/>
      <c r="E117" s="209" t="e">
        <v>#NUM!</v>
      </c>
    </row>
    <row r="118" spans="1:5" x14ac:dyDescent="0.2">
      <c r="A118" s="234"/>
      <c r="B118" s="235"/>
      <c r="C118" s="236"/>
      <c r="D118" s="231"/>
      <c r="E118" s="209" t="e">
        <v>#NUM!</v>
      </c>
    </row>
    <row r="119" spans="1:5" x14ac:dyDescent="0.2">
      <c r="A119" s="234"/>
      <c r="B119" s="235"/>
      <c r="C119" s="236"/>
      <c r="D119" s="231"/>
      <c r="E119" s="209" t="e">
        <v>#NUM!</v>
      </c>
    </row>
    <row r="120" spans="1:5" x14ac:dyDescent="0.2">
      <c r="A120" s="234"/>
      <c r="B120" s="235"/>
      <c r="C120" s="236"/>
      <c r="D120" s="231"/>
      <c r="E120" s="209" t="e">
        <v>#NUM!</v>
      </c>
    </row>
    <row r="121" spans="1:5" x14ac:dyDescent="0.2">
      <c r="A121" s="234"/>
      <c r="B121" s="235"/>
      <c r="C121" s="236"/>
      <c r="D121" s="231"/>
      <c r="E121" s="209" t="e">
        <v>#NUM!</v>
      </c>
    </row>
    <row r="122" spans="1:5" x14ac:dyDescent="0.2">
      <c r="A122" s="234"/>
      <c r="B122" s="235"/>
      <c r="C122" s="236"/>
      <c r="D122" s="231"/>
      <c r="E122" s="209" t="e">
        <v>#NUM!</v>
      </c>
    </row>
    <row r="123" spans="1:5" x14ac:dyDescent="0.2">
      <c r="A123" s="234"/>
      <c r="B123" s="235"/>
      <c r="C123" s="236"/>
      <c r="D123" s="231"/>
      <c r="E123" s="209" t="e">
        <v>#NUM!</v>
      </c>
    </row>
    <row r="124" spans="1:5" x14ac:dyDescent="0.2">
      <c r="A124" s="234"/>
      <c r="B124" s="235"/>
      <c r="C124" s="236"/>
      <c r="D124" s="231"/>
      <c r="E124" s="209" t="e">
        <v>#NUM!</v>
      </c>
    </row>
    <row r="125" spans="1:5" x14ac:dyDescent="0.2">
      <c r="A125" s="234"/>
      <c r="B125" s="235"/>
      <c r="C125" s="236"/>
      <c r="D125" s="231"/>
      <c r="E125" s="209" t="e">
        <v>#NUM!</v>
      </c>
    </row>
    <row r="126" spans="1:5" x14ac:dyDescent="0.2">
      <c r="A126" s="234"/>
      <c r="B126" s="235"/>
      <c r="C126" s="236"/>
      <c r="D126" s="231"/>
      <c r="E126" s="209" t="e">
        <v>#NUM!</v>
      </c>
    </row>
    <row r="127" spans="1:5" x14ac:dyDescent="0.2">
      <c r="A127" s="237"/>
      <c r="B127" s="238"/>
      <c r="C127" s="239"/>
      <c r="D127" s="240"/>
      <c r="E127" s="209" t="e">
        <v>#NUM!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0"/>
  <sheetViews>
    <sheetView workbookViewId="0"/>
  </sheetViews>
  <sheetFormatPr defaultRowHeight="11.25" x14ac:dyDescent="0.2"/>
  <cols>
    <col min="1" max="1" width="2.83203125" style="381" customWidth="1"/>
    <col min="2" max="2" width="28.6640625" style="381" bestFit="1" customWidth="1"/>
    <col min="3" max="3" width="20.83203125" style="381" customWidth="1"/>
    <col min="4" max="5" width="20.83203125" style="381" bestFit="1" customWidth="1"/>
    <col min="6" max="6" width="18.5" style="381" hidden="1" customWidth="1"/>
    <col min="7" max="7" width="11.1640625" style="381" bestFit="1" customWidth="1"/>
    <col min="8" max="8" width="14.1640625" style="381" bestFit="1" customWidth="1"/>
    <col min="9" max="9" width="10" style="381" bestFit="1" customWidth="1"/>
    <col min="10" max="10" width="9.33203125" style="381" hidden="1" customWidth="1"/>
    <col min="11" max="11" width="10.5" style="381" bestFit="1" customWidth="1"/>
    <col min="12" max="16384" width="9.33203125" style="381"/>
  </cols>
  <sheetData>
    <row r="1" spans="1:10" ht="12" thickBot="1" x14ac:dyDescent="0.25"/>
    <row r="2" spans="1:10" ht="23.25" customHeight="1" thickBot="1" x14ac:dyDescent="0.25">
      <c r="B2" s="394" t="s">
        <v>147</v>
      </c>
      <c r="C2" s="394" t="s">
        <v>105</v>
      </c>
      <c r="D2" s="395" t="s">
        <v>126</v>
      </c>
      <c r="E2" s="418" t="s">
        <v>127</v>
      </c>
      <c r="F2" s="418"/>
      <c r="G2" s="418" t="s">
        <v>153</v>
      </c>
      <c r="H2" s="396" t="s">
        <v>44</v>
      </c>
      <c r="I2" s="429" t="s">
        <v>148</v>
      </c>
    </row>
    <row r="3" spans="1:10" x14ac:dyDescent="0.2">
      <c r="B3" s="401" t="s">
        <v>154</v>
      </c>
      <c r="C3" s="400" t="e">
        <f>RateHelpersFra!G2</f>
        <v>#NUM!</v>
      </c>
      <c r="D3" s="398">
        <f>RateHelpersFra!K2</f>
        <v>41892</v>
      </c>
      <c r="E3" s="398">
        <f>RateHelpersFra!L2</f>
        <v>42257</v>
      </c>
      <c r="F3" s="398" t="str">
        <f>_xll.qlMakeDatedOIS(,D3,E3,OvernightIndex,0,"Act/360",0)</f>
        <v>obj_008e2#0005</v>
      </c>
      <c r="G3" s="420" t="e">
        <f>_xll.qlIndexFixing(IborIndex,SynthFra!G2,TRUE,InterestRatesTrigger)</f>
        <v>#NUM!</v>
      </c>
      <c r="H3" s="400">
        <f>SynthFra!L2</f>
        <v>-7.8000000000007284E-4</v>
      </c>
      <c r="I3" s="430" t="e">
        <f>SynthFra!M2</f>
        <v>#NUM!</v>
      </c>
      <c r="J3" s="424" t="e">
        <f>I3-H11</f>
        <v>#NUM!</v>
      </c>
    </row>
    <row r="4" spans="1:10" x14ac:dyDescent="0.2">
      <c r="B4" s="401" t="s">
        <v>149</v>
      </c>
      <c r="C4" s="400">
        <f>RateHelpersFra!G3</f>
        <v>3.4399999999999999E-3</v>
      </c>
      <c r="D4" s="398">
        <f>RateHelpersFra!K3</f>
        <v>42257</v>
      </c>
      <c r="E4" s="398">
        <f>RateHelpersFra!L3</f>
        <v>42625</v>
      </c>
      <c r="F4" s="398" t="str">
        <f>_xll.qlMakeDatedOIS(,D4,E4,OvernightIndex,0,"Act/360",0)</f>
        <v>obj_008e6#0005</v>
      </c>
      <c r="G4" s="420" t="e">
        <f>_xll.qlIndexFixing(IborIndex,SynthFra!G3,TRUE,InterestRatesTrigger)</f>
        <v>#NUM!</v>
      </c>
      <c r="H4" s="400">
        <f>SynthFra!L3</f>
        <v>-6.2070251978436723E-4</v>
      </c>
      <c r="I4" s="430" t="e">
        <f>SynthFra!M3</f>
        <v>#NUM!</v>
      </c>
      <c r="J4" s="424" t="e">
        <f>I4-H23</f>
        <v>#NUM!</v>
      </c>
    </row>
    <row r="5" spans="1:10" x14ac:dyDescent="0.2">
      <c r="B5" s="401" t="s">
        <v>150</v>
      </c>
      <c r="C5" s="400">
        <f>RateHelpersFra!G4</f>
        <v>4.1200000000000004E-3</v>
      </c>
      <c r="D5" s="398">
        <f>RateHelpersFra!K4</f>
        <v>41892</v>
      </c>
      <c r="E5" s="398">
        <f>RateHelpersFra!L4</f>
        <v>42989</v>
      </c>
      <c r="F5" s="398" t="str">
        <f>_xll.qlMakeDatedOIS(,D5,E5,OvernightIndex,0,"Act/360",0)</f>
        <v>obj_008e4#0005</v>
      </c>
      <c r="G5" s="420" t="e">
        <f>_xll.qlIndexFixing(IborIndex,SynthFra!G4,TRUE,InterestRatesTrigger)</f>
        <v>#NUM!</v>
      </c>
      <c r="H5" s="400">
        <f>SynthFra!L4</f>
        <v>5.7192766076674673E-4</v>
      </c>
      <c r="I5" s="430" t="e">
        <f>SynthFra!M4</f>
        <v>#NUM!</v>
      </c>
      <c r="J5" s="424" t="e">
        <f>I5-H35</f>
        <v>#NUM!</v>
      </c>
    </row>
    <row r="6" spans="1:10" x14ac:dyDescent="0.2">
      <c r="B6" s="401" t="s">
        <v>151</v>
      </c>
      <c r="C6" s="400">
        <f>RateHelpersFra!G5</f>
        <v>4.9899999999999996E-3</v>
      </c>
      <c r="D6" s="398">
        <f>RateHelpersFra!K5</f>
        <v>41892</v>
      </c>
      <c r="E6" s="398">
        <f>RateHelpersFra!L5</f>
        <v>43353</v>
      </c>
      <c r="F6" s="398" t="str">
        <f>_xll.qlMakeDatedOIS(,D6,E6,OvernightIndex,0,"Act/360",0)</f>
        <v>obj_008e3#0005</v>
      </c>
      <c r="G6" s="420" t="e">
        <f>_xll.qlIndexFixing(IborIndex,SynthFra!G5,TRUE,InterestRatesTrigger)</f>
        <v>#NUM!</v>
      </c>
      <c r="H6" s="400">
        <f>SynthFra!L5</f>
        <v>2.7443877612391577E-3</v>
      </c>
      <c r="I6" s="430" t="e">
        <f>SynthFra!M5</f>
        <v>#NUM!</v>
      </c>
      <c r="J6" s="424" t="e">
        <f>I6-H47</f>
        <v>#NUM!</v>
      </c>
    </row>
    <row r="7" spans="1:10" ht="12" thickBot="1" x14ac:dyDescent="0.25">
      <c r="B7" s="403" t="s">
        <v>152</v>
      </c>
      <c r="C7" s="428">
        <f>RateHelpersFra!G6</f>
        <v>6.1099999999999991E-3</v>
      </c>
      <c r="D7" s="426">
        <f>RateHelpersFra!K6</f>
        <v>41892</v>
      </c>
      <c r="E7" s="426">
        <f>RateHelpersFra!L6</f>
        <v>43718</v>
      </c>
      <c r="F7" s="426" t="str">
        <f>_xll.qlMakeDatedOIS(,D7,E7,OvernightIndex,0,"Act/360",0)</f>
        <v>obj_008e5#0005</v>
      </c>
      <c r="G7" s="427" t="e">
        <f>_xll.qlIndexFixing(IborIndex,SynthFra!G6,TRUE,InterestRatesTrigger)</f>
        <v>#NUM!</v>
      </c>
      <c r="H7" s="428">
        <f>SynthFra!L6</f>
        <v>5.4534158587521888E-3</v>
      </c>
      <c r="I7" s="431" t="e">
        <f>SynthFra!M6</f>
        <v>#NUM!</v>
      </c>
      <c r="J7" s="424" t="e">
        <f>I7-H59</f>
        <v>#NUM!</v>
      </c>
    </row>
    <row r="9" spans="1:10" ht="12" thickBot="1" x14ac:dyDescent="0.25"/>
    <row r="10" spans="1:10" ht="23.25" thickBot="1" x14ac:dyDescent="0.25">
      <c r="A10" s="402"/>
      <c r="B10" s="394" t="s">
        <v>147</v>
      </c>
      <c r="C10" s="394" t="s">
        <v>125</v>
      </c>
      <c r="D10" s="395" t="s">
        <v>126</v>
      </c>
      <c r="E10" s="418" t="s">
        <v>127</v>
      </c>
      <c r="F10" s="418"/>
      <c r="G10" s="418" t="s">
        <v>44</v>
      </c>
      <c r="H10" s="396" t="s">
        <v>148</v>
      </c>
      <c r="I10" s="395" t="s">
        <v>141</v>
      </c>
      <c r="J10" s="423"/>
    </row>
    <row r="11" spans="1:10" x14ac:dyDescent="0.2">
      <c r="A11" s="268"/>
      <c r="B11" s="405" t="s">
        <v>154</v>
      </c>
      <c r="C11" s="414">
        <f>_xll.qlInterestRateIndexFixingDate(IborIndex,D11)</f>
        <v>41890</v>
      </c>
      <c r="D11" s="415">
        <f>SynthFra!I2</f>
        <v>41892</v>
      </c>
      <c r="E11" s="415">
        <f>_xll.qlCalendarAdvance(Calendar,D11,"1Y","mf")</f>
        <v>42257</v>
      </c>
      <c r="F11" s="415" t="str">
        <f>_xll.qlMakeDatedOIS(,D11,E11,OvernightIndex,0,"Act/360",0)</f>
        <v>obj_0082a#0001</v>
      </c>
      <c r="G11" s="419">
        <f>_xll.qlOvernightIndexedSwapFairRate(F11,Contribution!$P$25)</f>
        <v>-7.8000000000007284E-4</v>
      </c>
      <c r="H11" s="417" t="e">
        <f t="array" ref="H11:H59">_xll.qlInterpolationInterpolate(BasisInterpolator,D11:D59,FALSE,_xll.ohTrigger(Trigger,InterestRatesTrigger))</f>
        <v>#NUM!</v>
      </c>
      <c r="I11" s="416" t="e">
        <f t="shared" ref="I11:I45" si="0">G11+H11</f>
        <v>#NUM!</v>
      </c>
      <c r="J11" s="424" t="e">
        <f>SynthFra!N8-FRACharts!I11</f>
        <v>#NUM!</v>
      </c>
    </row>
    <row r="12" spans="1:10" x14ac:dyDescent="0.2">
      <c r="A12" s="268"/>
      <c r="B12" s="401" t="str">
        <f>"Synthetic FRA "&amp;SynthFra!F9&amp;"x"&amp;SynthFra!F9+12</f>
        <v>Synthetic FRA 1x13</v>
      </c>
      <c r="C12" s="397">
        <f>_xll.qlInterestRateIndexFixingDate(IborIndex,D12)</f>
        <v>41920</v>
      </c>
      <c r="D12" s="398">
        <f>SynthFra!I9</f>
        <v>41922</v>
      </c>
      <c r="E12" s="398">
        <f>_xll.qlCalendarAdvance(Calendar,D12,"1Y","mf")</f>
        <v>42289</v>
      </c>
      <c r="F12" s="398" t="str">
        <f>_xll.qlMakeDatedOIS(,D12,E12,OvernightIndex,0,"Act/360",0)</f>
        <v>obj_007fd#0001</v>
      </c>
      <c r="G12" s="420">
        <f>_xll.qlOvernightIndexedSwapFairRate(F12,Contribution!$P$25)</f>
        <v>-7.9035738431828336E-4</v>
      </c>
      <c r="H12" s="400" t="e">
        <v>#NUM!</v>
      </c>
      <c r="I12" s="399" t="e">
        <f t="shared" si="0"/>
        <v>#NUM!</v>
      </c>
      <c r="J12" s="424" t="e">
        <f>SynthFra!N9-FRACharts!I12</f>
        <v>#NUM!</v>
      </c>
    </row>
    <row r="13" spans="1:10" x14ac:dyDescent="0.2">
      <c r="A13" s="268"/>
      <c r="B13" s="401" t="str">
        <f>"Synthetic FRA "&amp;SynthFra!F10&amp;"x"&amp;SynthFra!F10+12</f>
        <v>Synthetic FRA 2x14</v>
      </c>
      <c r="C13" s="397">
        <f>_xll.qlInterestRateIndexFixingDate(IborIndex,D13)</f>
        <v>41949</v>
      </c>
      <c r="D13" s="398">
        <f>SynthFra!I10</f>
        <v>41953</v>
      </c>
      <c r="E13" s="398">
        <f>_xll.qlCalendarAdvance(Calendar,D13,"1Y","mf")</f>
        <v>42318</v>
      </c>
      <c r="F13" s="398" t="str">
        <f>_xll.qlMakeDatedOIS(,D13,E13,OvernightIndex,0,"Act/360",0)</f>
        <v>obj_0089a#0001</v>
      </c>
      <c r="G13" s="420">
        <f>_xll.qlOvernightIndexedSwapFairRate(F13,Contribution!$P$25)</f>
        <v>-8.0458367561176618E-4</v>
      </c>
      <c r="H13" s="400" t="e">
        <v>#NUM!</v>
      </c>
      <c r="I13" s="399" t="e">
        <f t="shared" si="0"/>
        <v>#NUM!</v>
      </c>
      <c r="J13" s="424" t="e">
        <f>SynthFra!N10-FRACharts!I13</f>
        <v>#NUM!</v>
      </c>
    </row>
    <row r="14" spans="1:10" x14ac:dyDescent="0.2">
      <c r="A14" s="268"/>
      <c r="B14" s="401" t="str">
        <f>"Synthetic FRA "&amp;SynthFra!F11&amp;"x"&amp;SynthFra!F11+12</f>
        <v>Synthetic FRA 3x15</v>
      </c>
      <c r="C14" s="397">
        <f>_xll.qlInterestRateIndexFixingDate(IborIndex,D14)</f>
        <v>41981</v>
      </c>
      <c r="D14" s="398">
        <f>SynthFra!I11</f>
        <v>41983</v>
      </c>
      <c r="E14" s="398">
        <f>_xll.qlCalendarAdvance(Calendar,D14,"1Y","mf")</f>
        <v>42348</v>
      </c>
      <c r="F14" s="398" t="str">
        <f>_xll.qlMakeDatedOIS(,D14,E14,OvernightIndex,0,"Act/360",0)</f>
        <v>obj_008a1#0001</v>
      </c>
      <c r="G14" s="420">
        <f>_xll.qlOvernightIndexedSwapFairRate(F14,Contribution!$P$25)</f>
        <v>-8.1166007125218478E-4</v>
      </c>
      <c r="H14" s="400" t="e">
        <v>#NUM!</v>
      </c>
      <c r="I14" s="399" t="e">
        <f t="shared" si="0"/>
        <v>#NUM!</v>
      </c>
      <c r="J14" s="424" t="e">
        <f>SynthFra!N11-FRACharts!I14</f>
        <v>#NUM!</v>
      </c>
    </row>
    <row r="15" spans="1:10" x14ac:dyDescent="0.2">
      <c r="A15" s="268"/>
      <c r="B15" s="401" t="str">
        <f>"Synthetic FRA "&amp;SynthFra!F12&amp;"x"&amp;SynthFra!F12+12</f>
        <v>Synthetic FRA 4x16</v>
      </c>
      <c r="C15" s="397">
        <f>_xll.qlInterestRateIndexFixingDate(IborIndex,D15)</f>
        <v>42012</v>
      </c>
      <c r="D15" s="398">
        <f>SynthFra!I12</f>
        <v>42016</v>
      </c>
      <c r="E15" s="398">
        <f>_xll.qlCalendarAdvance(Calendar,D15,"1Y","mf")</f>
        <v>42381</v>
      </c>
      <c r="F15" s="398" t="str">
        <f>_xll.qlMakeDatedOIS(,D15,E15,OvernightIndex,0,"Act/360",0)</f>
        <v>obj_0080f#0001</v>
      </c>
      <c r="G15" s="420">
        <f>_xll.qlOvernightIndexedSwapFairRate(F15,Contribution!$P$25)</f>
        <v>-8.2521915093543817E-4</v>
      </c>
      <c r="H15" s="400" t="e">
        <v>#NUM!</v>
      </c>
      <c r="I15" s="399" t="e">
        <f t="shared" si="0"/>
        <v>#NUM!</v>
      </c>
      <c r="J15" s="424" t="e">
        <f>SynthFra!N12-FRACharts!I15</f>
        <v>#NUM!</v>
      </c>
    </row>
    <row r="16" spans="1:10" x14ac:dyDescent="0.2">
      <c r="A16" s="268"/>
      <c r="B16" s="401" t="str">
        <f>"Synthetic FRA "&amp;SynthFra!F13&amp;"x"&amp;SynthFra!F13+12</f>
        <v>Synthetic FRA 5x17</v>
      </c>
      <c r="C16" s="397">
        <f>_xll.qlInterestRateIndexFixingDate(IborIndex,D16)</f>
        <v>42041</v>
      </c>
      <c r="D16" s="398">
        <f>SynthFra!I13</f>
        <v>42045</v>
      </c>
      <c r="E16" s="398">
        <f>_xll.qlCalendarAdvance(Calendar,D16,"1Y","mf")</f>
        <v>42410</v>
      </c>
      <c r="F16" s="398" t="str">
        <f>_xll.qlMakeDatedOIS(,D16,E16,OvernightIndex,0,"Act/360",0)</f>
        <v>obj_0081e#0001</v>
      </c>
      <c r="G16" s="420">
        <f>_xll.qlOvernightIndexedSwapFairRate(F16,Contribution!$P$25)</f>
        <v>-8.2645783850800625E-4</v>
      </c>
      <c r="H16" s="400" t="e">
        <v>#NUM!</v>
      </c>
      <c r="I16" s="399" t="e">
        <f t="shared" si="0"/>
        <v>#NUM!</v>
      </c>
      <c r="J16" s="424" t="e">
        <f>SynthFra!N13-FRACharts!I16</f>
        <v>#NUM!</v>
      </c>
    </row>
    <row r="17" spans="1:10" x14ac:dyDescent="0.2">
      <c r="A17" s="268"/>
      <c r="B17" s="401" t="str">
        <f>"Synthetic FRA "&amp;SynthFra!F14&amp;"x"&amp;SynthFra!F14+12</f>
        <v>Synthetic FRA 6x18</v>
      </c>
      <c r="C17" s="397">
        <f>_xll.qlInterestRateIndexFixingDate(IborIndex,D17)</f>
        <v>42069</v>
      </c>
      <c r="D17" s="398">
        <f>SynthFra!I14</f>
        <v>42073</v>
      </c>
      <c r="E17" s="398">
        <f>_xll.qlCalendarAdvance(Calendar,D17,"1Y","mf")</f>
        <v>42439</v>
      </c>
      <c r="F17" s="398" t="str">
        <f>_xll.qlMakeDatedOIS(,D17,E17,OvernightIndex,0,"Act/360",0)</f>
        <v>obj_00811#0001</v>
      </c>
      <c r="G17" s="420">
        <f>_xll.qlOvernightIndexedSwapFairRate(F17,Contribution!$P$25)</f>
        <v>-8.1473275599342474E-4</v>
      </c>
      <c r="H17" s="400" t="e">
        <v>#NUM!</v>
      </c>
      <c r="I17" s="399" t="e">
        <f t="shared" si="0"/>
        <v>#NUM!</v>
      </c>
      <c r="J17" s="424" t="e">
        <f>SynthFra!N14-FRACharts!I17</f>
        <v>#NUM!</v>
      </c>
    </row>
    <row r="18" spans="1:10" x14ac:dyDescent="0.2">
      <c r="A18" s="268"/>
      <c r="B18" s="401" t="str">
        <f>"Synthetic FRA "&amp;SynthFra!F15&amp;"x"&amp;SynthFra!F15+12</f>
        <v>Synthetic FRA 7x19</v>
      </c>
      <c r="C18" s="397">
        <f>_xll.qlInterestRateIndexFixingDate(IborIndex,D18)</f>
        <v>42102</v>
      </c>
      <c r="D18" s="398">
        <f>SynthFra!I15</f>
        <v>42104</v>
      </c>
      <c r="E18" s="398">
        <f>_xll.qlCalendarAdvance(Calendar,D18,"1Y","mf")</f>
        <v>42471</v>
      </c>
      <c r="F18" s="398" t="str">
        <f>_xll.qlMakeDatedOIS(,D18,E18,OvernightIndex,0,"Act/360",0)</f>
        <v>obj_0088b#0001</v>
      </c>
      <c r="G18" s="420">
        <f>_xll.qlOvernightIndexedSwapFairRate(F18,Contribution!$P$25)</f>
        <v>-7.8806784776262598E-4</v>
      </c>
      <c r="H18" s="400" t="e">
        <v>#NUM!</v>
      </c>
      <c r="I18" s="399" t="e">
        <f t="shared" si="0"/>
        <v>#NUM!</v>
      </c>
      <c r="J18" s="424" t="e">
        <f>SynthFra!N15-FRACharts!I18</f>
        <v>#NUM!</v>
      </c>
    </row>
    <row r="19" spans="1:10" x14ac:dyDescent="0.2">
      <c r="A19" s="268"/>
      <c r="B19" s="401" t="str">
        <f>"Synthetic FRA "&amp;SynthFra!F16&amp;"x"&amp;SynthFra!F16+12</f>
        <v>Synthetic FRA 8x20</v>
      </c>
      <c r="C19" s="397">
        <f>_xll.qlInterestRateIndexFixingDate(IborIndex,D19)</f>
        <v>42131</v>
      </c>
      <c r="D19" s="398">
        <f>SynthFra!I16</f>
        <v>42135</v>
      </c>
      <c r="E19" s="398">
        <f>_xll.qlCalendarAdvance(Calendar,D19,"1Y","mf")</f>
        <v>42501</v>
      </c>
      <c r="F19" s="398" t="str">
        <f>_xll.qlMakeDatedOIS(,D19,E19,OvernightIndex,0,"Act/360",0)</f>
        <v>obj_00836#0001</v>
      </c>
      <c r="G19" s="420">
        <f>_xll.qlOvernightIndexedSwapFairRate(F19,Contribution!$P$25)</f>
        <v>-7.7328173023494804E-4</v>
      </c>
      <c r="H19" s="400" t="e">
        <v>#NUM!</v>
      </c>
      <c r="I19" s="399" t="e">
        <f t="shared" si="0"/>
        <v>#NUM!</v>
      </c>
      <c r="J19" s="424" t="e">
        <f>SynthFra!N16-FRACharts!I19</f>
        <v>#NUM!</v>
      </c>
    </row>
    <row r="20" spans="1:10" x14ac:dyDescent="0.2">
      <c r="A20" s="268"/>
      <c r="B20" s="401" t="str">
        <f>"Synthetic FRA "&amp;SynthFra!F17&amp;"x"&amp;SynthFra!F17+12</f>
        <v>Synthetic FRA 9x21</v>
      </c>
      <c r="C20" s="397">
        <f>_xll.qlInterestRateIndexFixingDate(IborIndex,D20)</f>
        <v>42163</v>
      </c>
      <c r="D20" s="398">
        <f>SynthFra!I17</f>
        <v>42165</v>
      </c>
      <c r="E20" s="398">
        <f>_xll.qlCalendarAdvance(Calendar,D20,"1Y","mf")</f>
        <v>42531</v>
      </c>
      <c r="F20" s="398" t="str">
        <f>_xll.qlMakeDatedOIS(,D20,E20,OvernightIndex,0,"Act/360",0)</f>
        <v>obj_00828#0001</v>
      </c>
      <c r="G20" s="420">
        <f>_xll.qlOvernightIndexedSwapFairRate(F20,Contribution!$P$25)</f>
        <v>-7.6493727192821338E-4</v>
      </c>
      <c r="H20" s="400" t="e">
        <v>#NUM!</v>
      </c>
      <c r="I20" s="399" t="e">
        <f t="shared" si="0"/>
        <v>#NUM!</v>
      </c>
      <c r="J20" s="424" t="e">
        <f>SynthFra!N17-FRACharts!I20</f>
        <v>#NUM!</v>
      </c>
    </row>
    <row r="21" spans="1:10" x14ac:dyDescent="0.2">
      <c r="A21" s="268"/>
      <c r="B21" s="401" t="str">
        <f>"Synthetic FRA "&amp;SynthFra!F18&amp;"x"&amp;SynthFra!F18+12</f>
        <v>Synthetic FRA 10x22</v>
      </c>
      <c r="C21" s="397">
        <f>_xll.qlInterestRateIndexFixingDate(IborIndex,D21)</f>
        <v>42193</v>
      </c>
      <c r="D21" s="398">
        <f>SynthFra!I18</f>
        <v>42195</v>
      </c>
      <c r="E21" s="398">
        <f>_xll.qlCalendarAdvance(Calendar,D21,"1Y","mf")</f>
        <v>42562</v>
      </c>
      <c r="F21" s="398" t="str">
        <f>_xll.qlMakeDatedOIS(,D21,E21,OvernightIndex,0,"Act/360",0)</f>
        <v>obj_00878#0001</v>
      </c>
      <c r="G21" s="420">
        <f>_xll.qlOvernightIndexedSwapFairRate(F21,Contribution!$P$25)</f>
        <v>-7.2535922509227324E-4</v>
      </c>
      <c r="H21" s="400" t="e">
        <v>#NUM!</v>
      </c>
      <c r="I21" s="399" t="e">
        <f t="shared" si="0"/>
        <v>#NUM!</v>
      </c>
      <c r="J21" s="424" t="e">
        <f>SynthFra!N18-FRACharts!I21</f>
        <v>#NUM!</v>
      </c>
    </row>
    <row r="22" spans="1:10" x14ac:dyDescent="0.2">
      <c r="A22" s="268"/>
      <c r="B22" s="401" t="str">
        <f>"Synthetic FRA "&amp;SynthFra!F19&amp;"x"&amp;SynthFra!F19+12</f>
        <v>Synthetic FRA 11x23</v>
      </c>
      <c r="C22" s="397">
        <f>_xll.qlInterestRateIndexFixingDate(IborIndex,D22)</f>
        <v>42222</v>
      </c>
      <c r="D22" s="398">
        <f>SynthFra!I19</f>
        <v>42226</v>
      </c>
      <c r="E22" s="398">
        <f>_xll.qlCalendarAdvance(Calendar,D22,"1Y","mf")</f>
        <v>42592</v>
      </c>
      <c r="F22" s="398" t="str">
        <f>_xll.qlMakeDatedOIS(,D22,E22,OvernightIndex,0,"Act/360",0)</f>
        <v>obj_007f9#0001</v>
      </c>
      <c r="G22" s="420">
        <f>_xll.qlOvernightIndexedSwapFairRate(F22,Contribution!$P$25)</f>
        <v>-6.8506607167237313E-4</v>
      </c>
      <c r="H22" s="400" t="e">
        <v>#NUM!</v>
      </c>
      <c r="I22" s="399" t="e">
        <f t="shared" si="0"/>
        <v>#NUM!</v>
      </c>
      <c r="J22" s="424" t="e">
        <f>SynthFra!N19-FRACharts!I22</f>
        <v>#NUM!</v>
      </c>
    </row>
    <row r="23" spans="1:10" x14ac:dyDescent="0.2">
      <c r="A23" s="268"/>
      <c r="B23" s="405" t="str">
        <f>"FRA "&amp;SynthFra!F20&amp;"x"&amp;SynthFra!F20+12</f>
        <v>FRA 12x24</v>
      </c>
      <c r="C23" s="410">
        <f>_xll.qlInterestRateIndexFixingDate(IborIndex,D23)</f>
        <v>42255</v>
      </c>
      <c r="D23" s="411">
        <f>SynthFra!I3</f>
        <v>42257</v>
      </c>
      <c r="E23" s="411">
        <f>_xll.qlCalendarAdvance(Calendar,D23,"1Y","mf")</f>
        <v>42625</v>
      </c>
      <c r="F23" s="411" t="str">
        <f>_xll.qlMakeDatedOIS(,D23,E23,OvernightIndex,0,"Act/360",0)</f>
        <v>obj_00853#0001</v>
      </c>
      <c r="G23" s="421">
        <f>_xll.qlOvernightIndexedSwapFairRate(F23,Contribution!$P$25)</f>
        <v>-6.2070251978436723E-4</v>
      </c>
      <c r="H23" s="413" t="e">
        <v>#NUM!</v>
      </c>
      <c r="I23" s="412" t="e">
        <f t="shared" si="0"/>
        <v>#NUM!</v>
      </c>
      <c r="J23" s="424" t="e">
        <f>SynthFra!N20-FRACharts!I23</f>
        <v>#NUM!</v>
      </c>
    </row>
    <row r="24" spans="1:10" x14ac:dyDescent="0.2">
      <c r="A24" s="268"/>
      <c r="B24" s="401" t="str">
        <f>"Synthetic FRA "&amp;SynthFra!F21&amp;"x"&amp;SynthFra!F21+12</f>
        <v>Synthetic FRA 13x25</v>
      </c>
      <c r="C24" s="397">
        <f>_xll.qlInterestRateIndexFixingDate(IborIndex,D24)</f>
        <v>42285</v>
      </c>
      <c r="D24" s="398">
        <f>SynthFra!I21</f>
        <v>42289</v>
      </c>
      <c r="E24" s="398">
        <f>_xll.qlCalendarAdvance(Calendar,D24,"1Y","mf")</f>
        <v>42655</v>
      </c>
      <c r="F24" s="398" t="str">
        <f>_xll.qlMakeDatedOIS(,D24,E24,OvernightIndex,0,"Act/360",0)</f>
        <v>obj_007fc#0001</v>
      </c>
      <c r="G24" s="420">
        <f>_xll.qlOvernightIndexedSwapFairRate(F24,Contribution!$P$25)</f>
        <v>-5.0519882054433365E-4</v>
      </c>
      <c r="H24" s="400" t="e">
        <v>#NUM!</v>
      </c>
      <c r="I24" s="399" t="e">
        <f t="shared" si="0"/>
        <v>#NUM!</v>
      </c>
      <c r="J24" s="424" t="e">
        <f>SynthFra!N21-FRACharts!I24</f>
        <v>#NUM!</v>
      </c>
    </row>
    <row r="25" spans="1:10" x14ac:dyDescent="0.2">
      <c r="A25" s="268"/>
      <c r="B25" s="401" t="str">
        <f>"Synthetic FRA "&amp;SynthFra!F22&amp;"x"&amp;SynthFra!F22+12</f>
        <v>Synthetic FRA 14x26</v>
      </c>
      <c r="C25" s="397">
        <f>_xll.qlInterestRateIndexFixingDate(IborIndex,D25)</f>
        <v>42314</v>
      </c>
      <c r="D25" s="398">
        <f>SynthFra!I22</f>
        <v>42318</v>
      </c>
      <c r="E25" s="398">
        <f>_xll.qlCalendarAdvance(Calendar,D25,"1Y","mf")</f>
        <v>42684</v>
      </c>
      <c r="F25" s="398" t="str">
        <f>_xll.qlMakeDatedOIS(,D25,E25,OvernightIndex,0,"Act/360",0)</f>
        <v>obj_00838#0001</v>
      </c>
      <c r="G25" s="420">
        <f>_xll.qlOvernightIndexedSwapFairRate(F25,Contribution!$P$25)</f>
        <v>-3.9463639992990356E-4</v>
      </c>
      <c r="H25" s="400" t="e">
        <v>#NUM!</v>
      </c>
      <c r="I25" s="399" t="e">
        <f t="shared" si="0"/>
        <v>#NUM!</v>
      </c>
      <c r="J25" s="424" t="e">
        <f>SynthFra!N22-FRACharts!I25</f>
        <v>#NUM!</v>
      </c>
    </row>
    <row r="26" spans="1:10" x14ac:dyDescent="0.2">
      <c r="A26" s="268"/>
      <c r="B26" s="401" t="str">
        <f>"Synthetic FRA "&amp;SynthFra!F23&amp;"x"&amp;SynthFra!F23+12</f>
        <v>Synthetic FRA 15x27</v>
      </c>
      <c r="C26" s="397">
        <f>_xll.qlInterestRateIndexFixingDate(IborIndex,D26)</f>
        <v>42346</v>
      </c>
      <c r="D26" s="398">
        <f>SynthFra!I23</f>
        <v>42348</v>
      </c>
      <c r="E26" s="398">
        <f>_xll.qlCalendarAdvance(Calendar,D26,"1Y","mf")</f>
        <v>42716</v>
      </c>
      <c r="F26" s="398" t="str">
        <f>_xll.qlMakeDatedOIS(,D26,E26,OvernightIndex,0,"Act/360",0)</f>
        <v>obj_00829#0001</v>
      </c>
      <c r="G26" s="420">
        <f>_xll.qlOvernightIndexedSwapFairRate(F26,Contribution!$P$25)</f>
        <v>-2.7565104920754377E-4</v>
      </c>
      <c r="H26" s="400" t="e">
        <v>#NUM!</v>
      </c>
      <c r="I26" s="399" t="e">
        <f t="shared" si="0"/>
        <v>#NUM!</v>
      </c>
      <c r="J26" s="424" t="e">
        <f>SynthFra!N23-FRACharts!I26</f>
        <v>#NUM!</v>
      </c>
    </row>
    <row r="27" spans="1:10" x14ac:dyDescent="0.2">
      <c r="A27" s="268"/>
      <c r="B27" s="401" t="str">
        <f>"Synthetic FRA "&amp;SynthFra!F24&amp;"x"&amp;SynthFra!F24+12</f>
        <v>Synthetic FRA 16x28</v>
      </c>
      <c r="C27" s="397">
        <f>_xll.qlInterestRateIndexFixingDate(IborIndex,D27)</f>
        <v>42376</v>
      </c>
      <c r="D27" s="398">
        <f>SynthFra!I24</f>
        <v>42380</v>
      </c>
      <c r="E27" s="398">
        <f>_xll.qlCalendarAdvance(Calendar,D27,"1Y","mf")</f>
        <v>42746</v>
      </c>
      <c r="F27" s="398" t="str">
        <f>_xll.qlMakeDatedOIS(,D27,E27,OvernightIndex,0,"Act/360",0)</f>
        <v>obj_00866#0001</v>
      </c>
      <c r="G27" s="420">
        <f>_xll.qlOvernightIndexedSwapFairRate(F27,Contribution!$P$25)</f>
        <v>-1.6696765833486808E-4</v>
      </c>
      <c r="H27" s="400" t="e">
        <v>#NUM!</v>
      </c>
      <c r="I27" s="399" t="e">
        <f t="shared" si="0"/>
        <v>#NUM!</v>
      </c>
      <c r="J27" s="424" t="e">
        <f>SynthFra!N24-FRACharts!I27</f>
        <v>#NUM!</v>
      </c>
    </row>
    <row r="28" spans="1:10" x14ac:dyDescent="0.2">
      <c r="A28" s="268"/>
      <c r="B28" s="401" t="str">
        <f>"Synthetic FRA "&amp;SynthFra!F25&amp;"x"&amp;SynthFra!F25+12</f>
        <v>Synthetic FRA 17x29</v>
      </c>
      <c r="C28" s="397">
        <f>_xll.qlInterestRateIndexFixingDate(IborIndex,D28)</f>
        <v>42408</v>
      </c>
      <c r="D28" s="398">
        <f>SynthFra!I25</f>
        <v>42410</v>
      </c>
      <c r="E28" s="398">
        <f>_xll.qlCalendarAdvance(Calendar,D28,"1Y","mf")</f>
        <v>42776</v>
      </c>
      <c r="F28" s="398" t="str">
        <f>_xll.qlMakeDatedOIS(,D28,E28,OvernightIndex,0,"Act/360",0)</f>
        <v>obj_0080c#0001</v>
      </c>
      <c r="G28" s="420">
        <f>_xll.qlOvernightIndexedSwapFairRate(F28,Contribution!$P$25)</f>
        <v>-6.0755113398672739E-5</v>
      </c>
      <c r="H28" s="400" t="e">
        <v>#NUM!</v>
      </c>
      <c r="I28" s="399" t="e">
        <f t="shared" si="0"/>
        <v>#NUM!</v>
      </c>
      <c r="J28" s="424" t="e">
        <f>SynthFra!N25-FRACharts!I28</f>
        <v>#NUM!</v>
      </c>
    </row>
    <row r="29" spans="1:10" x14ac:dyDescent="0.2">
      <c r="A29" s="268"/>
      <c r="B29" s="401" t="str">
        <f>"Synthetic FRA "&amp;SynthFra!F26&amp;"x"&amp;SynthFra!F26+12</f>
        <v>Synthetic FRA 18x30</v>
      </c>
      <c r="C29" s="397">
        <f>_xll.qlInterestRateIndexFixingDate(IborIndex,D29)</f>
        <v>42437</v>
      </c>
      <c r="D29" s="398">
        <f>SynthFra!I26</f>
        <v>42439</v>
      </c>
      <c r="E29" s="398">
        <f>_xll.qlCalendarAdvance(Calendar,D29,"1Y","mf")</f>
        <v>42804</v>
      </c>
      <c r="F29" s="398" t="str">
        <f>_xll.qlMakeDatedOIS(,D29,E29,OvernightIndex,0,"Act/360",0)</f>
        <v>obj_00852#0001</v>
      </c>
      <c r="G29" s="420">
        <f>_xll.qlOvernightIndexedSwapFairRate(F29,Contribution!$P$25)</f>
        <v>4.0492520704373118E-5</v>
      </c>
      <c r="H29" s="400" t="e">
        <v>#NUM!</v>
      </c>
      <c r="I29" s="399" t="e">
        <f t="shared" si="0"/>
        <v>#NUM!</v>
      </c>
      <c r="J29" s="424" t="e">
        <f>SynthFra!N26-FRACharts!I29</f>
        <v>#NUM!</v>
      </c>
    </row>
    <row r="30" spans="1:10" x14ac:dyDescent="0.2">
      <c r="A30" s="268"/>
      <c r="B30" s="401" t="str">
        <f>"Synthetic FRA "&amp;SynthFra!F27&amp;"x"&amp;SynthFra!F27+12</f>
        <v>Synthetic FRA 19x31</v>
      </c>
      <c r="C30" s="397">
        <f>_xll.qlInterestRateIndexFixingDate(IborIndex,D30)</f>
        <v>42467</v>
      </c>
      <c r="D30" s="398">
        <f>SynthFra!I27</f>
        <v>42471</v>
      </c>
      <c r="E30" s="398">
        <f>_xll.qlCalendarAdvance(Calendar,D30,"1Y","mf")</f>
        <v>42836</v>
      </c>
      <c r="F30" s="398" t="str">
        <f>_xll.qlMakeDatedOIS(,D30,E30,OvernightIndex,0,"Act/360",0)</f>
        <v>obj_0080b#0001</v>
      </c>
      <c r="G30" s="420">
        <f>_xll.qlOvernightIndexedSwapFairRate(F30,Contribution!$P$25)</f>
        <v>1.402527677350032E-4</v>
      </c>
      <c r="H30" s="400" t="e">
        <v>#NUM!</v>
      </c>
      <c r="I30" s="399" t="e">
        <f t="shared" si="0"/>
        <v>#NUM!</v>
      </c>
      <c r="J30" s="424" t="e">
        <f>SynthFra!N27-FRACharts!I30</f>
        <v>#NUM!</v>
      </c>
    </row>
    <row r="31" spans="1:10" x14ac:dyDescent="0.2">
      <c r="A31" s="268"/>
      <c r="B31" s="401" t="str">
        <f>"Synthetic FRA "&amp;SynthFra!F28&amp;"x"&amp;SynthFra!F28+12</f>
        <v>Synthetic FRA 20x32</v>
      </c>
      <c r="C31" s="397">
        <f>_xll.qlInterestRateIndexFixingDate(IborIndex,D31)</f>
        <v>42496</v>
      </c>
      <c r="D31" s="398">
        <f>SynthFra!I28</f>
        <v>42500</v>
      </c>
      <c r="E31" s="398">
        <f>_xll.qlCalendarAdvance(Calendar,D31,"1Y","mf")</f>
        <v>42865</v>
      </c>
      <c r="F31" s="398" t="str">
        <f>_xll.qlMakeDatedOIS(,D31,E31,OvernightIndex,0,"Act/360",0)</f>
        <v>obj_00870#0001</v>
      </c>
      <c r="G31" s="420">
        <f>_xll.qlOvernightIndexedSwapFairRate(F31,Contribution!$P$25)</f>
        <v>2.3066920694128751E-4</v>
      </c>
      <c r="H31" s="400" t="e">
        <v>#NUM!</v>
      </c>
      <c r="I31" s="399" t="e">
        <f t="shared" si="0"/>
        <v>#NUM!</v>
      </c>
      <c r="J31" s="424" t="e">
        <f>SynthFra!N28-FRACharts!I31</f>
        <v>#NUM!</v>
      </c>
    </row>
    <row r="32" spans="1:10" x14ac:dyDescent="0.2">
      <c r="A32" s="268"/>
      <c r="B32" s="401" t="str">
        <f>"Synthetic FRA "&amp;SynthFra!F29&amp;"x"&amp;SynthFra!F29+12</f>
        <v>Synthetic FRA 21x33</v>
      </c>
      <c r="C32" s="397">
        <f>_xll.qlInterestRateIndexFixingDate(IborIndex,D32)</f>
        <v>42529</v>
      </c>
      <c r="D32" s="398">
        <f>SynthFra!I29</f>
        <v>42531</v>
      </c>
      <c r="E32" s="398">
        <f>_xll.qlCalendarAdvance(Calendar,D32,"1Y","mf")</f>
        <v>42898</v>
      </c>
      <c r="F32" s="398" t="str">
        <f>_xll.qlMakeDatedOIS(,D32,E32,OvernightIndex,0,"Act/360",0)</f>
        <v>obj_007fb#0001</v>
      </c>
      <c r="G32" s="420">
        <f>_xll.qlOvernightIndexedSwapFairRate(F32,Contribution!$P$25)</f>
        <v>3.2863114778602904E-4</v>
      </c>
      <c r="H32" s="400" t="e">
        <v>#NUM!</v>
      </c>
      <c r="I32" s="399" t="e">
        <f t="shared" si="0"/>
        <v>#NUM!</v>
      </c>
      <c r="J32" s="424" t="e">
        <f>SynthFra!N29-FRACharts!I32</f>
        <v>#NUM!</v>
      </c>
    </row>
    <row r="33" spans="1:10" x14ac:dyDescent="0.2">
      <c r="A33" s="268"/>
      <c r="B33" s="401" t="str">
        <f>"Synthetic FRA "&amp;SynthFra!F30&amp;"x"&amp;SynthFra!F30+12</f>
        <v>Synthetic FRA 22x34</v>
      </c>
      <c r="C33" s="397">
        <f>_xll.qlInterestRateIndexFixingDate(IborIndex,D33)</f>
        <v>42558</v>
      </c>
      <c r="D33" s="398">
        <f>SynthFra!I30</f>
        <v>42562</v>
      </c>
      <c r="E33" s="398">
        <f>_xll.qlCalendarAdvance(Calendar,D33,"1Y","mf")</f>
        <v>42927</v>
      </c>
      <c r="F33" s="398" t="str">
        <f>_xll.qlMakeDatedOIS(,D33,E33,OvernightIndex,0,"Act/360",0)</f>
        <v>obj_0080d#0001</v>
      </c>
      <c r="G33" s="420">
        <f>_xll.qlOvernightIndexedSwapFairRate(F33,Contribution!$P$25)</f>
        <v>4.0602971322909251E-4</v>
      </c>
      <c r="H33" s="400" t="e">
        <v>#NUM!</v>
      </c>
      <c r="I33" s="399" t="e">
        <f t="shared" si="0"/>
        <v>#NUM!</v>
      </c>
      <c r="J33" s="424" t="e">
        <f>SynthFra!N30-FRACharts!I33</f>
        <v>#NUM!</v>
      </c>
    </row>
    <row r="34" spans="1:10" x14ac:dyDescent="0.2">
      <c r="A34" s="268"/>
      <c r="B34" s="401" t="str">
        <f>"Synthetic FRA "&amp;SynthFra!F31&amp;"x"&amp;SynthFra!F31+12</f>
        <v>Synthetic FRA 23x35</v>
      </c>
      <c r="C34" s="397">
        <f>_xll.qlInterestRateIndexFixingDate(IborIndex,D34)</f>
        <v>42590</v>
      </c>
      <c r="D34" s="398">
        <f>SynthFra!I31</f>
        <v>42592</v>
      </c>
      <c r="E34" s="398">
        <f>_xll.qlCalendarAdvance(Calendar,D34,"1Y","mf")</f>
        <v>42957</v>
      </c>
      <c r="F34" s="398" t="str">
        <f>_xll.qlMakeDatedOIS(,D34,E34,OvernightIndex,0,"Act/360",0)</f>
        <v>obj_00810#0001</v>
      </c>
      <c r="G34" s="420">
        <f>_xll.qlOvernightIndexedSwapFairRate(F34,Contribution!$P$25)</f>
        <v>4.8219628964097267E-4</v>
      </c>
      <c r="H34" s="400" t="e">
        <v>#NUM!</v>
      </c>
      <c r="I34" s="399" t="e">
        <f t="shared" si="0"/>
        <v>#NUM!</v>
      </c>
      <c r="J34" s="424" t="e">
        <f>SynthFra!N31-FRACharts!I34</f>
        <v>#NUM!</v>
      </c>
    </row>
    <row r="35" spans="1:10" x14ac:dyDescent="0.2">
      <c r="A35" s="268"/>
      <c r="B35" s="405" t="str">
        <f>"Swap/Impl FRA "&amp;SynthFra!F32&amp;"x"&amp;SynthFra!F32+12</f>
        <v>Swap/Impl FRA 24x36</v>
      </c>
      <c r="C35" s="410">
        <f>_xll.qlInterestRateIndexFixingDate(IborIndex,D35)</f>
        <v>42621</v>
      </c>
      <c r="D35" s="411">
        <f>SynthFra!I4</f>
        <v>42625</v>
      </c>
      <c r="E35" s="411">
        <f>_xll.qlCalendarAdvance(Calendar,D35,"1Y","mf")</f>
        <v>42990</v>
      </c>
      <c r="F35" s="411" t="str">
        <f>_xll.qlMakeDatedOIS(,D35,E35,OvernightIndex,0,"Act/360",0)</f>
        <v>obj_0088e#0001</v>
      </c>
      <c r="G35" s="421">
        <f>_xll.qlOvernightIndexedSwapFairRate(F35,Contribution!$P$25)</f>
        <v>5.7192766076674673E-4</v>
      </c>
      <c r="H35" s="413" t="e">
        <v>#NUM!</v>
      </c>
      <c r="I35" s="412" t="e">
        <f t="shared" si="0"/>
        <v>#NUM!</v>
      </c>
      <c r="J35" s="424" t="e">
        <f>SynthFra!N32-FRACharts!I35</f>
        <v>#NUM!</v>
      </c>
    </row>
    <row r="36" spans="1:10" x14ac:dyDescent="0.2">
      <c r="A36" s="268"/>
      <c r="B36" s="401" t="str">
        <f>"Synthetic FRA "&amp;SynthFra!F33&amp;"x"&amp;SynthFra!F33+12</f>
        <v>Synthetic FRA 25x37</v>
      </c>
      <c r="C36" s="397">
        <f>_xll.qlInterestRateIndexFixingDate(IborIndex,D36)</f>
        <v>42649</v>
      </c>
      <c r="D36" s="398">
        <f>SynthFra!I33</f>
        <v>42653</v>
      </c>
      <c r="E36" s="398">
        <f>_xll.qlCalendarAdvance(Calendar,D36,"1Y","mf")</f>
        <v>43018</v>
      </c>
      <c r="F36" s="398" t="str">
        <f>_xll.qlMakeDatedOIS(,D36,E36,OvernightIndex,0,"Act/360",0)</f>
        <v>obj_00843#0001</v>
      </c>
      <c r="G36" s="420">
        <f>_xll.qlOvernightIndexedSwapFairRate(F36,Contribution!$P$25)</f>
        <v>7.3829987838120109E-4</v>
      </c>
      <c r="H36" s="400" t="e">
        <v>#NUM!</v>
      </c>
      <c r="I36" s="399" t="e">
        <f t="shared" si="0"/>
        <v>#NUM!</v>
      </c>
      <c r="J36" s="424" t="e">
        <f>SynthFra!N33-FRACharts!I36</f>
        <v>#NUM!</v>
      </c>
    </row>
    <row r="37" spans="1:10" x14ac:dyDescent="0.2">
      <c r="A37" s="268"/>
      <c r="B37" s="401" t="str">
        <f>"Synthetic FRA "&amp;SynthFra!F34&amp;"x"&amp;SynthFra!F34+12</f>
        <v>Synthetic FRA 26x38</v>
      </c>
      <c r="C37" s="397">
        <f>_xll.qlInterestRateIndexFixingDate(IborIndex,D37)</f>
        <v>42682</v>
      </c>
      <c r="D37" s="398">
        <f>SynthFra!I34</f>
        <v>42684</v>
      </c>
      <c r="E37" s="398">
        <f>_xll.qlCalendarAdvance(Calendar,D37,"1Y","mf")</f>
        <v>43049</v>
      </c>
      <c r="F37" s="398" t="str">
        <f>_xll.qlMakeDatedOIS(,D37,E37,OvernightIndex,0,"Act/360",0)</f>
        <v>obj_0080a#0001</v>
      </c>
      <c r="G37" s="420">
        <f>_xll.qlOvernightIndexedSwapFairRate(F37,Contribution!$P$25)</f>
        <v>9.2253040751432206E-4</v>
      </c>
      <c r="H37" s="400" t="e">
        <v>#NUM!</v>
      </c>
      <c r="I37" s="399" t="e">
        <f t="shared" si="0"/>
        <v>#NUM!</v>
      </c>
      <c r="J37" s="424" t="e">
        <f>SynthFra!N34-FRACharts!I37</f>
        <v>#NUM!</v>
      </c>
    </row>
    <row r="38" spans="1:10" x14ac:dyDescent="0.2">
      <c r="A38" s="268"/>
      <c r="B38" s="401" t="str">
        <f>"Synthetic FRA "&amp;SynthFra!F35&amp;"x"&amp;SynthFra!F35+12</f>
        <v>Synthetic FRA 27x39</v>
      </c>
      <c r="C38" s="397">
        <f>_xll.qlInterestRateIndexFixingDate(IborIndex,D38)</f>
        <v>42712</v>
      </c>
      <c r="D38" s="398">
        <f>SynthFra!I35</f>
        <v>42716</v>
      </c>
      <c r="E38" s="398">
        <f>_xll.qlCalendarAdvance(Calendar,D38,"1Y","mf")</f>
        <v>43081</v>
      </c>
      <c r="F38" s="398" t="str">
        <f>_xll.qlMakeDatedOIS(,D38,E38,OvernightIndex,0,"Act/360",0)</f>
        <v>obj_00835#0001</v>
      </c>
      <c r="G38" s="420">
        <f>_xll.qlOvernightIndexedSwapFairRate(F38,Contribution!$P$25)</f>
        <v>1.1127399253194948E-3</v>
      </c>
      <c r="H38" s="400" t="e">
        <v>#NUM!</v>
      </c>
      <c r="I38" s="399" t="e">
        <f t="shared" si="0"/>
        <v>#NUM!</v>
      </c>
      <c r="J38" s="424" t="e">
        <f>SynthFra!N35-FRACharts!I38</f>
        <v>#NUM!</v>
      </c>
    </row>
    <row r="39" spans="1:10" x14ac:dyDescent="0.2">
      <c r="A39" s="268"/>
      <c r="B39" s="401" t="str">
        <f>"Synthetic FRA "&amp;SynthFra!F36&amp;"x"&amp;SynthFra!F36+12</f>
        <v>Synthetic FRA 28x40</v>
      </c>
      <c r="C39" s="397">
        <f>_xll.qlInterestRateIndexFixingDate(IborIndex,D39)</f>
        <v>42741</v>
      </c>
      <c r="D39" s="398">
        <f>SynthFra!I36</f>
        <v>42745</v>
      </c>
      <c r="E39" s="398">
        <f>_xll.qlCalendarAdvance(Calendar,D39,"1Y","mf")</f>
        <v>43110</v>
      </c>
      <c r="F39" s="398" t="str">
        <f>_xll.qlMakeDatedOIS(,D39,E39,OvernightIndex,0,"Act/360",0)</f>
        <v>obj_00841#0001</v>
      </c>
      <c r="G39" s="420">
        <f>_xll.qlOvernightIndexedSwapFairRate(F39,Contribution!$P$25)</f>
        <v>1.2851489559599642E-3</v>
      </c>
      <c r="H39" s="400" t="e">
        <v>#NUM!</v>
      </c>
      <c r="I39" s="399" t="e">
        <f t="shared" si="0"/>
        <v>#NUM!</v>
      </c>
      <c r="J39" s="424" t="e">
        <f>SynthFra!N36-FRACharts!I39</f>
        <v>#NUM!</v>
      </c>
    </row>
    <row r="40" spans="1:10" x14ac:dyDescent="0.2">
      <c r="A40" s="268"/>
      <c r="B40" s="401" t="str">
        <f>"Synthetic FRA "&amp;SynthFra!F37&amp;"x"&amp;SynthFra!F37+12</f>
        <v>Synthetic FRA 29x41</v>
      </c>
      <c r="C40" s="397">
        <f>_xll.qlInterestRateIndexFixingDate(IborIndex,D40)</f>
        <v>42774</v>
      </c>
      <c r="D40" s="398">
        <f>SynthFra!I37</f>
        <v>42776</v>
      </c>
      <c r="E40" s="398">
        <f>_xll.qlCalendarAdvance(Calendar,D40,"1Y","mf")</f>
        <v>43143</v>
      </c>
      <c r="F40" s="398" t="str">
        <f>_xll.qlMakeDatedOIS(,D40,E40,OvernightIndex,0,"Act/360",0)</f>
        <v>obj_00884#0001</v>
      </c>
      <c r="G40" s="420">
        <f>_xll.qlOvernightIndexedSwapFairRate(F40,Contribution!$P$25)</f>
        <v>1.4763904177314117E-3</v>
      </c>
      <c r="H40" s="400" t="e">
        <v>#NUM!</v>
      </c>
      <c r="I40" s="399" t="e">
        <f t="shared" si="0"/>
        <v>#NUM!</v>
      </c>
      <c r="J40" s="424" t="e">
        <f>SynthFra!N37-FRACharts!I40</f>
        <v>#NUM!</v>
      </c>
    </row>
    <row r="41" spans="1:10" x14ac:dyDescent="0.2">
      <c r="A41" s="268"/>
      <c r="B41" s="401" t="str">
        <f>"Synthetic FRA "&amp;SynthFra!F38&amp;"x"&amp;SynthFra!F38+12</f>
        <v>Synthetic FRA 30x42</v>
      </c>
      <c r="C41" s="397">
        <f>_xll.qlInterestRateIndexFixingDate(IborIndex,D41)</f>
        <v>42802</v>
      </c>
      <c r="D41" s="398">
        <f>SynthFra!I38</f>
        <v>42804</v>
      </c>
      <c r="E41" s="398">
        <f>_xll.qlCalendarAdvance(Calendar,D41,"1Y","mf")</f>
        <v>43171</v>
      </c>
      <c r="F41" s="398" t="str">
        <f>_xll.qlMakeDatedOIS(,D41,E41,OvernightIndex,0,"Act/360",0)</f>
        <v>obj_00842#0001</v>
      </c>
      <c r="G41" s="420">
        <f>_xll.qlOvernightIndexedSwapFairRate(F41,Contribution!$P$25)</f>
        <v>1.6420089792223526E-3</v>
      </c>
      <c r="H41" s="400" t="e">
        <v>#NUM!</v>
      </c>
      <c r="I41" s="399" t="e">
        <f t="shared" si="0"/>
        <v>#NUM!</v>
      </c>
      <c r="J41" s="424" t="e">
        <f>SynthFra!N38-FRACharts!I41</f>
        <v>#NUM!</v>
      </c>
    </row>
    <row r="42" spans="1:10" x14ac:dyDescent="0.2">
      <c r="A42" s="268"/>
      <c r="B42" s="401" t="str">
        <f>"Synthetic FRA "&amp;SynthFra!F39&amp;"x"&amp;SynthFra!F39+12</f>
        <v>Synthetic FRA 31x43</v>
      </c>
      <c r="C42" s="397">
        <f>_xll.qlInterestRateIndexFixingDate(IborIndex,D42)</f>
        <v>42831</v>
      </c>
      <c r="D42" s="398">
        <f>SynthFra!I39</f>
        <v>42835</v>
      </c>
      <c r="E42" s="398">
        <f>_xll.qlCalendarAdvance(Calendar,D42,"1Y","mf")</f>
        <v>43200</v>
      </c>
      <c r="F42" s="398" t="str">
        <f>_xll.qlMakeDatedOIS(,D42,E42,OvernightIndex,0,"Act/360",0)</f>
        <v>obj_0089b#0001</v>
      </c>
      <c r="G42" s="420">
        <f>_xll.qlOvernightIndexedSwapFairRate(F42,Contribution!$P$25)</f>
        <v>1.8204031715649428E-3</v>
      </c>
      <c r="H42" s="400" t="e">
        <v>#NUM!</v>
      </c>
      <c r="I42" s="399" t="e">
        <f t="shared" si="0"/>
        <v>#NUM!</v>
      </c>
      <c r="J42" s="424" t="e">
        <f>SynthFra!N39-FRACharts!I42</f>
        <v>#NUM!</v>
      </c>
    </row>
    <row r="43" spans="1:10" x14ac:dyDescent="0.2">
      <c r="A43" s="268"/>
      <c r="B43" s="401" t="str">
        <f>"Synthetic FRA "&amp;SynthFra!F40&amp;"x"&amp;SynthFra!F40+12</f>
        <v>Synthetic FRA 32x44</v>
      </c>
      <c r="C43" s="397">
        <f>_xll.qlInterestRateIndexFixingDate(IborIndex,D43)</f>
        <v>42863</v>
      </c>
      <c r="D43" s="398">
        <f>SynthFra!I40</f>
        <v>42865</v>
      </c>
      <c r="E43" s="398">
        <f>_xll.qlCalendarAdvance(Calendar,D43,"1Y","mf")</f>
        <v>43230</v>
      </c>
      <c r="F43" s="398" t="str">
        <f>_xll.qlMakeDatedOIS(,D43,E43,OvernightIndex,0,"Act/360",0)</f>
        <v>obj_00894#0001</v>
      </c>
      <c r="G43" s="420">
        <f>_xll.qlOvernightIndexedSwapFairRate(F43,Contribution!$P$25)</f>
        <v>1.9988857019385786E-3</v>
      </c>
      <c r="H43" s="400" t="e">
        <v>#NUM!</v>
      </c>
      <c r="I43" s="399" t="e">
        <f t="shared" si="0"/>
        <v>#NUM!</v>
      </c>
      <c r="J43" s="424" t="e">
        <f>SynthFra!N40-FRACharts!I43</f>
        <v>#NUM!</v>
      </c>
    </row>
    <row r="44" spans="1:10" x14ac:dyDescent="0.2">
      <c r="A44" s="268"/>
      <c r="B44" s="401" t="str">
        <f>"Synthetic FRA "&amp;SynthFra!F41&amp;"x"&amp;SynthFra!F41+12</f>
        <v>Synthetic FRA 33x45</v>
      </c>
      <c r="C44" s="397">
        <f>_xll.qlInterestRateIndexFixingDate(IborIndex,D44)</f>
        <v>42894</v>
      </c>
      <c r="D44" s="398">
        <f>SynthFra!I41</f>
        <v>42898</v>
      </c>
      <c r="E44" s="398">
        <f>_xll.qlCalendarAdvance(Calendar,D44,"1Y","mf")</f>
        <v>43263</v>
      </c>
      <c r="F44" s="398" t="str">
        <f>_xll.qlMakeDatedOIS(,D44,E44,OvernightIndex,0,"Act/360",0)</f>
        <v>obj_00865#0001</v>
      </c>
      <c r="G44" s="420">
        <f>_xll.qlOvernightIndexedSwapFairRate(F44,Contribution!$P$25)</f>
        <v>2.1952537215666683E-3</v>
      </c>
      <c r="H44" s="400" t="e">
        <v>#NUM!</v>
      </c>
      <c r="I44" s="399" t="e">
        <f t="shared" si="0"/>
        <v>#NUM!</v>
      </c>
      <c r="J44" s="424" t="e">
        <f>SynthFra!N41-FRACharts!I44</f>
        <v>#NUM!</v>
      </c>
    </row>
    <row r="45" spans="1:10" x14ac:dyDescent="0.2">
      <c r="A45" s="268"/>
      <c r="B45" s="401" t="str">
        <f>"Synthetic FRA "&amp;SynthFra!F42&amp;"x"&amp;SynthFra!F42+12</f>
        <v>Synthetic FRA 34x46</v>
      </c>
      <c r="C45" s="397">
        <f>_xll.qlInterestRateIndexFixingDate(IborIndex,D45)</f>
        <v>42922</v>
      </c>
      <c r="D45" s="398">
        <f>SynthFra!I42</f>
        <v>42926</v>
      </c>
      <c r="E45" s="398">
        <f>_xll.qlCalendarAdvance(Calendar,D45,"1Y","mf")</f>
        <v>43291</v>
      </c>
      <c r="F45" s="398" t="str">
        <f>_xll.qlMakeDatedOIS(,D45,E45,OvernightIndex,0,"Act/360",0)</f>
        <v>obj_007fa#0001</v>
      </c>
      <c r="G45" s="420">
        <f>_xll.qlOvernightIndexedSwapFairRate(F45,Contribution!$P$25)</f>
        <v>2.3618996079058461E-3</v>
      </c>
      <c r="H45" s="400" t="e">
        <v>#NUM!</v>
      </c>
      <c r="I45" s="399" t="e">
        <f t="shared" si="0"/>
        <v>#NUM!</v>
      </c>
      <c r="J45" s="424" t="e">
        <f>SynthFra!N42-FRACharts!I45</f>
        <v>#NUM!</v>
      </c>
    </row>
    <row r="46" spans="1:10" x14ac:dyDescent="0.2">
      <c r="A46" s="268"/>
      <c r="B46" s="401" t="str">
        <f>"Synthetic FRA "&amp;SynthFra!F43&amp;"x"&amp;SynthFra!F43+12</f>
        <v>Synthetic FRA 35x47</v>
      </c>
      <c r="C46" s="397">
        <f>_xll.qlInterestRateIndexFixingDate(IborIndex,D46)</f>
        <v>42955</v>
      </c>
      <c r="D46" s="398">
        <f>SynthFra!I43</f>
        <v>42957</v>
      </c>
      <c r="E46" s="398">
        <f>_xll.qlCalendarAdvance(Calendar,D46,"1Y","mf")</f>
        <v>43322</v>
      </c>
      <c r="F46" s="398" t="str">
        <f>_xll.qlMakeDatedOIS(,D46,E46,OvernightIndex,0,"Act/360",0)</f>
        <v>obj_0080e#0001</v>
      </c>
      <c r="G46" s="420">
        <f>_xll.qlOvernightIndexedSwapFairRate(F46,Contribution!$P$25)</f>
        <v>2.5464331812288187E-3</v>
      </c>
      <c r="H46" s="400" t="e">
        <v>#NUM!</v>
      </c>
      <c r="I46" s="399" t="e">
        <f t="shared" ref="I46:I59" si="1">G46+H46</f>
        <v>#NUM!</v>
      </c>
      <c r="J46" s="424" t="e">
        <f>SynthFra!N43-FRACharts!I46</f>
        <v>#NUM!</v>
      </c>
    </row>
    <row r="47" spans="1:10" x14ac:dyDescent="0.2">
      <c r="A47" s="268"/>
      <c r="B47" s="405" t="str">
        <f>"Swap/Impl FRA "&amp;SynthFra!F44&amp;"x"&amp;SynthFra!F44+12</f>
        <v>Swap/Impl FRA 36x48</v>
      </c>
      <c r="C47" s="410">
        <f>_xll.qlInterestRateIndexFixingDate(IborIndex,D47)</f>
        <v>42985</v>
      </c>
      <c r="D47" s="411">
        <f>SynthFra!I5</f>
        <v>42989</v>
      </c>
      <c r="E47" s="411">
        <f>_xll.qlCalendarAdvance(Calendar,D47,"1Y","mf")</f>
        <v>43354</v>
      </c>
      <c r="F47" s="411" t="str">
        <f>_xll.qlMakeDatedOIS(,D47,E47,OvernightIndex,0,"Act/360",0)</f>
        <v>obj_00863#0001</v>
      </c>
      <c r="G47" s="421">
        <f>_xll.qlOvernightIndexedSwapFairRate(F47,Contribution!$P$25)</f>
        <v>2.7443877612391577E-3</v>
      </c>
      <c r="H47" s="413" t="e">
        <v>#NUM!</v>
      </c>
      <c r="I47" s="412" t="e">
        <f t="shared" si="1"/>
        <v>#NUM!</v>
      </c>
      <c r="J47" s="424" t="e">
        <f>SynthFra!N44-FRACharts!I47</f>
        <v>#NUM!</v>
      </c>
    </row>
    <row r="48" spans="1:10" x14ac:dyDescent="0.2">
      <c r="A48" s="268"/>
      <c r="B48" s="401" t="str">
        <f>"Synthetic FRA "&amp;SynthFra!F45&amp;"x"&amp;SynthFra!F45+12</f>
        <v>Synthetic FRA 37x49</v>
      </c>
      <c r="C48" s="397">
        <f>_xll.qlInterestRateIndexFixingDate(IborIndex,D48)</f>
        <v>43014</v>
      </c>
      <c r="D48" s="398">
        <f>SynthFra!I45</f>
        <v>43018</v>
      </c>
      <c r="E48" s="398">
        <f>_xll.qlCalendarAdvance(Calendar,D48,"1Y","mf")</f>
        <v>43383</v>
      </c>
      <c r="F48" s="398" t="str">
        <f>_xll.qlMakeDatedOIS(,D48,E48,OvernightIndex,0,"Act/360",0)</f>
        <v>obj_0084b#0001</v>
      </c>
      <c r="G48" s="420">
        <f>_xll.qlOvernightIndexedSwapFairRate(F48,Contribution!$P$25)</f>
        <v>2.9599453664246474E-3</v>
      </c>
      <c r="H48" s="400" t="e">
        <v>#NUM!</v>
      </c>
      <c r="I48" s="399" t="e">
        <f t="shared" si="1"/>
        <v>#NUM!</v>
      </c>
      <c r="J48" s="424" t="e">
        <f>SynthFra!N45-FRACharts!I48</f>
        <v>#NUM!</v>
      </c>
    </row>
    <row r="49" spans="1:10" x14ac:dyDescent="0.2">
      <c r="A49" s="268"/>
      <c r="B49" s="401" t="str">
        <f>"Synthetic FRA "&amp;SynthFra!F46&amp;"x"&amp;SynthFra!F46+12</f>
        <v>Synthetic FRA 38x50</v>
      </c>
      <c r="C49" s="397">
        <f>_xll.qlInterestRateIndexFixingDate(IborIndex,D49)</f>
        <v>43047</v>
      </c>
      <c r="D49" s="398">
        <f>SynthFra!I46</f>
        <v>43049</v>
      </c>
      <c r="E49" s="398">
        <f>_xll.qlCalendarAdvance(Calendar,D49,"1Y","mf")</f>
        <v>43416</v>
      </c>
      <c r="F49" s="398" t="str">
        <f>_xll.qlMakeDatedOIS(,D49,E49,OvernightIndex,0,"Act/360",0)</f>
        <v>obj_0081c#0001</v>
      </c>
      <c r="G49" s="420">
        <f>_xll.qlOvernightIndexedSwapFairRate(F49,Contribution!$P$25)</f>
        <v>3.2027678206680817E-3</v>
      </c>
      <c r="H49" s="400" t="e">
        <v>#NUM!</v>
      </c>
      <c r="I49" s="399" t="e">
        <f t="shared" si="1"/>
        <v>#NUM!</v>
      </c>
      <c r="J49" s="424" t="e">
        <f>SynthFra!N46-FRACharts!I49</f>
        <v>#NUM!</v>
      </c>
    </row>
    <row r="50" spans="1:10" x14ac:dyDescent="0.2">
      <c r="A50" s="268"/>
      <c r="B50" s="401" t="str">
        <f>"Synthetic FRA "&amp;SynthFra!F47&amp;"x"&amp;SynthFra!F47+12</f>
        <v>Synthetic FRA 39x51</v>
      </c>
      <c r="C50" s="397">
        <f>_xll.qlInterestRateIndexFixingDate(IborIndex,D50)</f>
        <v>43076</v>
      </c>
      <c r="D50" s="398">
        <f>SynthFra!I47</f>
        <v>43080</v>
      </c>
      <c r="E50" s="398">
        <f>_xll.qlCalendarAdvance(Calendar,D50,"1Y","mf")</f>
        <v>43445</v>
      </c>
      <c r="F50" s="398" t="str">
        <f>_xll.qlMakeDatedOIS(,D50,E50,OvernightIndex,0,"Act/360",0)</f>
        <v>obj_0085a#0001</v>
      </c>
      <c r="G50" s="420">
        <f>_xll.qlOvernightIndexedSwapFairRate(F50,Contribution!$P$25)</f>
        <v>3.4209502592152728E-3</v>
      </c>
      <c r="H50" s="400" t="e">
        <v>#NUM!</v>
      </c>
      <c r="I50" s="399" t="e">
        <f t="shared" si="1"/>
        <v>#NUM!</v>
      </c>
      <c r="J50" s="424" t="e">
        <f>SynthFra!N47-FRACharts!I50</f>
        <v>#NUM!</v>
      </c>
    </row>
    <row r="51" spans="1:10" x14ac:dyDescent="0.2">
      <c r="A51" s="268"/>
      <c r="B51" s="401" t="str">
        <f>"Synthetic FRA "&amp;SynthFra!F48&amp;"x"&amp;SynthFra!F48+12</f>
        <v>Synthetic FRA 40x52</v>
      </c>
      <c r="C51" s="397">
        <f>_xll.qlInterestRateIndexFixingDate(IborIndex,D51)</f>
        <v>43108</v>
      </c>
      <c r="D51" s="398">
        <f>SynthFra!I48</f>
        <v>43110</v>
      </c>
      <c r="E51" s="398">
        <f>_xll.qlCalendarAdvance(Calendar,D51,"1Y","mf")</f>
        <v>43475</v>
      </c>
      <c r="F51" s="398" t="str">
        <f>_xll.qlMakeDatedOIS(,D51,E51,OvernightIndex,0,"Act/360",0)</f>
        <v>obj_0086f#0001</v>
      </c>
      <c r="G51" s="420">
        <f>_xll.qlOvernightIndexedSwapFairRate(F51,Contribution!$P$25)</f>
        <v>3.6440942617432018E-3</v>
      </c>
      <c r="H51" s="400" t="e">
        <v>#NUM!</v>
      </c>
      <c r="I51" s="399" t="e">
        <f t="shared" si="1"/>
        <v>#NUM!</v>
      </c>
      <c r="J51" s="424" t="e">
        <f>SynthFra!N48-FRACharts!I51</f>
        <v>#NUM!</v>
      </c>
    </row>
    <row r="52" spans="1:10" x14ac:dyDescent="0.2">
      <c r="A52" s="268"/>
      <c r="B52" s="401" t="str">
        <f>"Synthetic FRA "&amp;SynthFra!F49&amp;"x"&amp;SynthFra!F49+12</f>
        <v>Synthetic FRA 41x53</v>
      </c>
      <c r="C52" s="397">
        <f>_xll.qlInterestRateIndexFixingDate(IborIndex,D52)</f>
        <v>43139</v>
      </c>
      <c r="D52" s="398">
        <f>SynthFra!I49</f>
        <v>43143</v>
      </c>
      <c r="E52" s="398">
        <f>_xll.qlCalendarAdvance(Calendar,D52,"1Y","mf")</f>
        <v>43508</v>
      </c>
      <c r="F52" s="398" t="str">
        <f>_xll.qlMakeDatedOIS(,D52,E52,OvernightIndex,0,"Act/360",0)</f>
        <v>obj_0088d#0001</v>
      </c>
      <c r="G52" s="420">
        <f>_xll.qlOvernightIndexedSwapFairRate(F52,Contribution!$P$25)</f>
        <v>3.8896107733791194E-3</v>
      </c>
      <c r="H52" s="400" t="e">
        <v>#NUM!</v>
      </c>
      <c r="I52" s="399" t="e">
        <f t="shared" si="1"/>
        <v>#NUM!</v>
      </c>
      <c r="J52" s="424" t="e">
        <f>SynthFra!N49-FRACharts!I52</f>
        <v>#NUM!</v>
      </c>
    </row>
    <row r="53" spans="1:10" x14ac:dyDescent="0.2">
      <c r="A53" s="268"/>
      <c r="B53" s="401" t="str">
        <f>"Synthetic FRA "&amp;SynthFra!F50&amp;"x"&amp;SynthFra!F50+12</f>
        <v>Synthetic FRA 42x54</v>
      </c>
      <c r="C53" s="397">
        <f>_xll.qlInterestRateIndexFixingDate(IborIndex,D53)</f>
        <v>43167</v>
      </c>
      <c r="D53" s="398">
        <f>SynthFra!I50</f>
        <v>43171</v>
      </c>
      <c r="E53" s="398">
        <f>_xll.qlCalendarAdvance(Calendar,D53,"1Y","mf")</f>
        <v>43536</v>
      </c>
      <c r="F53" s="398" t="str">
        <f>_xll.qlMakeDatedOIS(,D53,E53,OvernightIndex,0,"Act/360",0)</f>
        <v>obj_0085b#0001</v>
      </c>
      <c r="G53" s="420">
        <f>_xll.qlOvernightIndexedSwapFairRate(F53,Contribution!$P$25)</f>
        <v>4.0979755636999021E-3</v>
      </c>
      <c r="H53" s="400" t="e">
        <v>#NUM!</v>
      </c>
      <c r="I53" s="399" t="e">
        <f t="shared" si="1"/>
        <v>#NUM!</v>
      </c>
      <c r="J53" s="424" t="e">
        <f>SynthFra!N50-FRACharts!I53</f>
        <v>#NUM!</v>
      </c>
    </row>
    <row r="54" spans="1:10" x14ac:dyDescent="0.2">
      <c r="A54" s="268"/>
      <c r="B54" s="401" t="str">
        <f>"Synthetic FRA "&amp;SynthFra!F51&amp;"x"&amp;SynthFra!F51+12</f>
        <v>Synthetic FRA 43x55</v>
      </c>
      <c r="C54" s="397">
        <f>_xll.qlInterestRateIndexFixingDate(IborIndex,D54)</f>
        <v>43196</v>
      </c>
      <c r="D54" s="398">
        <f>SynthFra!I51</f>
        <v>43200</v>
      </c>
      <c r="E54" s="398">
        <f>_xll.qlCalendarAdvance(Calendar,D54,"1Y","mf")</f>
        <v>43565</v>
      </c>
      <c r="F54" s="398" t="str">
        <f>_xll.qlMakeDatedOIS(,D54,E54,OvernightIndex,0,"Act/360",0)</f>
        <v>obj_00837#0001</v>
      </c>
      <c r="G54" s="420">
        <f>_xll.qlOvernightIndexedSwapFairRate(F54,Contribution!$P$25)</f>
        <v>4.3138281766167295E-3</v>
      </c>
      <c r="H54" s="400" t="e">
        <v>#NUM!</v>
      </c>
      <c r="I54" s="399" t="e">
        <f t="shared" si="1"/>
        <v>#NUM!</v>
      </c>
      <c r="J54" s="424" t="e">
        <f>SynthFra!N51-FRACharts!I54</f>
        <v>#NUM!</v>
      </c>
    </row>
    <row r="55" spans="1:10" x14ac:dyDescent="0.2">
      <c r="A55" s="268"/>
      <c r="B55" s="401" t="str">
        <f>"Synthetic FRA "&amp;SynthFra!F52&amp;"x"&amp;SynthFra!F52+12</f>
        <v>Synthetic FRA 44x56</v>
      </c>
      <c r="C55" s="397">
        <f>_xll.qlInterestRateIndexFixingDate(IborIndex,D55)</f>
        <v>43228</v>
      </c>
      <c r="D55" s="398">
        <f>SynthFra!I52</f>
        <v>43230</v>
      </c>
      <c r="E55" s="398">
        <f>_xll.qlCalendarAdvance(Calendar,D55,"1Y","mf")</f>
        <v>43595</v>
      </c>
      <c r="F55" s="398" t="str">
        <f>_xll.qlMakeDatedOIS(,D55,E55,OvernightIndex,0,"Act/360",0)</f>
        <v>obj_0081d#0001</v>
      </c>
      <c r="G55" s="420">
        <f>_xll.qlOvernightIndexedSwapFairRate(F55,Contribution!$P$25)</f>
        <v>4.537173488489742E-3</v>
      </c>
      <c r="H55" s="400" t="e">
        <v>#NUM!</v>
      </c>
      <c r="I55" s="399" t="e">
        <f t="shared" si="1"/>
        <v>#NUM!</v>
      </c>
      <c r="J55" s="424" t="e">
        <f>SynthFra!N52-FRACharts!I55</f>
        <v>#NUM!</v>
      </c>
    </row>
    <row r="56" spans="1:10" x14ac:dyDescent="0.2">
      <c r="A56" s="268"/>
      <c r="B56" s="401" t="str">
        <f>"Synthetic FRA "&amp;SynthFra!F53&amp;"x"&amp;SynthFra!F53+12</f>
        <v>Synthetic FRA 45x57</v>
      </c>
      <c r="C56" s="397">
        <f>_xll.qlInterestRateIndexFixingDate(IborIndex,D56)</f>
        <v>43258</v>
      </c>
      <c r="D56" s="398">
        <f>SynthFra!I53</f>
        <v>43262</v>
      </c>
      <c r="E56" s="398">
        <f>_xll.qlCalendarAdvance(Calendar,D56,"1Y","mf")</f>
        <v>43627</v>
      </c>
      <c r="F56" s="398" t="str">
        <f>_xll.qlMakeDatedOIS(,D56,E56,OvernightIndex,0,"Act/360",0)</f>
        <v>obj_0082b#0001</v>
      </c>
      <c r="G56" s="420">
        <f>_xll.qlOvernightIndexedSwapFairRate(F56,Contribution!$P$25)</f>
        <v>4.7754639912779388E-3</v>
      </c>
      <c r="H56" s="400" t="e">
        <v>#NUM!</v>
      </c>
      <c r="I56" s="399" t="e">
        <f t="shared" si="1"/>
        <v>#NUM!</v>
      </c>
      <c r="J56" s="424" t="e">
        <f>SynthFra!N53-FRACharts!I56</f>
        <v>#NUM!</v>
      </c>
    </row>
    <row r="57" spans="1:10" x14ac:dyDescent="0.2">
      <c r="A57" s="268"/>
      <c r="B57" s="401" t="str">
        <f>"Synthetic FRA "&amp;SynthFra!F54&amp;"x"&amp;SynthFra!F54+12</f>
        <v>Synthetic FRA 46x58</v>
      </c>
      <c r="C57" s="397">
        <f>_xll.qlInterestRateIndexFixingDate(IborIndex,D57)</f>
        <v>43287</v>
      </c>
      <c r="D57" s="398">
        <f>SynthFra!I54</f>
        <v>43291</v>
      </c>
      <c r="E57" s="398">
        <f>_xll.qlCalendarAdvance(Calendar,D57,"1Y","mf")</f>
        <v>43656</v>
      </c>
      <c r="F57" s="398" t="str">
        <f>_xll.qlMakeDatedOIS(,D57,E57,OvernightIndex,0,"Act/360",0)</f>
        <v>obj_0087d#0001</v>
      </c>
      <c r="G57" s="420">
        <f>_xll.qlOvernightIndexedSwapFairRate(F57,Contribution!$P$25)</f>
        <v>4.9914642594292187E-3</v>
      </c>
      <c r="H57" s="400" t="e">
        <v>#NUM!</v>
      </c>
      <c r="I57" s="399" t="e">
        <f t="shared" si="1"/>
        <v>#NUM!</v>
      </c>
      <c r="J57" s="424" t="e">
        <f>SynthFra!N54-FRACharts!I57</f>
        <v>#NUM!</v>
      </c>
    </row>
    <row r="58" spans="1:10" x14ac:dyDescent="0.2">
      <c r="A58" s="268"/>
      <c r="B58" s="401" t="str">
        <f>"Synthetic FRA "&amp;SynthFra!F55&amp;"x"&amp;SynthFra!F55+12</f>
        <v>Synthetic FRA 47x59</v>
      </c>
      <c r="C58" s="397">
        <f>_xll.qlInterestRateIndexFixingDate(IborIndex,D58)</f>
        <v>43320</v>
      </c>
      <c r="D58" s="398">
        <f>SynthFra!I55</f>
        <v>43322</v>
      </c>
      <c r="E58" s="398">
        <f>_xll.qlCalendarAdvance(Calendar,D58,"1Y","mf")</f>
        <v>43689</v>
      </c>
      <c r="F58" s="398" t="str">
        <f>_xll.qlMakeDatedOIS(,D58,E58,OvernightIndex,0,"Act/360",0)</f>
        <v>obj_007fe#0001</v>
      </c>
      <c r="G58" s="420">
        <f>_xll.qlOvernightIndexedSwapFairRate(F58,Contribution!$P$25)</f>
        <v>5.2237475444310505E-3</v>
      </c>
      <c r="H58" s="400" t="e">
        <v>#NUM!</v>
      </c>
      <c r="I58" s="399" t="e">
        <f t="shared" si="1"/>
        <v>#NUM!</v>
      </c>
      <c r="J58" s="424" t="e">
        <f>SynthFra!N55-FRACharts!I58</f>
        <v>#NUM!</v>
      </c>
    </row>
    <row r="59" spans="1:10" ht="12" thickBot="1" x14ac:dyDescent="0.25">
      <c r="A59" s="268"/>
      <c r="B59" s="404" t="str">
        <f>"Swap/Impl FRA "&amp;SynthFra!F56&amp;"x"&amp;SynthFra!F56+12</f>
        <v>Swap/Impl FRA 48x60</v>
      </c>
      <c r="C59" s="406">
        <f>_xll.qlInterestRateIndexFixingDate(IborIndex,D59)</f>
        <v>43349</v>
      </c>
      <c r="D59" s="407">
        <f>SynthFra!I6</f>
        <v>43353</v>
      </c>
      <c r="E59" s="407">
        <f>_xll.qlCalendarAdvance(Calendar,D59,"1Y","mf")</f>
        <v>43718</v>
      </c>
      <c r="F59" s="407" t="str">
        <f>_xll.qlMakeDatedOIS(,D59,E59,OvernightIndex,0,"Act/360",0)</f>
        <v>obj_00844#0001</v>
      </c>
      <c r="G59" s="422">
        <f>_xll.qlOvernightIndexedSwapFairRate(F59,Contribution!$P$25)</f>
        <v>5.4534158587521888E-3</v>
      </c>
      <c r="H59" s="409" t="e">
        <v>#NUM!</v>
      </c>
      <c r="I59" s="408" t="e">
        <f t="shared" si="1"/>
        <v>#NUM!</v>
      </c>
      <c r="J59" s="424" t="e">
        <f>SynthFra!N56-FRACharts!I59</f>
        <v>#NUM!</v>
      </c>
    </row>
    <row r="60" spans="1:10" x14ac:dyDescent="0.2">
      <c r="A60" s="268"/>
      <c r="B60" s="268"/>
      <c r="C60" s="268"/>
      <c r="D60" s="268"/>
      <c r="E60" s="268"/>
      <c r="F60" s="268"/>
      <c r="G60" s="268"/>
      <c r="H60" s="268"/>
      <c r="I60" s="268"/>
      <c r="J60" s="26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3.6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484" t="s">
        <v>174</v>
      </c>
      <c r="E1" s="485" t="s">
        <v>169</v>
      </c>
      <c r="F1" s="485" t="s">
        <v>170</v>
      </c>
      <c r="G1" s="485" t="s">
        <v>178</v>
      </c>
      <c r="H1" s="485"/>
      <c r="I1" s="485"/>
      <c r="J1" s="485" t="s">
        <v>179</v>
      </c>
      <c r="K1" s="486" t="s">
        <v>177</v>
      </c>
      <c r="M1" s="484" t="s">
        <v>169</v>
      </c>
      <c r="N1" s="485" t="s">
        <v>170</v>
      </c>
      <c r="O1" s="485"/>
      <c r="P1" s="485"/>
      <c r="Q1" s="485" t="s">
        <v>175</v>
      </c>
      <c r="R1" s="485" t="s">
        <v>176</v>
      </c>
      <c r="S1" s="486" t="s">
        <v>177</v>
      </c>
    </row>
    <row r="2" spans="3:19" ht="11.25" customHeight="1" x14ac:dyDescent="0.2">
      <c r="D2" s="487" t="str">
        <f>PROPER(Currency&amp;IborType)&amp;"3M"&amp;"LastFixing"&amp;QuoteSuffix</f>
        <v>Euribor3MLastFixing_Quote</v>
      </c>
      <c r="E2" s="488">
        <f>SettlementDate</f>
        <v>41892</v>
      </c>
      <c r="F2" s="488">
        <f>_xll.qlCalendarAdvance(Calendar,E2,"3M","mf",,Trigger)</f>
        <v>41983</v>
      </c>
      <c r="G2" s="489">
        <f>_xll.qlQuoteValue(D2,LastFixingsTrigger)</f>
        <v>1.0399999999999999E-3</v>
      </c>
      <c r="H2" s="490" t="str">
        <f>_xll.qlMakeDatedOIS(,E2,F2,OvernightIndex,0,,,,EvaluationDate)</f>
        <v>obj_0039c#0001</v>
      </c>
      <c r="I2" s="490" t="b">
        <f>_xll.qlInstrumentSetPricingEngine(H2,OisEngine)</f>
        <v>1</v>
      </c>
      <c r="J2" s="489">
        <f>_xll.qlOvernightIndexedSwapFairRate(H2,AllTriggers)</f>
        <v>-7.0303535509186332E-4</v>
      </c>
      <c r="K2" s="491">
        <f t="shared" ref="K2:K11" si="0">G2-J2</f>
        <v>1.7430353550918632E-3</v>
      </c>
      <c r="M2" s="497">
        <f>SettlementDate</f>
        <v>41892</v>
      </c>
      <c r="N2" s="488">
        <f>_xll.qlCalendarAdvance(Calendar,M2,"3M","mf",,Trigger)</f>
        <v>41983</v>
      </c>
      <c r="O2" s="490" t="str">
        <f>_xll.qlMakeDatedOIS(,M2,N2,OvernightIndex,0,,,,EvaluationDate)</f>
        <v>obj_00885#0001</v>
      </c>
      <c r="P2" s="490" t="b">
        <f>_xll.qlInstrumentSetPricingEngine(O2,OisEngine)</f>
        <v>1</v>
      </c>
      <c r="Q2" s="489">
        <f>_xll.qlIndexFixing("euribor3m",_xll.qlInterestRateIndexFixingDate("Euribor3M",M2),TRUE,AllTriggers)</f>
        <v>9.7972187737758076E-4</v>
      </c>
      <c r="R2" s="489">
        <f>_xll.qlOvernightIndexedSwapFairRate(O2,AllTriggers)</f>
        <v>-7.0303535509186332E-4</v>
      </c>
      <c r="S2" s="491">
        <f>Q2-R2</f>
        <v>1.6827572324694441E-3</v>
      </c>
    </row>
    <row r="3" spans="3:19" ht="11.25" customHeight="1" x14ac:dyDescent="0.2">
      <c r="C3" t="str">
        <f>SynthDepo!A10</f>
        <v>U4</v>
      </c>
      <c r="D3" s="487" t="str">
        <f t="shared" ref="D3:D11" si="1">Currency&amp;"FUT"&amp;"3M"&amp;C3&amp;QuoteSuffix</f>
        <v>EURFUT3MU4_Quote</v>
      </c>
      <c r="E3" s="488">
        <f>_xll.qlIMMdate(C3,$E$2,Trigger)</f>
        <v>41899</v>
      </c>
      <c r="F3" s="488">
        <f>_xll.qlCalendarAdvance(Calendar,E3,"3M","mf",,Trigger)</f>
        <v>41990</v>
      </c>
      <c r="G3" s="489">
        <f>1-_xll.qlQuoteValue(D3,AllTriggers)/100</f>
        <v>8.7500000000007017E-4</v>
      </c>
      <c r="H3" s="490" t="str">
        <f>_xll.qlMakeDatedOIS(,E3,F3,OvernightIndex,0,,,,EvaluationDate)</f>
        <v>obj_008a3#0001</v>
      </c>
      <c r="I3" s="490" t="b">
        <f>_xll.qlInstrumentSetPricingEngine(H3,OisEngine)</f>
        <v>1</v>
      </c>
      <c r="J3" s="489">
        <f>_xll.qlOvernightIndexedSwapFairRate(H3,AllTriggers)</f>
        <v>-7.0918967676128876E-4</v>
      </c>
      <c r="K3" s="491">
        <f t="shared" si="0"/>
        <v>1.5841896767613589E-3</v>
      </c>
      <c r="M3" s="497">
        <f>_xll.qlCalendarAdvance(Calendar,M2,"1M","f",,Trigger)</f>
        <v>41922</v>
      </c>
      <c r="N3" s="488">
        <f>_xll.qlCalendarAdvance(Calendar,M3,"3M","mf",,Trigger)</f>
        <v>42016</v>
      </c>
      <c r="O3" s="490" t="str">
        <f>_xll.qlMakeDatedOIS(,M3,N3,OvernightIndex,0,,,,EvaluationDate)</f>
        <v>obj_003db#0001</v>
      </c>
      <c r="P3" s="490" t="b">
        <f>_xll.qlInstrumentSetPricingEngine(O3,OisEngine)</f>
        <v>1</v>
      </c>
      <c r="Q3" s="489">
        <f>_xll.qlIndexFixing("euribor3m",_xll.qlInterestRateIndexFixingDate("Euribor3M",M3),TRUE,AllTriggers)</f>
        <v>6.7146029931250341E-4</v>
      </c>
      <c r="R3" s="489">
        <f>_xll.qlOvernightIndexedSwapFairRate(O3,AllTriggers)</f>
        <v>-6.5868874184473857E-4</v>
      </c>
      <c r="S3" s="491">
        <f t="shared" ref="S3:S66" si="2">Q3-R3</f>
        <v>1.330149041157242E-3</v>
      </c>
    </row>
    <row r="4" spans="3:19" ht="11.25" customHeight="1" x14ac:dyDescent="0.2">
      <c r="C4" t="str">
        <f>_xll.qlIMMNextCode($E$3,IF(_xll.qlIMMIsIMMdate(E3,TRUE),FALSE,TRUE))</f>
        <v>V4</v>
      </c>
      <c r="D4" s="487" t="str">
        <f t="shared" si="1"/>
        <v>EURFUT3MV4_Quote</v>
      </c>
      <c r="E4" s="488">
        <f>_xll.qlIMMdate(C4,$E$2,Trigger)</f>
        <v>41927</v>
      </c>
      <c r="F4" s="488">
        <f>_xll.qlCalendarAdvance(Calendar,E4,"3M","mf",,Trigger)</f>
        <v>42019</v>
      </c>
      <c r="G4" s="489">
        <f>1-_xll.qlQuoteValue(D4,AllTriggers)/100</f>
        <v>7.7499999999985913E-4</v>
      </c>
      <c r="H4" s="490" t="str">
        <f>_xll.qlMakeDatedOIS(,E4,F4,OvernightIndex,0,,,,EvaluationDate)</f>
        <v>obj_008da#0001</v>
      </c>
      <c r="I4" s="490" t="b">
        <f>_xll.qlInstrumentSetPricingEngine(H4,OisEngine)</f>
        <v>1</v>
      </c>
      <c r="J4" s="489">
        <f>_xll.qlOvernightIndexedSwapFairRate(H4,AllTriggers)</f>
        <v>-6.5605401593804092E-4</v>
      </c>
      <c r="K4" s="491">
        <f t="shared" si="0"/>
        <v>1.4310540159379001E-3</v>
      </c>
      <c r="M4" s="497">
        <f>_xll.qlCalendarAdvance(Calendar,M3,"1M","f",,Trigger)</f>
        <v>41953</v>
      </c>
      <c r="N4" s="488">
        <f>_xll.qlCalendarAdvance(Calendar,M4,"3M","mf",,Trigger)</f>
        <v>42045</v>
      </c>
      <c r="O4" s="490" t="str">
        <f>_xll.qlMakeDatedOIS(,M4,N4,OvernightIndex,0,,,,EvaluationDate)</f>
        <v>obj_003dc#0001</v>
      </c>
      <c r="P4" s="490" t="b">
        <f>_xll.qlInstrumentSetPricingEngine(O4,OisEngine)</f>
        <v>1</v>
      </c>
      <c r="Q4" s="489">
        <f>_xll.qlIndexFixing("euribor3m",_xll.qlInterestRateIndexFixingDate("Euribor3M",M4),TRUE,AllTriggers)</f>
        <v>5.913668738230395E-4</v>
      </c>
      <c r="R4" s="489">
        <f>_xll.qlOvernightIndexedSwapFairRate(O4,AllTriggers)</f>
        <v>-6.7583689128287332E-4</v>
      </c>
      <c r="S4" s="491">
        <f t="shared" si="2"/>
        <v>1.2672037651059128E-3</v>
      </c>
    </row>
    <row r="5" spans="3:19" ht="11.25" customHeight="1" x14ac:dyDescent="0.2">
      <c r="C5" t="str">
        <f>_xll.qlIMMNextCode($E4,TRUE)</f>
        <v>Z4</v>
      </c>
      <c r="D5" s="487" t="str">
        <f t="shared" si="1"/>
        <v>EURFUT3MZ4_Quote</v>
      </c>
      <c r="E5" s="488">
        <f>_xll.qlIMMdate(C5,$E$2,Trigger)</f>
        <v>41990</v>
      </c>
      <c r="F5" s="488">
        <f>_xll.qlCalendarAdvance(Calendar,E5,"3M","mf",,Trigger)</f>
        <v>42080</v>
      </c>
      <c r="G5" s="489">
        <f>1-_xll.qlQuoteValue(D5,AllTriggers)/100</f>
        <v>7.7499999999997016E-4</v>
      </c>
      <c r="H5" s="490" t="str">
        <f>_xll.qlMakeDatedOIS(,E5,F5,OvernightIndex,0,,,,EvaluationDate)</f>
        <v>obj_008db#0001</v>
      </c>
      <c r="I5" s="490" t="b">
        <f>_xll.qlInstrumentSetPricingEngine(H5,OisEngine)</f>
        <v>1</v>
      </c>
      <c r="J5" s="489">
        <f>_xll.qlOvernightIndexedSwapFairRate(H5,AllTriggers)</f>
        <v>-7.3996632625838998E-4</v>
      </c>
      <c r="K5" s="491">
        <f t="shared" si="0"/>
        <v>1.5149663262583601E-3</v>
      </c>
      <c r="M5" s="497">
        <f>_xll.qlCalendarAdvance(Calendar,M4,"1M","f",,Trigger)</f>
        <v>41983</v>
      </c>
      <c r="N5" s="488">
        <f>_xll.qlCalendarAdvance(Calendar,M5,"3M","mf",,Trigger)</f>
        <v>42073</v>
      </c>
      <c r="O5" s="490" t="str">
        <f>_xll.qlMakeDatedOIS(,M5,N5,OvernightIndex,0,,,,EvaluationDate)</f>
        <v>obj_003e8#0001</v>
      </c>
      <c r="P5" s="490" t="b">
        <f>_xll.qlInstrumentSetPricingEngine(O5,OisEngine)</f>
        <v>1</v>
      </c>
      <c r="Q5" s="489">
        <f>_xll.qlIndexFixing("euribor3m",_xll.qlInterestRateIndexFixingDate("Euribor3M",M5),TRUE,AllTriggers)</f>
        <v>7.3343546856285968E-4</v>
      </c>
      <c r="R5" s="489">
        <f>_xll.qlOvernightIndexedSwapFairRate(O5,AllTriggers)</f>
        <v>-7.166355086694054E-4</v>
      </c>
      <c r="S5" s="491">
        <f t="shared" si="2"/>
        <v>1.4500709772322651E-3</v>
      </c>
    </row>
    <row r="6" spans="3:19" ht="11.25" customHeight="1" x14ac:dyDescent="0.2">
      <c r="C6" t="str">
        <f>_xll.qlIMMNextCode($E5,TRUE)</f>
        <v>H5</v>
      </c>
      <c r="D6" s="487" t="str">
        <f t="shared" si="1"/>
        <v>EURFUT3MH5_Quote</v>
      </c>
      <c r="E6" s="488">
        <f>_xll.qlIMMdate(C6,$E$2,Trigger)</f>
        <v>42081</v>
      </c>
      <c r="F6" s="488">
        <f>_xll.qlCalendarAdvance(Calendar,E6,"3M","mf",,Trigger)</f>
        <v>42173</v>
      </c>
      <c r="G6" s="489">
        <f>1-_xll.qlQuoteValue(D6,AllTriggers)/100</f>
        <v>6.2499999999998668E-4</v>
      </c>
      <c r="H6" s="490" t="str">
        <f>_xll.qlMakeDatedOIS(,E6,F6,OvernightIndex,0,,,,EvaluationDate)</f>
        <v>obj_008dc#0001</v>
      </c>
      <c r="I6" s="490" t="b">
        <f>_xll.qlInstrumentSetPricingEngine(H6,OisEngine)</f>
        <v>1</v>
      </c>
      <c r="J6" s="489">
        <f>_xll.qlOvernightIndexedSwapFairRate(H6,AllTriggers)</f>
        <v>-7.6592347361893807E-4</v>
      </c>
      <c r="K6" s="491">
        <f t="shared" si="0"/>
        <v>1.3909234736189248E-3</v>
      </c>
      <c r="M6" s="497">
        <f>_xll.qlCalendarAdvance(Calendar,M5,"1M","f",,Trigger)</f>
        <v>42016</v>
      </c>
      <c r="N6" s="488">
        <f>_xll.qlCalendarAdvance(Calendar,M6,"3M","mf",,Trigger)</f>
        <v>42107</v>
      </c>
      <c r="O6" s="490" t="str">
        <f>_xll.qlMakeDatedOIS(,M6,N6,OvernightIndex,0,,,,EvaluationDate)</f>
        <v>obj_003ea#0001</v>
      </c>
      <c r="P6" s="490" t="b">
        <f>_xll.qlInstrumentSetPricingEngine(O6,OisEngine)</f>
        <v>1</v>
      </c>
      <c r="Q6" s="489">
        <f>_xll.qlIndexFixing("euribor3m",_xll.qlInterestRateIndexFixingDate("Euribor3M",M6),TRUE,AllTriggers)</f>
        <v>8.2719779528622696E-4</v>
      </c>
      <c r="R6" s="489">
        <f>_xll.qlOvernightIndexedSwapFairRate(O6,AllTriggers)</f>
        <v>-8.2720750961227387E-4</v>
      </c>
      <c r="S6" s="491">
        <f t="shared" si="2"/>
        <v>1.6544053048985008E-3</v>
      </c>
    </row>
    <row r="7" spans="3:19" ht="11.25" customHeight="1" x14ac:dyDescent="0.2">
      <c r="C7" t="str">
        <f>_xll.qlIMMNextCode($E6,TRUE)</f>
        <v>M5</v>
      </c>
      <c r="D7" s="487" t="str">
        <f t="shared" si="1"/>
        <v>EURFUT3MM5_Quote</v>
      </c>
      <c r="E7" s="488">
        <f>_xll.qlIMMdate(C7,$E$2,Trigger)</f>
        <v>42172</v>
      </c>
      <c r="F7" s="488">
        <f>_xll.qlCalendarAdvance(Calendar,E7,"3M","mf",,Trigger)</f>
        <v>42264</v>
      </c>
      <c r="G7" s="489">
        <f>1-_xll.qlQuoteValue(D7,AllTriggers)/100</f>
        <v>6.2499999999998668E-4</v>
      </c>
      <c r="H7" s="490" t="str">
        <f>_xll.qlMakeDatedOIS(,E7,F7,OvernightIndex,0,,,,EvaluationDate)</f>
        <v>obj_008dd#0001</v>
      </c>
      <c r="I7" s="490" t="b">
        <f>_xll.qlInstrumentSetPricingEngine(H7,OisEngine)</f>
        <v>1</v>
      </c>
      <c r="J7" s="489">
        <f>_xll.qlOvernightIndexedSwapFairRate(H7,AllTriggers)</f>
        <v>-9.2878485124239449E-4</v>
      </c>
      <c r="K7" s="491">
        <f t="shared" si="0"/>
        <v>1.5537848512423812E-3</v>
      </c>
      <c r="M7" s="497">
        <f>_xll.qlCalendarAdvance(Calendar,M6,"1M","f",,Trigger)</f>
        <v>42047</v>
      </c>
      <c r="N7" s="488">
        <f>_xll.qlCalendarAdvance(Calendar,M7,"3M","mf",,Trigger)</f>
        <v>42136</v>
      </c>
      <c r="O7" s="490" t="str">
        <f>_xll.qlMakeDatedOIS(,M7,N7,OvernightIndex,0,,,,EvaluationDate)</f>
        <v>obj_003eb#0001</v>
      </c>
      <c r="P7" s="490" t="b">
        <f>_xll.qlInstrumentSetPricingEngine(O7,OisEngine)</f>
        <v>1</v>
      </c>
      <c r="Q7" s="489">
        <f>_xll.qlIndexFixing("euribor3m",_xll.qlInterestRateIndexFixingDate("Euribor3M",M7),TRUE,AllTriggers)</f>
        <v>7.5377741341462064E-4</v>
      </c>
      <c r="R7" s="489">
        <f>_xll.qlOvernightIndexedSwapFairRate(O7,AllTriggers)</f>
        <v>-8.3362195249657943E-4</v>
      </c>
      <c r="S7" s="491">
        <f t="shared" si="2"/>
        <v>1.5873993659112E-3</v>
      </c>
    </row>
    <row r="8" spans="3:19" ht="11.25" customHeight="1" x14ac:dyDescent="0.2">
      <c r="C8" t="str">
        <f>_xll.qlIMMNextCode($E7,TRUE)</f>
        <v>U5</v>
      </c>
      <c r="D8" s="487" t="str">
        <f t="shared" si="1"/>
        <v>EURFUT3MU5_Quote</v>
      </c>
      <c r="E8" s="488">
        <f>_xll.qlIMMdate(C8,$E$2,Trigger)</f>
        <v>42263</v>
      </c>
      <c r="F8" s="488">
        <f>_xll.qlCalendarAdvance(Calendar,E8,"3M","mf",,Trigger)</f>
        <v>42354</v>
      </c>
      <c r="G8" s="489">
        <f>1-_xll.qlQuoteValue(D8,AllTriggers)/100</f>
        <v>7.2499999999986464E-4</v>
      </c>
      <c r="H8" s="490" t="str">
        <f>_xll.qlMakeDatedOIS(,E8,F8,OvernightIndex,0,,,,EvaluationDate)</f>
        <v>obj_008de#0001</v>
      </c>
      <c r="I8" s="490" t="b">
        <f>_xll.qlInstrumentSetPricingEngine(H8,OisEngine)</f>
        <v>1</v>
      </c>
      <c r="J8" s="489">
        <f>_xll.qlOvernightIndexedSwapFairRate(H8,AllTriggers)</f>
        <v>-8.2350486430104032E-4</v>
      </c>
      <c r="K8" s="491">
        <f t="shared" si="0"/>
        <v>1.548504864300905E-3</v>
      </c>
      <c r="M8" s="497">
        <f>_xll.qlCalendarAdvance(Calendar,M7,"1M","f",,Trigger)</f>
        <v>42075</v>
      </c>
      <c r="N8" s="488">
        <f>_xll.qlCalendarAdvance(Calendar,M8,"3M","mf",,Trigger)</f>
        <v>42167</v>
      </c>
      <c r="O8" s="490" t="str">
        <f>_xll.qlMakeDatedOIS(,M8,N8,OvernightIndex,0,,,,EvaluationDate)</f>
        <v>obj_003ed#0001</v>
      </c>
      <c r="P8" s="490" t="b">
        <f>_xll.qlInstrumentSetPricingEngine(O8,OisEngine)</f>
        <v>1</v>
      </c>
      <c r="Q8" s="489">
        <f>_xll.qlIndexFixing("euribor3m",_xll.qlInterestRateIndexFixingDate("Euribor3M",M8),TRUE,AllTriggers)</f>
        <v>6.4293998492909426E-4</v>
      </c>
      <c r="R8" s="489">
        <f>_xll.qlOvernightIndexedSwapFairRate(O8,AllTriggers)</f>
        <v>-7.6908955384475579E-4</v>
      </c>
      <c r="S8" s="491">
        <f t="shared" si="2"/>
        <v>1.4120295387738502E-3</v>
      </c>
    </row>
    <row r="9" spans="3:19" ht="11.25" customHeight="1" x14ac:dyDescent="0.2">
      <c r="C9" t="str">
        <f>_xll.qlIMMNextCode($E8,TRUE)</f>
        <v>Z5</v>
      </c>
      <c r="D9" s="487" t="str">
        <f t="shared" si="1"/>
        <v>EURFUT3MZ5_Quote</v>
      </c>
      <c r="E9" s="488">
        <f>_xll.qlIMMdate(C9,$E$2,Trigger)</f>
        <v>42354</v>
      </c>
      <c r="F9" s="488">
        <f>_xll.qlCalendarAdvance(Calendar,E9,"3M","mf",,Trigger)</f>
        <v>42445</v>
      </c>
      <c r="G9" s="489">
        <f>1-_xll.qlQuoteValue(D9,AllTriggers)/100</f>
        <v>8.7500000000007017E-4</v>
      </c>
      <c r="H9" s="490" t="str">
        <f>_xll.qlMakeDatedOIS(,E9,F9,OvernightIndex,0,,,,EvaluationDate)</f>
        <v>obj_008df#0001</v>
      </c>
      <c r="I9" s="490" t="b">
        <f>_xll.qlInstrumentSetPricingEngine(H9,OisEngine)</f>
        <v>1</v>
      </c>
      <c r="J9" s="489">
        <f>_xll.qlOvernightIndexedSwapFairRate(H9,AllTriggers)</f>
        <v>-7.1962569090688996E-4</v>
      </c>
      <c r="K9" s="491">
        <f t="shared" si="0"/>
        <v>1.5946256909069602E-3</v>
      </c>
      <c r="M9" s="497">
        <f>_xll.qlCalendarAdvance(Calendar,M8,"1M","f",,Trigger)</f>
        <v>42107</v>
      </c>
      <c r="N9" s="488">
        <f>_xll.qlCalendarAdvance(Calendar,M9,"3M","mf",,Trigger)</f>
        <v>42198</v>
      </c>
      <c r="O9" s="490" t="str">
        <f>_xll.qlMakeDatedOIS(,M9,N9,OvernightIndex,0,,,,EvaluationDate)</f>
        <v>obj_003ef#0001</v>
      </c>
      <c r="P9" s="490" t="b">
        <f>_xll.qlInstrumentSetPricingEngine(O9,OisEngine)</f>
        <v>1</v>
      </c>
      <c r="Q9" s="489">
        <f>_xll.qlIndexFixing("euribor3m",_xll.qlInterestRateIndexFixingDate("Euribor3M",M9),TRUE,AllTriggers)</f>
        <v>5.8228720832482442E-4</v>
      </c>
      <c r="R9" s="489">
        <f>_xll.qlOvernightIndexedSwapFairRate(O9,AllTriggers)</f>
        <v>-7.5188838334450244E-4</v>
      </c>
      <c r="S9" s="491">
        <f t="shared" si="2"/>
        <v>1.3341755916693268E-3</v>
      </c>
    </row>
    <row r="10" spans="3:19" ht="11.25" customHeight="1" x14ac:dyDescent="0.2">
      <c r="C10" t="str">
        <f>_xll.qlIMMNextCode($E9,TRUE)</f>
        <v>H6</v>
      </c>
      <c r="D10" s="487" t="str">
        <f t="shared" si="1"/>
        <v>EURFUT3MH6_Quote</v>
      </c>
      <c r="E10" s="488">
        <f>_xll.qlIMMdate(C10,$E$2,Trigger)</f>
        <v>42445</v>
      </c>
      <c r="F10" s="488">
        <f>_xll.qlCalendarAdvance(Calendar,E10,"3M","mf",,Trigger)</f>
        <v>42537</v>
      </c>
      <c r="G10" s="489">
        <f>1-_xll.qlQuoteValue(D10,AllTriggers)/100</f>
        <v>1.0750000000000481E-3</v>
      </c>
      <c r="H10" s="490" t="str">
        <f>_xll.qlMakeDatedOIS(,E10,F10,OvernightIndex,0,,,,EvaluationDate)</f>
        <v>obj_008e0#0001</v>
      </c>
      <c r="I10" s="490" t="b">
        <f>_xll.qlInstrumentSetPricingEngine(H10,OisEngine)</f>
        <v>1</v>
      </c>
      <c r="J10" s="489">
        <f>_xll.qlOvernightIndexedSwapFairRate(H10,AllTriggers)</f>
        <v>-5.5812815890910893E-4</v>
      </c>
      <c r="K10" s="491">
        <f t="shared" si="0"/>
        <v>1.6331281589091571E-3</v>
      </c>
      <c r="M10" s="497">
        <f>_xll.qlCalendarAdvance(Calendar,M9,"1M","f",,Trigger)</f>
        <v>42137</v>
      </c>
      <c r="N10" s="488">
        <f>_xll.qlCalendarAdvance(Calendar,M10,"3M","mf",,Trigger)</f>
        <v>42229</v>
      </c>
      <c r="O10" s="490" t="str">
        <f>_xll.qlMakeDatedOIS(,M10,N10,OvernightIndex,0,,,,EvaluationDate)</f>
        <v>obj_003f1#0001</v>
      </c>
      <c r="P10" s="490" t="b">
        <f>_xll.qlInstrumentSetPricingEngine(O10,OisEngine)</f>
        <v>1</v>
      </c>
      <c r="Q10" s="489">
        <f>_xll.qlIndexFixing("euribor3m",_xll.qlInterestRateIndexFixingDate("Euribor3M",M10),TRUE,AllTriggers)</f>
        <v>5.8655628290959572E-4</v>
      </c>
      <c r="R10" s="489">
        <f>_xll.qlOvernightIndexedSwapFairRate(O10,AllTriggers)</f>
        <v>-7.9798152284287134E-4</v>
      </c>
      <c r="S10" s="491">
        <f t="shared" si="2"/>
        <v>1.3845378057524671E-3</v>
      </c>
    </row>
    <row r="11" spans="3:19" ht="11.25" customHeight="1" thickBot="1" x14ac:dyDescent="0.25">
      <c r="C11" t="str">
        <f>_xll.qlIMMNextCode($E10,TRUE)</f>
        <v>M6</v>
      </c>
      <c r="D11" s="492" t="str">
        <f t="shared" si="1"/>
        <v>EURFUT3MM6_Quote</v>
      </c>
      <c r="E11" s="493">
        <f>_xll.qlIMMdate(C11,$E$2,Trigger)</f>
        <v>42536</v>
      </c>
      <c r="F11" s="493">
        <f>_xll.qlCalendarAdvance(Calendar,E11,"3M","mf",,Trigger)</f>
        <v>42628</v>
      </c>
      <c r="G11" s="494">
        <f>1-_xll.qlQuoteValue(D11,AllTriggers)/100</f>
        <v>1.3750000000000151E-3</v>
      </c>
      <c r="H11" s="495" t="str">
        <f>_xll.qlMakeDatedOIS(,E11,F11,OvernightIndex,0,,,,EvaluationDate)</f>
        <v>obj_008e1#0001</v>
      </c>
      <c r="I11" s="495" t="b">
        <f>_xll.qlInstrumentSetPricingEngine(H11,OisEngine)</f>
        <v>1</v>
      </c>
      <c r="J11" s="494">
        <f>_xll.qlOvernightIndexedSwapFairRate(H11,AllTriggers)</f>
        <v>-3.302336839731183E-4</v>
      </c>
      <c r="K11" s="496">
        <f t="shared" si="0"/>
        <v>1.7052336839731333E-3</v>
      </c>
      <c r="M11" s="497">
        <f>_xll.qlCalendarAdvance(Calendar,M10,"1M","f",,Trigger)</f>
        <v>42170</v>
      </c>
      <c r="N11" s="488">
        <f>_xll.qlCalendarAdvance(Calendar,M11,"3M","mf",,Trigger)</f>
        <v>42262</v>
      </c>
      <c r="O11" s="490" t="str">
        <f>_xll.qlMakeDatedOIS(,M11,N11,OvernightIndex,0,,,,EvaluationDate)</f>
        <v>obj_003f2#0001</v>
      </c>
      <c r="P11" s="490" t="b">
        <f>_xll.qlInstrumentSetPricingEngine(O11,OisEngine)</f>
        <v>1</v>
      </c>
      <c r="Q11" s="489">
        <f>_xll.qlIndexFixing("euribor3m",_xll.qlInterestRateIndexFixingDate("Euribor3M",M11),TRUE,AllTriggers)</f>
        <v>6.2259073899731041E-4</v>
      </c>
      <c r="R11" s="489">
        <f>_xll.qlOvernightIndexedSwapFairRate(O11,AllTriggers)</f>
        <v>-9.2881311654466705E-4</v>
      </c>
      <c r="S11" s="491">
        <f t="shared" si="2"/>
        <v>1.5514038555419774E-3</v>
      </c>
    </row>
    <row r="12" spans="3:19" ht="11.25" customHeight="1" x14ac:dyDescent="0.2">
      <c r="E12" s="483"/>
      <c r="F12" s="483"/>
      <c r="G12" s="482"/>
      <c r="J12" s="482"/>
      <c r="K12" s="482"/>
      <c r="M12" s="497">
        <f>_xll.qlCalendarAdvance(Calendar,M11,"1M","f",,Trigger)</f>
        <v>42200</v>
      </c>
      <c r="N12" s="488">
        <f>_xll.qlCalendarAdvance(Calendar,M12,"3M","mf",,Trigger)</f>
        <v>42292</v>
      </c>
      <c r="O12" s="490" t="str">
        <f>_xll.qlMakeDatedOIS(,M12,N12,OvernightIndex,0,,,,EvaluationDate)</f>
        <v>obj_003f4#0001</v>
      </c>
      <c r="P12" s="490" t="b">
        <f>_xll.qlInstrumentSetPricingEngine(O12,OisEngine)</f>
        <v>1</v>
      </c>
      <c r="Q12" s="489">
        <f>_xll.qlIndexFixing("euribor3m",_xll.qlInterestRateIndexFixingDate("Euribor3M",M12),TRUE,AllTriggers)</f>
        <v>6.5606880434679934E-4</v>
      </c>
      <c r="R12" s="489">
        <f>_xll.qlOvernightIndexedSwapFairRate(O12,AllTriggers)</f>
        <v>-9.2747564932551738E-4</v>
      </c>
      <c r="S12" s="491">
        <f t="shared" si="2"/>
        <v>1.5835444536723168E-3</v>
      </c>
    </row>
    <row r="13" spans="3:19" ht="11.25" customHeight="1" x14ac:dyDescent="0.2">
      <c r="E13" s="483"/>
      <c r="F13" s="483"/>
      <c r="G13" s="482"/>
      <c r="J13" s="482"/>
      <c r="K13" s="482"/>
      <c r="M13" s="497">
        <f>_xll.qlCalendarAdvance(Calendar,M12,"1M","f",,Trigger)</f>
        <v>42233</v>
      </c>
      <c r="N13" s="488">
        <f>_xll.qlCalendarAdvance(Calendar,M13,"3M","mf",,Trigger)</f>
        <v>42325</v>
      </c>
      <c r="O13" s="490" t="str">
        <f>_xll.qlMakeDatedOIS(,M13,N13,OvernightIndex,0,,,,EvaluationDate)</f>
        <v>obj_003f6#0001</v>
      </c>
      <c r="P13" s="490" t="b">
        <f>_xll.qlInstrumentSetPricingEngine(O13,OisEngine)</f>
        <v>1</v>
      </c>
      <c r="Q13" s="489">
        <f>_xll.qlIndexFixing("euribor3m",_xll.qlInterestRateIndexFixingDate("Euribor3M",M13),TRUE,AllTriggers)</f>
        <v>6.9051654780105665E-4</v>
      </c>
      <c r="R13" s="489">
        <f>_xll.qlOvernightIndexedSwapFairRate(O13,AllTriggers)</f>
        <v>-9.0152590204974612E-4</v>
      </c>
      <c r="S13" s="491">
        <f t="shared" si="2"/>
        <v>1.5920424498508028E-3</v>
      </c>
    </row>
    <row r="14" spans="3:19" ht="11.25" customHeight="1" x14ac:dyDescent="0.2">
      <c r="E14" s="483"/>
      <c r="F14" s="483"/>
      <c r="G14" s="482"/>
      <c r="J14" s="482"/>
      <c r="K14" s="482"/>
      <c r="M14" s="497">
        <f>_xll.qlCalendarAdvance(Calendar,M13,"1M","f",,Trigger)</f>
        <v>42264</v>
      </c>
      <c r="N14" s="488">
        <f>_xll.qlCalendarAdvance(Calendar,M14,"3M","mf",,Trigger)</f>
        <v>42355</v>
      </c>
      <c r="O14" s="490" t="str">
        <f>_xll.qlMakeDatedOIS(,M14,N14,OvernightIndex,0,,,,EvaluationDate)</f>
        <v>obj_003f8#0001</v>
      </c>
      <c r="P14" s="490" t="b">
        <f>_xll.qlInstrumentSetPricingEngine(O14,OisEngine)</f>
        <v>1</v>
      </c>
      <c r="Q14" s="489">
        <f>_xll.qlIndexFixing("euribor3m",_xll.qlInterestRateIndexFixingDate("Euribor3M",M14),TRUE,AllTriggers)</f>
        <v>7.2630087607809552E-4</v>
      </c>
      <c r="R14" s="489">
        <f>_xll.qlOvernightIndexedSwapFairRate(O14,AllTriggers)</f>
        <v>-8.2240542831395441E-4</v>
      </c>
      <c r="S14" s="491">
        <f t="shared" si="2"/>
        <v>1.5487063043920499E-3</v>
      </c>
    </row>
    <row r="15" spans="3:19" ht="11.25" customHeight="1" x14ac:dyDescent="0.2">
      <c r="E15" s="483"/>
      <c r="F15" s="483"/>
      <c r="G15" s="482"/>
      <c r="J15" s="482"/>
      <c r="K15" s="482"/>
      <c r="M15" s="497">
        <f>_xll.qlCalendarAdvance(Calendar,M14,"1M","f",,Trigger)</f>
        <v>42296</v>
      </c>
      <c r="N15" s="488">
        <f>_xll.qlCalendarAdvance(Calendar,M15,"3M","mf",,Trigger)</f>
        <v>42388</v>
      </c>
      <c r="O15" s="490" t="str">
        <f>_xll.qlMakeDatedOIS(,M15,N15,OvernightIndex,0,,,,EvaluationDate)</f>
        <v>obj_003f9#0001</v>
      </c>
      <c r="P15" s="490" t="b">
        <f>_xll.qlInstrumentSetPricingEngine(O15,OisEngine)</f>
        <v>1</v>
      </c>
      <c r="Q15" s="489">
        <f>_xll.qlIndexFixing("euribor3m",_xll.qlInterestRateIndexFixingDate("Euribor3M",M15),TRUE,AllTriggers)</f>
        <v>7.7387483239338666E-4</v>
      </c>
      <c r="R15" s="489">
        <f>_xll.qlOvernightIndexedSwapFairRate(O15,AllTriggers)</f>
        <v>-7.8660102995263017E-4</v>
      </c>
      <c r="S15" s="491">
        <f t="shared" si="2"/>
        <v>1.5604758623460168E-3</v>
      </c>
    </row>
    <row r="16" spans="3:19" ht="11.25" customHeight="1" x14ac:dyDescent="0.2">
      <c r="E16" s="483"/>
      <c r="F16" s="483"/>
      <c r="G16" s="482"/>
      <c r="J16" s="482"/>
      <c r="K16" s="482"/>
      <c r="M16" s="497">
        <f>_xll.qlCalendarAdvance(Calendar,M15,"1M","f",,Trigger)</f>
        <v>42327</v>
      </c>
      <c r="N16" s="488">
        <f>_xll.qlCalendarAdvance(Calendar,M16,"3M","mf",,Trigger)</f>
        <v>42419</v>
      </c>
      <c r="O16" s="490" t="str">
        <f>_xll.qlMakeDatedOIS(,M16,N16,OvernightIndex,0,,,,EvaluationDate)</f>
        <v>obj_003fb#0001</v>
      </c>
      <c r="P16" s="490" t="b">
        <f>_xll.qlInstrumentSetPricingEngine(O16,OisEngine)</f>
        <v>1</v>
      </c>
      <c r="Q16" s="489">
        <f>_xll.qlIndexFixing("euribor3m",_xll.qlInterestRateIndexFixingDate("Euribor3M",M16),TRUE,AllTriggers)</f>
        <v>8.2653491744855156E-4</v>
      </c>
      <c r="R16" s="489">
        <f>_xll.qlOvernightIndexedSwapFairRate(O16,AllTriggers)</f>
        <v>-7.5288859505328687E-4</v>
      </c>
      <c r="S16" s="491">
        <f t="shared" si="2"/>
        <v>1.5794235125018384E-3</v>
      </c>
    </row>
    <row r="17" spans="5:19" ht="11.25" customHeight="1" x14ac:dyDescent="0.2">
      <c r="E17" s="483"/>
      <c r="F17" s="483"/>
      <c r="G17" s="482"/>
      <c r="J17" s="482"/>
      <c r="K17" s="482"/>
      <c r="M17" s="497">
        <f>_xll.qlCalendarAdvance(Calendar,M16,"1M","f",,Trigger)</f>
        <v>42359</v>
      </c>
      <c r="N17" s="488">
        <f>_xll.qlCalendarAdvance(Calendar,M17,"3M","mf",,Trigger)</f>
        <v>42450</v>
      </c>
      <c r="O17" s="490" t="str">
        <f>_xll.qlMakeDatedOIS(,M17,N17,OvernightIndex,0,,,,EvaluationDate)</f>
        <v>obj_003fd#0001</v>
      </c>
      <c r="P17" s="490" t="b">
        <f>_xll.qlInstrumentSetPricingEngine(O17,OisEngine)</f>
        <v>1</v>
      </c>
      <c r="Q17" s="489">
        <f>_xll.qlIndexFixing("euribor3m",_xll.qlInterestRateIndexFixingDate("Euribor3M",M17),TRUE,AllTriggers)</f>
        <v>8.8434977469372105E-4</v>
      </c>
      <c r="R17" s="489">
        <f>_xll.qlOvernightIndexedSwapFairRate(O17,AllTriggers)</f>
        <v>-7.109373170105088E-4</v>
      </c>
      <c r="S17" s="491">
        <f t="shared" si="2"/>
        <v>1.5952870917042299E-3</v>
      </c>
    </row>
    <row r="18" spans="5:19" ht="11.25" customHeight="1" x14ac:dyDescent="0.2">
      <c r="E18" s="483"/>
      <c r="F18" s="483"/>
      <c r="G18" s="482"/>
      <c r="J18" s="482"/>
      <c r="K18" s="482"/>
      <c r="M18" s="497">
        <f>_xll.qlCalendarAdvance(Calendar,M17,"1M","f",,Trigger)</f>
        <v>42390</v>
      </c>
      <c r="N18" s="488">
        <f>_xll.qlCalendarAdvance(Calendar,M18,"3M","mf",,Trigger)</f>
        <v>42481</v>
      </c>
      <c r="O18" s="490" t="str">
        <f>_xll.qlMakeDatedOIS(,M18,N18,OvernightIndex,0,,,,EvaluationDate)</f>
        <v>obj_003ff#0001</v>
      </c>
      <c r="P18" s="490" t="b">
        <f>_xll.qlInstrumentSetPricingEngine(O18,OisEngine)</f>
        <v>1</v>
      </c>
      <c r="Q18" s="489">
        <f>_xll.qlIndexFixing("euribor3m",_xll.qlInterestRateIndexFixingDate("Euribor3M",M18),TRUE,AllTriggers)</f>
        <v>9.4460658946848364E-4</v>
      </c>
      <c r="R18" s="489">
        <f>_xll.qlOvernightIndexedSwapFairRate(O18,AllTriggers)</f>
        <v>-6.5706897287307877E-4</v>
      </c>
      <c r="S18" s="491">
        <f t="shared" si="2"/>
        <v>1.6016755623415625E-3</v>
      </c>
    </row>
    <row r="19" spans="5:19" ht="11.25" customHeight="1" x14ac:dyDescent="0.2">
      <c r="E19" s="483"/>
      <c r="F19" s="483"/>
      <c r="G19" s="482"/>
      <c r="J19" s="482"/>
      <c r="K19" s="482"/>
      <c r="M19" s="497">
        <f>_xll.qlCalendarAdvance(Calendar,M18,"1M","f",,Trigger)</f>
        <v>42422</v>
      </c>
      <c r="N19" s="488">
        <f>_xll.qlCalendarAdvance(Calendar,M19,"3M","mf",,Trigger)</f>
        <v>42513</v>
      </c>
      <c r="O19" s="490" t="str">
        <f>_xll.qlMakeDatedOIS(,M19,N19,OvernightIndex,0,,,,EvaluationDate)</f>
        <v>obj_00401#0001</v>
      </c>
      <c r="P19" s="490" t="b">
        <f>_xll.qlInstrumentSetPricingEngine(O19,OisEngine)</f>
        <v>1</v>
      </c>
      <c r="Q19" s="489">
        <f>_xll.qlIndexFixing("euribor3m",_xll.qlInterestRateIndexFixingDate("Euribor3M",M19),TRUE,AllTriggers)</f>
        <v>1.0148532761443808E-3</v>
      </c>
      <c r="R19" s="489">
        <f>_xll.qlOvernightIndexedSwapFairRate(O19,AllTriggers)</f>
        <v>-6.0146217069043692E-4</v>
      </c>
      <c r="S19" s="491">
        <f t="shared" si="2"/>
        <v>1.6163154468348177E-3</v>
      </c>
    </row>
    <row r="20" spans="5:19" ht="11.25" customHeight="1" x14ac:dyDescent="0.2">
      <c r="E20" s="483"/>
      <c r="F20" s="483"/>
      <c r="G20" s="482"/>
      <c r="J20" s="482"/>
      <c r="K20" s="482"/>
      <c r="M20" s="497">
        <f>_xll.qlCalendarAdvance(Calendar,M19,"1M","f",,Trigger)</f>
        <v>42451</v>
      </c>
      <c r="N20" s="488">
        <f>_xll.qlCalendarAdvance(Calendar,M20,"3M","mf",,Trigger)</f>
        <v>42543</v>
      </c>
      <c r="O20" s="490" t="str">
        <f>_xll.qlMakeDatedOIS(,M20,N20,OvernightIndex,0,,,,EvaluationDate)</f>
        <v>obj_00403#0001</v>
      </c>
      <c r="P20" s="490" t="b">
        <f>_xll.qlInstrumentSetPricingEngine(O20,OisEngine)</f>
        <v>1</v>
      </c>
      <c r="Q20" s="489">
        <f>_xll.qlIndexFixing("euribor3m",_xll.qlInterestRateIndexFixingDate("Euribor3M",M20),TRUE,AllTriggers)</f>
        <v>1.0917626581177424E-3</v>
      </c>
      <c r="R20" s="489">
        <f>_xll.qlOvernightIndexedSwapFairRate(O20,AllTriggers)</f>
        <v>-5.4433598445137519E-4</v>
      </c>
      <c r="S20" s="491">
        <f t="shared" si="2"/>
        <v>1.6360986425691176E-3</v>
      </c>
    </row>
    <row r="21" spans="5:19" ht="11.25" customHeight="1" x14ac:dyDescent="0.2">
      <c r="E21" s="483"/>
      <c r="F21" s="483"/>
      <c r="G21" s="482"/>
      <c r="J21" s="482"/>
      <c r="K21" s="482"/>
      <c r="M21" s="497">
        <f>_xll.qlCalendarAdvance(Calendar,M20,"1M","f",,Trigger)</f>
        <v>42482</v>
      </c>
      <c r="N21" s="488">
        <f>_xll.qlCalendarAdvance(Calendar,M21,"3M","mf",,Trigger)</f>
        <v>42573</v>
      </c>
      <c r="O21" s="490" t="str">
        <f>_xll.qlMakeDatedOIS(,M21,N21,OvernightIndex,0,,,,EvaluationDate)</f>
        <v>obj_00405#0001</v>
      </c>
      <c r="P21" s="490" t="b">
        <f>_xll.qlInstrumentSetPricingEngine(O21,OisEngine)</f>
        <v>1</v>
      </c>
      <c r="Q21" s="489">
        <f>_xll.qlIndexFixing("euribor3m",_xll.qlInterestRateIndexFixingDate("Euribor3M",M21),TRUE,AllTriggers)</f>
        <v>1.1851904891849205E-3</v>
      </c>
      <c r="R21" s="489">
        <f>_xll.qlOvernightIndexedSwapFairRate(O21,AllTriggers)</f>
        <v>-4.7431373812886123E-4</v>
      </c>
      <c r="S21" s="491">
        <f t="shared" si="2"/>
        <v>1.6595042273137817E-3</v>
      </c>
    </row>
    <row r="22" spans="5:19" ht="11.25" customHeight="1" x14ac:dyDescent="0.2">
      <c r="E22" s="483"/>
      <c r="F22" s="483"/>
      <c r="G22" s="482"/>
      <c r="J22" s="482"/>
      <c r="K22" s="482"/>
      <c r="M22" s="497">
        <f>_xll.qlCalendarAdvance(Calendar,M21,"1M","f",,Trigger)</f>
        <v>42513</v>
      </c>
      <c r="N22" s="488">
        <f>_xll.qlCalendarAdvance(Calendar,M22,"3M","mf",,Trigger)</f>
        <v>42605</v>
      </c>
      <c r="O22" s="490" t="str">
        <f>_xll.qlMakeDatedOIS(,M22,N22,OvernightIndex,0,,,,EvaluationDate)</f>
        <v>obj_00407#0001</v>
      </c>
      <c r="P22" s="490" t="b">
        <f>_xll.qlInstrumentSetPricingEngine(O22,OisEngine)</f>
        <v>1</v>
      </c>
      <c r="Q22" s="489">
        <f>_xll.qlIndexFixing("euribor3m",_xll.qlInterestRateIndexFixingDate("Euribor3M",M22),TRUE,AllTriggers)</f>
        <v>1.2926766475214761E-3</v>
      </c>
      <c r="R22" s="489">
        <f>_xll.qlOvernightIndexedSwapFairRate(O22,AllTriggers)</f>
        <v>-4.0181400140214686E-4</v>
      </c>
      <c r="S22" s="491">
        <f t="shared" si="2"/>
        <v>1.6944906489236231E-3</v>
      </c>
    </row>
    <row r="23" spans="5:19" ht="11.25" customHeight="1" x14ac:dyDescent="0.2">
      <c r="E23" s="483"/>
      <c r="F23" s="483"/>
      <c r="G23" s="482"/>
      <c r="J23" s="482"/>
      <c r="K23" s="482"/>
      <c r="M23" s="497">
        <f>_xll.qlCalendarAdvance(Calendar,M22,"1M","f",,Trigger)</f>
        <v>42544</v>
      </c>
      <c r="N23" s="488">
        <f>_xll.qlCalendarAdvance(Calendar,M23,"3M","mf",,Trigger)</f>
        <v>42636</v>
      </c>
      <c r="O23" s="490" t="str">
        <f>_xll.qlMakeDatedOIS(,M23,N23,OvernightIndex,0,,,,EvaluationDate)</f>
        <v>obj_00409#0001</v>
      </c>
      <c r="P23" s="490" t="b">
        <f>_xll.qlInstrumentSetPricingEngine(O23,OisEngine)</f>
        <v>1</v>
      </c>
      <c r="Q23" s="489">
        <f>_xll.qlIndexFixing("euribor3m",_xll.qlInterestRateIndexFixingDate("Euribor3M",M23),TRUE,AllTriggers)</f>
        <v>1.403982514927016E-3</v>
      </c>
      <c r="R23" s="489">
        <f>_xll.qlOvernightIndexedSwapFairRate(O23,AllTriggers)</f>
        <v>-2.4969389065420268E-4</v>
      </c>
      <c r="S23" s="491">
        <f t="shared" si="2"/>
        <v>1.6536764055812185E-3</v>
      </c>
    </row>
    <row r="24" spans="5:19" ht="11.25" customHeight="1" x14ac:dyDescent="0.2">
      <c r="E24" s="483"/>
      <c r="F24" s="483"/>
      <c r="G24" s="482"/>
      <c r="J24" s="482"/>
      <c r="K24" s="482"/>
      <c r="M24" s="497">
        <f>_xll.qlCalendarAdvance(Calendar,M23,"1M","f",,Trigger)</f>
        <v>42576</v>
      </c>
      <c r="N24" s="488">
        <f>_xll.qlCalendarAdvance(Calendar,M24,"3M","mf",,Trigger)</f>
        <v>42668</v>
      </c>
      <c r="O24" s="490" t="str">
        <f>_xll.qlMakeDatedOIS(,M24,N24,OvernightIndex,0,,,,EvaluationDate)</f>
        <v>obj_0040b#0001</v>
      </c>
      <c r="P24" s="490" t="b">
        <f>_xll.qlInstrumentSetPricingEngine(O24,OisEngine)</f>
        <v>1</v>
      </c>
      <c r="Q24" s="489">
        <f>_xll.qlIndexFixing("euribor3m",_xll.qlInterestRateIndexFixingDate("Euribor3M",M24),TRUE,AllTriggers)</f>
        <v>1.5216403725985034E-3</v>
      </c>
      <c r="R24" s="489">
        <f>_xll.qlOvernightIndexedSwapFairRate(O24,AllTriggers)</f>
        <v>7.2481861373743925E-5</v>
      </c>
      <c r="S24" s="491">
        <f t="shared" si="2"/>
        <v>1.4491585112247594E-3</v>
      </c>
    </row>
    <row r="25" spans="5:19" ht="11.25" customHeight="1" x14ac:dyDescent="0.2">
      <c r="E25" s="483"/>
      <c r="F25" s="483"/>
      <c r="G25" s="482"/>
      <c r="J25" s="482"/>
      <c r="K25" s="482"/>
      <c r="M25" s="497">
        <f>_xll.qlCalendarAdvance(Calendar,M24,"1M","f",,Trigger)</f>
        <v>42607</v>
      </c>
      <c r="N25" s="488">
        <f>_xll.qlCalendarAdvance(Calendar,M25,"3M","mf",,Trigger)</f>
        <v>42699</v>
      </c>
      <c r="O25" s="490" t="str">
        <f>_xll.qlMakeDatedOIS(,M25,N25,OvernightIndex,0,,,,EvaluationDate)</f>
        <v>obj_0040d#0001</v>
      </c>
      <c r="P25" s="490" t="b">
        <f>_xll.qlInstrumentSetPricingEngine(O25,OisEngine)</f>
        <v>1</v>
      </c>
      <c r="Q25" s="489">
        <f>_xll.qlIndexFixing("euribor3m",_xll.qlInterestRateIndexFixingDate("Euribor3M",M25),TRUE,AllTriggers)</f>
        <v>1.6397548630363724E-3</v>
      </c>
      <c r="R25" s="489">
        <f>_xll.qlOvernightIndexedSwapFairRate(O25,AllTriggers)</f>
        <v>3.8461491824708278E-4</v>
      </c>
      <c r="S25" s="491">
        <f t="shared" si="2"/>
        <v>1.2551399447892895E-3</v>
      </c>
    </row>
    <row r="26" spans="5:19" ht="11.25" customHeight="1" x14ac:dyDescent="0.2">
      <c r="E26" s="483"/>
      <c r="F26" s="483"/>
      <c r="G26" s="482"/>
      <c r="J26" s="482"/>
      <c r="K26" s="482"/>
      <c r="M26" s="497">
        <f>_xll.qlCalendarAdvance(Calendar,M25,"1M","f",,Trigger)</f>
        <v>42639</v>
      </c>
      <c r="N26" s="488">
        <f>_xll.qlCalendarAdvance(Calendar,M26,"3M","mf",,Trigger)</f>
        <v>42731</v>
      </c>
      <c r="O26" s="490" t="str">
        <f>_xll.qlMakeDatedOIS(,M26,N26,OvernightIndex,0,,,,EvaluationDate)</f>
        <v>obj_0040f#0001</v>
      </c>
      <c r="P26" s="490" t="b">
        <f>_xll.qlInstrumentSetPricingEngine(O26,OisEngine)</f>
        <v>1</v>
      </c>
      <c r="Q26" s="489">
        <f>_xll.qlIndexFixing("euribor3m",_xll.qlInterestRateIndexFixingDate("Euribor3M",M26),TRUE,AllTriggers)</f>
        <v>1.7680002874164303E-3</v>
      </c>
      <c r="R26" s="489">
        <f>_xll.qlOvernightIndexedSwapFairRate(O26,AllTriggers)</f>
        <v>5.6586489268838991E-4</v>
      </c>
      <c r="S26" s="491">
        <f t="shared" si="2"/>
        <v>1.2021353947280404E-3</v>
      </c>
    </row>
    <row r="27" spans="5:19" ht="11.25" customHeight="1" x14ac:dyDescent="0.2">
      <c r="E27" s="483"/>
      <c r="F27" s="483"/>
      <c r="G27" s="482"/>
      <c r="J27" s="482"/>
      <c r="K27" s="482"/>
      <c r="M27" s="497">
        <f>_xll.qlCalendarAdvance(Calendar,M26,"1M","f",,Trigger)</f>
        <v>42669</v>
      </c>
      <c r="N27" s="488">
        <f>_xll.qlCalendarAdvance(Calendar,M27,"3M","mf",,Trigger)</f>
        <v>42761</v>
      </c>
      <c r="O27" s="490" t="str">
        <f>_xll.qlMakeDatedOIS(,M27,N27,OvernightIndex,0,,,,EvaluationDate)</f>
        <v>obj_00411#0001</v>
      </c>
      <c r="P27" s="490" t="b">
        <f>_xll.qlInstrumentSetPricingEngine(O27,OisEngine)</f>
        <v>1</v>
      </c>
      <c r="Q27" s="489">
        <f>_xll.qlIndexFixing("euribor3m",_xll.qlInterestRateIndexFixingDate("Euribor3M",M27),TRUE,AllTriggers)</f>
        <v>1.8952273562948241E-3</v>
      </c>
      <c r="R27" s="489">
        <f>_xll.qlOvernightIndexedSwapFairRate(O27,AllTriggers)</f>
        <v>5.6586489268752103E-4</v>
      </c>
      <c r="S27" s="491">
        <f t="shared" si="2"/>
        <v>1.3293624636073031E-3</v>
      </c>
    </row>
    <row r="28" spans="5:19" ht="11.25" customHeight="1" x14ac:dyDescent="0.2">
      <c r="E28" s="483"/>
      <c r="F28" s="483"/>
      <c r="G28" s="482"/>
      <c r="J28" s="482"/>
      <c r="K28" s="482"/>
      <c r="M28" s="497">
        <f>_xll.qlCalendarAdvance(Calendar,M27,"1M","f",,Trigger)</f>
        <v>42702</v>
      </c>
      <c r="N28" s="488">
        <f>_xll.qlCalendarAdvance(Calendar,M28,"3M","mf",,Trigger)</f>
        <v>42794</v>
      </c>
      <c r="O28" s="490" t="str">
        <f>_xll.qlMakeDatedOIS(,M28,N28,OvernightIndex,0,,,,EvaluationDate)</f>
        <v>obj_00413#0001</v>
      </c>
      <c r="P28" s="490" t="b">
        <f>_xll.qlInstrumentSetPricingEngine(O28,OisEngine)</f>
        <v>1</v>
      </c>
      <c r="Q28" s="489">
        <f>_xll.qlIndexFixing("euribor3m",_xll.qlInterestRateIndexFixingDate("Euribor3M",M28),TRUE,AllTriggers)</f>
        <v>2.0431035526480776E-3</v>
      </c>
      <c r="R28" s="489">
        <f>_xll.qlOvernightIndexedSwapFairRate(O28,AllTriggers)</f>
        <v>5.6586489268838991E-4</v>
      </c>
      <c r="S28" s="491">
        <f t="shared" si="2"/>
        <v>1.4772386599596877E-3</v>
      </c>
    </row>
    <row r="29" spans="5:19" ht="11.25" customHeight="1" x14ac:dyDescent="0.2">
      <c r="E29" s="483"/>
      <c r="F29" s="483"/>
      <c r="G29" s="482"/>
      <c r="J29" s="482"/>
      <c r="K29" s="482"/>
      <c r="M29" s="497">
        <f>_xll.qlCalendarAdvance(Calendar,M28,"1M","f",,Trigger)</f>
        <v>42732</v>
      </c>
      <c r="N29" s="488">
        <f>_xll.qlCalendarAdvance(Calendar,M29,"3M","mf",,Trigger)</f>
        <v>42822</v>
      </c>
      <c r="O29" s="490" t="str">
        <f>_xll.qlMakeDatedOIS(,M29,N29,OvernightIndex,0,,,,EvaluationDate)</f>
        <v>obj_00415#0001</v>
      </c>
      <c r="P29" s="490" t="b">
        <f>_xll.qlInstrumentSetPricingEngine(O29,OisEngine)</f>
        <v>1</v>
      </c>
      <c r="Q29" s="489">
        <f>_xll.qlIndexFixing("euribor3m",_xll.qlInterestRateIndexFixingDate("Euribor3M",M29),TRUE,AllTriggers)</f>
        <v>2.1797823795708382E-3</v>
      </c>
      <c r="R29" s="489">
        <f>_xll.qlOvernightIndexedSwapFairRate(O29,AllTriggers)</f>
        <v>5.6586400327862663E-4</v>
      </c>
      <c r="S29" s="491">
        <f t="shared" si="2"/>
        <v>1.6139183762922116E-3</v>
      </c>
    </row>
    <row r="30" spans="5:19" ht="11.25" customHeight="1" x14ac:dyDescent="0.2">
      <c r="E30" s="483"/>
      <c r="F30" s="483"/>
      <c r="G30" s="482"/>
      <c r="J30" s="482"/>
      <c r="K30" s="482"/>
      <c r="M30" s="497">
        <f>_xll.qlCalendarAdvance(Calendar,M29,"1M","f",,Trigger)</f>
        <v>42765</v>
      </c>
      <c r="N30" s="488">
        <f>_xll.qlCalendarAdvance(Calendar,M30,"3M","mf",,Trigger)</f>
        <v>42853</v>
      </c>
      <c r="O30" s="490" t="str">
        <f>_xll.qlMakeDatedOIS(,M30,N30,OvernightIndex,0,,,,EvaluationDate)</f>
        <v>obj_00417#0001</v>
      </c>
      <c r="P30" s="490" t="b">
        <f>_xll.qlInstrumentSetPricingEngine(O30,OisEngine)</f>
        <v>1</v>
      </c>
      <c r="Q30" s="489">
        <f>_xll.qlIndexFixing("euribor3m",_xll.qlInterestRateIndexFixingDate("Euribor3M",M30),TRUE,AllTriggers)</f>
        <v>2.3380561210994966E-3</v>
      </c>
      <c r="R30" s="489">
        <f>_xll.qlOvernightIndexedSwapFairRate(O30,AllTriggers)</f>
        <v>5.6586311387062484E-4</v>
      </c>
      <c r="S30" s="491">
        <f t="shared" si="2"/>
        <v>1.7721930072288716E-3</v>
      </c>
    </row>
    <row r="31" spans="5:19" ht="11.25" customHeight="1" x14ac:dyDescent="0.2">
      <c r="E31" s="483"/>
      <c r="F31" s="483"/>
      <c r="G31" s="482"/>
      <c r="J31" s="482"/>
      <c r="K31" s="482"/>
      <c r="M31" s="497">
        <f>_xll.qlCalendarAdvance(Calendar,M30,"1M","f",,Trigger)</f>
        <v>42794</v>
      </c>
      <c r="N31" s="488">
        <f>_xll.qlCalendarAdvance(Calendar,M31,"3M","mf",,Trigger)</f>
        <v>42884</v>
      </c>
      <c r="O31" s="490" t="str">
        <f>_xll.qlMakeDatedOIS(,M31,N31,OvernightIndex,0,,,,EvaluationDate)</f>
        <v>obj_00418#0001</v>
      </c>
      <c r="P31" s="490" t="b">
        <f>_xll.qlInstrumentSetPricingEngine(O31,OisEngine)</f>
        <v>1</v>
      </c>
      <c r="Q31" s="489">
        <f>_xll.qlIndexFixing("euribor3m",_xll.qlInterestRateIndexFixingDate("Euribor3M",M31),TRUE,AllTriggers)</f>
        <v>2.499217483791517E-3</v>
      </c>
      <c r="R31" s="489">
        <f>_xll.qlOvernightIndexedSwapFairRate(O31,AllTriggers)</f>
        <v>5.6586400327862663E-4</v>
      </c>
      <c r="S31" s="491">
        <f t="shared" si="2"/>
        <v>1.9333534805128904E-3</v>
      </c>
    </row>
    <row r="32" spans="5:19" ht="11.25" customHeight="1" x14ac:dyDescent="0.2">
      <c r="E32" s="483"/>
      <c r="F32" s="483"/>
      <c r="G32" s="482"/>
      <c r="J32" s="482"/>
      <c r="K32" s="482"/>
      <c r="M32" s="497">
        <f>_xll.qlCalendarAdvance(Calendar,M31,"1M","f",,Trigger)</f>
        <v>42822</v>
      </c>
      <c r="N32" s="488">
        <f>_xll.qlCalendarAdvance(Calendar,M32,"3M","mf",,Trigger)</f>
        <v>42914</v>
      </c>
      <c r="O32" s="490" t="str">
        <f>_xll.qlMakeDatedOIS(,M32,N32,OvernightIndex,0,,,,EvaluationDate)</f>
        <v>obj_0041a#0001</v>
      </c>
      <c r="P32" s="490" t="b">
        <f>_xll.qlInstrumentSetPricingEngine(O32,OisEngine)</f>
        <v>1</v>
      </c>
      <c r="Q32" s="489">
        <f>_xll.qlIndexFixing("euribor3m",_xll.qlInterestRateIndexFixingDate("Euribor3M",M32),TRUE,AllTriggers)</f>
        <v>2.6508499520574149E-3</v>
      </c>
      <c r="R32" s="489">
        <f>_xll.qlOvernightIndexedSwapFairRate(O32,AllTriggers)</f>
        <v>5.658648926883898E-4</v>
      </c>
      <c r="S32" s="491">
        <f t="shared" si="2"/>
        <v>2.084985059369025E-3</v>
      </c>
    </row>
    <row r="33" spans="5:19" ht="11.25" customHeight="1" x14ac:dyDescent="0.2">
      <c r="E33" s="483"/>
      <c r="F33" s="483"/>
      <c r="G33" s="482"/>
      <c r="J33" s="482"/>
      <c r="K33" s="482"/>
      <c r="M33" s="497">
        <f>_xll.qlCalendarAdvance(Calendar,M32,"1M","f",,Trigger)</f>
        <v>42853</v>
      </c>
      <c r="N33" s="488">
        <f>_xll.qlCalendarAdvance(Calendar,M33,"3M","mf",,Trigger)</f>
        <v>42944</v>
      </c>
      <c r="O33" s="490" t="str">
        <f>_xll.qlMakeDatedOIS(,M33,N33,OvernightIndex,0,,,,EvaluationDate)</f>
        <v>obj_0041b#0001</v>
      </c>
      <c r="P33" s="490" t="b">
        <f>_xll.qlInstrumentSetPricingEngine(O33,OisEngine)</f>
        <v>1</v>
      </c>
      <c r="Q33" s="489">
        <f>_xll.qlIndexFixing("euribor3m",_xll.qlInterestRateIndexFixingDate("Euribor3M",M33),TRUE,AllTriggers)</f>
        <v>2.8316090807337631E-3</v>
      </c>
      <c r="R33" s="489">
        <f>_xll.qlOvernightIndexedSwapFairRate(O33,AllTriggers)</f>
        <v>5.6586444798373454E-4</v>
      </c>
      <c r="S33" s="491">
        <f t="shared" si="2"/>
        <v>2.2657446327500287E-3</v>
      </c>
    </row>
    <row r="34" spans="5:19" ht="11.25" customHeight="1" x14ac:dyDescent="0.2">
      <c r="E34" s="483"/>
      <c r="F34" s="483"/>
      <c r="G34" s="482"/>
      <c r="J34" s="482"/>
      <c r="K34" s="482"/>
      <c r="M34" s="497">
        <f>_xll.qlCalendarAdvance(Calendar,M33,"1M","f",,Trigger)</f>
        <v>42884</v>
      </c>
      <c r="N34" s="488">
        <f>_xll.qlCalendarAdvance(Calendar,M34,"3M","mf",,Trigger)</f>
        <v>42976</v>
      </c>
      <c r="O34" s="490" t="str">
        <f>_xll.qlMakeDatedOIS(,M34,N34,OvernightIndex,0,,,,EvaluationDate)</f>
        <v>obj_0041d#0001</v>
      </c>
      <c r="P34" s="490" t="b">
        <f>_xll.qlInstrumentSetPricingEngine(O34,OisEngine)</f>
        <v>1</v>
      </c>
      <c r="Q34" s="489">
        <f>_xll.qlIndexFixing("euribor3m",_xll.qlInterestRateIndexFixingDate("Euribor3M",M34),TRUE,AllTriggers)</f>
        <v>3.0078952186585188E-3</v>
      </c>
      <c r="R34" s="489">
        <f>_xll.qlOvernightIndexedSwapFairRate(O34,AllTriggers)</f>
        <v>5.6586489268752103E-4</v>
      </c>
      <c r="S34" s="491">
        <f t="shared" si="2"/>
        <v>2.442030325970998E-3</v>
      </c>
    </row>
    <row r="35" spans="5:19" ht="11.25" customHeight="1" x14ac:dyDescent="0.2">
      <c r="E35" s="483"/>
      <c r="F35" s="483"/>
      <c r="G35" s="482"/>
      <c r="J35" s="482"/>
      <c r="K35" s="482"/>
      <c r="M35" s="497">
        <f>_xll.qlCalendarAdvance(Calendar,M34,"1M","f",,Trigger)</f>
        <v>42915</v>
      </c>
      <c r="N35" s="488">
        <f>_xll.qlCalendarAdvance(Calendar,M35,"3M","mf",,Trigger)</f>
        <v>43007</v>
      </c>
      <c r="O35" s="490" t="str">
        <f>_xll.qlMakeDatedOIS(,M35,N35,OvernightIndex,0,,,,EvaluationDate)</f>
        <v>obj_0041e#0001</v>
      </c>
      <c r="P35" s="490" t="b">
        <f>_xll.qlInstrumentSetPricingEngine(O35,OisEngine)</f>
        <v>1</v>
      </c>
      <c r="Q35" s="489">
        <f>_xll.qlIndexFixing("euribor3m",_xll.qlInterestRateIndexFixingDate("Euribor3M",M35),TRUE,AllTriggers)</f>
        <v>3.1973913986660389E-3</v>
      </c>
      <c r="R35" s="489">
        <f>_xll.qlOvernightIndexedSwapFairRate(O35,AllTriggers)</f>
        <v>9.8999419669369899E-4</v>
      </c>
      <c r="S35" s="491">
        <f t="shared" si="2"/>
        <v>2.2073972019723397E-3</v>
      </c>
    </row>
    <row r="36" spans="5:19" ht="11.25" customHeight="1" x14ac:dyDescent="0.2">
      <c r="E36" s="483"/>
      <c r="F36" s="483"/>
      <c r="G36" s="482"/>
      <c r="J36" s="482"/>
      <c r="K36" s="482"/>
      <c r="M36" s="497">
        <f>_xll.qlCalendarAdvance(Calendar,M35,"1M","f",,Trigger)</f>
        <v>42947</v>
      </c>
      <c r="N36" s="488">
        <f>_xll.qlCalendarAdvance(Calendar,M36,"3M","mf",,Trigger)</f>
        <v>43039</v>
      </c>
      <c r="O36" s="490" t="str">
        <f>_xll.qlMakeDatedOIS(,M36,N36,OvernightIndex,0,,,,EvaluationDate)</f>
        <v>obj_00420#0001</v>
      </c>
      <c r="P36" s="490" t="b">
        <f>_xll.qlInstrumentSetPricingEngine(O36,OisEngine)</f>
        <v>1</v>
      </c>
      <c r="Q36" s="489">
        <f>_xll.qlIndexFixing("euribor3m",_xll.qlInterestRateIndexFixingDate("Euribor3M",M36),TRUE,AllTriggers)</f>
        <v>3.4001697050470899E-3</v>
      </c>
      <c r="R36" s="489">
        <f>_xll.qlOvernightIndexedSwapFairRate(O36,AllTriggers)</f>
        <v>1.7441153431383707E-3</v>
      </c>
      <c r="S36" s="491">
        <f t="shared" si="2"/>
        <v>1.6560543619087193E-3</v>
      </c>
    </row>
    <row r="37" spans="5:19" ht="11.25" customHeight="1" x14ac:dyDescent="0.2">
      <c r="E37" s="483"/>
      <c r="F37" s="483"/>
      <c r="G37" s="482"/>
      <c r="J37" s="482"/>
      <c r="K37" s="482"/>
      <c r="M37" s="497">
        <f>_xll.qlCalendarAdvance(Calendar,M36,"1M","f",,Trigger)</f>
        <v>42978</v>
      </c>
      <c r="N37" s="488">
        <f>_xll.qlCalendarAdvance(Calendar,M37,"3M","mf",,Trigger)</f>
        <v>43069</v>
      </c>
      <c r="O37" s="490" t="str">
        <f>_xll.qlMakeDatedOIS(,M37,N37,OvernightIndex,0,,,,EvaluationDate)</f>
        <v>obj_00422#0001</v>
      </c>
      <c r="P37" s="490" t="b">
        <f>_xll.qlInstrumentSetPricingEngine(O37,OisEngine)</f>
        <v>1</v>
      </c>
      <c r="Q37" s="489">
        <f>_xll.qlIndexFixing("euribor3m",_xll.qlInterestRateIndexFixingDate("Euribor3M",M37),TRUE,AllTriggers)</f>
        <v>3.5993490765748163E-3</v>
      </c>
      <c r="R37" s="489">
        <f>_xll.qlOvernightIndexedSwapFairRate(O37,AllTriggers)</f>
        <v>2.4719507988080936E-3</v>
      </c>
      <c r="S37" s="491">
        <f t="shared" si="2"/>
        <v>1.1273982777667228E-3</v>
      </c>
    </row>
    <row r="38" spans="5:19" ht="11.25" customHeight="1" x14ac:dyDescent="0.2">
      <c r="E38" s="483"/>
      <c r="F38" s="483"/>
      <c r="G38" s="482"/>
      <c r="J38" s="482"/>
      <c r="K38" s="482"/>
      <c r="M38" s="497">
        <f>_xll.qlCalendarAdvance(Calendar,M37,"1M","f",,Trigger)</f>
        <v>43010</v>
      </c>
      <c r="N38" s="488">
        <f>_xll.qlCalendarAdvance(Calendar,M38,"3M","mf",,Trigger)</f>
        <v>43102</v>
      </c>
      <c r="O38" s="490" t="str">
        <f>_xll.qlMakeDatedOIS(,M38,N38,OvernightIndex,0,,,,EvaluationDate)</f>
        <v>obj_00424#0001</v>
      </c>
      <c r="P38" s="490" t="b">
        <f>_xll.qlInstrumentSetPricingEngine(O38,OisEngine)</f>
        <v>1</v>
      </c>
      <c r="Q38" s="489">
        <f>_xll.qlIndexFixing("euribor3m",_xll.qlInterestRateIndexFixingDate("Euribor3M",M38),TRUE,AllTriggers)</f>
        <v>3.8172557431497183E-3</v>
      </c>
      <c r="R38" s="489">
        <f>_xll.qlOvernightIndexedSwapFairRate(O38,AllTriggers)</f>
        <v>2.7341198523576854E-3</v>
      </c>
      <c r="S38" s="491">
        <f t="shared" si="2"/>
        <v>1.0831358907920328E-3</v>
      </c>
    </row>
    <row r="39" spans="5:19" ht="11.25" customHeight="1" x14ac:dyDescent="0.2">
      <c r="E39" s="483"/>
      <c r="F39" s="483"/>
      <c r="G39" s="482"/>
      <c r="J39" s="482"/>
      <c r="K39" s="482"/>
      <c r="M39" s="497">
        <f>_xll.qlCalendarAdvance(Calendar,M38,"1M","f",,Trigger)</f>
        <v>43041</v>
      </c>
      <c r="N39" s="488">
        <f>_xll.qlCalendarAdvance(Calendar,M39,"3M","mf",,Trigger)</f>
        <v>43133</v>
      </c>
      <c r="O39" s="490" t="str">
        <f>_xll.qlMakeDatedOIS(,M39,N39,OvernightIndex,0,,,,EvaluationDate)</f>
        <v>obj_00426#0001</v>
      </c>
      <c r="P39" s="490" t="b">
        <f>_xll.qlInstrumentSetPricingEngine(O39,OisEngine)</f>
        <v>1</v>
      </c>
      <c r="Q39" s="489">
        <f>_xll.qlIndexFixing("euribor3m",_xll.qlInterestRateIndexFixingDate("Euribor3M",M39),TRUE,AllTriggers)</f>
        <v>4.0300537823950476E-3</v>
      </c>
      <c r="R39" s="489">
        <f>_xll.qlOvernightIndexedSwapFairRate(O39,AllTriggers)</f>
        <v>2.7341198523576859E-3</v>
      </c>
      <c r="S39" s="491">
        <f t="shared" si="2"/>
        <v>1.2959339300373618E-3</v>
      </c>
    </row>
    <row r="40" spans="5:19" ht="11.25" customHeight="1" x14ac:dyDescent="0.2">
      <c r="E40" s="483"/>
      <c r="F40" s="483"/>
      <c r="G40" s="482"/>
      <c r="J40" s="482"/>
      <c r="K40" s="482"/>
      <c r="M40" s="497">
        <f>_xll.qlCalendarAdvance(Calendar,M39,"1M","f",,Trigger)</f>
        <v>43073</v>
      </c>
      <c r="N40" s="488">
        <f>_xll.qlCalendarAdvance(Calendar,M40,"3M","mf",,Trigger)</f>
        <v>43164</v>
      </c>
      <c r="O40" s="490" t="str">
        <f>_xll.qlMakeDatedOIS(,M40,N40,OvernightIndex,0,,,,EvaluationDate)</f>
        <v>obj_00428#0001</v>
      </c>
      <c r="P40" s="490" t="b">
        <f>_xll.qlInstrumentSetPricingEngine(O40,OisEngine)</f>
        <v>1</v>
      </c>
      <c r="Q40" s="489">
        <f>_xll.qlIndexFixing("euribor3m",_xll.qlInterestRateIndexFixingDate("Euribor3M",M40),TRUE,AllTriggers)</f>
        <v>4.2512184430308188E-3</v>
      </c>
      <c r="R40" s="489">
        <f>_xll.qlOvernightIndexedSwapFairRate(O40,AllTriggers)</f>
        <v>2.7341094722845823E-3</v>
      </c>
      <c r="S40" s="491">
        <f t="shared" si="2"/>
        <v>1.5171089707462365E-3</v>
      </c>
    </row>
    <row r="41" spans="5:19" ht="11.25" customHeight="1" x14ac:dyDescent="0.2">
      <c r="E41" s="483"/>
      <c r="F41" s="483"/>
      <c r="G41" s="482"/>
      <c r="J41" s="482"/>
      <c r="K41" s="482"/>
      <c r="M41" s="497">
        <f>_xll.qlCalendarAdvance(Calendar,M40,"1M","f",,Trigger)</f>
        <v>43104</v>
      </c>
      <c r="N41" s="488">
        <f>_xll.qlCalendarAdvance(Calendar,M41,"3M","mf",,Trigger)</f>
        <v>43194</v>
      </c>
      <c r="O41" s="490" t="str">
        <f>_xll.qlMakeDatedOIS(,M41,N41,OvernightIndex,0,,,,EvaluationDate)</f>
        <v>obj_0042a#0001</v>
      </c>
      <c r="P41" s="490" t="b">
        <f>_xll.qlInstrumentSetPricingEngine(O41,OisEngine)</f>
        <v>1</v>
      </c>
      <c r="Q41" s="489">
        <f>_xll.qlIndexFixing("euribor3m",_xll.qlInterestRateIndexFixingDate("Euribor3M",M41),TRUE,AllTriggers)</f>
        <v>4.4701566213438682E-3</v>
      </c>
      <c r="R41" s="489">
        <f>_xll.qlOvernightIndexedSwapFairRate(O41,AllTriggers)</f>
        <v>2.7340990922652963E-3</v>
      </c>
      <c r="S41" s="491">
        <f t="shared" si="2"/>
        <v>1.7360575290785718E-3</v>
      </c>
    </row>
    <row r="42" spans="5:19" ht="11.25" customHeight="1" x14ac:dyDescent="0.2">
      <c r="E42" s="483"/>
      <c r="F42" s="483"/>
      <c r="G42" s="482"/>
      <c r="J42" s="482"/>
      <c r="K42" s="482"/>
      <c r="M42" s="497">
        <f>_xll.qlCalendarAdvance(Calendar,M41,"1M","f",,Trigger)</f>
        <v>43136</v>
      </c>
      <c r="N42" s="488">
        <f>_xll.qlCalendarAdvance(Calendar,M42,"3M","mf",,Trigger)</f>
        <v>43227</v>
      </c>
      <c r="O42" s="490" t="str">
        <f>_xll.qlMakeDatedOIS(,M42,N42,OvernightIndex,0,,,,EvaluationDate)</f>
        <v>obj_0042c#0001</v>
      </c>
      <c r="P42" s="490" t="b">
        <f>_xll.qlInstrumentSetPricingEngine(O42,OisEngine)</f>
        <v>1</v>
      </c>
      <c r="Q42" s="489">
        <f>_xll.qlIndexFixing("euribor3m",_xll.qlInterestRateIndexFixingDate("Euribor3M",M42),TRUE,AllTriggers)</f>
        <v>4.7087872041226284E-3</v>
      </c>
      <c r="R42" s="489">
        <f>_xll.qlOvernightIndexedSwapFairRate(O42,AllTriggers)</f>
        <v>2.7341094722854605E-3</v>
      </c>
      <c r="S42" s="491">
        <f t="shared" si="2"/>
        <v>1.9746777318371679E-3</v>
      </c>
    </row>
    <row r="43" spans="5:19" ht="11.25" customHeight="1" x14ac:dyDescent="0.2">
      <c r="E43" s="483"/>
      <c r="F43" s="483"/>
      <c r="G43" s="482"/>
      <c r="J43" s="482"/>
      <c r="K43" s="482"/>
      <c r="M43" s="497">
        <f>_xll.qlCalendarAdvance(Calendar,M42,"1M","f",,Trigger)</f>
        <v>43164</v>
      </c>
      <c r="N43" s="488">
        <f>_xll.qlCalendarAdvance(Calendar,M43,"3M","mf",,Trigger)</f>
        <v>43256</v>
      </c>
      <c r="O43" s="490" t="str">
        <f>_xll.qlMakeDatedOIS(,M43,N43,OvernightIndex,0,,,,EvaluationDate)</f>
        <v>obj_0042e#0001</v>
      </c>
      <c r="P43" s="490" t="b">
        <f>_xll.qlInstrumentSetPricingEngine(O43,OisEngine)</f>
        <v>1</v>
      </c>
      <c r="Q43" s="489">
        <f>_xll.qlIndexFixing("euribor3m",_xll.qlInterestRateIndexFixingDate("Euribor3M",M43),TRUE,AllTriggers)</f>
        <v>4.9224779420511114E-3</v>
      </c>
      <c r="R43" s="489">
        <f>_xll.qlOvernightIndexedSwapFairRate(O43,AllTriggers)</f>
        <v>2.7341198523568168E-3</v>
      </c>
      <c r="S43" s="491">
        <f t="shared" si="2"/>
        <v>2.1883580896942946E-3</v>
      </c>
    </row>
    <row r="44" spans="5:19" ht="11.25" customHeight="1" x14ac:dyDescent="0.2">
      <c r="E44" s="483"/>
      <c r="F44" s="483"/>
      <c r="G44" s="482"/>
      <c r="J44" s="482"/>
      <c r="K44" s="482"/>
      <c r="M44" s="497">
        <f>_xll.qlCalendarAdvance(Calendar,M43,"1M","f",,Trigger)</f>
        <v>43195</v>
      </c>
      <c r="N44" s="488">
        <f>_xll.qlCalendarAdvance(Calendar,M44,"3M","mf",,Trigger)</f>
        <v>43286</v>
      </c>
      <c r="O44" s="490" t="str">
        <f>_xll.qlMakeDatedOIS(,M44,N44,OvernightIndex,0,,,,EvaluationDate)</f>
        <v>obj_00430#0001</v>
      </c>
      <c r="P44" s="490" t="b">
        <f>_xll.qlInstrumentSetPricingEngine(O44,OisEngine)</f>
        <v>1</v>
      </c>
      <c r="Q44" s="489">
        <f>_xll.qlIndexFixing("euribor3m",_xll.qlInterestRateIndexFixingDate("Euribor3M",M44),TRUE,AllTriggers)</f>
        <v>5.1555862682367013E-3</v>
      </c>
      <c r="R44" s="489">
        <f>_xll.qlOvernightIndexedSwapFairRate(O44,AllTriggers)</f>
        <v>2.7341094722854609E-3</v>
      </c>
      <c r="S44" s="491">
        <f t="shared" si="2"/>
        <v>2.4214767959512403E-3</v>
      </c>
    </row>
    <row r="45" spans="5:19" ht="11.25" customHeight="1" x14ac:dyDescent="0.2">
      <c r="E45" s="483"/>
      <c r="F45" s="483"/>
      <c r="G45" s="482"/>
      <c r="J45" s="482"/>
      <c r="K45" s="482"/>
      <c r="M45" s="497">
        <f>_xll.qlCalendarAdvance(Calendar,M44,"1M","f",,Trigger)</f>
        <v>43227</v>
      </c>
      <c r="N45" s="488">
        <f>_xll.qlCalendarAdvance(Calendar,M45,"3M","mf",,Trigger)</f>
        <v>43319</v>
      </c>
      <c r="O45" s="490" t="str">
        <f>_xll.qlMakeDatedOIS(,M45,N45,OvernightIndex,0,,,,EvaluationDate)</f>
        <v>obj_00432#0001</v>
      </c>
      <c r="P45" s="490" t="b">
        <f>_xll.qlInstrumentSetPricingEngine(O45,OisEngine)</f>
        <v>1</v>
      </c>
      <c r="Q45" s="489">
        <f>_xll.qlIndexFixing("euribor3m",_xll.qlInterestRateIndexFixingDate("Euribor3M",M45),TRUE,AllTriggers)</f>
        <v>5.4093389323480691E-3</v>
      </c>
      <c r="R45" s="489">
        <f>_xll.qlOvernightIndexedSwapFairRate(O45,AllTriggers)</f>
        <v>2.7341198523568168E-3</v>
      </c>
      <c r="S45" s="491">
        <f t="shared" si="2"/>
        <v>2.6752190799912523E-3</v>
      </c>
    </row>
    <row r="46" spans="5:19" ht="11.25" customHeight="1" x14ac:dyDescent="0.2">
      <c r="E46" s="483"/>
      <c r="F46" s="483"/>
      <c r="G46" s="482"/>
      <c r="J46" s="482"/>
      <c r="K46" s="482"/>
      <c r="M46" s="497">
        <f>_xll.qlCalendarAdvance(Calendar,M45,"1M","f",,Trigger)</f>
        <v>43258</v>
      </c>
      <c r="N46" s="488">
        <f>_xll.qlCalendarAdvance(Calendar,M46,"3M","mf",,Trigger)</f>
        <v>43350</v>
      </c>
      <c r="O46" s="490" t="str">
        <f>_xll.qlMakeDatedOIS(,M46,N46,OvernightIndex,0,,,,EvaluationDate)</f>
        <v>obj_00434#0001</v>
      </c>
      <c r="P46" s="490" t="b">
        <f>_xll.qlInstrumentSetPricingEngine(O46,OisEngine)</f>
        <v>1</v>
      </c>
      <c r="Q46" s="489">
        <f>_xll.qlIndexFixing("euribor3m",_xll.qlInterestRateIndexFixingDate("Euribor3M",M46),TRUE,AllTriggers)</f>
        <v>5.6563106157470075E-3</v>
      </c>
      <c r="R46" s="489">
        <f>_xll.qlOvernightIndexedSwapFairRate(O46,AllTriggers)</f>
        <v>2.7341198523568172E-3</v>
      </c>
      <c r="S46" s="491">
        <f t="shared" si="2"/>
        <v>2.9221907633901903E-3</v>
      </c>
    </row>
    <row r="47" spans="5:19" ht="11.25" customHeight="1" x14ac:dyDescent="0.2">
      <c r="E47" s="483"/>
      <c r="F47" s="483"/>
      <c r="G47" s="482"/>
      <c r="J47" s="482"/>
      <c r="K47" s="482"/>
      <c r="M47" s="497">
        <f>_xll.qlCalendarAdvance(Calendar,M46,"1M","f",,Trigger)</f>
        <v>43290</v>
      </c>
      <c r="N47" s="488">
        <f>_xll.qlCalendarAdvance(Calendar,M47,"3M","mf",,Trigger)</f>
        <v>43382</v>
      </c>
      <c r="O47" s="490" t="str">
        <f>_xll.qlMakeDatedOIS(,M47,N47,OvernightIndex,0,,,,EvaluationDate)</f>
        <v>obj_00436#0001</v>
      </c>
      <c r="P47" s="490" t="b">
        <f>_xll.qlInstrumentSetPricingEngine(O47,OisEngine)</f>
        <v>1</v>
      </c>
      <c r="Q47" s="489">
        <f>_xll.qlIndexFixing("euribor3m",_xll.qlInterestRateIndexFixingDate("Euribor3M",M47),TRUE,AllTriggers)</f>
        <v>5.9161792629419917E-3</v>
      </c>
      <c r="R47" s="489">
        <f>_xll.qlOvernightIndexedSwapFairRate(O47,AllTriggers)</f>
        <v>3.587544110013728E-3</v>
      </c>
      <c r="S47" s="491">
        <f t="shared" si="2"/>
        <v>2.3286351529282637E-3</v>
      </c>
    </row>
    <row r="48" spans="5:19" ht="11.25" customHeight="1" x14ac:dyDescent="0.2">
      <c r="E48" s="483"/>
      <c r="F48" s="483"/>
      <c r="G48" s="482"/>
      <c r="J48" s="482"/>
      <c r="K48" s="482"/>
      <c r="M48" s="497">
        <f>_xll.qlCalendarAdvance(Calendar,M47,"1M","f",,Trigger)</f>
        <v>43321</v>
      </c>
      <c r="N48" s="488">
        <f>_xll.qlCalendarAdvance(Calendar,M48,"3M","mf",,Trigger)</f>
        <v>43413</v>
      </c>
      <c r="O48" s="490" t="str">
        <f>_xll.qlMakeDatedOIS(,M48,N48,OvernightIndex,0,,,,EvaluationDate)</f>
        <v>obj_00438#0001</v>
      </c>
      <c r="P48" s="490" t="b">
        <f>_xll.qlInstrumentSetPricingEngine(O48,OisEngine)</f>
        <v>1</v>
      </c>
      <c r="Q48" s="489">
        <f>_xll.qlIndexFixing("euribor3m",_xll.qlInterestRateIndexFixingDate("Euribor3M",M48),TRUE,AllTriggers)</f>
        <v>6.1715538746931961E-3</v>
      </c>
      <c r="R48" s="489">
        <f>_xll.qlOvernightIndexedSwapFairRate(O48,AllTriggers)</f>
        <v>4.500030897294228E-3</v>
      </c>
      <c r="S48" s="491">
        <f t="shared" si="2"/>
        <v>1.6715229773989681E-3</v>
      </c>
    </row>
    <row r="49" spans="5:20" ht="11.25" customHeight="1" x14ac:dyDescent="0.2">
      <c r="E49" s="483"/>
      <c r="F49" s="483"/>
      <c r="G49" s="482"/>
      <c r="J49" s="482"/>
      <c r="K49" s="482"/>
      <c r="M49" s="497">
        <f>_xll.qlCalendarAdvance(Calendar,M48,"1M","f",,Trigger)</f>
        <v>43353</v>
      </c>
      <c r="N49" s="488">
        <f>_xll.qlCalendarAdvance(Calendar,M49,"3M","mf",,Trigger)</f>
        <v>43444</v>
      </c>
      <c r="O49" s="490" t="str">
        <f>_xll.qlMakeDatedOIS(,M49,N49,OvernightIndex,0,,,,EvaluationDate)</f>
        <v>obj_0043a#0001</v>
      </c>
      <c r="P49" s="490" t="b">
        <f>_xll.qlInstrumentSetPricingEngine(O49,OisEngine)</f>
        <v>1</v>
      </c>
      <c r="Q49" s="489">
        <f>_xll.qlIndexFixing("euribor3m",_xll.qlInterestRateIndexFixingDate("Euribor3M",M49),TRUE,AllTriggers)</f>
        <v>6.4331595265564329E-3</v>
      </c>
      <c r="R49" s="489">
        <f>_xll.qlOvernightIndexedSwapFairRate(O49,AllTriggers)</f>
        <v>5.4421346129742672E-3</v>
      </c>
      <c r="S49" s="491">
        <f t="shared" si="2"/>
        <v>9.9102491358216572E-4</v>
      </c>
    </row>
    <row r="50" spans="5:20" ht="11.25" customHeight="1" x14ac:dyDescent="0.2">
      <c r="E50" s="483"/>
      <c r="F50" s="483"/>
      <c r="G50" s="482"/>
      <c r="J50" s="482"/>
      <c r="K50" s="482"/>
      <c r="M50" s="497">
        <f>_xll.qlCalendarAdvance(Calendar,M49,"1M","f",,Trigger)</f>
        <v>43383</v>
      </c>
      <c r="N50" s="488">
        <f>_xll.qlCalendarAdvance(Calendar,M50,"3M","mf",,Trigger)</f>
        <v>43475</v>
      </c>
      <c r="O50" s="490" t="str">
        <f>_xll.qlMakeDatedOIS(,M50,N50,OvernightIndex,0,,,,EvaluationDate)</f>
        <v>obj_0043c#0001</v>
      </c>
      <c r="P50" s="490" t="b">
        <f>_xll.qlInstrumentSetPricingEngine(O50,OisEngine)</f>
        <v>1</v>
      </c>
      <c r="Q50" s="489">
        <f>_xll.qlIndexFixing("euribor3m",_xll.qlInterestRateIndexFixingDate("Euribor3M",M50),TRUE,AllTriggers)</f>
        <v>6.6874863591464872E-3</v>
      </c>
      <c r="R50" s="489">
        <f>_xll.qlOvernightIndexedSwapFairRate(O50,AllTriggers)</f>
        <v>5.4421757288178217E-3</v>
      </c>
      <c r="S50" s="491">
        <f t="shared" si="2"/>
        <v>1.2453106303286655E-3</v>
      </c>
    </row>
    <row r="51" spans="5:20" ht="11.25" customHeight="1" x14ac:dyDescent="0.2">
      <c r="E51" s="483"/>
      <c r="F51" s="483"/>
      <c r="G51" s="482"/>
      <c r="J51" s="482"/>
      <c r="K51" s="482"/>
      <c r="M51" s="497">
        <f>_xll.qlCalendarAdvance(Calendar,M50,"1M","f",,Trigger)</f>
        <v>43416</v>
      </c>
      <c r="N51" s="488">
        <f>_xll.qlCalendarAdvance(Calendar,M51,"3M","mf",,Trigger)</f>
        <v>43508</v>
      </c>
      <c r="O51" s="490" t="str">
        <f>_xll.qlMakeDatedOIS(,M51,N51,OvernightIndex,0,,,,EvaluationDate)</f>
        <v>obj_0043e#0001</v>
      </c>
      <c r="P51" s="490" t="b">
        <f>_xll.qlInstrumentSetPricingEngine(O51,OisEngine)</f>
        <v>1</v>
      </c>
      <c r="Q51" s="489">
        <f>_xll.qlIndexFixing("euribor3m",_xll.qlInterestRateIndexFixingDate("Euribor3M",M51),TRUE,AllTriggers)</f>
        <v>6.9633126349478089E-3</v>
      </c>
      <c r="R51" s="489">
        <f>_xll.qlOvernightIndexedSwapFairRate(O51,AllTriggers)</f>
        <v>5.4421757288178208E-3</v>
      </c>
      <c r="S51" s="491">
        <f t="shared" si="2"/>
        <v>1.5211369061299881E-3</v>
      </c>
    </row>
    <row r="52" spans="5:20" ht="11.25" customHeight="1" x14ac:dyDescent="0.2">
      <c r="E52" s="483"/>
      <c r="F52" s="483"/>
      <c r="G52" s="482"/>
      <c r="J52" s="482"/>
      <c r="K52" s="482"/>
      <c r="M52" s="497">
        <f>_xll.qlCalendarAdvance(Calendar,M51,"1M","f",,Trigger)</f>
        <v>43446</v>
      </c>
      <c r="N52" s="488">
        <f>_xll.qlCalendarAdvance(Calendar,M52,"3M","mf",,Trigger)</f>
        <v>43536</v>
      </c>
      <c r="O52" s="490" t="str">
        <f>_xll.qlMakeDatedOIS(,M52,N52,OvernightIndex,0,,,,EvaluationDate)</f>
        <v>obj_00440#0001</v>
      </c>
      <c r="P52" s="490" t="b">
        <f>_xll.qlInstrumentSetPricingEngine(O52,OisEngine)</f>
        <v>1</v>
      </c>
      <c r="Q52" s="489">
        <f>_xll.qlIndexFixing("euribor3m",_xll.qlInterestRateIndexFixingDate("Euribor3M",M52),TRUE,AllTriggers)</f>
        <v>7.2061695700336159E-3</v>
      </c>
      <c r="R52" s="489">
        <f>_xll.qlOvernightIndexedSwapFairRate(O52,AllTriggers)</f>
        <v>5.4420934975460966E-3</v>
      </c>
      <c r="S52" s="491">
        <f t="shared" si="2"/>
        <v>1.7640760724875193E-3</v>
      </c>
    </row>
    <row r="53" spans="5:20" ht="11.25" customHeight="1" x14ac:dyDescent="0.2">
      <c r="E53" s="483"/>
      <c r="F53" s="483"/>
      <c r="G53" s="482"/>
      <c r="J53" s="482"/>
      <c r="K53" s="482"/>
      <c r="M53" s="497">
        <f>_xll.qlCalendarAdvance(Calendar,M52,"1M","f",,Trigger)</f>
        <v>43479</v>
      </c>
      <c r="N53" s="488">
        <f>_xll.qlCalendarAdvance(Calendar,M53,"3M","mf",,Trigger)</f>
        <v>43570</v>
      </c>
      <c r="O53" s="490" t="str">
        <f>_xll.qlMakeDatedOIS(,M53,N53,OvernightIndex,0,,,,EvaluationDate)</f>
        <v>obj_00441#0001</v>
      </c>
      <c r="P53" s="490" t="b">
        <f>_xll.qlInstrumentSetPricingEngine(O53,OisEngine)</f>
        <v>1</v>
      </c>
      <c r="Q53" s="489">
        <f>_xll.qlIndexFixing("euribor3m",_xll.qlInterestRateIndexFixingDate("Euribor3M",M53),TRUE,AllTriggers)</f>
        <v>7.4876812201676891E-3</v>
      </c>
      <c r="R53" s="489">
        <f>_xll.qlOvernightIndexedSwapFairRate(O53,AllTriggers)</f>
        <v>5.4421346129742681E-3</v>
      </c>
      <c r="S53" s="491">
        <f t="shared" si="2"/>
        <v>2.0455466071934211E-3</v>
      </c>
    </row>
    <row r="54" spans="5:20" ht="11.25" customHeight="1" x14ac:dyDescent="0.2">
      <c r="E54" s="483"/>
      <c r="F54" s="483"/>
      <c r="G54" s="482"/>
      <c r="J54" s="482"/>
      <c r="K54" s="482"/>
      <c r="M54" s="497">
        <f>_xll.qlCalendarAdvance(Calendar,M53,"1M","f",,Trigger)</f>
        <v>43510</v>
      </c>
      <c r="N54" s="488">
        <f>_xll.qlCalendarAdvance(Calendar,M54,"3M","mf",,Trigger)</f>
        <v>43599</v>
      </c>
      <c r="O54" s="490" t="str">
        <f>_xll.qlMakeDatedOIS(,M54,N54,OvernightIndex,0,,,,EvaluationDate)</f>
        <v>obj_00442#0001</v>
      </c>
      <c r="P54" s="490" t="b">
        <f>_xll.qlInstrumentSetPricingEngine(O54,OisEngine)</f>
        <v>1</v>
      </c>
      <c r="Q54" s="489">
        <f>_xll.qlIndexFixing("euribor3m",_xll.qlInterestRateIndexFixingDate("Euribor3M",M54),TRUE,AllTriggers)</f>
        <v>7.7401910995798058E-3</v>
      </c>
      <c r="R54" s="489">
        <f>_xll.qlOvernightIndexedSwapFairRate(O54,AllTriggers)</f>
        <v>5.4420523825311432E-3</v>
      </c>
      <c r="S54" s="491">
        <f t="shared" si="2"/>
        <v>2.2981387170486626E-3</v>
      </c>
    </row>
    <row r="55" spans="5:20" ht="11.25" customHeight="1" x14ac:dyDescent="0.2">
      <c r="E55" s="483"/>
      <c r="F55" s="483"/>
      <c r="G55" s="482"/>
      <c r="J55" s="482"/>
      <c r="K55" s="482"/>
      <c r="M55" s="497">
        <f>_xll.qlCalendarAdvance(Calendar,M54,"1M","f",,Trigger)</f>
        <v>43538</v>
      </c>
      <c r="N55" s="488">
        <f>_xll.qlCalendarAdvance(Calendar,M55,"3M","mf",,Trigger)</f>
        <v>43630</v>
      </c>
      <c r="O55" s="490" t="str">
        <f>_xll.qlMakeDatedOIS(,M55,N55,OvernightIndex,0,,,,EvaluationDate)</f>
        <v>obj_00444#0001</v>
      </c>
      <c r="P55" s="490" t="b">
        <f>_xll.qlInstrumentSetPricingEngine(O55,OisEngine)</f>
        <v>1</v>
      </c>
      <c r="Q55" s="489">
        <f>_xll.qlIndexFixing("euribor3m",_xll.qlInterestRateIndexFixingDate("Euribor3M",M55),TRUE,AllTriggers)</f>
        <v>7.9895399227619922E-3</v>
      </c>
      <c r="R55" s="489">
        <f>_xll.qlOvernightIndexedSwapFairRate(O55,AllTriggers)</f>
        <v>5.4421757288169526E-3</v>
      </c>
      <c r="S55" s="491">
        <f t="shared" si="2"/>
        <v>2.5473641939450396E-3</v>
      </c>
    </row>
    <row r="56" spans="5:20" ht="11.25" customHeight="1" x14ac:dyDescent="0.2">
      <c r="E56" s="483"/>
      <c r="F56" s="483"/>
      <c r="G56" s="482"/>
      <c r="J56" s="482"/>
      <c r="K56" s="482"/>
      <c r="M56" s="497">
        <f>_xll.qlCalendarAdvance(Calendar,M55,"1M","f",,Trigger)</f>
        <v>43570</v>
      </c>
      <c r="N56" s="488">
        <f>_xll.qlCalendarAdvance(Calendar,M56,"3M","mf",,Trigger)</f>
        <v>43661</v>
      </c>
      <c r="O56" s="490" t="str">
        <f>_xll.qlMakeDatedOIS(,M56,N56,OvernightIndex,0,,,,EvaluationDate)</f>
        <v>obj_00446#0001</v>
      </c>
      <c r="P56" s="490" t="b">
        <f>_xll.qlInstrumentSetPricingEngine(O56,OisEngine)</f>
        <v>1</v>
      </c>
      <c r="Q56" s="489">
        <f>_xll.qlIndexFixing("euribor3m",_xll.qlInterestRateIndexFixingDate("Euribor3M",M56),TRUE,AllTriggers)</f>
        <v>8.2560729284509114E-3</v>
      </c>
      <c r="R56" s="489">
        <f>_xll.qlOvernightIndexedSwapFairRate(O56,AllTriggers)</f>
        <v>5.4421346129742681E-3</v>
      </c>
      <c r="S56" s="491">
        <f t="shared" si="2"/>
        <v>2.8139383154766433E-3</v>
      </c>
    </row>
    <row r="57" spans="5:20" ht="11.25" customHeight="1" x14ac:dyDescent="0.2">
      <c r="E57" s="483"/>
      <c r="F57" s="483"/>
      <c r="G57" s="482"/>
      <c r="J57" s="482"/>
      <c r="K57" s="482"/>
      <c r="M57" s="497">
        <f>_xll.qlCalendarAdvance(Calendar,M56,"1M","f",,Trigger)</f>
        <v>43600</v>
      </c>
      <c r="N57" s="488">
        <f>_xll.qlCalendarAdvance(Calendar,M57,"3M","mf",,Trigger)</f>
        <v>43692</v>
      </c>
      <c r="O57" s="490" t="str">
        <f>_xll.qlMakeDatedOIS(,M57,N57,OvernightIndex,0,,,,EvaluationDate)</f>
        <v>obj_00448#0001</v>
      </c>
      <c r="P57" s="490" t="b">
        <f>_xll.qlInstrumentSetPricingEngine(O57,OisEngine)</f>
        <v>1</v>
      </c>
      <c r="Q57" s="489">
        <f>_xll.qlIndexFixing("euribor3m",_xll.qlInterestRateIndexFixingDate("Euribor3M",M57),TRUE,AllTriggers)</f>
        <v>8.5149919361743077E-3</v>
      </c>
      <c r="R57" s="489">
        <f>_xll.qlOvernightIndexedSwapFairRate(O57,AllTriggers)</f>
        <v>5.4421757288169526E-3</v>
      </c>
      <c r="S57" s="491">
        <f t="shared" si="2"/>
        <v>3.0728162073573552E-3</v>
      </c>
    </row>
    <row r="58" spans="5:20" ht="11.25" customHeight="1" x14ac:dyDescent="0.2">
      <c r="E58" s="483"/>
      <c r="F58" s="483"/>
      <c r="G58" s="482"/>
      <c r="J58" s="482"/>
      <c r="K58" s="482"/>
      <c r="M58" s="497">
        <f>_xll.qlCalendarAdvance(Calendar,M57,"1M","f",,Trigger)</f>
        <v>43633</v>
      </c>
      <c r="N58" s="488">
        <f>_xll.qlCalendarAdvance(Calendar,M58,"3M","mf",,Trigger)</f>
        <v>43725</v>
      </c>
      <c r="O58" s="490" t="str">
        <f>_xll.qlMakeDatedOIS(,M58,N58,OvernightIndex,0,,,,EvaluationDate)</f>
        <v>obj_0044a#0001</v>
      </c>
      <c r="P58" s="490" t="b">
        <f>_xll.qlInstrumentSetPricingEngine(O58,OisEngine)</f>
        <v>1</v>
      </c>
      <c r="Q58" s="489">
        <f>_xll.qlIndexFixing("euribor3m",_xll.qlInterestRateIndexFixingDate("Euribor3M",M58),TRUE,AllTriggers)</f>
        <v>8.7957488268685258E-3</v>
      </c>
      <c r="R58" s="489">
        <f>_xll.qlOvernightIndexedSwapFairRate(O58,AllTriggers)</f>
        <v>5.6952216977730445E-3</v>
      </c>
      <c r="S58" s="491">
        <f t="shared" si="2"/>
        <v>3.1005271290954813E-3</v>
      </c>
    </row>
    <row r="59" spans="5:20" ht="11.25" customHeight="1" x14ac:dyDescent="0.2">
      <c r="E59" s="483"/>
      <c r="F59" s="483"/>
      <c r="G59" s="482"/>
      <c r="J59" s="482"/>
      <c r="K59" s="482"/>
      <c r="M59" s="497">
        <f>_xll.qlCalendarAdvance(Calendar,M58,"1M","f",,Trigger)</f>
        <v>43663</v>
      </c>
      <c r="N59" s="488">
        <f>_xll.qlCalendarAdvance(Calendar,M59,"3M","mf",,Trigger)</f>
        <v>43755</v>
      </c>
      <c r="O59" s="490" t="str">
        <f>_xll.qlMakeDatedOIS(,M59,N59,OvernightIndex,0,,,,EvaluationDate)</f>
        <v>obj_0044c#0001</v>
      </c>
      <c r="P59" s="490" t="b">
        <f>_xll.qlInstrumentSetPricingEngine(O59,OisEngine)</f>
        <v>1</v>
      </c>
      <c r="Q59" s="489">
        <f>_xll.qlIndexFixing("euribor3m",_xll.qlInterestRateIndexFixingDate("Euribor3M",M59),TRUE,AllTriggers)</f>
        <v>9.0518149546693696E-3</v>
      </c>
      <c r="R59" s="489">
        <f>_xll.qlOvernightIndexedSwapFairRate(O59,AllTriggers)</f>
        <v>6.7798895226290285E-3</v>
      </c>
      <c r="S59" s="491">
        <f t="shared" si="2"/>
        <v>2.2719254320403412E-3</v>
      </c>
    </row>
    <row r="60" spans="5:20" ht="11.25" customHeight="1" x14ac:dyDescent="0.2">
      <c r="E60" s="483"/>
      <c r="F60" s="483"/>
      <c r="G60" s="482"/>
      <c r="J60" s="482"/>
      <c r="K60" s="482"/>
      <c r="M60" s="497">
        <f>_xll.qlCalendarAdvance(Calendar,M59,"1M","f",,Trigger)</f>
        <v>43696</v>
      </c>
      <c r="N60" s="488">
        <f>_xll.qlCalendarAdvance(Calendar,M60,"3M","mf",,Trigger)</f>
        <v>43788</v>
      </c>
      <c r="O60" s="490" t="str">
        <f>_xll.qlMakeDatedOIS(,M60,N60,OvernightIndex,0,,,,EvaluationDate)</f>
        <v>obj_0044e#0001</v>
      </c>
      <c r="P60" s="490" t="b">
        <f>_xll.qlInstrumentSetPricingEngine(O60,OisEngine)</f>
        <v>1</v>
      </c>
      <c r="Q60" s="489">
        <f>_xll.qlIndexFixing("euribor3m",_xll.qlInterestRateIndexFixingDate("Euribor3M",M60),TRUE,AllTriggers)</f>
        <v>9.3350647641654103E-3</v>
      </c>
      <c r="R60" s="489">
        <f>_xll.qlOvernightIndexedSwapFairRate(O60,AllTriggers)</f>
        <v>7.9733708933292444E-3</v>
      </c>
      <c r="S60" s="491">
        <f t="shared" si="2"/>
        <v>1.361693870836166E-3</v>
      </c>
    </row>
    <row r="61" spans="5:20" ht="11.25" customHeight="1" x14ac:dyDescent="0.2">
      <c r="E61" s="483"/>
      <c r="F61" s="483"/>
      <c r="G61" s="482"/>
      <c r="J61" s="482"/>
      <c r="K61" s="482"/>
      <c r="M61" s="497">
        <f>_xll.qlCalendarAdvance(Calendar,M60,"1M","f",,Trigger)</f>
        <v>43727</v>
      </c>
      <c r="N61" s="488">
        <f>_xll.qlCalendarAdvance(Calendar,M61,"3M","mf",,Trigger)</f>
        <v>43818</v>
      </c>
      <c r="O61" s="490" t="str">
        <f>_xll.qlMakeDatedOIS(,M61,N61,OvernightIndex,0,,,,EvaluationDate)</f>
        <v>obj_00450#0001</v>
      </c>
      <c r="P61" s="490" t="b">
        <f>_xll.qlInstrumentSetPricingEngine(O61,OisEngine)</f>
        <v>1</v>
      </c>
      <c r="Q61" s="489">
        <f>_xll.qlIndexFixing("euribor3m",_xll.qlInterestRateIndexFixingDate("Euribor3M",M61),TRUE,AllTriggers)</f>
        <v>9.5988329438968997E-3</v>
      </c>
      <c r="R61" s="489">
        <f>_xll.qlOvernightIndexedSwapFairRate(O61,AllTriggers)</f>
        <v>8.7691202890830145E-3</v>
      </c>
      <c r="S61" s="491">
        <f t="shared" si="2"/>
        <v>8.2971265481388522E-4</v>
      </c>
    </row>
    <row r="62" spans="5:20" ht="11.25" customHeight="1" x14ac:dyDescent="0.2">
      <c r="E62" s="483"/>
      <c r="F62" s="483"/>
      <c r="G62" s="482"/>
      <c r="J62" s="482"/>
      <c r="K62" s="482"/>
      <c r="M62" s="497">
        <f>_xll.qlCalendarAdvance(Calendar,M61,"1M","f",,Trigger)</f>
        <v>43759</v>
      </c>
      <c r="N62" s="488">
        <f>_xll.qlCalendarAdvance(Calendar,M62,"3M","mf",,Trigger)</f>
        <v>43851</v>
      </c>
      <c r="O62" s="490" t="str">
        <f>_xll.qlMakeDatedOIS(,M62,N62,OvernightIndex,0,,,,EvaluationDate)</f>
        <v>obj_00452#0001</v>
      </c>
      <c r="P62" s="490" t="b">
        <f>_xll.qlInstrumentSetPricingEngine(O62,OisEngine)</f>
        <v>1</v>
      </c>
      <c r="Q62" s="489">
        <f>_xll.qlIndexFixing("euribor3m",_xll.qlInterestRateIndexFixingDate("Euribor3M",M62),TRUE,AllTriggers)</f>
        <v>9.8829211956802162E-3</v>
      </c>
      <c r="R62" s="489">
        <f>_xll.qlOvernightIndexedSwapFairRate(O62,AllTriggers)</f>
        <v>8.769227013164179E-3</v>
      </c>
      <c r="S62" s="491">
        <f t="shared" si="2"/>
        <v>1.1136941825160371E-3</v>
      </c>
    </row>
    <row r="63" spans="5:20" ht="11.25" customHeight="1" x14ac:dyDescent="0.2">
      <c r="E63" s="483"/>
      <c r="F63" s="483"/>
      <c r="G63" s="482"/>
      <c r="J63" s="482"/>
      <c r="K63" s="482"/>
      <c r="M63" s="497">
        <f>_xll.qlCalendarAdvance(Calendar,M62,"1M","f",,Trigger)</f>
        <v>43790</v>
      </c>
      <c r="N63" s="488">
        <f>_xll.qlCalendarAdvance(Calendar,M63,"3M","mf",,Trigger)</f>
        <v>43882</v>
      </c>
      <c r="O63" s="490" t="str">
        <f>_xll.qlMakeDatedOIS(,M63,N63,OvernightIndex,0,,,,EvaluationDate)</f>
        <v>obj_00454#0001</v>
      </c>
      <c r="P63" s="490" t="b">
        <f>_xll.qlInstrumentSetPricingEngine(O63,OisEngine)</f>
        <v>1</v>
      </c>
      <c r="Q63" s="489">
        <f>_xll.qlIndexFixing("euribor3m",_xll.qlInterestRateIndexFixingDate("Euribor3M",M63),TRUE,AllTriggers)</f>
        <v>1.0156409117439836E-2</v>
      </c>
      <c r="R63" s="489">
        <f>_xll.qlOvernightIndexedSwapFairRate(O63,AllTriggers)</f>
        <v>8.7692270131650464E-3</v>
      </c>
      <c r="S63" s="491">
        <f t="shared" si="2"/>
        <v>1.3871821042747891E-3</v>
      </c>
      <c r="T63" s="500" t="s">
        <v>183</v>
      </c>
    </row>
    <row r="64" spans="5:20" ht="11.25" customHeight="1" x14ac:dyDescent="0.2">
      <c r="E64" s="483"/>
      <c r="F64" s="483"/>
      <c r="G64" s="482"/>
      <c r="J64" s="482"/>
      <c r="K64" s="482"/>
      <c r="M64" s="497">
        <f>_xll.qlCalendarAdvance(Calendar,M63,"1M","f",,Trigger)</f>
        <v>43822</v>
      </c>
      <c r="N64" s="488">
        <f>_xll.qlCalendarAdvance(Calendar,M64,"3M","mf",,Trigger)</f>
        <v>43913</v>
      </c>
      <c r="O64" s="490" t="str">
        <f>_xll.qlMakeDatedOIS(,M64,N64,OvernightIndex,0,,,,EvaluationDate)</f>
        <v>obj_00455#0001</v>
      </c>
      <c r="P64" s="490" t="b">
        <f>_xll.qlInstrumentSetPricingEngine(O64,OisEngine)</f>
        <v>1</v>
      </c>
      <c r="Q64" s="489">
        <f>_xll.qlIndexFixing("euribor3m",_xll.qlInterestRateIndexFixingDate("Euribor3M",M64),TRUE,AllTriggers)</f>
        <v>1.0436790334782666E-2</v>
      </c>
      <c r="R64" s="489">
        <f>_xll.qlOvernightIndexedSwapFairRate(O64,AllTriggers)</f>
        <v>8.7691202890830145E-3</v>
      </c>
      <c r="S64" s="491">
        <f t="shared" si="2"/>
        <v>1.667670045699652E-3</v>
      </c>
    </row>
    <row r="65" spans="5:19" ht="11.25" customHeight="1" x14ac:dyDescent="0.2">
      <c r="E65" s="483"/>
      <c r="F65" s="483"/>
      <c r="G65" s="482"/>
      <c r="J65" s="482"/>
      <c r="K65" s="482"/>
      <c r="M65" s="497">
        <f>_xll.qlCalendarAdvance(Calendar,M64,"1M","f",,Trigger)</f>
        <v>43853</v>
      </c>
      <c r="N65" s="488">
        <f>_xll.qlCalendarAdvance(Calendar,M65,"3M","mf",,Trigger)</f>
        <v>43944</v>
      </c>
      <c r="O65" s="490" t="str">
        <f>_xll.qlMakeDatedOIS(,M65,N65,OvernightIndex,0,,,,EvaluationDate)</f>
        <v>obj_00457#0001</v>
      </c>
      <c r="P65" s="490" t="b">
        <f>_xll.qlInstrumentSetPricingEngine(O65,OisEngine)</f>
        <v>1</v>
      </c>
      <c r="Q65" s="489">
        <f>_xll.qlIndexFixing("euribor3m",_xll.qlInterestRateIndexFixingDate("Euribor3M",M65),TRUE,AllTriggers)</f>
        <v>1.0715493904230206E-2</v>
      </c>
      <c r="R65" s="489">
        <f>_xll.qlOvernightIndexedSwapFairRate(O65,AllTriggers)</f>
        <v>8.7691202890830145E-3</v>
      </c>
      <c r="S65" s="491">
        <f t="shared" si="2"/>
        <v>1.9463736151471914E-3</v>
      </c>
    </row>
    <row r="66" spans="5:19" ht="11.25" customHeight="1" x14ac:dyDescent="0.2">
      <c r="E66" s="483"/>
      <c r="F66" s="483"/>
      <c r="G66" s="482"/>
      <c r="J66" s="482"/>
      <c r="K66" s="482"/>
      <c r="M66" s="497">
        <f>_xll.qlCalendarAdvance(Calendar,M65,"1M","f",,Trigger)</f>
        <v>43885</v>
      </c>
      <c r="N66" s="488">
        <f>_xll.qlCalendarAdvance(Calendar,M66,"3M","mf",,Trigger)</f>
        <v>43976</v>
      </c>
      <c r="O66" s="490" t="str">
        <f>_xll.qlMakeDatedOIS(,M66,N66,OvernightIndex,0,,,,EvaluationDate)</f>
        <v>obj_00458#0001</v>
      </c>
      <c r="P66" s="490" t="b">
        <f>_xll.qlInstrumentSetPricingEngine(O66,OisEngine)</f>
        <v>1</v>
      </c>
      <c r="Q66" s="489">
        <f>_xll.qlIndexFixing("euribor3m",_xll.qlInterestRateIndexFixingDate("Euribor3M",M66),TRUE,AllTriggers)</f>
        <v>1.100590621300266E-2</v>
      </c>
      <c r="R66" s="489">
        <f>_xll.qlOvernightIndexedSwapFairRate(O66,AllTriggers)</f>
        <v>8.7691202890830145E-3</v>
      </c>
      <c r="S66" s="491">
        <f t="shared" si="2"/>
        <v>2.2367859239196455E-3</v>
      </c>
    </row>
    <row r="67" spans="5:19" ht="11.25" customHeight="1" x14ac:dyDescent="0.2">
      <c r="E67" s="483"/>
      <c r="F67" s="483"/>
      <c r="G67" s="482"/>
      <c r="J67" s="482"/>
      <c r="K67" s="482"/>
      <c r="M67" s="497">
        <f>_xll.qlCalendarAdvance(Calendar,M66,"1M","f",,Trigger)</f>
        <v>43914</v>
      </c>
      <c r="N67" s="488">
        <f>_xll.qlCalendarAdvance(Calendar,M67,"3M","mf",,Trigger)</f>
        <v>44006</v>
      </c>
      <c r="O67" s="490" t="str">
        <f>_xll.qlMakeDatedOIS(,M67,N67,OvernightIndex,0,,,,EvaluationDate)</f>
        <v>obj_00459#0001</v>
      </c>
      <c r="P67" s="490" t="b">
        <f>_xll.qlInstrumentSetPricingEngine(O67,OisEngine)</f>
        <v>1</v>
      </c>
      <c r="Q67" s="489">
        <f>_xll.qlIndexFixing("euribor3m",_xll.qlInterestRateIndexFixingDate("Euribor3M",M67),TRUE,AllTriggers)</f>
        <v>1.1276273684947524E-2</v>
      </c>
      <c r="R67" s="489">
        <f>_xll.qlOvernightIndexedSwapFairRate(O67,AllTriggers)</f>
        <v>8.7692270131650464E-3</v>
      </c>
      <c r="S67" s="491">
        <f t="shared" ref="S67:S130" si="3">Q67-R67</f>
        <v>2.5070466717824775E-3</v>
      </c>
    </row>
    <row r="68" spans="5:19" ht="11.25" customHeight="1" x14ac:dyDescent="0.2">
      <c r="E68" s="483"/>
      <c r="F68" s="483"/>
      <c r="G68" s="482"/>
      <c r="J68" s="482"/>
      <c r="K68" s="482"/>
      <c r="M68" s="497">
        <f>_xll.qlCalendarAdvance(Calendar,M67,"1M","f",,Trigger)</f>
        <v>43945</v>
      </c>
      <c r="N68" s="488">
        <f>_xll.qlCalendarAdvance(Calendar,M68,"3M","mf",,Trigger)</f>
        <v>44036</v>
      </c>
      <c r="O68" s="490" t="str">
        <f>_xll.qlMakeDatedOIS(,M68,N68,OvernightIndex,0,,,,EvaluationDate)</f>
        <v>obj_0045b#0001</v>
      </c>
      <c r="P68" s="490" t="b">
        <f>_xll.qlInstrumentSetPricingEngine(O68,OisEngine)</f>
        <v>1</v>
      </c>
      <c r="Q68" s="489">
        <f>_xll.qlIndexFixing("euribor3m",_xll.qlInterestRateIndexFixingDate("Euribor3M",M68),TRUE,AllTriggers)</f>
        <v>1.1557874349031187E-2</v>
      </c>
      <c r="R68" s="489">
        <f>_xll.qlOvernightIndexedSwapFairRate(O68,AllTriggers)</f>
        <v>8.7691202890830145E-3</v>
      </c>
      <c r="S68" s="491">
        <f t="shared" si="3"/>
        <v>2.7887540599481724E-3</v>
      </c>
    </row>
    <row r="69" spans="5:19" ht="11.25" customHeight="1" x14ac:dyDescent="0.2">
      <c r="E69" s="483"/>
      <c r="F69" s="483"/>
      <c r="G69" s="482"/>
      <c r="J69" s="482"/>
      <c r="K69" s="482"/>
      <c r="M69" s="497">
        <f>_xll.qlCalendarAdvance(Calendar,M68,"1M","f",,Trigger)</f>
        <v>43976</v>
      </c>
      <c r="N69" s="488">
        <f>_xll.qlCalendarAdvance(Calendar,M69,"3M","mf",,Trigger)</f>
        <v>44068</v>
      </c>
      <c r="O69" s="490" t="str">
        <f>_xll.qlMakeDatedOIS(,M69,N69,OvernightIndex,0,,,,EvaluationDate)</f>
        <v>obj_0045c#0001</v>
      </c>
      <c r="P69" s="490" t="b">
        <f>_xll.qlInstrumentSetPricingEngine(O69,OisEngine)</f>
        <v>1</v>
      </c>
      <c r="Q69" s="489">
        <f>_xll.qlIndexFixing("euribor3m",_xll.qlInterestRateIndexFixingDate("Euribor3M",M69),TRUE,AllTriggers)</f>
        <v>1.1851761442183719E-2</v>
      </c>
      <c r="R69" s="489">
        <f>_xll.qlOvernightIndexedSwapFairRate(O69,AllTriggers)</f>
        <v>8.7692270131650481E-3</v>
      </c>
      <c r="S69" s="491">
        <f t="shared" si="3"/>
        <v>3.0825344290186709E-3</v>
      </c>
    </row>
    <row r="70" spans="5:19" ht="11.25" customHeight="1" x14ac:dyDescent="0.2">
      <c r="E70" s="483"/>
      <c r="F70" s="483"/>
      <c r="G70" s="482"/>
      <c r="J70" s="482"/>
      <c r="K70" s="482"/>
      <c r="M70" s="497">
        <f>_xll.qlCalendarAdvance(Calendar,M69,"1M","f",,Trigger)</f>
        <v>44007</v>
      </c>
      <c r="N70" s="488">
        <f>_xll.qlCalendarAdvance(Calendar,M70,"3M","mf",,Trigger)</f>
        <v>44099</v>
      </c>
      <c r="O70" s="490" t="str">
        <f>_xll.qlMakeDatedOIS(,M70,N70,OvernightIndex,0,,,,EvaluationDate)</f>
        <v>obj_0045e#0001</v>
      </c>
      <c r="P70" s="490" t="b">
        <f>_xll.qlInstrumentSetPricingEngine(O70,OisEngine)</f>
        <v>1</v>
      </c>
      <c r="Q70" s="489">
        <f>_xll.qlIndexFixing("euribor3m",_xll.qlInterestRateIndexFixingDate("Euribor3M",M70),TRUE,AllTriggers)</f>
        <v>1.2143380336285091E-2</v>
      </c>
      <c r="R70" s="489">
        <f>_xll.qlOvernightIndexedSwapFairRate(O70,AllTriggers)</f>
        <v>9.3290314640606786E-3</v>
      </c>
      <c r="S70" s="491">
        <f t="shared" si="3"/>
        <v>2.814348872224412E-3</v>
      </c>
    </row>
    <row r="71" spans="5:19" ht="11.25" customHeight="1" x14ac:dyDescent="0.2">
      <c r="E71" s="483"/>
      <c r="F71" s="483"/>
      <c r="G71" s="482"/>
      <c r="J71" s="482"/>
      <c r="K71" s="482"/>
      <c r="M71" s="497">
        <f>_xll.qlCalendarAdvance(Calendar,M70,"1M","f",,Trigger)</f>
        <v>44039</v>
      </c>
      <c r="N71" s="488">
        <f>_xll.qlCalendarAdvance(Calendar,M71,"3M","mf",,Trigger)</f>
        <v>44131</v>
      </c>
      <c r="O71" s="490" t="str">
        <f>_xll.qlMakeDatedOIS(,M71,N71,OvernightIndex,0,,,,EvaluationDate)</f>
        <v>obj_00460#0001</v>
      </c>
      <c r="P71" s="490" t="b">
        <f>_xll.qlInstrumentSetPricingEngine(O71,OisEngine)</f>
        <v>1</v>
      </c>
      <c r="Q71" s="489">
        <f>_xll.qlIndexFixing("euribor3m",_xll.qlInterestRateIndexFixingDate("Euribor3M",M71),TRUE,AllTriggers)</f>
        <v>1.2446673158724383E-2</v>
      </c>
      <c r="R71" s="489">
        <f>_xll.qlOvernightIndexedSwapFairRate(O71,AllTriggers)</f>
        <v>1.0523548041285746E-2</v>
      </c>
      <c r="S71" s="491">
        <f t="shared" si="3"/>
        <v>1.9231251174386364E-3</v>
      </c>
    </row>
    <row r="72" spans="5:19" ht="11.25" customHeight="1" x14ac:dyDescent="0.2">
      <c r="E72" s="483"/>
      <c r="F72" s="483"/>
      <c r="G72" s="482"/>
      <c r="J72" s="482"/>
      <c r="K72" s="482"/>
      <c r="M72" s="497">
        <f>_xll.qlCalendarAdvance(Calendar,M71,"1M","f",,Trigger)</f>
        <v>44070</v>
      </c>
      <c r="N72" s="488">
        <f>_xll.qlCalendarAdvance(Calendar,M72,"3M","mf",,Trigger)</f>
        <v>44162</v>
      </c>
      <c r="O72" s="490" t="str">
        <f>_xll.qlMakeDatedOIS(,M72,N72,OvernightIndex,0,,,,EvaluationDate)</f>
        <v>obj_00461#0001</v>
      </c>
      <c r="P72" s="490" t="b">
        <f>_xll.qlInstrumentSetPricingEngine(O72,OisEngine)</f>
        <v>1</v>
      </c>
      <c r="Q72" s="489">
        <f>_xll.qlIndexFixing("euribor3m",_xll.qlInterestRateIndexFixingDate("Euribor3M",M72),TRUE,AllTriggers)</f>
        <v>1.2741842876708504E-2</v>
      </c>
      <c r="R72" s="489">
        <f>_xll.qlOvernightIndexedSwapFairRate(O72,AllTriggers)</f>
        <v>1.1681082877181547E-2</v>
      </c>
      <c r="S72" s="491">
        <f t="shared" si="3"/>
        <v>1.0607599995269574E-3</v>
      </c>
    </row>
    <row r="73" spans="5:19" ht="11.25" customHeight="1" x14ac:dyDescent="0.2">
      <c r="E73" s="483"/>
      <c r="F73" s="483"/>
      <c r="G73" s="482"/>
      <c r="J73" s="482"/>
      <c r="K73" s="482"/>
      <c r="M73" s="497">
        <f>_xll.qlCalendarAdvance(Calendar,M72,"1M","f",,Trigger)</f>
        <v>44102</v>
      </c>
      <c r="N73" s="488">
        <f>_xll.qlCalendarAdvance(Calendar,M73,"3M","mf",,Trigger)</f>
        <v>44193</v>
      </c>
      <c r="O73" s="490" t="str">
        <f>_xll.qlMakeDatedOIS(,M73,N73,OvernightIndex,0,,,,EvaluationDate)</f>
        <v>obj_00463#0001</v>
      </c>
      <c r="P73" s="490" t="b">
        <f>_xll.qlInstrumentSetPricingEngine(O73,OisEngine)</f>
        <v>1</v>
      </c>
      <c r="Q73" s="489">
        <f>_xll.qlIndexFixing("euribor3m",_xll.qlInterestRateIndexFixingDate("Euribor3M",M73),TRUE,AllTriggers)</f>
        <v>1.3042055337108116E-2</v>
      </c>
      <c r="R73" s="489">
        <f>_xll.qlOvernightIndexedSwapFairRate(O73,AllTriggers)</f>
        <v>1.2203745836969824E-2</v>
      </c>
      <c r="S73" s="491">
        <f t="shared" si="3"/>
        <v>8.3830950013829252E-4</v>
      </c>
    </row>
    <row r="74" spans="5:19" ht="11.25" customHeight="1" x14ac:dyDescent="0.2">
      <c r="E74" s="483"/>
      <c r="F74" s="483"/>
      <c r="G74" s="482"/>
      <c r="J74" s="482"/>
      <c r="K74" s="482"/>
      <c r="M74" s="497">
        <f>_xll.qlCalendarAdvance(Calendar,M73,"1M","f",,Trigger)</f>
        <v>44132</v>
      </c>
      <c r="N74" s="488">
        <f>_xll.qlCalendarAdvance(Calendar,M74,"3M","mf",,Trigger)</f>
        <v>44224</v>
      </c>
      <c r="O74" s="490" t="str">
        <f>_xll.qlMakeDatedOIS(,M74,N74,OvernightIndex,0,,,,EvaluationDate)</f>
        <v>obj_00465#0001</v>
      </c>
      <c r="P74" s="490" t="b">
        <f>_xll.qlInstrumentSetPricingEngine(O74,OisEngine)</f>
        <v>1</v>
      </c>
      <c r="Q74" s="489">
        <f>_xll.qlIndexFixing("euribor3m",_xll.qlInterestRateIndexFixingDate("Euribor3M",M74),TRUE,AllTriggers)</f>
        <v>1.3333321528814696E-2</v>
      </c>
      <c r="R74" s="489">
        <f>_xll.qlOvernightIndexedSwapFairRate(O74,AllTriggers)</f>
        <v>1.2203952476115085E-2</v>
      </c>
      <c r="S74" s="491">
        <f t="shared" si="3"/>
        <v>1.1293690526996102E-3</v>
      </c>
    </row>
    <row r="75" spans="5:19" ht="11.25" customHeight="1" x14ac:dyDescent="0.2">
      <c r="E75" s="483"/>
      <c r="F75" s="483"/>
      <c r="G75" s="482"/>
      <c r="J75" s="482"/>
      <c r="K75" s="482"/>
      <c r="M75" s="497">
        <f>_xll.qlCalendarAdvance(Calendar,M74,"1M","f",,Trigger)</f>
        <v>44165</v>
      </c>
      <c r="N75" s="488">
        <f>_xll.qlCalendarAdvance(Calendar,M75,"3M","mf",,Trigger)</f>
        <v>44253</v>
      </c>
      <c r="O75" s="490" t="str">
        <f>_xll.qlMakeDatedOIS(,M75,N75,OvernightIndex,0,,,,EvaluationDate)</f>
        <v>obj_00467#0001</v>
      </c>
      <c r="P75" s="490" t="b">
        <f>_xll.qlInstrumentSetPricingEngine(O75,OisEngine)</f>
        <v>1</v>
      </c>
      <c r="Q75" s="489">
        <f>_xll.qlIndexFixing("euribor3m",_xll.qlInterestRateIndexFixingDate("Euribor3M",M75),TRUE,AllTriggers)</f>
        <v>1.3628195532363507E-2</v>
      </c>
      <c r="R75" s="489">
        <f>_xll.qlOvernightIndexedSwapFairRate(O75,AllTriggers)</f>
        <v>1.2203125947518096E-2</v>
      </c>
      <c r="S75" s="491">
        <f t="shared" si="3"/>
        <v>1.425069584845411E-3</v>
      </c>
    </row>
    <row r="76" spans="5:19" ht="11.25" customHeight="1" x14ac:dyDescent="0.2">
      <c r="E76" s="483"/>
      <c r="F76" s="483"/>
      <c r="G76" s="482"/>
      <c r="J76" s="482"/>
      <c r="K76" s="482"/>
      <c r="M76" s="497">
        <f>_xll.qlCalendarAdvance(Calendar,M75,"1M","f",,Trigger)</f>
        <v>44195</v>
      </c>
      <c r="N76" s="488">
        <f>_xll.qlCalendarAdvance(Calendar,M76,"3M","mf",,Trigger)</f>
        <v>44285</v>
      </c>
      <c r="O76" s="490" t="str">
        <f>_xll.qlMakeDatedOIS(,M76,N76,OvernightIndex,0,,,,EvaluationDate)</f>
        <v>obj_00468#0001</v>
      </c>
      <c r="P76" s="490" t="b">
        <f>_xll.qlInstrumentSetPricingEngine(O76,OisEngine)</f>
        <v>1</v>
      </c>
      <c r="Q76" s="489">
        <f>_xll.qlIndexFixing("euribor3m",_xll.qlInterestRateIndexFixingDate("Euribor3M",M76),TRUE,AllTriggers)</f>
        <v>1.3924704775659436E-2</v>
      </c>
      <c r="R76" s="489">
        <f>_xll.qlOvernightIndexedSwapFairRate(O76,AllTriggers)</f>
        <v>1.2203539202489287E-2</v>
      </c>
      <c r="S76" s="491">
        <f t="shared" si="3"/>
        <v>1.7211655731701487E-3</v>
      </c>
    </row>
    <row r="77" spans="5:19" ht="11.25" customHeight="1" x14ac:dyDescent="0.2">
      <c r="E77" s="483"/>
      <c r="F77" s="483"/>
      <c r="G77" s="482"/>
      <c r="J77" s="482"/>
      <c r="K77" s="482"/>
      <c r="M77" s="497">
        <f>_xll.qlCalendarAdvance(Calendar,M76,"1M","f",,Trigger)</f>
        <v>44228</v>
      </c>
      <c r="N77" s="488">
        <f>_xll.qlCalendarAdvance(Calendar,M77,"3M","mf",,Trigger)</f>
        <v>44319</v>
      </c>
      <c r="O77" s="490" t="str">
        <f>_xll.qlMakeDatedOIS(,M77,N77,OvernightIndex,0,,,,EvaluationDate)</f>
        <v>obj_0046a#0001</v>
      </c>
      <c r="P77" s="490" t="b">
        <f>_xll.qlInstrumentSetPricingEngine(O77,OisEngine)</f>
        <v>1</v>
      </c>
      <c r="Q77" s="489">
        <f>_xll.qlIndexFixing("euribor3m",_xll.qlInterestRateIndexFixingDate("Euribor3M",M77),TRUE,AllTriggers)</f>
        <v>1.4244970525892067E-2</v>
      </c>
      <c r="R77" s="489">
        <f>_xll.qlOvernightIndexedSwapFairRate(O77,AllTriggers)</f>
        <v>1.2203745836969825E-2</v>
      </c>
      <c r="S77" s="491">
        <f t="shared" si="3"/>
        <v>2.0412246889222416E-3</v>
      </c>
    </row>
    <row r="78" spans="5:19" ht="11.25" customHeight="1" x14ac:dyDescent="0.2">
      <c r="E78" s="483"/>
      <c r="F78" s="483"/>
      <c r="G78" s="482"/>
      <c r="J78" s="482"/>
      <c r="K78" s="482"/>
      <c r="M78" s="497">
        <f>_xll.qlCalendarAdvance(Calendar,M77,"1M","f",,Trigger)</f>
        <v>44256</v>
      </c>
      <c r="N78" s="488">
        <f>_xll.qlCalendarAdvance(Calendar,M78,"3M","mf",,Trigger)</f>
        <v>44348</v>
      </c>
      <c r="O78" s="490" t="str">
        <f>_xll.qlMakeDatedOIS(,M78,N78,OvernightIndex,0,,,,EvaluationDate)</f>
        <v>obj_0046c#0001</v>
      </c>
      <c r="P78" s="490" t="b">
        <f>_xll.qlInstrumentSetPricingEngine(O78,OisEngine)</f>
        <v>1</v>
      </c>
      <c r="Q78" s="489">
        <f>_xll.qlIndexFixing("euribor3m",_xll.qlInterestRateIndexFixingDate("Euribor3M",M78),TRUE,AllTriggers)</f>
        <v>1.4517597945996368E-2</v>
      </c>
      <c r="R78" s="489">
        <f>_xll.qlOvernightIndexedSwapFairRate(O78,AllTriggers)</f>
        <v>1.2203952476115085E-2</v>
      </c>
      <c r="S78" s="491">
        <f t="shared" si="3"/>
        <v>2.3136454698812828E-3</v>
      </c>
    </row>
    <row r="79" spans="5:19" ht="11.25" customHeight="1" x14ac:dyDescent="0.2">
      <c r="E79" s="483"/>
      <c r="F79" s="483"/>
      <c r="G79" s="482"/>
      <c r="J79" s="482"/>
      <c r="K79" s="482"/>
      <c r="M79" s="497">
        <f>_xll.qlCalendarAdvance(Calendar,M78,"1M","f",,Trigger)</f>
        <v>44287</v>
      </c>
      <c r="N79" s="488">
        <f>_xll.qlCalendarAdvance(Calendar,M79,"3M","mf",,Trigger)</f>
        <v>44378</v>
      </c>
      <c r="O79" s="490" t="str">
        <f>_xll.qlMakeDatedOIS(,M79,N79,OvernightIndex,0,,,,EvaluationDate)</f>
        <v>obj_0046e#0001</v>
      </c>
      <c r="P79" s="490" t="b">
        <f>_xll.qlInstrumentSetPricingEngine(O79,OisEngine)</f>
        <v>1</v>
      </c>
      <c r="Q79" s="489">
        <f>_xll.qlIndexFixing("euribor3m",_xll.qlInterestRateIndexFixingDate("Euribor3M",M79),TRUE,AllTriggers)</f>
        <v>1.480885122479168E-2</v>
      </c>
      <c r="R79" s="489">
        <f>_xll.qlOvernightIndexedSwapFairRate(O79,AllTriggers)</f>
        <v>1.2203745836969824E-2</v>
      </c>
      <c r="S79" s="491">
        <f t="shared" si="3"/>
        <v>2.6051053878218561E-3</v>
      </c>
    </row>
    <row r="80" spans="5:19" ht="11.25" customHeight="1" x14ac:dyDescent="0.2">
      <c r="E80" s="483"/>
      <c r="F80" s="483"/>
      <c r="G80" s="482"/>
      <c r="J80" s="482"/>
      <c r="K80" s="482"/>
      <c r="M80" s="497">
        <f>_xll.qlCalendarAdvance(Calendar,M79,"1M","f",,Trigger)</f>
        <v>44319</v>
      </c>
      <c r="N80" s="488">
        <f>_xll.qlCalendarAdvance(Calendar,M80,"3M","mf",,Trigger)</f>
        <v>44411</v>
      </c>
      <c r="O80" s="490" t="str">
        <f>_xll.qlMakeDatedOIS(,M80,N80,OvernightIndex,0,,,,EvaluationDate)</f>
        <v>obj_00470#0001</v>
      </c>
      <c r="P80" s="490" t="b">
        <f>_xll.qlInstrumentSetPricingEngine(O80,OisEngine)</f>
        <v>1</v>
      </c>
      <c r="Q80" s="489">
        <f>_xll.qlIndexFixing("euribor3m",_xll.qlInterestRateIndexFixingDate("Euribor3M",M80),TRUE,AllTriggers)</f>
        <v>1.5119947767235282E-2</v>
      </c>
      <c r="R80" s="489">
        <f>_xll.qlOvernightIndexedSwapFairRate(O80,AllTriggers)</f>
        <v>1.2203952476115084E-2</v>
      </c>
      <c r="S80" s="491">
        <f t="shared" si="3"/>
        <v>2.9159952911201985E-3</v>
      </c>
    </row>
    <row r="81" spans="5:19" ht="11.25" customHeight="1" x14ac:dyDescent="0.2">
      <c r="E81" s="483"/>
      <c r="F81" s="483"/>
      <c r="G81" s="482"/>
      <c r="J81" s="482"/>
      <c r="K81" s="482"/>
      <c r="M81" s="497">
        <f>_xll.qlCalendarAdvance(Calendar,M80,"1M","f",,Trigger)</f>
        <v>44350</v>
      </c>
      <c r="N81" s="488">
        <f>_xll.qlCalendarAdvance(Calendar,M81,"3M","mf",,Trigger)</f>
        <v>44442</v>
      </c>
      <c r="O81" s="490" t="str">
        <f>_xll.qlMakeDatedOIS(,M81,N81,OvernightIndex,0,,,,EvaluationDate)</f>
        <v>obj_00472#0001</v>
      </c>
      <c r="P81" s="490" t="b">
        <f>_xll.qlInstrumentSetPricingEngine(O81,OisEngine)</f>
        <v>1</v>
      </c>
      <c r="Q81" s="489">
        <f>_xll.qlIndexFixing("euribor3m",_xll.qlInterestRateIndexFixingDate("Euribor3M",M81),TRUE,AllTriggers)</f>
        <v>1.5416505694238447E-2</v>
      </c>
      <c r="R81" s="489">
        <f>_xll.qlOvernightIndexedSwapFairRate(O81,AllTriggers)</f>
        <v>1.2203952476115084E-2</v>
      </c>
      <c r="S81" s="491">
        <f t="shared" si="3"/>
        <v>3.2125532181233631E-3</v>
      </c>
    </row>
    <row r="82" spans="5:19" ht="11.25" customHeight="1" x14ac:dyDescent="0.2">
      <c r="E82" s="483"/>
      <c r="F82" s="483"/>
      <c r="G82" s="482"/>
      <c r="J82" s="482"/>
      <c r="K82" s="482"/>
      <c r="M82" s="497">
        <f>_xll.qlCalendarAdvance(Calendar,M81,"1M","f",,Trigger)</f>
        <v>44382</v>
      </c>
      <c r="N82" s="488">
        <f>_xll.qlCalendarAdvance(Calendar,M82,"3M","mf",,Trigger)</f>
        <v>44474</v>
      </c>
      <c r="O82" s="490" t="str">
        <f>_xll.qlMakeDatedOIS(,M82,N82,OvernightIndex,0,,,,EvaluationDate)</f>
        <v>obj_00474#0001</v>
      </c>
      <c r="P82" s="490" t="b">
        <f>_xll.qlInstrumentSetPricingEngine(O82,OisEngine)</f>
        <v>1</v>
      </c>
      <c r="Q82" s="489">
        <f>_xll.qlIndexFixing("euribor3m",_xll.qlInterestRateIndexFixingDate("Euribor3M",M82),TRUE,AllTriggers)</f>
        <v>1.5722554383268323E-2</v>
      </c>
      <c r="R82" s="489">
        <f>_xll.qlOvernightIndexedSwapFairRate(O82,AllTriggers)</f>
        <v>1.3150513566668453E-2</v>
      </c>
      <c r="S82" s="491">
        <f t="shared" si="3"/>
        <v>2.5720408165998705E-3</v>
      </c>
    </row>
    <row r="83" spans="5:19" ht="11.25" customHeight="1" x14ac:dyDescent="0.2">
      <c r="E83" s="483"/>
      <c r="F83" s="483"/>
      <c r="G83" s="482"/>
      <c r="J83" s="482"/>
      <c r="K83" s="482"/>
      <c r="M83" s="497">
        <f>_xll.qlCalendarAdvance(Calendar,M82,"1M","f",,Trigger)</f>
        <v>44413</v>
      </c>
      <c r="N83" s="488">
        <f>_xll.qlCalendarAdvance(Calendar,M83,"3M","mf",,Trigger)</f>
        <v>44505</v>
      </c>
      <c r="O83" s="490" t="str">
        <f>_xll.qlMakeDatedOIS(,M83,N83,OvernightIndex,0,,,,EvaluationDate)</f>
        <v>obj_00476#0001</v>
      </c>
      <c r="P83" s="490" t="b">
        <f>_xll.qlInstrumentSetPricingEngine(O83,OisEngine)</f>
        <v>1</v>
      </c>
      <c r="Q83" s="489">
        <f>_xll.qlIndexFixing("euribor3m",_xll.qlInterestRateIndexFixingDate("Euribor3M",M83),TRUE,AllTriggers)</f>
        <v>1.6017398116652259E-2</v>
      </c>
      <c r="R83" s="489">
        <f>_xll.qlOvernightIndexedSwapFairRate(O83,AllTriggers)</f>
        <v>1.4324566332883445E-2</v>
      </c>
      <c r="S83" s="491">
        <f t="shared" si="3"/>
        <v>1.6928317837688143E-3</v>
      </c>
    </row>
    <row r="84" spans="5:19" ht="11.25" customHeight="1" x14ac:dyDescent="0.2">
      <c r="E84" s="483"/>
      <c r="F84" s="483"/>
      <c r="G84" s="482"/>
      <c r="J84" s="482"/>
      <c r="K84" s="482"/>
      <c r="M84" s="497">
        <f>_xll.qlCalendarAdvance(Calendar,M83,"1M","f",,Trigger)</f>
        <v>44445</v>
      </c>
      <c r="N84" s="488">
        <f>_xll.qlCalendarAdvance(Calendar,M84,"3M","mf",,Trigger)</f>
        <v>44536</v>
      </c>
      <c r="O84" s="490" t="str">
        <f>_xll.qlMakeDatedOIS(,M84,N84,OvernightIndex,0,,,,EvaluationDate)</f>
        <v>obj_00478#0001</v>
      </c>
      <c r="P84" s="490" t="b">
        <f>_xll.qlInstrumentSetPricingEngine(O84,OisEngine)</f>
        <v>1</v>
      </c>
      <c r="Q84" s="489">
        <f>_xll.qlIndexFixing("euribor3m",_xll.qlInterestRateIndexFixingDate("Euribor3M",M84),TRUE,AllTriggers)</f>
        <v>1.6312779102707953E-2</v>
      </c>
      <c r="R84" s="489">
        <f>_xll.qlOvernightIndexedSwapFairRate(O84,AllTriggers)</f>
        <v>1.5534859773064737E-2</v>
      </c>
      <c r="S84" s="491">
        <f t="shared" si="3"/>
        <v>7.7791932964321568E-4</v>
      </c>
    </row>
    <row r="85" spans="5:19" ht="11.25" customHeight="1" x14ac:dyDescent="0.2">
      <c r="E85" s="483"/>
      <c r="F85" s="483"/>
      <c r="G85" s="482"/>
      <c r="J85" s="482"/>
      <c r="K85" s="482"/>
      <c r="M85" s="497">
        <f>_xll.qlCalendarAdvance(Calendar,M84,"1M","f",,Trigger)</f>
        <v>44475</v>
      </c>
      <c r="N85" s="488">
        <f>_xll.qlCalendarAdvance(Calendar,M85,"3M","mf",,Trigger)</f>
        <v>44567</v>
      </c>
      <c r="O85" s="490" t="str">
        <f>_xll.qlMakeDatedOIS(,M85,N85,OvernightIndex,0,,,,EvaluationDate)</f>
        <v>obj_0047a#0001</v>
      </c>
      <c r="P85" s="490" t="b">
        <f>_xll.qlInstrumentSetPricingEngine(O85,OisEngine)</f>
        <v>1</v>
      </c>
      <c r="Q85" s="489">
        <f>_xll.qlIndexFixing("euribor3m",_xll.qlInterestRateIndexFixingDate("Euribor3M",M85),TRUE,AllTriggers)</f>
        <v>1.659375209331421E-2</v>
      </c>
      <c r="R85" s="489">
        <f>_xll.qlOvernightIndexedSwapFairRate(O85,AllTriggers)</f>
        <v>1.5688423038229357E-2</v>
      </c>
      <c r="S85" s="491">
        <f t="shared" si="3"/>
        <v>9.053290550848532E-4</v>
      </c>
    </row>
    <row r="86" spans="5:19" ht="11.25" customHeight="1" x14ac:dyDescent="0.2">
      <c r="E86" s="483"/>
      <c r="F86" s="483"/>
      <c r="G86" s="482"/>
      <c r="J86" s="482"/>
      <c r="K86" s="482"/>
      <c r="M86" s="497">
        <f>_xll.qlCalendarAdvance(Calendar,M85,"1M","f",,Trigger)</f>
        <v>44508</v>
      </c>
      <c r="N86" s="488">
        <f>_xll.qlCalendarAdvance(Calendar,M86,"3M","mf",,Trigger)</f>
        <v>44600</v>
      </c>
      <c r="O86" s="490" t="str">
        <f>_xll.qlMakeDatedOIS(,M86,N86,OvernightIndex,0,,,,EvaluationDate)</f>
        <v>obj_0047c#0001</v>
      </c>
      <c r="P86" s="490" t="b">
        <f>_xll.qlInstrumentSetPricingEngine(O86,OisEngine)</f>
        <v>1</v>
      </c>
      <c r="Q86" s="489">
        <f>_xll.qlIndexFixing("euribor3m",_xll.qlInterestRateIndexFixingDate("Euribor3M",M86),TRUE,AllTriggers)</f>
        <v>1.6890536223693405E-2</v>
      </c>
      <c r="R86" s="489">
        <f>_xll.qlOvernightIndexedSwapFairRate(O86,AllTriggers)</f>
        <v>1.5688423038229357E-2</v>
      </c>
      <c r="S86" s="491">
        <f t="shared" si="3"/>
        <v>1.2021131854640481E-3</v>
      </c>
    </row>
    <row r="87" spans="5:19" ht="11.25" customHeight="1" x14ac:dyDescent="0.2">
      <c r="E87" s="483"/>
      <c r="F87" s="483"/>
      <c r="G87" s="482"/>
      <c r="J87" s="482"/>
      <c r="K87" s="482"/>
      <c r="M87" s="497">
        <f>_xll.qlCalendarAdvance(Calendar,M86,"1M","f",,Trigger)</f>
        <v>44538</v>
      </c>
      <c r="N87" s="488">
        <f>_xll.qlCalendarAdvance(Calendar,M87,"3M","mf",,Trigger)</f>
        <v>44628</v>
      </c>
      <c r="O87" s="490" t="str">
        <f>_xll.qlMakeDatedOIS(,M87,N87,OvernightIndex,0,,,,EvaluationDate)</f>
        <v>obj_0047e#0001</v>
      </c>
      <c r="P87" s="490" t="b">
        <f>_xll.qlInstrumentSetPricingEngine(O87,OisEngine)</f>
        <v>1</v>
      </c>
      <c r="Q87" s="489">
        <f>_xll.qlIndexFixing("euribor3m",_xll.qlInterestRateIndexFixingDate("Euribor3M",M87),TRUE,AllTriggers)</f>
        <v>1.7144730600816338E-2</v>
      </c>
      <c r="R87" s="489">
        <f>_xll.qlOvernightIndexedSwapFairRate(O87,AllTriggers)</f>
        <v>1.5687740284847429E-2</v>
      </c>
      <c r="S87" s="491">
        <f t="shared" si="3"/>
        <v>1.456990315968909E-3</v>
      </c>
    </row>
    <row r="88" spans="5:19" ht="11.25" customHeight="1" x14ac:dyDescent="0.2">
      <c r="E88" s="483"/>
      <c r="F88" s="483"/>
      <c r="G88" s="482"/>
      <c r="J88" s="482"/>
      <c r="K88" s="482"/>
      <c r="M88" s="497">
        <f>_xll.qlCalendarAdvance(Calendar,M87,"1M","f",,Trigger)</f>
        <v>44571</v>
      </c>
      <c r="N88" s="488">
        <f>_xll.qlCalendarAdvance(Calendar,M88,"3M","mf",,Trigger)</f>
        <v>44662</v>
      </c>
      <c r="O88" s="490" t="str">
        <f>_xll.qlMakeDatedOIS(,M88,N88,OvernightIndex,0,,,,EvaluationDate)</f>
        <v>obj_0047f#0001</v>
      </c>
      <c r="P88" s="490" t="b">
        <f>_xll.qlInstrumentSetPricingEngine(O88,OisEngine)</f>
        <v>1</v>
      </c>
      <c r="Q88" s="489">
        <f>_xll.qlIndexFixing("euribor3m",_xll.qlInterestRateIndexFixingDate("Euribor3M",M88),TRUE,AllTriggers)</f>
        <v>1.7432667293460862E-2</v>
      </c>
      <c r="R88" s="489">
        <f>_xll.qlOvernightIndexedSwapFairRate(O88,AllTriggers)</f>
        <v>1.5688081656587673E-2</v>
      </c>
      <c r="S88" s="491">
        <f t="shared" si="3"/>
        <v>1.7445856368731895E-3</v>
      </c>
    </row>
    <row r="89" spans="5:19" ht="11.25" customHeight="1" x14ac:dyDescent="0.2">
      <c r="E89" s="483"/>
      <c r="F89" s="483"/>
      <c r="G89" s="482"/>
      <c r="J89" s="482"/>
      <c r="K89" s="482"/>
      <c r="M89" s="497">
        <f>_xll.qlCalendarAdvance(Calendar,M88,"1M","f",,Trigger)</f>
        <v>44602</v>
      </c>
      <c r="N89" s="488">
        <f>_xll.qlCalendarAdvance(Calendar,M89,"3M","mf",,Trigger)</f>
        <v>44691</v>
      </c>
      <c r="O89" s="490" t="str">
        <f>_xll.qlMakeDatedOIS(,M89,N89,OvernightIndex,0,,,,EvaluationDate)</f>
        <v>obj_00481#0001</v>
      </c>
      <c r="P89" s="490" t="b">
        <f>_xll.qlInstrumentSetPricingEngine(O89,OisEngine)</f>
        <v>1</v>
      </c>
      <c r="Q89" s="489">
        <f>_xll.qlIndexFixing("euribor3m",_xll.qlInterestRateIndexFixingDate("Euribor3M",M89),TRUE,AllTriggers)</f>
        <v>1.7683177796902167E-2</v>
      </c>
      <c r="R89" s="489">
        <f>_xll.qlOvernightIndexedSwapFairRate(O89,AllTriggers)</f>
        <v>1.5687398923008269E-2</v>
      </c>
      <c r="S89" s="491">
        <f t="shared" si="3"/>
        <v>1.9957788738938984E-3</v>
      </c>
    </row>
    <row r="90" spans="5:19" ht="11.25" customHeight="1" x14ac:dyDescent="0.2">
      <c r="E90" s="483"/>
      <c r="F90" s="483"/>
      <c r="G90" s="482"/>
      <c r="J90" s="482"/>
      <c r="K90" s="482"/>
      <c r="M90" s="497">
        <f>_xll.qlCalendarAdvance(Calendar,M89,"1M","f",,Trigger)</f>
        <v>44630</v>
      </c>
      <c r="N90" s="488">
        <f>_xll.qlCalendarAdvance(Calendar,M90,"3M","mf",,Trigger)</f>
        <v>44722</v>
      </c>
      <c r="O90" s="490" t="str">
        <f>_xll.qlMakeDatedOIS(,M90,N90,OvernightIndex,0,,,,EvaluationDate)</f>
        <v>obj_00482#0001</v>
      </c>
      <c r="P90" s="490" t="b">
        <f>_xll.qlInstrumentSetPricingEngine(O90,OisEngine)</f>
        <v>1</v>
      </c>
      <c r="Q90" s="489">
        <f>_xll.qlIndexFixing("euribor3m",_xll.qlInterestRateIndexFixingDate("Euribor3M",M90),TRUE,AllTriggers)</f>
        <v>1.7925669354264758E-2</v>
      </c>
      <c r="R90" s="489">
        <f>_xll.qlOvernightIndexedSwapFairRate(O90,AllTriggers)</f>
        <v>1.568842303822849E-2</v>
      </c>
      <c r="S90" s="491">
        <f t="shared" si="3"/>
        <v>2.2372463160362684E-3</v>
      </c>
    </row>
    <row r="91" spans="5:19" ht="11.25" customHeight="1" x14ac:dyDescent="0.2">
      <c r="E91" s="483"/>
      <c r="F91" s="483"/>
      <c r="G91" s="482"/>
      <c r="J91" s="482"/>
      <c r="K91" s="482"/>
      <c r="M91" s="497">
        <f>_xll.qlCalendarAdvance(Calendar,M90,"1M","f",,Trigger)</f>
        <v>44662</v>
      </c>
      <c r="N91" s="488">
        <f>_xll.qlCalendarAdvance(Calendar,M91,"3M","mf",,Trigger)</f>
        <v>44753</v>
      </c>
      <c r="O91" s="490" t="str">
        <f>_xll.qlMakeDatedOIS(,M91,N91,OvernightIndex,0,,,,EvaluationDate)</f>
        <v>obj_00484#0001</v>
      </c>
      <c r="P91" s="490" t="b">
        <f>_xll.qlInstrumentSetPricingEngine(O91,OisEngine)</f>
        <v>1</v>
      </c>
      <c r="Q91" s="489">
        <f>_xll.qlIndexFixing("euribor3m",_xll.qlInterestRateIndexFixingDate("Euribor3M",M91),TRUE,AllTriggers)</f>
        <v>1.817665209061194E-2</v>
      </c>
      <c r="R91" s="489">
        <f>_xll.qlOvernightIndexedSwapFairRate(O91,AllTriggers)</f>
        <v>1.5688081656587673E-2</v>
      </c>
      <c r="S91" s="491">
        <f t="shared" si="3"/>
        <v>2.4885704340242669E-3</v>
      </c>
    </row>
    <row r="92" spans="5:19" ht="11.25" customHeight="1" x14ac:dyDescent="0.2">
      <c r="E92" s="483"/>
      <c r="F92" s="483"/>
      <c r="G92" s="482"/>
      <c r="J92" s="482"/>
      <c r="K92" s="482"/>
      <c r="M92" s="497">
        <f>_xll.qlCalendarAdvance(Calendar,M91,"1M","f",,Trigger)</f>
        <v>44692</v>
      </c>
      <c r="N92" s="488">
        <f>_xll.qlCalendarAdvance(Calendar,M92,"3M","mf",,Trigger)</f>
        <v>44784</v>
      </c>
      <c r="O92" s="490" t="str">
        <f>_xll.qlMakeDatedOIS(,M92,N92,OvernightIndex,0,,,,EvaluationDate)</f>
        <v>obj_00486#0001</v>
      </c>
      <c r="P92" s="490" t="b">
        <f>_xll.qlInstrumentSetPricingEngine(O92,OisEngine)</f>
        <v>1</v>
      </c>
      <c r="Q92" s="489">
        <f>_xll.qlIndexFixing("euribor3m",_xll.qlInterestRateIndexFixingDate("Euribor3M",M92),TRUE,AllTriggers)</f>
        <v>1.8414258351110002E-2</v>
      </c>
      <c r="R92" s="489">
        <f>_xll.qlOvernightIndexedSwapFairRate(O92,AllTriggers)</f>
        <v>1.5688423038228486E-2</v>
      </c>
      <c r="S92" s="491">
        <f t="shared" si="3"/>
        <v>2.7258353128815152E-3</v>
      </c>
    </row>
    <row r="93" spans="5:19" ht="11.25" customHeight="1" x14ac:dyDescent="0.2">
      <c r="E93" s="483"/>
      <c r="F93" s="483"/>
      <c r="G93" s="482"/>
      <c r="J93" s="482"/>
      <c r="K93" s="482"/>
      <c r="M93" s="497">
        <f>_xll.qlCalendarAdvance(Calendar,M92,"1M","f",,Trigger)</f>
        <v>44725</v>
      </c>
      <c r="N93" s="488">
        <f>_xll.qlCalendarAdvance(Calendar,M93,"3M","mf",,Trigger)</f>
        <v>44817</v>
      </c>
      <c r="O93" s="490" t="str">
        <f>_xll.qlMakeDatedOIS(,M93,N93,OvernightIndex,0,,,,EvaluationDate)</f>
        <v>obj_00488#0001</v>
      </c>
      <c r="P93" s="490" t="b">
        <f>_xll.qlInstrumentSetPricingEngine(O93,OisEngine)</f>
        <v>1</v>
      </c>
      <c r="Q93" s="489">
        <f>_xll.qlIndexFixing("euribor3m",_xll.qlInterestRateIndexFixingDate("Euribor3M",M93),TRUE,AllTriggers)</f>
        <v>1.8664014313211318E-2</v>
      </c>
      <c r="R93" s="489">
        <f>_xll.qlOvernightIndexedSwapFairRate(O93,AllTriggers)</f>
        <v>1.5716438960865064E-2</v>
      </c>
      <c r="S93" s="491">
        <f t="shared" si="3"/>
        <v>2.9475753523462538E-3</v>
      </c>
    </row>
    <row r="94" spans="5:19" ht="11.25" customHeight="1" x14ac:dyDescent="0.2">
      <c r="E94" s="483"/>
      <c r="F94" s="483"/>
      <c r="G94" s="482"/>
      <c r="J94" s="482"/>
      <c r="K94" s="482"/>
      <c r="M94" s="497">
        <f>_xll.qlCalendarAdvance(Calendar,M93,"1M","f",,Trigger)</f>
        <v>44755</v>
      </c>
      <c r="N94" s="488">
        <f>_xll.qlCalendarAdvance(Calendar,M94,"3M","mf",,Trigger)</f>
        <v>44847</v>
      </c>
      <c r="O94" s="490" t="str">
        <f>_xll.qlMakeDatedOIS(,M94,N94,OvernightIndex,0,,,,EvaluationDate)</f>
        <v>obj_0048a#0001</v>
      </c>
      <c r="P94" s="490" t="b">
        <f>_xll.qlInstrumentSetPricingEngine(O94,OisEngine)</f>
        <v>1</v>
      </c>
      <c r="Q94" s="489">
        <f>_xll.qlIndexFixing("euribor3m",_xll.qlInterestRateIndexFixingDate("Euribor3M",M94),TRUE,AllTriggers)</f>
        <v>1.8884762684566691E-2</v>
      </c>
      <c r="R94" s="489">
        <f>_xll.qlOvernightIndexedSwapFairRate(O94,AllTriggers)</f>
        <v>1.6557009545223201E-2</v>
      </c>
      <c r="S94" s="491">
        <f t="shared" si="3"/>
        <v>2.32775313934349E-3</v>
      </c>
    </row>
    <row r="95" spans="5:19" ht="11.25" customHeight="1" x14ac:dyDescent="0.2">
      <c r="E95" s="483"/>
      <c r="F95" s="483"/>
      <c r="G95" s="482"/>
      <c r="J95" s="482"/>
      <c r="K95" s="482"/>
      <c r="M95" s="497">
        <f>_xll.qlCalendarAdvance(Calendar,M94,"1M","f",,Trigger)</f>
        <v>44788</v>
      </c>
      <c r="N95" s="488">
        <f>_xll.qlCalendarAdvance(Calendar,M95,"3M","mf",,Trigger)</f>
        <v>44880</v>
      </c>
      <c r="O95" s="490" t="str">
        <f>_xll.qlMakeDatedOIS(,M95,N95,OvernightIndex,0,,,,EvaluationDate)</f>
        <v>obj_0048b#0001</v>
      </c>
      <c r="P95" s="490" t="b">
        <f>_xll.qlInstrumentSetPricingEngine(O95,OisEngine)</f>
        <v>1</v>
      </c>
      <c r="Q95" s="489">
        <f>_xll.qlIndexFixing("euribor3m",_xll.qlInterestRateIndexFixingDate("Euribor3M",M95),TRUE,AllTriggers)</f>
        <v>1.9120138085215059E-2</v>
      </c>
      <c r="R95" s="489">
        <f>_xll.qlOvernightIndexedSwapFairRate(O95,AllTriggers)</f>
        <v>1.7481844907851183E-2</v>
      </c>
      <c r="S95" s="491">
        <f t="shared" si="3"/>
        <v>1.6382931773638761E-3</v>
      </c>
    </row>
    <row r="96" spans="5:19" ht="11.25" customHeight="1" x14ac:dyDescent="0.2">
      <c r="E96" s="483"/>
      <c r="F96" s="483"/>
      <c r="G96" s="482"/>
      <c r="J96" s="482"/>
      <c r="K96" s="482"/>
      <c r="M96" s="497">
        <f>_xll.qlCalendarAdvance(Calendar,M95,"1M","f",,Trigger)</f>
        <v>44819</v>
      </c>
      <c r="N96" s="488">
        <f>_xll.qlCalendarAdvance(Calendar,M96,"3M","mf",,Trigger)</f>
        <v>44910</v>
      </c>
      <c r="O96" s="490" t="str">
        <f>_xll.qlMakeDatedOIS(,M96,N96,OvernightIndex,0,,,,EvaluationDate)</f>
        <v>obj_0048c#0001</v>
      </c>
      <c r="P96" s="490" t="b">
        <f>_xll.qlInstrumentSetPricingEngine(O96,OisEngine)</f>
        <v>1</v>
      </c>
      <c r="Q96" s="489">
        <f>_xll.qlIndexFixing("euribor3m",_xll.qlInterestRateIndexFixingDate("Euribor3M",M96),TRUE,AllTriggers)</f>
        <v>1.9329729971081403E-2</v>
      </c>
      <c r="R96" s="489">
        <f>_xll.qlOvernightIndexedSwapFairRate(O96,AllTriggers)</f>
        <v>1.8266261681519912E-2</v>
      </c>
      <c r="S96" s="491">
        <f t="shared" si="3"/>
        <v>1.0634682895614908E-3</v>
      </c>
    </row>
    <row r="97" spans="5:19" ht="11.25" customHeight="1" x14ac:dyDescent="0.2">
      <c r="E97" s="483"/>
      <c r="F97" s="483"/>
      <c r="G97" s="482"/>
      <c r="J97" s="482"/>
      <c r="K97" s="482"/>
      <c r="M97" s="497">
        <f>_xll.qlCalendarAdvance(Calendar,M96,"1M","f",,Trigger)</f>
        <v>44851</v>
      </c>
      <c r="N97" s="488">
        <f>_xll.qlCalendarAdvance(Calendar,M97,"3M","mf",,Trigger)</f>
        <v>44943</v>
      </c>
      <c r="O97" s="490" t="str">
        <f>_xll.qlMakeDatedOIS(,M97,N97,OvernightIndex,0,,,,EvaluationDate)</f>
        <v>obj_0048e#0001</v>
      </c>
      <c r="P97" s="490" t="b">
        <f>_xll.qlInstrumentSetPricingEngine(O97,OisEngine)</f>
        <v>1</v>
      </c>
      <c r="Q97" s="489">
        <f>_xll.qlIndexFixing("euribor3m",_xll.qlInterestRateIndexFixingDate("Euribor3M",M97),TRUE,AllTriggers)</f>
        <v>1.9545604503825493E-2</v>
      </c>
      <c r="R97" s="489">
        <f>_xll.qlOvernightIndexedSwapFairRate(O97,AllTriggers)</f>
        <v>1.826672438928529E-2</v>
      </c>
      <c r="S97" s="491">
        <f t="shared" si="3"/>
        <v>1.2788801145402033E-3</v>
      </c>
    </row>
    <row r="98" spans="5:19" ht="11.25" customHeight="1" x14ac:dyDescent="0.2">
      <c r="E98" s="483"/>
      <c r="F98" s="483"/>
      <c r="G98" s="482"/>
      <c r="J98" s="482"/>
      <c r="K98" s="482"/>
      <c r="M98" s="497">
        <f>_xll.qlCalendarAdvance(Calendar,M97,"1M","f",,Trigger)</f>
        <v>44882</v>
      </c>
      <c r="N98" s="488">
        <f>_xll.qlCalendarAdvance(Calendar,M98,"3M","mf",,Trigger)</f>
        <v>44974</v>
      </c>
      <c r="O98" s="490" t="str">
        <f>_xll.qlMakeDatedOIS(,M98,N98,OvernightIndex,0,,,,EvaluationDate)</f>
        <v>obj_0048f#0001</v>
      </c>
      <c r="P98" s="490" t="b">
        <f>_xll.qlInstrumentSetPricingEngine(O98,OisEngine)</f>
        <v>1</v>
      </c>
      <c r="Q98" s="489">
        <f>_xll.qlIndexFixing("euribor3m",_xll.qlInterestRateIndexFixingDate("Euribor3M",M98),TRUE,AllTriggers)</f>
        <v>1.9742934509527237E-2</v>
      </c>
      <c r="R98" s="489">
        <f>_xll.qlOvernightIndexedSwapFairRate(O98,AllTriggers)</f>
        <v>1.826672438928529E-2</v>
      </c>
      <c r="S98" s="491">
        <f t="shared" si="3"/>
        <v>1.476210120241947E-3</v>
      </c>
    </row>
    <row r="99" spans="5:19" ht="11.25" customHeight="1" x14ac:dyDescent="0.2">
      <c r="E99" s="483"/>
      <c r="F99" s="483"/>
      <c r="G99" s="482"/>
      <c r="J99" s="482"/>
      <c r="K99" s="482"/>
      <c r="M99" s="497">
        <f>_xll.qlCalendarAdvance(Calendar,M98,"1M","f",,Trigger)</f>
        <v>44914</v>
      </c>
      <c r="N99" s="488">
        <f>_xll.qlCalendarAdvance(Calendar,M99,"3M","mf",,Trigger)</f>
        <v>45005</v>
      </c>
      <c r="O99" s="490" t="str">
        <f>_xll.qlMakeDatedOIS(,M99,N99,OvernightIndex,0,,,,EvaluationDate)</f>
        <v>obj_00491#0001</v>
      </c>
      <c r="P99" s="490" t="b">
        <f>_xll.qlInstrumentSetPricingEngine(O99,OisEngine)</f>
        <v>1</v>
      </c>
      <c r="Q99" s="489">
        <f>_xll.qlIndexFixing("euribor3m",_xll.qlInterestRateIndexFixingDate("Euribor3M",M99),TRUE,AllTriggers)</f>
        <v>1.9934809977961147E-2</v>
      </c>
      <c r="R99" s="489">
        <f>_xll.qlOvernightIndexedSwapFairRate(O99,AllTriggers)</f>
        <v>1.8266261681520794E-2</v>
      </c>
      <c r="S99" s="491">
        <f t="shared" si="3"/>
        <v>1.6685482964403538E-3</v>
      </c>
    </row>
    <row r="100" spans="5:19" ht="11.25" customHeight="1" x14ac:dyDescent="0.2">
      <c r="E100" s="483"/>
      <c r="F100" s="483"/>
      <c r="G100" s="482"/>
      <c r="J100" s="482"/>
      <c r="K100" s="482"/>
      <c r="M100" s="497">
        <f>_xll.qlCalendarAdvance(Calendar,M99,"1M","f",,Trigger)</f>
        <v>44945</v>
      </c>
      <c r="N100" s="488">
        <f>_xll.qlCalendarAdvance(Calendar,M100,"3M","mf",,Trigger)</f>
        <v>45035</v>
      </c>
      <c r="O100" s="490" t="str">
        <f>_xll.qlMakeDatedOIS(,M100,N100,OvernightIndex,0,,,,EvaluationDate)</f>
        <v>obj_00493#0001</v>
      </c>
      <c r="P100" s="490" t="b">
        <f>_xll.qlInstrumentSetPricingEngine(O100,OisEngine)</f>
        <v>1</v>
      </c>
      <c r="Q100" s="489">
        <f>_xll.qlIndexFixing("euribor3m",_xll.qlInterestRateIndexFixingDate("Euribor3M",M100),TRUE,AllTriggers)</f>
        <v>2.0112729454503153E-2</v>
      </c>
      <c r="R100" s="489">
        <f>_xll.qlOvernightIndexedSwapFairRate(O100,AllTriggers)</f>
        <v>1.8265798989376414E-2</v>
      </c>
      <c r="S100" s="491">
        <f t="shared" si="3"/>
        <v>1.8469304651267393E-3</v>
      </c>
    </row>
    <row r="101" spans="5:19" ht="11.25" customHeight="1" x14ac:dyDescent="0.2">
      <c r="E101" s="483"/>
      <c r="F101" s="483"/>
      <c r="G101" s="482"/>
      <c r="J101" s="482"/>
      <c r="K101" s="482"/>
      <c r="M101" s="497">
        <f>_xll.qlCalendarAdvance(Calendar,M100,"1M","f",,Trigger)</f>
        <v>44977</v>
      </c>
      <c r="N101" s="488">
        <f>_xll.qlCalendarAdvance(Calendar,M101,"3M","mf",,Trigger)</f>
        <v>45068</v>
      </c>
      <c r="O101" s="490" t="str">
        <f>_xll.qlMakeDatedOIS(,M101,N101,OvernightIndex,0,,,,EvaluationDate)</f>
        <v>obj_00495#0001</v>
      </c>
      <c r="P101" s="490" t="b">
        <f>_xll.qlInstrumentSetPricingEngine(O101,OisEngine)</f>
        <v>1</v>
      </c>
      <c r="Q101" s="489">
        <f>_xll.qlIndexFixing("euribor3m",_xll.qlInterestRateIndexFixingDate("Euribor3M",M101),TRUE,AllTriggers)</f>
        <v>2.029486777736798E-2</v>
      </c>
      <c r="R101" s="489">
        <f>_xll.qlOvernightIndexedSwapFairRate(O101,AllTriggers)</f>
        <v>1.8266261681519916E-2</v>
      </c>
      <c r="S101" s="491">
        <f t="shared" si="3"/>
        <v>2.0286060958480644E-3</v>
      </c>
    </row>
    <row r="102" spans="5:19" ht="11.25" customHeight="1" x14ac:dyDescent="0.2">
      <c r="E102" s="483"/>
      <c r="F102" s="483"/>
      <c r="G102" s="482"/>
      <c r="J102" s="482"/>
      <c r="K102" s="482"/>
      <c r="M102" s="497">
        <f>_xll.qlCalendarAdvance(Calendar,M101,"1M","f",,Trigger)</f>
        <v>45005</v>
      </c>
      <c r="N102" s="488">
        <f>_xll.qlCalendarAdvance(Calendar,M102,"3M","mf",,Trigger)</f>
        <v>45097</v>
      </c>
      <c r="O102" s="490" t="str">
        <f>_xll.qlMakeDatedOIS(,M102,N102,OvernightIndex,0,,,,EvaluationDate)</f>
        <v>obj_00497#0001</v>
      </c>
      <c r="P102" s="490" t="b">
        <f>_xll.qlInstrumentSetPricingEngine(O102,OisEngine)</f>
        <v>1</v>
      </c>
      <c r="Q102" s="489">
        <f>_xll.qlIndexFixing("euribor3m",_xll.qlInterestRateIndexFixingDate("Euribor3M",M102),TRUE,AllTriggers)</f>
        <v>2.0447469469959005E-2</v>
      </c>
      <c r="R102" s="489">
        <f>_xll.qlOvernightIndexedSwapFairRate(O102,AllTriggers)</f>
        <v>1.826672438928529E-2</v>
      </c>
      <c r="S102" s="491">
        <f t="shared" si="3"/>
        <v>2.1807450806737155E-3</v>
      </c>
    </row>
    <row r="103" spans="5:19" ht="11.25" customHeight="1" x14ac:dyDescent="0.2">
      <c r="E103" s="483"/>
      <c r="F103" s="483"/>
      <c r="G103" s="482"/>
      <c r="J103" s="482"/>
      <c r="K103" s="482"/>
      <c r="M103" s="497">
        <f>_xll.qlCalendarAdvance(Calendar,M102,"1M","f",,Trigger)</f>
        <v>45036</v>
      </c>
      <c r="N103" s="488">
        <f>_xll.qlCalendarAdvance(Calendar,M103,"3M","mf",,Trigger)</f>
        <v>45127</v>
      </c>
      <c r="O103" s="490" t="str">
        <f>_xll.qlMakeDatedOIS(,M103,N103,OvernightIndex,0,,,,EvaluationDate)</f>
        <v>obj_00499#0001</v>
      </c>
      <c r="P103" s="490" t="b">
        <f>_xll.qlInstrumentSetPricingEngine(O103,OisEngine)</f>
        <v>1</v>
      </c>
      <c r="Q103" s="489">
        <f>_xll.qlIndexFixing("euribor3m",_xll.qlInterestRateIndexFixingDate("Euribor3M",M103),TRUE,AllTriggers)</f>
        <v>2.0602258351547643E-2</v>
      </c>
      <c r="R103" s="489">
        <f>_xll.qlOvernightIndexedSwapFairRate(O103,AllTriggers)</f>
        <v>1.8266261681519916E-2</v>
      </c>
      <c r="S103" s="491">
        <f t="shared" si="3"/>
        <v>2.3359966700277277E-3</v>
      </c>
    </row>
    <row r="104" spans="5:19" ht="11.25" customHeight="1" x14ac:dyDescent="0.2">
      <c r="E104" s="483"/>
      <c r="F104" s="483"/>
      <c r="G104" s="482"/>
      <c r="J104" s="482"/>
      <c r="K104" s="482"/>
      <c r="M104" s="497">
        <f>_xll.qlCalendarAdvance(Calendar,M103,"1M","f",,Trigger)</f>
        <v>45068</v>
      </c>
      <c r="N104" s="488">
        <f>_xll.qlCalendarAdvance(Calendar,M104,"3M","mf",,Trigger)</f>
        <v>45160</v>
      </c>
      <c r="O104" s="490" t="str">
        <f>_xll.qlMakeDatedOIS(,M104,N104,OvernightIndex,0,,,,EvaluationDate)</f>
        <v>obj_0049b#0001</v>
      </c>
      <c r="P104" s="490" t="b">
        <f>_xll.qlInstrumentSetPricingEngine(O104,OisEngine)</f>
        <v>1</v>
      </c>
      <c r="Q104" s="489">
        <f>_xll.qlIndexFixing("euribor3m",_xll.qlInterestRateIndexFixingDate("Euribor3M",M104),TRUE,AllTriggers)</f>
        <v>2.075980134058563E-2</v>
      </c>
      <c r="R104" s="489">
        <f>_xll.qlOvernightIndexedSwapFairRate(O104,AllTriggers)</f>
        <v>1.8266724389285286E-2</v>
      </c>
      <c r="S104" s="491">
        <f t="shared" si="3"/>
        <v>2.4930769513003444E-3</v>
      </c>
    </row>
    <row r="105" spans="5:19" ht="11.25" customHeight="1" x14ac:dyDescent="0.2">
      <c r="E105" s="483"/>
      <c r="F105" s="483"/>
      <c r="G105" s="482"/>
      <c r="J105" s="482"/>
      <c r="K105" s="482"/>
      <c r="M105" s="497">
        <f>_xll.qlCalendarAdvance(Calendar,M104,"1M","f",,Trigger)</f>
        <v>45099</v>
      </c>
      <c r="N105" s="488">
        <f>_xll.qlCalendarAdvance(Calendar,M105,"3M","mf",,Trigger)</f>
        <v>45191</v>
      </c>
      <c r="O105" s="490" t="str">
        <f>_xll.qlMakeDatedOIS(,M105,N105,OvernightIndex,0,,,,EvaluationDate)</f>
        <v>obj_0049d#0001</v>
      </c>
      <c r="P105" s="490" t="b">
        <f>_xll.qlInstrumentSetPricingEngine(O105,OisEngine)</f>
        <v>1</v>
      </c>
      <c r="Q105" s="489">
        <f>_xll.qlIndexFixing("euribor3m",_xll.qlInterestRateIndexFixingDate("Euribor3M",M105),TRUE,AllTriggers)</f>
        <v>2.0901433419421061E-2</v>
      </c>
      <c r="R105" s="489">
        <f>_xll.qlOvernightIndexedSwapFairRate(O105,AllTriggers)</f>
        <v>1.8478815836930607E-2</v>
      </c>
      <c r="S105" s="491">
        <f t="shared" si="3"/>
        <v>2.4226175824904536E-3</v>
      </c>
    </row>
    <row r="106" spans="5:19" ht="11.25" customHeight="1" x14ac:dyDescent="0.2">
      <c r="E106" s="483"/>
      <c r="F106" s="483"/>
      <c r="G106" s="482"/>
      <c r="J106" s="482"/>
      <c r="K106" s="482"/>
      <c r="M106" s="497">
        <f>_xll.qlCalendarAdvance(Calendar,M105,"1M","f",,Trigger)</f>
        <v>45131</v>
      </c>
      <c r="N106" s="488">
        <f>_xll.qlCalendarAdvance(Calendar,M106,"3M","mf",,Trigger)</f>
        <v>45223</v>
      </c>
      <c r="O106" s="490" t="str">
        <f>_xll.qlMakeDatedOIS(,M106,N106,OvernightIndex,0,,,,EvaluationDate)</f>
        <v>obj_0049f#0001</v>
      </c>
      <c r="P106" s="490" t="b">
        <f>_xll.qlInstrumentSetPricingEngine(O106,OisEngine)</f>
        <v>1</v>
      </c>
      <c r="Q106" s="489">
        <f>_xll.qlIndexFixing("euribor3m",_xll.qlInterestRateIndexFixingDate("Euribor3M",M106),TRUE,AllTriggers)</f>
        <v>2.1040209878858154E-2</v>
      </c>
      <c r="R106" s="489">
        <f>_xll.qlOvernightIndexedSwapFairRate(O106,AllTriggers)</f>
        <v>1.9095874201106176E-2</v>
      </c>
      <c r="S106" s="491">
        <f t="shared" si="3"/>
        <v>1.944335677751978E-3</v>
      </c>
    </row>
    <row r="107" spans="5:19" ht="11.25" customHeight="1" x14ac:dyDescent="0.2">
      <c r="E107" s="483"/>
      <c r="F107" s="483"/>
      <c r="G107" s="482"/>
      <c r="J107" s="482"/>
      <c r="K107" s="482"/>
      <c r="M107" s="497">
        <f>_xll.qlCalendarAdvance(Calendar,M106,"1M","f",,Trigger)</f>
        <v>45162</v>
      </c>
      <c r="N107" s="488">
        <f>_xll.qlCalendarAdvance(Calendar,M107,"3M","mf",,Trigger)</f>
        <v>45254</v>
      </c>
      <c r="O107" s="490" t="str">
        <f>_xll.qlMakeDatedOIS(,M107,N107,OvernightIndex,0,,,,EvaluationDate)</f>
        <v>obj_004a1#0001</v>
      </c>
      <c r="P107" s="490" t="b">
        <f>_xll.qlInstrumentSetPricingEngine(O107,OisEngine)</f>
        <v>1</v>
      </c>
      <c r="Q107" s="489">
        <f>_xll.qlIndexFixing("euribor3m",_xll.qlInterestRateIndexFixingDate("Euribor3M",M107),TRUE,AllTriggers)</f>
        <v>2.1169578146491373E-2</v>
      </c>
      <c r="R107" s="489">
        <f>_xll.qlOvernightIndexedSwapFairRate(O107,AllTriggers)</f>
        <v>1.9693741847021159E-2</v>
      </c>
      <c r="S107" s="491">
        <f t="shared" si="3"/>
        <v>1.4758362994702137E-3</v>
      </c>
    </row>
    <row r="108" spans="5:19" ht="11.25" customHeight="1" x14ac:dyDescent="0.2">
      <c r="E108" s="483"/>
      <c r="F108" s="483"/>
      <c r="G108" s="482"/>
      <c r="J108" s="482"/>
      <c r="K108" s="482"/>
      <c r="M108" s="497">
        <f>_xll.qlCalendarAdvance(Calendar,M107,"1M","f",,Trigger)</f>
        <v>45194</v>
      </c>
      <c r="N108" s="488">
        <f>_xll.qlCalendarAdvance(Calendar,M108,"3M","mf",,Trigger)</f>
        <v>45287</v>
      </c>
      <c r="O108" s="490" t="str">
        <f>_xll.qlMakeDatedOIS(,M108,N108,OvernightIndex,0,,,,EvaluationDate)</f>
        <v>obj_004a3#0001</v>
      </c>
      <c r="P108" s="490" t="b">
        <f>_xll.qlInstrumentSetPricingEngine(O108,OisEngine)</f>
        <v>1</v>
      </c>
      <c r="Q108" s="489">
        <f>_xll.qlIndexFixing("euribor3m",_xll.qlInterestRateIndexFixingDate("Euribor3M",M108),TRUE,AllTriggers)</f>
        <v>2.1302808054640292E-2</v>
      </c>
      <c r="R108" s="489">
        <f>_xll.qlOvernightIndexedSwapFairRate(O108,AllTriggers)</f>
        <v>2.0041489409554778E-2</v>
      </c>
      <c r="S108" s="491">
        <f t="shared" si="3"/>
        <v>1.2613186450855136E-3</v>
      </c>
    </row>
    <row r="109" spans="5:19" ht="11.25" customHeight="1" x14ac:dyDescent="0.2">
      <c r="E109" s="483"/>
      <c r="F109" s="483"/>
      <c r="G109" s="482"/>
      <c r="J109" s="482"/>
      <c r="K109" s="482"/>
      <c r="M109" s="497">
        <f>_xll.qlCalendarAdvance(Calendar,M108,"1M","f",,Trigger)</f>
        <v>45224</v>
      </c>
      <c r="N109" s="488">
        <f>_xll.qlCalendarAdvance(Calendar,M109,"3M","mf",,Trigger)</f>
        <v>45316</v>
      </c>
      <c r="O109" s="490" t="str">
        <f>_xll.qlMakeDatedOIS(,M109,N109,OvernightIndex,0,,,,EvaluationDate)</f>
        <v>obj_004a5#0001</v>
      </c>
      <c r="P109" s="490" t="b">
        <f>_xll.qlInstrumentSetPricingEngine(O109,OisEngine)</f>
        <v>1</v>
      </c>
      <c r="Q109" s="489">
        <f>_xll.qlIndexFixing("euribor3m",_xll.qlInterestRateIndexFixingDate("Euribor3M",M109),TRUE,AllTriggers)</f>
        <v>2.1421020480995277E-2</v>
      </c>
      <c r="R109" s="489">
        <f>_xll.qlOvernightIndexedSwapFairRate(O109,AllTriggers)</f>
        <v>2.0040932517225957E-2</v>
      </c>
      <c r="S109" s="491">
        <f t="shared" si="3"/>
        <v>1.3800879637693199E-3</v>
      </c>
    </row>
    <row r="110" spans="5:19" ht="11.25" customHeight="1" x14ac:dyDescent="0.2">
      <c r="E110" s="483"/>
      <c r="F110" s="483"/>
      <c r="G110" s="482"/>
      <c r="J110" s="482"/>
      <c r="K110" s="482"/>
      <c r="M110" s="497">
        <f>_xll.qlCalendarAdvance(Calendar,M109,"1M","f",,Trigger)</f>
        <v>45257</v>
      </c>
      <c r="N110" s="488">
        <f>_xll.qlCalendarAdvance(Calendar,M110,"3M","mf",,Trigger)</f>
        <v>45349</v>
      </c>
      <c r="O110" s="490" t="str">
        <f>_xll.qlMakeDatedOIS(,M110,N110,OvernightIndex,0,,,,EvaluationDate)</f>
        <v>obj_004a7#0001</v>
      </c>
      <c r="P110" s="490" t="b">
        <f>_xll.qlInstrumentSetPricingEngine(O110,OisEngine)</f>
        <v>1</v>
      </c>
      <c r="Q110" s="489">
        <f>_xll.qlIndexFixing("euribor3m",_xll.qlInterestRateIndexFixingDate("Euribor3M",M110),TRUE,AllTriggers)</f>
        <v>2.1552279877583666E-2</v>
      </c>
      <c r="R110" s="489">
        <f>_xll.qlOvernightIndexedSwapFairRate(O110,AllTriggers)</f>
        <v>2.0040932517225964E-2</v>
      </c>
      <c r="S110" s="491">
        <f t="shared" si="3"/>
        <v>1.5113473603577017E-3</v>
      </c>
    </row>
    <row r="111" spans="5:19" ht="11.25" customHeight="1" x14ac:dyDescent="0.2">
      <c r="E111" s="483"/>
      <c r="F111" s="483"/>
      <c r="G111" s="482"/>
      <c r="J111" s="482"/>
      <c r="K111" s="482"/>
      <c r="M111" s="497">
        <f>_xll.qlCalendarAdvance(Calendar,M110,"1M","f",,Trigger)</f>
        <v>45287</v>
      </c>
      <c r="N111" s="488">
        <f>_xll.qlCalendarAdvance(Calendar,M111,"3M","mf",,Trigger)</f>
        <v>45378</v>
      </c>
      <c r="O111" s="490" t="str">
        <f>_xll.qlMakeDatedOIS(,M111,N111,OvernightIndex,0,,,,EvaluationDate)</f>
        <v>obj_004a9#0001</v>
      </c>
      <c r="P111" s="490" t="b">
        <f>_xll.qlInstrumentSetPricingEngine(O111,OisEngine)</f>
        <v>1</v>
      </c>
      <c r="Q111" s="489">
        <f>_xll.qlIndexFixing("euribor3m",_xll.qlInterestRateIndexFixingDate("Euribor3M",M111),TRUE,AllTriggers)</f>
        <v>2.1667488060056535E-2</v>
      </c>
      <c r="R111" s="489">
        <f>_xll.qlOvernightIndexedSwapFairRate(O111,AllTriggers)</f>
        <v>2.0040375645519838E-2</v>
      </c>
      <c r="S111" s="491">
        <f t="shared" si="3"/>
        <v>1.6271124145366966E-3</v>
      </c>
    </row>
    <row r="112" spans="5:19" ht="11.25" customHeight="1" x14ac:dyDescent="0.2">
      <c r="E112" s="483"/>
      <c r="F112" s="483"/>
      <c r="G112" s="482"/>
      <c r="J112" s="482"/>
      <c r="K112" s="482"/>
      <c r="M112" s="497">
        <f>_xll.qlCalendarAdvance(Calendar,M111,"1M","f",,Trigger)</f>
        <v>45320</v>
      </c>
      <c r="N112" s="488">
        <f>_xll.qlCalendarAdvance(Calendar,M112,"3M","mf",,Trigger)</f>
        <v>45411</v>
      </c>
      <c r="O112" s="490" t="str">
        <f>_xll.qlMakeDatedOIS(,M112,N112,OvernightIndex,0,,,,EvaluationDate)</f>
        <v>obj_004ab#0001</v>
      </c>
      <c r="P112" s="490" t="b">
        <f>_xll.qlInstrumentSetPricingEngine(O112,OisEngine)</f>
        <v>1</v>
      </c>
      <c r="Q112" s="489">
        <f>_xll.qlIndexFixing("euribor3m",_xll.qlInterestRateIndexFixingDate("Euribor3M",M112),TRUE,AllTriggers)</f>
        <v>2.179540324882916E-2</v>
      </c>
      <c r="R112" s="489">
        <f>_xll.qlOvernightIndexedSwapFairRate(O112,AllTriggers)</f>
        <v>2.0040375645519842E-2</v>
      </c>
      <c r="S112" s="491">
        <f t="shared" si="3"/>
        <v>1.7550276033093185E-3</v>
      </c>
    </row>
    <row r="113" spans="5:19" ht="11.25" customHeight="1" x14ac:dyDescent="0.2">
      <c r="E113" s="483"/>
      <c r="F113" s="483"/>
      <c r="G113" s="482"/>
      <c r="J113" s="482"/>
      <c r="K113" s="482"/>
      <c r="M113" s="497">
        <f>_xll.qlCalendarAdvance(Calendar,M112,"1M","f",,Trigger)</f>
        <v>45351</v>
      </c>
      <c r="N113" s="488">
        <f>_xll.qlCalendarAdvance(Calendar,M113,"3M","mf",,Trigger)</f>
        <v>45441</v>
      </c>
      <c r="O113" s="490" t="str">
        <f>_xll.qlMakeDatedOIS(,M113,N113,OvernightIndex,0,,,,EvaluationDate)</f>
        <v>obj_004ad#0001</v>
      </c>
      <c r="P113" s="490" t="b">
        <f>_xll.qlInstrumentSetPricingEngine(O113,OisEngine)</f>
        <v>1</v>
      </c>
      <c r="Q113" s="489">
        <f>_xll.qlIndexFixing("euribor3m",_xll.qlInterestRateIndexFixingDate("Euribor3M",M113),TRUE,AllTriggers)</f>
        <v>2.1916514065396134E-2</v>
      </c>
      <c r="R113" s="489">
        <f>_xll.qlOvernightIndexedSwapFairRate(O113,AllTriggers)</f>
        <v>2.0039818794437281E-2</v>
      </c>
      <c r="S113" s="491">
        <f t="shared" si="3"/>
        <v>1.8766952709588537E-3</v>
      </c>
    </row>
    <row r="114" spans="5:19" ht="11.25" customHeight="1" x14ac:dyDescent="0.2">
      <c r="E114" s="483"/>
      <c r="F114" s="483"/>
      <c r="G114" s="482"/>
      <c r="J114" s="482"/>
      <c r="K114" s="482"/>
      <c r="M114" s="497">
        <f>_xll.qlCalendarAdvance(Calendar,M113,"1M","f",,Trigger)</f>
        <v>45384</v>
      </c>
      <c r="N114" s="488">
        <f>_xll.qlCalendarAdvance(Calendar,M114,"3M","mf",,Trigger)</f>
        <v>45475</v>
      </c>
      <c r="O114" s="490" t="str">
        <f>_xll.qlMakeDatedOIS(,M114,N114,OvernightIndex,0,,,,EvaluationDate)</f>
        <v>obj_004af#0001</v>
      </c>
      <c r="P114" s="490" t="b">
        <f>_xll.qlInstrumentSetPricingEngine(O114,OisEngine)</f>
        <v>1</v>
      </c>
      <c r="Q114" s="489">
        <f>_xll.qlIndexFixing("euribor3m",_xll.qlInterestRateIndexFixingDate("Euribor3M",M114),TRUE,AllTriggers)</f>
        <v>2.2038459161507401E-2</v>
      </c>
      <c r="R114" s="489">
        <f>_xll.qlOvernightIndexedSwapFairRate(O114,AllTriggers)</f>
        <v>2.0040375645519842E-2</v>
      </c>
      <c r="S114" s="491">
        <f t="shared" si="3"/>
        <v>1.9980835159875594E-3</v>
      </c>
    </row>
    <row r="115" spans="5:19" ht="11.25" customHeight="1" x14ac:dyDescent="0.2">
      <c r="E115" s="483"/>
      <c r="F115" s="483"/>
      <c r="G115" s="482"/>
      <c r="J115" s="482"/>
      <c r="K115" s="482"/>
      <c r="M115" s="497">
        <f>_xll.qlCalendarAdvance(Calendar,M114,"1M","f",,Trigger)</f>
        <v>45414</v>
      </c>
      <c r="N115" s="488">
        <f>_xll.qlCalendarAdvance(Calendar,M115,"3M","mf",,Trigger)</f>
        <v>45506</v>
      </c>
      <c r="O115" s="490" t="str">
        <f>_xll.qlMakeDatedOIS(,M115,N115,OvernightIndex,0,,,,EvaluationDate)</f>
        <v>obj_004b1#0001</v>
      </c>
      <c r="P115" s="490" t="b">
        <f>_xll.qlInstrumentSetPricingEngine(O115,OisEngine)</f>
        <v>1</v>
      </c>
      <c r="Q115" s="489">
        <f>_xll.qlIndexFixing("euribor3m",_xll.qlInterestRateIndexFixingDate("Euribor3M",M115),TRUE,AllTriggers)</f>
        <v>2.2152626502509407E-2</v>
      </c>
      <c r="R115" s="489">
        <f>_xll.qlOvernightIndexedSwapFairRate(O115,AllTriggers)</f>
        <v>2.0040932517225964E-2</v>
      </c>
      <c r="S115" s="491">
        <f t="shared" si="3"/>
        <v>2.1116939852834429E-3</v>
      </c>
    </row>
    <row r="116" spans="5:19" ht="11.25" customHeight="1" x14ac:dyDescent="0.2">
      <c r="E116" s="483"/>
      <c r="F116" s="483"/>
      <c r="G116" s="482"/>
      <c r="J116" s="482"/>
      <c r="K116" s="482"/>
      <c r="M116" s="497">
        <f>_xll.qlCalendarAdvance(Calendar,M115,"1M","f",,Trigger)</f>
        <v>45446</v>
      </c>
      <c r="N116" s="488">
        <f>_xll.qlCalendarAdvance(Calendar,M116,"3M","mf",,Trigger)</f>
        <v>45538</v>
      </c>
      <c r="O116" s="490" t="str">
        <f>_xll.qlMakeDatedOIS(,M116,N116,OvernightIndex,0,,,,EvaluationDate)</f>
        <v>obj_004b3#0001</v>
      </c>
      <c r="P116" s="490" t="b">
        <f>_xll.qlInstrumentSetPricingEngine(O116,OisEngine)</f>
        <v>1</v>
      </c>
      <c r="Q116" s="489">
        <f>_xll.qlIndexFixing("euribor3m",_xll.qlInterestRateIndexFixingDate("Euribor3M",M116),TRUE,AllTriggers)</f>
        <v>2.227009677793898E-2</v>
      </c>
      <c r="R116" s="489">
        <f>_xll.qlOvernightIndexedSwapFairRate(O116,AllTriggers)</f>
        <v>2.0040932517225961E-2</v>
      </c>
      <c r="S116" s="491">
        <f t="shared" si="3"/>
        <v>2.2291642607130194E-3</v>
      </c>
    </row>
    <row r="117" spans="5:19" ht="11.25" customHeight="1" x14ac:dyDescent="0.2">
      <c r="E117" s="483"/>
      <c r="F117" s="483"/>
      <c r="G117" s="482"/>
      <c r="J117" s="482"/>
      <c r="K117" s="482"/>
      <c r="M117" s="497">
        <f>_xll.qlCalendarAdvance(Calendar,M116,"1M","f",,Trigger)</f>
        <v>45476</v>
      </c>
      <c r="N117" s="488">
        <f>_xll.qlCalendarAdvance(Calendar,M117,"3M","mf",,Trigger)</f>
        <v>45568</v>
      </c>
      <c r="O117" s="490" t="str">
        <f>_xll.qlMakeDatedOIS(,M117,N117,OvernightIndex,0,,,,EvaluationDate)</f>
        <v>obj_004b5#0001</v>
      </c>
      <c r="P117" s="490" t="b">
        <f>_xll.qlInstrumentSetPricingEngine(O117,OisEngine)</f>
        <v>1</v>
      </c>
      <c r="Q117" s="489">
        <f>_xll.qlIndexFixing("euribor3m",_xll.qlInterestRateIndexFixingDate("Euribor3M",M117),TRUE,AllTriggers)</f>
        <v>2.2378686759756794E-2</v>
      </c>
      <c r="R117" s="489">
        <f>_xll.qlOvernightIndexedSwapFairRate(O117,AllTriggers)</f>
        <v>2.0383069950837249E-2</v>
      </c>
      <c r="S117" s="491">
        <f t="shared" si="3"/>
        <v>1.9956168089195446E-3</v>
      </c>
    </row>
    <row r="118" spans="5:19" ht="11.25" customHeight="1" x14ac:dyDescent="0.2">
      <c r="E118" s="483"/>
      <c r="F118" s="483"/>
      <c r="G118" s="482"/>
      <c r="J118" s="482"/>
      <c r="K118" s="482"/>
      <c r="M118" s="497">
        <f>_xll.qlCalendarAdvance(Calendar,M117,"1M","f",,Trigger)</f>
        <v>45509</v>
      </c>
      <c r="N118" s="488">
        <f>_xll.qlCalendarAdvance(Calendar,M118,"3M","mf",,Trigger)</f>
        <v>45601</v>
      </c>
      <c r="O118" s="490" t="str">
        <f>_xll.qlMakeDatedOIS(,M118,N118,OvernightIndex,0,,,,EvaluationDate)</f>
        <v>obj_004b6#0001</v>
      </c>
      <c r="P118" s="490" t="b">
        <f>_xll.qlInstrumentSetPricingEngine(O118,OisEngine)</f>
        <v>1</v>
      </c>
      <c r="Q118" s="489">
        <f>_xll.qlIndexFixing("euribor3m",_xll.qlInterestRateIndexFixingDate("Euribor3M",M118),TRUE,AllTriggers)</f>
        <v>2.2496043844716328E-2</v>
      </c>
      <c r="R118" s="489">
        <f>_xll.qlOvernightIndexedSwapFairRate(O118,AllTriggers)</f>
        <v>2.0874014776759525E-2</v>
      </c>
      <c r="S118" s="491">
        <f t="shared" si="3"/>
        <v>1.6220290679568039E-3</v>
      </c>
    </row>
    <row r="119" spans="5:19" ht="11.25" customHeight="1" x14ac:dyDescent="0.2">
      <c r="E119" s="483"/>
      <c r="F119" s="483"/>
      <c r="G119" s="482"/>
      <c r="J119" s="482"/>
      <c r="K119" s="482"/>
      <c r="M119" s="497">
        <f>_xll.qlCalendarAdvance(Calendar,M118,"1M","f",,Trigger)</f>
        <v>45540</v>
      </c>
      <c r="N119" s="488">
        <f>_xll.qlCalendarAdvance(Calendar,M119,"3M","mf",,Trigger)</f>
        <v>45631</v>
      </c>
      <c r="O119" s="490" t="str">
        <f>_xll.qlMakeDatedOIS(,M119,N119,OvernightIndex,0,,,,EvaluationDate)</f>
        <v>obj_004b8#0001</v>
      </c>
      <c r="P119" s="490" t="b">
        <f>_xll.qlInstrumentSetPricingEngine(O119,OisEngine)</f>
        <v>1</v>
      </c>
      <c r="Q119" s="489">
        <f>_xll.qlIndexFixing("euribor3m",_xll.qlInterestRateIndexFixingDate("Euribor3M",M119),TRUE,AllTriggers)</f>
        <v>2.2601383944649913E-2</v>
      </c>
      <c r="R119" s="489">
        <f>_xll.qlOvernightIndexedSwapFairRate(O119,AllTriggers)</f>
        <v>2.1333812612072324E-2</v>
      </c>
      <c r="S119" s="491">
        <f t="shared" si="3"/>
        <v>1.2675713325775891E-3</v>
      </c>
    </row>
    <row r="120" spans="5:19" ht="11.25" customHeight="1" x14ac:dyDescent="0.2">
      <c r="E120" s="483"/>
      <c r="F120" s="483"/>
      <c r="G120" s="482"/>
      <c r="J120" s="482"/>
      <c r="K120" s="482"/>
      <c r="M120" s="497">
        <f>_xll.qlCalendarAdvance(Calendar,M119,"1M","f",,Trigger)</f>
        <v>45572</v>
      </c>
      <c r="N120" s="488">
        <f>_xll.qlCalendarAdvance(Calendar,M120,"3M","mf",,Trigger)</f>
        <v>45664</v>
      </c>
      <c r="O120" s="490" t="str">
        <f>_xll.qlMakeDatedOIS(,M120,N120,OvernightIndex,0,,,,EvaluationDate)</f>
        <v>obj_004ba#0001</v>
      </c>
      <c r="P120" s="490" t="b">
        <f>_xll.qlInstrumentSetPricingEngine(O120,OisEngine)</f>
        <v>1</v>
      </c>
      <c r="Q120" s="489">
        <f>_xll.qlIndexFixing("euribor3m",_xll.qlInterestRateIndexFixingDate("Euribor3M",M120),TRUE,AllTriggers)</f>
        <v>2.2711981075146916E-2</v>
      </c>
      <c r="R120" s="489">
        <f>_xll.qlOvernightIndexedSwapFairRate(O120,AllTriggers)</f>
        <v>2.1409660836413772E-2</v>
      </c>
      <c r="S120" s="491">
        <f t="shared" si="3"/>
        <v>1.3023202387331435E-3</v>
      </c>
    </row>
    <row r="121" spans="5:19" ht="11.25" customHeight="1" x14ac:dyDescent="0.2">
      <c r="E121" s="483"/>
      <c r="F121" s="483"/>
      <c r="G121" s="482"/>
      <c r="J121" s="482"/>
      <c r="K121" s="482"/>
      <c r="M121" s="497">
        <f>_xll.qlCalendarAdvance(Calendar,M120,"1M","f",,Trigger)</f>
        <v>45603</v>
      </c>
      <c r="N121" s="488">
        <f>_xll.qlCalendarAdvance(Calendar,M121,"3M","mf",,Trigger)</f>
        <v>45695</v>
      </c>
      <c r="O121" s="490" t="str">
        <f>_xll.qlMakeDatedOIS(,M121,N121,OvernightIndex,0,,,,EvaluationDate)</f>
        <v>obj_004bc#0001</v>
      </c>
      <c r="P121" s="490" t="b">
        <f>_xll.qlInstrumentSetPricingEngine(O121,OisEngine)</f>
        <v>1</v>
      </c>
      <c r="Q121" s="489">
        <f>_xll.qlIndexFixing("euribor3m",_xll.qlInterestRateIndexFixingDate("Euribor3M",M121),TRUE,AllTriggers)</f>
        <v>2.2813745649563719E-2</v>
      </c>
      <c r="R121" s="489">
        <f>_xll.qlOvernightIndexedSwapFairRate(O121,AllTriggers)</f>
        <v>2.1409660836413772E-2</v>
      </c>
      <c r="S121" s="491">
        <f t="shared" si="3"/>
        <v>1.4040848131499466E-3</v>
      </c>
    </row>
    <row r="122" spans="5:19" ht="11.25" customHeight="1" x14ac:dyDescent="0.2">
      <c r="E122" s="483"/>
      <c r="F122" s="483"/>
      <c r="G122" s="482"/>
      <c r="J122" s="482"/>
      <c r="K122" s="482"/>
      <c r="M122" s="497">
        <f>_xll.qlCalendarAdvance(Calendar,M121,"1M","f",,Trigger)</f>
        <v>45635</v>
      </c>
      <c r="N122" s="488">
        <f>_xll.qlCalendarAdvance(Calendar,M122,"3M","mf",,Trigger)</f>
        <v>45726</v>
      </c>
      <c r="O122" s="490" t="str">
        <f>_xll.qlMakeDatedOIS(,M122,N122,OvernightIndex,0,,,,EvaluationDate)</f>
        <v>obj_004be#0001</v>
      </c>
      <c r="P122" s="490" t="b">
        <f>_xll.qlInstrumentSetPricingEngine(O122,OisEngine)</f>
        <v>1</v>
      </c>
      <c r="Q122" s="489">
        <f>_xll.qlIndexFixing("euribor3m",_xll.qlInterestRateIndexFixingDate("Euribor3M",M122),TRUE,AllTriggers)</f>
        <v>2.2913371304279447E-2</v>
      </c>
      <c r="R122" s="489">
        <f>_xll.qlOvernightIndexedSwapFairRate(O122,AllTriggers)</f>
        <v>2.1409025376925472E-2</v>
      </c>
      <c r="S122" s="491">
        <f t="shared" si="3"/>
        <v>1.5043459273539755E-3</v>
      </c>
    </row>
    <row r="123" spans="5:19" ht="11.25" customHeight="1" x14ac:dyDescent="0.2">
      <c r="E123" s="483"/>
      <c r="F123" s="483"/>
      <c r="G123" s="482"/>
      <c r="J123" s="482"/>
      <c r="K123" s="482"/>
      <c r="M123" s="497">
        <f>_xll.qlCalendarAdvance(Calendar,M122,"1M","f",,Trigger)</f>
        <v>45666</v>
      </c>
      <c r="N123" s="488">
        <f>_xll.qlCalendarAdvance(Calendar,M123,"3M","mf",,Trigger)</f>
        <v>45756</v>
      </c>
      <c r="O123" s="490" t="str">
        <f>_xll.qlMakeDatedOIS(,M123,N123,OvernightIndex,0,,,,EvaluationDate)</f>
        <v>obj_004c0#0001</v>
      </c>
      <c r="P123" s="490" t="b">
        <f>_xll.qlInstrumentSetPricingEngine(O123,OisEngine)</f>
        <v>1</v>
      </c>
      <c r="Q123" s="489">
        <f>_xll.qlIndexFixing("euribor3m",_xll.qlInterestRateIndexFixingDate("Euribor3M",M123),TRUE,AllTriggers)</f>
        <v>2.300684462456104E-2</v>
      </c>
      <c r="R123" s="489">
        <f>_xll.qlOvernightIndexedSwapFairRate(O123,AllTriggers)</f>
        <v>2.1408389942573436E-2</v>
      </c>
      <c r="S123" s="491">
        <f t="shared" si="3"/>
        <v>1.5984546819876044E-3</v>
      </c>
    </row>
    <row r="124" spans="5:19" ht="11.25" customHeight="1" x14ac:dyDescent="0.2">
      <c r="E124" s="483"/>
      <c r="F124" s="483"/>
      <c r="G124" s="482"/>
      <c r="J124" s="482"/>
      <c r="K124" s="482"/>
      <c r="M124" s="497">
        <f>_xll.qlCalendarAdvance(Calendar,M123,"1M","f",,Trigger)</f>
        <v>45698</v>
      </c>
      <c r="N124" s="488">
        <f>_xll.qlCalendarAdvance(Calendar,M124,"3M","mf",,Trigger)</f>
        <v>45789</v>
      </c>
      <c r="O124" s="490" t="str">
        <f>_xll.qlMakeDatedOIS(,M124,N124,OvernightIndex,0,,,,EvaluationDate)</f>
        <v>obj_004c2#0001</v>
      </c>
      <c r="P124" s="490" t="b">
        <f>_xll.qlInstrumentSetPricingEngine(O124,OisEngine)</f>
        <v>1</v>
      </c>
      <c r="Q124" s="489">
        <f>_xll.qlIndexFixing("euribor3m",_xll.qlInterestRateIndexFixingDate("Euribor3M",M124),TRUE,AllTriggers)</f>
        <v>2.3104714596728648E-2</v>
      </c>
      <c r="R124" s="489">
        <f>_xll.qlOvernightIndexedSwapFairRate(O124,AllTriggers)</f>
        <v>2.1409025376925468E-2</v>
      </c>
      <c r="S124" s="491">
        <f t="shared" si="3"/>
        <v>1.6956892198031794E-3</v>
      </c>
    </row>
    <row r="125" spans="5:19" ht="11.25" customHeight="1" x14ac:dyDescent="0.2">
      <c r="E125" s="483"/>
      <c r="F125" s="483"/>
      <c r="G125" s="482"/>
      <c r="J125" s="482"/>
      <c r="K125" s="482"/>
      <c r="M125" s="497">
        <f>_xll.qlCalendarAdvance(Calendar,M124,"1M","f",,Trigger)</f>
        <v>45726</v>
      </c>
      <c r="N125" s="488">
        <f>_xll.qlCalendarAdvance(Calendar,M125,"3M","mf",,Trigger)</f>
        <v>45818</v>
      </c>
      <c r="O125" s="490" t="str">
        <f>_xll.qlMakeDatedOIS(,M125,N125,OvernightIndex,0,,,,EvaluationDate)</f>
        <v>obj_004c4#0001</v>
      </c>
      <c r="P125" s="490" t="b">
        <f>_xll.qlInstrumentSetPricingEngine(O125,OisEngine)</f>
        <v>1</v>
      </c>
      <c r="Q125" s="489">
        <f>_xll.qlIndexFixing("euribor3m",_xll.qlInterestRateIndexFixingDate("Euribor3M",M125),TRUE,AllTriggers)</f>
        <v>2.3187920716993923E-2</v>
      </c>
      <c r="R125" s="489">
        <f>_xll.qlOvernightIndexedSwapFairRate(O125,AllTriggers)</f>
        <v>2.1409660836413765E-2</v>
      </c>
      <c r="S125" s="491">
        <f t="shared" si="3"/>
        <v>1.7782598805801582E-3</v>
      </c>
    </row>
    <row r="126" spans="5:19" ht="11.25" customHeight="1" x14ac:dyDescent="0.2">
      <c r="E126" s="483"/>
      <c r="F126" s="483"/>
      <c r="G126" s="482"/>
      <c r="J126" s="482"/>
      <c r="K126" s="482"/>
      <c r="M126" s="497">
        <f>_xll.qlCalendarAdvance(Calendar,M125,"1M","f",,Trigger)</f>
        <v>45757</v>
      </c>
      <c r="N126" s="488">
        <f>_xll.qlCalendarAdvance(Calendar,M126,"3M","mf",,Trigger)</f>
        <v>45848</v>
      </c>
      <c r="O126" s="490" t="str">
        <f>_xll.qlMakeDatedOIS(,M126,N126,OvernightIndex,0,,,,EvaluationDate)</f>
        <v>obj_004c6#0001</v>
      </c>
      <c r="P126" s="490" t="b">
        <f>_xll.qlInstrumentSetPricingEngine(O126,OisEngine)</f>
        <v>1</v>
      </c>
      <c r="Q126" s="489">
        <f>_xll.qlIndexFixing("euribor3m",_xll.qlInterestRateIndexFixingDate("Euribor3M",M126),TRUE,AllTriggers)</f>
        <v>2.3272659852183339E-2</v>
      </c>
      <c r="R126" s="489">
        <f>_xll.qlOvernightIndexedSwapFairRate(O126,AllTriggers)</f>
        <v>2.1409025376925468E-2</v>
      </c>
      <c r="S126" s="491">
        <f t="shared" si="3"/>
        <v>1.8636344752578707E-3</v>
      </c>
    </row>
    <row r="127" spans="5:19" ht="11.25" customHeight="1" x14ac:dyDescent="0.2">
      <c r="E127" s="483"/>
      <c r="F127" s="483"/>
      <c r="G127" s="482"/>
      <c r="J127" s="482"/>
      <c r="K127" s="482"/>
      <c r="M127" s="497">
        <f>_xll.qlCalendarAdvance(Calendar,M126,"1M","f",,Trigger)</f>
        <v>45789</v>
      </c>
      <c r="N127" s="488">
        <f>_xll.qlCalendarAdvance(Calendar,M127,"3M","mf",,Trigger)</f>
        <v>45881</v>
      </c>
      <c r="O127" s="490" t="str">
        <f>_xll.qlMakeDatedOIS(,M127,N127,OvernightIndex,0,,,,EvaluationDate)</f>
        <v>obj_004c8#0001</v>
      </c>
      <c r="P127" s="490" t="b">
        <f>_xll.qlInstrumentSetPricingEngine(O127,OisEngine)</f>
        <v>1</v>
      </c>
      <c r="Q127" s="489">
        <f>_xll.qlIndexFixing("euribor3m",_xll.qlInterestRateIndexFixingDate("Euribor3M",M127),TRUE,AllTriggers)</f>
        <v>2.3361256694884099E-2</v>
      </c>
      <c r="R127" s="489">
        <f>_xll.qlOvernightIndexedSwapFairRate(O127,AllTriggers)</f>
        <v>2.1409660836413769E-2</v>
      </c>
      <c r="S127" s="491">
        <f t="shared" si="3"/>
        <v>1.95159585847033E-3</v>
      </c>
    </row>
    <row r="128" spans="5:19" ht="11.25" customHeight="1" x14ac:dyDescent="0.2">
      <c r="E128" s="483"/>
      <c r="F128" s="483"/>
      <c r="G128" s="482"/>
      <c r="J128" s="482"/>
      <c r="K128" s="482"/>
      <c r="M128" s="497">
        <f>_xll.qlCalendarAdvance(Calendar,M127,"1M","f",,Trigger)</f>
        <v>45820</v>
      </c>
      <c r="N128" s="488">
        <f>_xll.qlCalendarAdvance(Calendar,M128,"3M","mf",,Trigger)</f>
        <v>45912</v>
      </c>
      <c r="O128" s="490" t="str">
        <f>_xll.qlMakeDatedOIS(,M128,N128,OvernightIndex,0,,,,EvaluationDate)</f>
        <v>obj_004ca#0001</v>
      </c>
      <c r="P128" s="490" t="b">
        <f>_xll.qlInstrumentSetPricingEngine(O128,OisEngine)</f>
        <v>1</v>
      </c>
      <c r="Q128" s="489">
        <f>_xll.qlIndexFixing("euribor3m",_xll.qlInterestRateIndexFixingDate("Euribor3M",M128),TRUE,AllTriggers)</f>
        <v>2.3441993851400104E-2</v>
      </c>
      <c r="R128" s="489">
        <f>_xll.qlOvernightIndexedSwapFairRate(O128,AllTriggers)</f>
        <v>2.1431350369794405E-2</v>
      </c>
      <c r="S128" s="491">
        <f t="shared" si="3"/>
        <v>2.0106434816056992E-3</v>
      </c>
    </row>
    <row r="129" spans="5:19" ht="11.25" customHeight="1" x14ac:dyDescent="0.2">
      <c r="E129" s="483"/>
      <c r="F129" s="483"/>
      <c r="G129" s="482"/>
      <c r="J129" s="482"/>
      <c r="K129" s="482"/>
      <c r="M129" s="497">
        <f>_xll.qlCalendarAdvance(Calendar,M128,"1M","f",,Trigger)</f>
        <v>45852</v>
      </c>
      <c r="N129" s="488">
        <f>_xll.qlCalendarAdvance(Calendar,M129,"3M","mf",,Trigger)</f>
        <v>45944</v>
      </c>
      <c r="O129" s="490" t="str">
        <f>_xll.qlMakeDatedOIS(,M129,N129,OvernightIndex,0,,,,EvaluationDate)</f>
        <v>obj_004cc#0001</v>
      </c>
      <c r="P129" s="490" t="b">
        <f>_xll.qlInstrumentSetPricingEngine(O129,OisEngine)</f>
        <v>1</v>
      </c>
      <c r="Q129" s="489">
        <f>_xll.qlIndexFixing("euribor3m",_xll.qlInterestRateIndexFixingDate("Euribor3M",M129),TRUE,AllTriggers)</f>
        <v>2.3522183766044293E-2</v>
      </c>
      <c r="R129" s="489">
        <f>_xll.qlOvernightIndexedSwapFairRate(O129,AllTriggers)</f>
        <v>2.1778399165623481E-2</v>
      </c>
      <c r="S129" s="491">
        <f t="shared" si="3"/>
        <v>1.743784600420812E-3</v>
      </c>
    </row>
    <row r="130" spans="5:19" ht="11.25" customHeight="1" x14ac:dyDescent="0.2">
      <c r="E130" s="483"/>
      <c r="F130" s="483"/>
      <c r="G130" s="482"/>
      <c r="J130" s="482"/>
      <c r="K130" s="482"/>
      <c r="M130" s="497">
        <f>_xll.qlCalendarAdvance(Calendar,M129,"1M","f",,Trigger)</f>
        <v>45883</v>
      </c>
      <c r="N130" s="488">
        <f>_xll.qlCalendarAdvance(Calendar,M130,"3M","mf",,Trigger)</f>
        <v>45975</v>
      </c>
      <c r="O130" s="490" t="str">
        <f>_xll.qlMakeDatedOIS(,M130,N130,OvernightIndex,0,,,,EvaluationDate)</f>
        <v>obj_004cd#0001</v>
      </c>
      <c r="P130" s="490" t="b">
        <f>_xll.qlInstrumentSetPricingEngine(O130,OisEngine)</f>
        <v>1</v>
      </c>
      <c r="Q130" s="489">
        <f>_xll.qlIndexFixing("euribor3m",_xll.qlInterestRateIndexFixingDate("Euribor3M",M130),TRUE,AllTriggers)</f>
        <v>2.3596814386387052E-2</v>
      </c>
      <c r="R130" s="489">
        <f>_xll.qlOvernightIndexedSwapFairRate(O130,AllTriggers)</f>
        <v>2.2114631878741346E-2</v>
      </c>
      <c r="S130" s="491">
        <f t="shared" si="3"/>
        <v>1.4821825076457053E-3</v>
      </c>
    </row>
    <row r="131" spans="5:19" ht="11.25" customHeight="1" x14ac:dyDescent="0.2">
      <c r="E131" s="483"/>
      <c r="F131" s="483"/>
      <c r="G131" s="482"/>
      <c r="J131" s="482"/>
      <c r="K131" s="482"/>
      <c r="M131" s="497">
        <f>_xll.qlCalendarAdvance(Calendar,M130,"1M","f",,Trigger)</f>
        <v>45915</v>
      </c>
      <c r="N131" s="488">
        <f>_xll.qlCalendarAdvance(Calendar,M131,"3M","mf",,Trigger)</f>
        <v>46006</v>
      </c>
      <c r="O131" s="490" t="str">
        <f>_xll.qlMakeDatedOIS(,M131,N131,OvernightIndex,0,,,,EvaluationDate)</f>
        <v>obj_004cf#0001</v>
      </c>
      <c r="P131" s="490" t="b">
        <f>_xll.qlInstrumentSetPricingEngine(O131,OisEngine)</f>
        <v>1</v>
      </c>
      <c r="Q131" s="489">
        <f>_xll.qlIndexFixing("euribor3m",_xll.qlInterestRateIndexFixingDate("Euribor3M",M131),TRUE,AllTriggers)</f>
        <v>2.3668817876452364E-2</v>
      </c>
      <c r="R131" s="489">
        <f>_xll.qlOvernightIndexedSwapFairRate(O131,AllTriggers)</f>
        <v>2.2406807121004946E-2</v>
      </c>
      <c r="S131" s="491">
        <f t="shared" ref="S131:S194" si="4">Q131-R131</f>
        <v>1.2620107554474173E-3</v>
      </c>
    </row>
    <row r="132" spans="5:19" ht="11.25" customHeight="1" x14ac:dyDescent="0.2">
      <c r="E132" s="483"/>
      <c r="F132" s="483"/>
      <c r="G132" s="482"/>
      <c r="J132" s="482"/>
      <c r="K132" s="482"/>
      <c r="M132" s="497">
        <f>_xll.qlCalendarAdvance(Calendar,M131,"1M","f",,Trigger)</f>
        <v>45945</v>
      </c>
      <c r="N132" s="488">
        <f>_xll.qlCalendarAdvance(Calendar,M132,"3M","mf",,Trigger)</f>
        <v>46037</v>
      </c>
      <c r="O132" s="490" t="str">
        <f>_xll.qlMakeDatedOIS(,M132,N132,OvernightIndex,0,,,,EvaluationDate)</f>
        <v>obj_004d1#0001</v>
      </c>
      <c r="P132" s="490" t="b">
        <f>_xll.qlInstrumentSetPricingEngine(O132,OisEngine)</f>
        <v>1</v>
      </c>
      <c r="Q132" s="489">
        <f>_xll.qlIndexFixing("euribor3m",_xll.qlInterestRateIndexFixingDate("Euribor3M",M132),TRUE,AllTriggers)</f>
        <v>2.3737060264089473E-2</v>
      </c>
      <c r="R132" s="489">
        <f>_xll.qlOvernightIndexedSwapFairRate(O132,AllTriggers)</f>
        <v>2.2407503135121815E-2</v>
      </c>
      <c r="S132" s="491">
        <f t="shared" si="4"/>
        <v>1.329557128967658E-3</v>
      </c>
    </row>
    <row r="133" spans="5:19" ht="11.25" customHeight="1" x14ac:dyDescent="0.2">
      <c r="E133" s="483"/>
      <c r="F133" s="483"/>
      <c r="G133" s="482"/>
      <c r="J133" s="482"/>
      <c r="K133" s="482"/>
      <c r="M133" s="497">
        <f>_xll.qlCalendarAdvance(Calendar,M132,"1M","f",,Trigger)</f>
        <v>45978</v>
      </c>
      <c r="N133" s="488">
        <f>_xll.qlCalendarAdvance(Calendar,M133,"3M","mf",,Trigger)</f>
        <v>46070</v>
      </c>
      <c r="O133" s="490" t="str">
        <f>_xll.qlMakeDatedOIS(,M133,N133,OvernightIndex,0,,,,EvaluationDate)</f>
        <v>obj_004d3#0001</v>
      </c>
      <c r="P133" s="490" t="b">
        <f>_xll.qlInstrumentSetPricingEngine(O133,OisEngine)</f>
        <v>1</v>
      </c>
      <c r="Q133" s="489">
        <f>_xll.qlIndexFixing("euribor3m",_xll.qlInterestRateIndexFixingDate("Euribor3M",M133),TRUE,AllTriggers)</f>
        <v>2.3806805215574059E-2</v>
      </c>
      <c r="R133" s="489">
        <f>_xll.qlOvernightIndexedSwapFairRate(O133,AllTriggers)</f>
        <v>2.2407503135121812E-2</v>
      </c>
      <c r="S133" s="491">
        <f t="shared" si="4"/>
        <v>1.3993020804522471E-3</v>
      </c>
    </row>
    <row r="134" spans="5:19" ht="11.25" customHeight="1" x14ac:dyDescent="0.2">
      <c r="E134" s="483"/>
      <c r="F134" s="483"/>
      <c r="G134" s="482"/>
      <c r="J134" s="482"/>
      <c r="K134" s="482"/>
      <c r="M134" s="497">
        <f>_xll.qlCalendarAdvance(Calendar,M133,"1M","f",,Trigger)</f>
        <v>46008</v>
      </c>
      <c r="N134" s="488">
        <f>_xll.qlCalendarAdvance(Calendar,M134,"3M","mf",,Trigger)</f>
        <v>46098</v>
      </c>
      <c r="O134" s="490" t="str">
        <f>_xll.qlMakeDatedOIS(,M134,N134,OvernightIndex,0,,,,EvaluationDate)</f>
        <v>obj_004d5#0001</v>
      </c>
      <c r="P134" s="490" t="b">
        <f>_xll.qlInstrumentSetPricingEngine(O134,OisEngine)</f>
        <v>1</v>
      </c>
      <c r="Q134" s="489">
        <f>_xll.qlIndexFixing("euribor3m",_xll.qlInterestRateIndexFixingDate("Euribor3M",M134),TRUE,AllTriggers)</f>
        <v>2.3863753231064599E-2</v>
      </c>
      <c r="R134" s="489">
        <f>_xll.qlOvernightIndexedSwapFairRate(O134,AllTriggers)</f>
        <v>2.240611113570079E-2</v>
      </c>
      <c r="S134" s="491">
        <f t="shared" si="4"/>
        <v>1.4576420953638092E-3</v>
      </c>
    </row>
    <row r="135" spans="5:19" ht="11.25" customHeight="1" x14ac:dyDescent="0.2">
      <c r="E135" s="483"/>
      <c r="F135" s="483"/>
      <c r="G135" s="482"/>
      <c r="J135" s="482"/>
      <c r="K135" s="482"/>
      <c r="M135" s="497">
        <f>_xll.qlCalendarAdvance(Calendar,M134,"1M","f",,Trigger)</f>
        <v>46041</v>
      </c>
      <c r="N135" s="488">
        <f>_xll.qlCalendarAdvance(Calendar,M135,"3M","mf",,Trigger)</f>
        <v>46132</v>
      </c>
      <c r="O135" s="490" t="str">
        <f>_xll.qlMakeDatedOIS(,M135,N135,OvernightIndex,0,,,,EvaluationDate)</f>
        <v>obj_004d7#0001</v>
      </c>
      <c r="P135" s="490" t="b">
        <f>_xll.qlInstrumentSetPricingEngine(O135,OisEngine)</f>
        <v>1</v>
      </c>
      <c r="Q135" s="489">
        <f>_xll.qlIndexFixing("euribor3m",_xll.qlInterestRateIndexFixingDate("Euribor3M",M135),TRUE,AllTriggers)</f>
        <v>2.392879426906119E-2</v>
      </c>
      <c r="R135" s="489">
        <f>_xll.qlOvernightIndexedSwapFairRate(O135,AllTriggers)</f>
        <v>2.2406807121005821E-2</v>
      </c>
      <c r="S135" s="491">
        <f t="shared" si="4"/>
        <v>1.521987148055369E-3</v>
      </c>
    </row>
    <row r="136" spans="5:19" ht="11.25" customHeight="1" x14ac:dyDescent="0.2">
      <c r="E136" s="483"/>
      <c r="F136" s="483"/>
      <c r="G136" s="482"/>
      <c r="J136" s="482"/>
      <c r="K136" s="482"/>
      <c r="M136" s="497">
        <f>_xll.qlCalendarAdvance(Calendar,M135,"1M","f",,Trigger)</f>
        <v>46072</v>
      </c>
      <c r="N136" s="488">
        <f>_xll.qlCalendarAdvance(Calendar,M136,"3M","mf",,Trigger)</f>
        <v>46161</v>
      </c>
      <c r="O136" s="490" t="str">
        <f>_xll.qlMakeDatedOIS(,M136,N136,OvernightIndex,0,,,,EvaluationDate)</f>
        <v>obj_004d8#0001</v>
      </c>
      <c r="P136" s="490" t="b">
        <f>_xll.qlInstrumentSetPricingEngine(O136,OisEngine)</f>
        <v>1</v>
      </c>
      <c r="Q136" s="489">
        <f>_xll.qlIndexFixing("euribor3m",_xll.qlInterestRateIndexFixingDate("Euribor3M",M136),TRUE,AllTriggers)</f>
        <v>2.3981827563709004E-2</v>
      </c>
      <c r="R136" s="489">
        <f>_xll.qlOvernightIndexedSwapFairRate(O136,AllTriggers)</f>
        <v>2.240541517920697E-2</v>
      </c>
      <c r="S136" s="491">
        <f t="shared" si="4"/>
        <v>1.5764123845020336E-3</v>
      </c>
    </row>
    <row r="137" spans="5:19" ht="11.25" customHeight="1" x14ac:dyDescent="0.2">
      <c r="E137" s="483"/>
      <c r="F137" s="483"/>
      <c r="G137" s="482"/>
      <c r="J137" s="482"/>
      <c r="K137" s="482"/>
      <c r="M137" s="497">
        <f>_xll.qlCalendarAdvance(Calendar,M136,"1M","f",,Trigger)</f>
        <v>46100</v>
      </c>
      <c r="N137" s="488">
        <f>_xll.qlCalendarAdvance(Calendar,M137,"3M","mf",,Trigger)</f>
        <v>46192</v>
      </c>
      <c r="O137" s="490" t="str">
        <f>_xll.qlMakeDatedOIS(,M137,N137,OvernightIndex,0,,,,EvaluationDate)</f>
        <v>obj_004da#0001</v>
      </c>
      <c r="P137" s="490" t="b">
        <f>_xll.qlInstrumentSetPricingEngine(O137,OisEngine)</f>
        <v>1</v>
      </c>
      <c r="Q137" s="489">
        <f>_xll.qlIndexFixing("euribor3m",_xll.qlInterestRateIndexFixingDate("Euribor3M",M137),TRUE,AllTriggers)</f>
        <v>2.4035078165773788E-2</v>
      </c>
      <c r="R137" s="489">
        <f>_xll.qlOvernightIndexedSwapFairRate(O137,AllTriggers)</f>
        <v>2.2407503135121819E-2</v>
      </c>
      <c r="S137" s="491">
        <f t="shared" si="4"/>
        <v>1.6275750306519697E-3</v>
      </c>
    </row>
    <row r="138" spans="5:19" ht="11.25" customHeight="1" x14ac:dyDescent="0.2">
      <c r="E138" s="483"/>
      <c r="F138" s="483"/>
      <c r="G138" s="482"/>
      <c r="J138" s="482"/>
      <c r="K138" s="482"/>
      <c r="M138" s="497">
        <f>_xll.qlCalendarAdvance(Calendar,M137,"1M","f",,Trigger)</f>
        <v>46132</v>
      </c>
      <c r="N138" s="488">
        <f>_xll.qlCalendarAdvance(Calendar,M138,"3M","mf",,Trigger)</f>
        <v>46223</v>
      </c>
      <c r="O138" s="490" t="str">
        <f>_xll.qlMakeDatedOIS(,M138,N138,OvernightIndex,0,,,,EvaluationDate)</f>
        <v>obj_004dc#0001</v>
      </c>
      <c r="P138" s="490" t="b">
        <f>_xll.qlInstrumentSetPricingEngine(O138,OisEngine)</f>
        <v>1</v>
      </c>
      <c r="Q138" s="489">
        <f>_xll.qlIndexFixing("euribor3m",_xll.qlInterestRateIndexFixingDate("Euribor3M",M138),TRUE,AllTriggers)</f>
        <v>2.4085675061856392E-2</v>
      </c>
      <c r="R138" s="489">
        <f>_xll.qlOvernightIndexedSwapFairRate(O138,AllTriggers)</f>
        <v>2.2406807121004943E-2</v>
      </c>
      <c r="S138" s="491">
        <f t="shared" si="4"/>
        <v>1.6788679408514494E-3</v>
      </c>
    </row>
    <row r="139" spans="5:19" ht="11.25" customHeight="1" x14ac:dyDescent="0.2">
      <c r="E139" s="483"/>
      <c r="F139" s="483"/>
      <c r="G139" s="482"/>
      <c r="J139" s="482"/>
      <c r="K139" s="482"/>
      <c r="M139" s="497">
        <f>_xll.qlCalendarAdvance(Calendar,M138,"1M","f",,Trigger)</f>
        <v>46162</v>
      </c>
      <c r="N139" s="488">
        <f>_xll.qlCalendarAdvance(Calendar,M139,"3M","mf",,Trigger)</f>
        <v>46254</v>
      </c>
      <c r="O139" s="490" t="str">
        <f>_xll.qlMakeDatedOIS(,M139,N139,OvernightIndex,0,,,,EvaluationDate)</f>
        <v>obj_004de#0001</v>
      </c>
      <c r="P139" s="490" t="b">
        <f>_xll.qlInstrumentSetPricingEngine(O139,OisEngine)</f>
        <v>1</v>
      </c>
      <c r="Q139" s="489">
        <f>_xll.qlIndexFixing("euribor3m",_xll.qlInterestRateIndexFixingDate("Euribor3M",M139),TRUE,AllTriggers)</f>
        <v>2.4133243741987657E-2</v>
      </c>
      <c r="R139" s="489">
        <f>_xll.qlOvernightIndexedSwapFairRate(O139,AllTriggers)</f>
        <v>2.2407503135121812E-2</v>
      </c>
      <c r="S139" s="491">
        <f t="shared" si="4"/>
        <v>1.7257406068658457E-3</v>
      </c>
    </row>
    <row r="140" spans="5:19" ht="11.25" customHeight="1" x14ac:dyDescent="0.2">
      <c r="E140" s="483"/>
      <c r="F140" s="483"/>
      <c r="G140" s="482"/>
      <c r="J140" s="482"/>
      <c r="K140" s="482"/>
      <c r="M140" s="497">
        <f>_xll.qlCalendarAdvance(Calendar,M139,"1M","f",,Trigger)</f>
        <v>46195</v>
      </c>
      <c r="N140" s="488">
        <f>_xll.qlCalendarAdvance(Calendar,M140,"3M","mf",,Trigger)</f>
        <v>46287</v>
      </c>
      <c r="O140" s="490" t="str">
        <f>_xll.qlMakeDatedOIS(,M140,N140,OvernightIndex,0,,,,EvaluationDate)</f>
        <v>obj_004e0#0001</v>
      </c>
      <c r="P140" s="490" t="b">
        <f>_xll.qlInstrumentSetPricingEngine(O140,OisEngine)</f>
        <v>1</v>
      </c>
      <c r="Q140" s="489">
        <f>_xll.qlIndexFixing("euribor3m",_xll.qlInterestRateIndexFixingDate("Euribor3M",M140),TRUE,AllTriggers)</f>
        <v>2.4180594835106317E-2</v>
      </c>
      <c r="R140" s="489">
        <f>_xll.qlOvernightIndexedSwapFairRate(O140,AllTriggers)</f>
        <v>2.2532157719911856E-2</v>
      </c>
      <c r="S140" s="491">
        <f t="shared" si="4"/>
        <v>1.6484371151944607E-3</v>
      </c>
    </row>
    <row r="141" spans="5:19" ht="11.25" customHeight="1" x14ac:dyDescent="0.2">
      <c r="E141" s="483"/>
      <c r="F141" s="483"/>
      <c r="G141" s="482"/>
      <c r="J141" s="482"/>
      <c r="K141" s="482"/>
      <c r="M141" s="497">
        <f>_xll.qlCalendarAdvance(Calendar,M140,"1M","f",,Trigger)</f>
        <v>46225</v>
      </c>
      <c r="N141" s="488">
        <f>_xll.qlCalendarAdvance(Calendar,M141,"3M","mf",,Trigger)</f>
        <v>46317</v>
      </c>
      <c r="O141" s="490" t="str">
        <f>_xll.qlMakeDatedOIS(,M141,N141,OvernightIndex,0,,,,EvaluationDate)</f>
        <v>obj_004e2#0001</v>
      </c>
      <c r="P141" s="490" t="b">
        <f>_xll.qlInstrumentSetPricingEngine(O141,OisEngine)</f>
        <v>1</v>
      </c>
      <c r="Q141" s="489">
        <f>_xll.qlIndexFixing("euribor3m",_xll.qlInterestRateIndexFixingDate("Euribor3M",M141),TRUE,AllTriggers)</f>
        <v>2.4220899043705585E-2</v>
      </c>
      <c r="R141" s="489">
        <f>_xll.qlOvernightIndexedSwapFairRate(O141,AllTriggers)</f>
        <v>2.2843811456442643E-2</v>
      </c>
      <c r="S141" s="491">
        <f t="shared" si="4"/>
        <v>1.3770875872629422E-3</v>
      </c>
    </row>
    <row r="142" spans="5:19" ht="11.25" customHeight="1" x14ac:dyDescent="0.2">
      <c r="E142" s="483"/>
      <c r="F142" s="483"/>
      <c r="G142" s="482"/>
      <c r="J142" s="482"/>
      <c r="K142" s="482"/>
      <c r="M142" s="497">
        <f>_xll.qlCalendarAdvance(Calendar,M141,"1M","f",,Trigger)</f>
        <v>46258</v>
      </c>
      <c r="N142" s="488">
        <f>_xll.qlCalendarAdvance(Calendar,M142,"3M","mf",,Trigger)</f>
        <v>46350</v>
      </c>
      <c r="O142" s="490" t="str">
        <f>_xll.qlMakeDatedOIS(,M142,N142,OvernightIndex,0,,,,EvaluationDate)</f>
        <v>obj_004e4#0001</v>
      </c>
      <c r="P142" s="490" t="b">
        <f>_xll.qlInstrumentSetPricingEngine(O142,OisEngine)</f>
        <v>1</v>
      </c>
      <c r="Q142" s="489">
        <f>_xll.qlIndexFixing("euribor3m",_xll.qlInterestRateIndexFixingDate("Euribor3M",M142),TRUE,AllTriggers)</f>
        <v>2.4262792760897427E-2</v>
      </c>
      <c r="R142" s="489">
        <f>_xll.qlOvernightIndexedSwapFairRate(O142,AllTriggers)</f>
        <v>2.3186659071528431E-2</v>
      </c>
      <c r="S142" s="491">
        <f t="shared" si="4"/>
        <v>1.0761336893689959E-3</v>
      </c>
    </row>
    <row r="143" spans="5:19" ht="11.25" customHeight="1" x14ac:dyDescent="0.2">
      <c r="E143" s="483"/>
      <c r="F143" s="483"/>
      <c r="G143" s="482"/>
      <c r="J143" s="482"/>
      <c r="K143" s="482"/>
      <c r="M143" s="497">
        <f>_xll.qlCalendarAdvance(Calendar,M142,"1M","f",,Trigger)</f>
        <v>46289</v>
      </c>
      <c r="N143" s="488">
        <f>_xll.qlCalendarAdvance(Calendar,M143,"3M","mf",,Trigger)</f>
        <v>46380</v>
      </c>
      <c r="O143" s="490" t="str">
        <f>_xll.qlMakeDatedOIS(,M143,N143,OvernightIndex,0,,,,EvaluationDate)</f>
        <v>obj_004e6#0001</v>
      </c>
      <c r="P143" s="490" t="b">
        <f>_xll.qlInstrumentSetPricingEngine(O143,OisEngine)</f>
        <v>1</v>
      </c>
      <c r="Q143" s="489">
        <f>_xll.qlIndexFixing("euribor3m",_xll.qlInterestRateIndexFixingDate("Euribor3M",M143),TRUE,AllTriggers)</f>
        <v>2.4298971747344873E-2</v>
      </c>
      <c r="R143" s="489">
        <f>_xll.qlOvernightIndexedSwapFairRate(O143,AllTriggers)</f>
        <v>2.3362532599942351E-2</v>
      </c>
      <c r="S143" s="491">
        <f t="shared" si="4"/>
        <v>9.3643914740252146E-4</v>
      </c>
    </row>
    <row r="144" spans="5:19" ht="11.25" customHeight="1" x14ac:dyDescent="0.2">
      <c r="E144" s="483"/>
      <c r="F144" s="483"/>
      <c r="G144" s="482"/>
      <c r="J144" s="482"/>
      <c r="K144" s="482"/>
      <c r="M144" s="497">
        <f>_xll.qlCalendarAdvance(Calendar,M143,"1M","f",,Trigger)</f>
        <v>46321</v>
      </c>
      <c r="N144" s="488">
        <f>_xll.qlCalendarAdvance(Calendar,M144,"3M","mf",,Trigger)</f>
        <v>46413</v>
      </c>
      <c r="O144" s="490" t="str">
        <f>_xll.qlMakeDatedOIS(,M144,N144,OvernightIndex,0,,,,EvaluationDate)</f>
        <v>obj_004e8#0001</v>
      </c>
      <c r="P144" s="490" t="b">
        <f>_xll.qlInstrumentSetPricingEngine(O144,OisEngine)</f>
        <v>1</v>
      </c>
      <c r="Q144" s="489">
        <f>_xll.qlIndexFixing("euribor3m",_xll.qlInterestRateIndexFixingDate("Euribor3M",M144),TRUE,AllTriggers)</f>
        <v>2.4337681078941627E-2</v>
      </c>
      <c r="R144" s="489">
        <f>_xll.qlOvernightIndexedSwapFairRate(O144,AllTriggers)</f>
        <v>2.3363289194967121E-2</v>
      </c>
      <c r="S144" s="491">
        <f t="shared" si="4"/>
        <v>9.7439188397450624E-4</v>
      </c>
    </row>
    <row r="145" spans="5:19" ht="11.25" customHeight="1" x14ac:dyDescent="0.2">
      <c r="E145" s="483"/>
      <c r="F145" s="483"/>
      <c r="G145" s="482"/>
      <c r="J145" s="482"/>
      <c r="K145" s="482"/>
      <c r="M145" s="497">
        <f>_xll.qlCalendarAdvance(Calendar,M144,"1M","f",,Trigger)</f>
        <v>46352</v>
      </c>
      <c r="N145" s="488">
        <f>_xll.qlCalendarAdvance(Calendar,M145,"3M","mf",,Trigger)</f>
        <v>46444</v>
      </c>
      <c r="O145" s="490" t="str">
        <f>_xll.qlMakeDatedOIS(,M145,N145,OvernightIndex,0,,,,EvaluationDate)</f>
        <v>obj_004ea#0001</v>
      </c>
      <c r="P145" s="490" t="b">
        <f>_xll.qlInstrumentSetPricingEngine(O145,OisEngine)</f>
        <v>1</v>
      </c>
      <c r="Q145" s="489">
        <f>_xll.qlIndexFixing("euribor3m",_xll.qlInterestRateIndexFixingDate("Euribor3M",M145),TRUE,AllTriggers)</f>
        <v>2.4372397711291384E-2</v>
      </c>
      <c r="R145" s="489">
        <f>_xll.qlOvernightIndexedSwapFairRate(O145,AllTriggers)</f>
        <v>2.336328919496625E-2</v>
      </c>
      <c r="S145" s="491">
        <f t="shared" si="4"/>
        <v>1.0091085163251336E-3</v>
      </c>
    </row>
    <row r="146" spans="5:19" ht="11.25" customHeight="1" x14ac:dyDescent="0.2">
      <c r="E146" s="483"/>
      <c r="F146" s="483"/>
      <c r="G146" s="482"/>
      <c r="J146" s="482"/>
      <c r="K146" s="482"/>
      <c r="M146" s="497">
        <f>_xll.qlCalendarAdvance(Calendar,M145,"1M","f",,Trigger)</f>
        <v>46384</v>
      </c>
      <c r="N146" s="488">
        <f>_xll.qlCalendarAdvance(Calendar,M146,"3M","mf",,Trigger)</f>
        <v>46476</v>
      </c>
      <c r="O146" s="490" t="str">
        <f>_xll.qlMakeDatedOIS(,M146,N146,OvernightIndex,0,,,,EvaluationDate)</f>
        <v>obj_004eb#0001</v>
      </c>
      <c r="P146" s="490" t="b">
        <f>_xll.qlInstrumentSetPricingEngine(O146,OisEngine)</f>
        <v>1</v>
      </c>
      <c r="Q146" s="489">
        <f>_xll.qlIndexFixing("euribor3m",_xll.qlInterestRateIndexFixingDate("Euribor3M",M146),TRUE,AllTriggers)</f>
        <v>2.4406763440605814E-2</v>
      </c>
      <c r="R146" s="489">
        <f>_xll.qlOvernightIndexedSwapFairRate(O146,AllTriggers)</f>
        <v>2.336328919496625E-2</v>
      </c>
      <c r="S146" s="491">
        <f t="shared" si="4"/>
        <v>1.0434742456395633E-3</v>
      </c>
    </row>
    <row r="147" spans="5:19" ht="11.25" customHeight="1" x14ac:dyDescent="0.2">
      <c r="E147" s="483"/>
      <c r="F147" s="483"/>
      <c r="G147" s="482"/>
      <c r="J147" s="482"/>
      <c r="K147" s="482"/>
      <c r="M147" s="497">
        <f>_xll.qlCalendarAdvance(Calendar,M146,"1M","f",,Trigger)</f>
        <v>46415</v>
      </c>
      <c r="N147" s="488">
        <f>_xll.qlCalendarAdvance(Calendar,M147,"3M","mf",,Trigger)</f>
        <v>46505</v>
      </c>
      <c r="O147" s="490" t="str">
        <f>_xll.qlMakeDatedOIS(,M147,N147,OvernightIndex,0,,,,EvaluationDate)</f>
        <v>obj_004ed#0001</v>
      </c>
      <c r="P147" s="490" t="b">
        <f>_xll.qlInstrumentSetPricingEngine(O147,OisEngine)</f>
        <v>1</v>
      </c>
      <c r="Q147" s="489">
        <f>_xll.qlIndexFixing("euribor3m",_xll.qlInterestRateIndexFixingDate("Euribor3M",M147),TRUE,AllTriggers)</f>
        <v>2.4435991061902307E-2</v>
      </c>
      <c r="R147" s="489">
        <f>_xll.qlOvernightIndexedSwapFairRate(O147,AllTriggers)</f>
        <v>2.3361776037570614E-2</v>
      </c>
      <c r="S147" s="491">
        <f t="shared" si="4"/>
        <v>1.0742150243316928E-3</v>
      </c>
    </row>
    <row r="148" spans="5:19" ht="11.25" customHeight="1" x14ac:dyDescent="0.2">
      <c r="E148" s="483"/>
      <c r="F148" s="483"/>
      <c r="G148" s="482"/>
      <c r="J148" s="482"/>
      <c r="K148" s="482"/>
      <c r="M148" s="497">
        <f>_xll.qlCalendarAdvance(Calendar,M147,"1M","f",,Trigger)</f>
        <v>46447</v>
      </c>
      <c r="N148" s="488">
        <f>_xll.qlCalendarAdvance(Calendar,M148,"3M","mf",,Trigger)</f>
        <v>46539</v>
      </c>
      <c r="O148" s="490" t="str">
        <f>_xll.qlMakeDatedOIS(,M148,N148,OvernightIndex,0,,,,EvaluationDate)</f>
        <v>obj_004ef#0001</v>
      </c>
      <c r="P148" s="490" t="b">
        <f>_xll.qlInstrumentSetPricingEngine(O148,OisEngine)</f>
        <v>1</v>
      </c>
      <c r="Q148" s="489">
        <f>_xll.qlIndexFixing("euribor3m",_xll.qlInterestRateIndexFixingDate("Euribor3M",M148),TRUE,AllTriggers)</f>
        <v>2.4470054400865467E-2</v>
      </c>
      <c r="R148" s="489">
        <f>_xll.qlOvernightIndexedSwapFairRate(O148,AllTriggers)</f>
        <v>2.336328919496625E-2</v>
      </c>
      <c r="S148" s="491">
        <f t="shared" si="4"/>
        <v>1.106765205899217E-3</v>
      </c>
    </row>
    <row r="149" spans="5:19" ht="11.25" customHeight="1" x14ac:dyDescent="0.2">
      <c r="E149" s="483"/>
      <c r="F149" s="483"/>
      <c r="G149" s="482"/>
      <c r="J149" s="482"/>
      <c r="K149" s="482"/>
      <c r="M149" s="497">
        <f>_xll.qlCalendarAdvance(Calendar,M148,"1M","f",,Trigger)</f>
        <v>46478</v>
      </c>
      <c r="N149" s="488">
        <f>_xll.qlCalendarAdvance(Calendar,M149,"3M","mf",,Trigger)</f>
        <v>46569</v>
      </c>
      <c r="O149" s="490" t="str">
        <f>_xll.qlMakeDatedOIS(,M149,N149,OvernightIndex,0,,,,EvaluationDate)</f>
        <v>obj_004f1#0001</v>
      </c>
      <c r="P149" s="490" t="b">
        <f>_xll.qlInstrumentSetPricingEngine(O149,OisEngine)</f>
        <v>1</v>
      </c>
      <c r="Q149" s="489">
        <f>_xll.qlIndexFixing("euribor3m",_xll.qlInterestRateIndexFixingDate("Euribor3M",M149),TRUE,AllTriggers)</f>
        <v>2.4497793894887977E-2</v>
      </c>
      <c r="R149" s="489">
        <f>_xll.qlOvernightIndexedSwapFairRate(O149,AllTriggers)</f>
        <v>2.3362532599942348E-2</v>
      </c>
      <c r="S149" s="491">
        <f t="shared" si="4"/>
        <v>1.1352612949456289E-3</v>
      </c>
    </row>
    <row r="150" spans="5:19" ht="11.25" customHeight="1" x14ac:dyDescent="0.2">
      <c r="E150" s="483"/>
      <c r="F150" s="483"/>
      <c r="G150" s="482"/>
      <c r="J150" s="482"/>
      <c r="K150" s="482"/>
      <c r="M150" s="497">
        <f>_xll.qlCalendarAdvance(Calendar,M149,"1M","f",,Trigger)</f>
        <v>46510</v>
      </c>
      <c r="N150" s="488">
        <f>_xll.qlCalendarAdvance(Calendar,M150,"3M","mf",,Trigger)</f>
        <v>46602</v>
      </c>
      <c r="O150" s="490" t="str">
        <f>_xll.qlMakeDatedOIS(,M150,N150,OvernightIndex,0,,,,EvaluationDate)</f>
        <v>obj_004f3#0001</v>
      </c>
      <c r="P150" s="490" t="b">
        <f>_xll.qlInstrumentSetPricingEngine(O150,OisEngine)</f>
        <v>1</v>
      </c>
      <c r="Q150" s="489">
        <f>_xll.qlIndexFixing("euribor3m",_xll.qlInterestRateIndexFixingDate("Euribor3M",M150),TRUE,AllTriggers)</f>
        <v>2.452755368040576E-2</v>
      </c>
      <c r="R150" s="489">
        <f>_xll.qlOvernightIndexedSwapFairRate(O150,AllTriggers)</f>
        <v>2.3363289194967118E-2</v>
      </c>
      <c r="S150" s="491">
        <f t="shared" si="4"/>
        <v>1.1642644854386423E-3</v>
      </c>
    </row>
    <row r="151" spans="5:19" ht="11.25" customHeight="1" x14ac:dyDescent="0.2">
      <c r="E151" s="483"/>
      <c r="F151" s="483"/>
      <c r="G151" s="482"/>
      <c r="J151" s="482"/>
      <c r="K151" s="482"/>
      <c r="M151" s="497">
        <f>_xll.qlCalendarAdvance(Calendar,M150,"1M","f",,Trigger)</f>
        <v>46541</v>
      </c>
      <c r="N151" s="488">
        <f>_xll.qlCalendarAdvance(Calendar,M151,"3M","mf",,Trigger)</f>
        <v>46633</v>
      </c>
      <c r="O151" s="490" t="str">
        <f>_xll.qlMakeDatedOIS(,M151,N151,OvernightIndex,0,,,,EvaluationDate)</f>
        <v>obj_004f5#0001</v>
      </c>
      <c r="P151" s="490" t="b">
        <f>_xll.qlInstrumentSetPricingEngine(O151,OisEngine)</f>
        <v>1</v>
      </c>
      <c r="Q151" s="489">
        <f>_xll.qlIndexFixing("euribor3m",_xll.qlInterestRateIndexFixingDate("Euribor3M",M151),TRUE,AllTriggers)</f>
        <v>2.4553720801367106E-2</v>
      </c>
      <c r="R151" s="489">
        <f>_xll.qlOvernightIndexedSwapFairRate(O151,AllTriggers)</f>
        <v>2.3363289194967121E-2</v>
      </c>
      <c r="S151" s="491">
        <f t="shared" si="4"/>
        <v>1.1904316063999845E-3</v>
      </c>
    </row>
    <row r="152" spans="5:19" ht="11.25" customHeight="1" x14ac:dyDescent="0.2">
      <c r="E152" s="483"/>
      <c r="F152" s="483"/>
      <c r="G152" s="482"/>
      <c r="J152" s="482"/>
      <c r="K152" s="482"/>
      <c r="M152" s="497">
        <f>_xll.qlCalendarAdvance(Calendar,M151,"1M","f",,Trigger)</f>
        <v>46573</v>
      </c>
      <c r="N152" s="488">
        <f>_xll.qlCalendarAdvance(Calendar,M152,"3M","mf",,Trigger)</f>
        <v>46665</v>
      </c>
      <c r="O152" s="490" t="str">
        <f>_xll.qlMakeDatedOIS(,M152,N152,OvernightIndex,0,,,,EvaluationDate)</f>
        <v>obj_004f7#0001</v>
      </c>
      <c r="P152" s="490" t="b">
        <f>_xll.qlInstrumentSetPricingEngine(O152,OisEngine)</f>
        <v>1</v>
      </c>
      <c r="Q152" s="489">
        <f>_xll.qlIndexFixing("euribor3m",_xll.qlInterestRateIndexFixingDate("Euribor3M",M152),TRUE,AllTriggers)</f>
        <v>2.4579261025476629E-2</v>
      </c>
      <c r="R152" s="489">
        <f>_xll.qlOvernightIndexedSwapFairRate(O152,AllTriggers)</f>
        <v>2.3363289194967118E-2</v>
      </c>
      <c r="S152" s="491">
        <f t="shared" si="4"/>
        <v>1.2159718305095116E-3</v>
      </c>
    </row>
    <row r="153" spans="5:19" ht="11.25" customHeight="1" x14ac:dyDescent="0.2">
      <c r="E153" s="483"/>
      <c r="F153" s="483"/>
      <c r="G153" s="482"/>
      <c r="J153" s="482"/>
      <c r="K153" s="482"/>
      <c r="M153" s="497">
        <f>_xll.qlCalendarAdvance(Calendar,M152,"1M","f",,Trigger)</f>
        <v>46604</v>
      </c>
      <c r="N153" s="488">
        <f>_xll.qlCalendarAdvance(Calendar,M153,"3M","mf",,Trigger)</f>
        <v>46696</v>
      </c>
      <c r="O153" s="490" t="str">
        <f>_xll.qlMakeDatedOIS(,M153,N153,OvernightIndex,0,,,,EvaluationDate)</f>
        <v>obj_004f8#0001</v>
      </c>
      <c r="P153" s="490" t="b">
        <f>_xll.qlInstrumentSetPricingEngine(O153,OisEngine)</f>
        <v>1</v>
      </c>
      <c r="Q153" s="489">
        <f>_xll.qlIndexFixing("euribor3m",_xll.qlInterestRateIndexFixingDate("Euribor3M",M153),TRUE,AllTriggers)</f>
        <v>2.4602578061575946E-2</v>
      </c>
      <c r="R153" s="489">
        <f>_xll.qlOvernightIndexedSwapFairRate(O153,AllTriggers)</f>
        <v>2.3363289194967118E-2</v>
      </c>
      <c r="S153" s="491">
        <f t="shared" si="4"/>
        <v>1.2392888666088279E-3</v>
      </c>
    </row>
    <row r="154" spans="5:19" ht="11.25" customHeight="1" x14ac:dyDescent="0.2">
      <c r="E154" s="483"/>
      <c r="F154" s="483"/>
      <c r="G154" s="482"/>
      <c r="J154" s="482"/>
      <c r="K154" s="482"/>
      <c r="M154" s="497">
        <f>_xll.qlCalendarAdvance(Calendar,M153,"1M","f",,Trigger)</f>
        <v>46636</v>
      </c>
      <c r="N154" s="488">
        <f>_xll.qlCalendarAdvance(Calendar,M154,"3M","mf",,Trigger)</f>
        <v>46727</v>
      </c>
      <c r="O154" s="490" t="str">
        <f>_xll.qlMakeDatedOIS(,M154,N154,OvernightIndex,0,,,,EvaluationDate)</f>
        <v>obj_004fa#0001</v>
      </c>
      <c r="P154" s="490" t="b">
        <f>_xll.qlInstrumentSetPricingEngine(O154,OisEngine)</f>
        <v>1</v>
      </c>
      <c r="Q154" s="489">
        <f>_xll.qlIndexFixing("euribor3m",_xll.qlInterestRateIndexFixingDate("Euribor3M",M154),TRUE,AllTriggers)</f>
        <v>2.4624005314993355E-2</v>
      </c>
      <c r="R154" s="489">
        <f>_xll.qlOvernightIndexedSwapFairRate(O154,AllTriggers)</f>
        <v>2.3362532599942351E-2</v>
      </c>
      <c r="S154" s="491">
        <f t="shared" si="4"/>
        <v>1.2614727150510041E-3</v>
      </c>
    </row>
    <row r="155" spans="5:19" ht="11.25" customHeight="1" x14ac:dyDescent="0.2">
      <c r="E155" s="483"/>
      <c r="F155" s="483"/>
      <c r="G155" s="482"/>
      <c r="J155" s="482"/>
      <c r="K155" s="482"/>
      <c r="M155" s="497">
        <f>_xll.qlCalendarAdvance(Calendar,M154,"1M","f",,Trigger)</f>
        <v>46666</v>
      </c>
      <c r="N155" s="488">
        <f>_xll.qlCalendarAdvance(Calendar,M155,"3M","mf",,Trigger)</f>
        <v>46758</v>
      </c>
      <c r="O155" s="490" t="str">
        <f>_xll.qlMakeDatedOIS(,M155,N155,OvernightIndex,0,,,,EvaluationDate)</f>
        <v>obj_004fc#0001</v>
      </c>
      <c r="P155" s="490" t="b">
        <f>_xll.qlInstrumentSetPricingEngine(O155,OisEngine)</f>
        <v>1</v>
      </c>
      <c r="Q155" s="489">
        <f>_xll.qlIndexFixing("euribor3m",_xll.qlInterestRateIndexFixingDate("Euribor3M",M155),TRUE,AllTriggers)</f>
        <v>2.4645004726557167E-2</v>
      </c>
      <c r="R155" s="489">
        <f>_xll.qlOvernightIndexedSwapFairRate(O155,AllTriggers)</f>
        <v>2.336328919496625E-2</v>
      </c>
      <c r="S155" s="491">
        <f t="shared" si="4"/>
        <v>1.2817155315909164E-3</v>
      </c>
    </row>
    <row r="156" spans="5:19" ht="11.25" customHeight="1" x14ac:dyDescent="0.2">
      <c r="E156" s="483"/>
      <c r="F156" s="483"/>
      <c r="G156" s="482"/>
      <c r="J156" s="482"/>
      <c r="K156" s="482"/>
      <c r="M156" s="497">
        <f>_xll.qlCalendarAdvance(Calendar,M155,"1M","f",,Trigger)</f>
        <v>46699</v>
      </c>
      <c r="N156" s="488">
        <f>_xll.qlCalendarAdvance(Calendar,M156,"3M","mf",,Trigger)</f>
        <v>46791</v>
      </c>
      <c r="O156" s="490" t="str">
        <f>_xll.qlMakeDatedOIS(,M156,N156,OvernightIndex,0,,,,EvaluationDate)</f>
        <v>obj_004fd#0001</v>
      </c>
      <c r="P156" s="490" t="b">
        <f>_xll.qlInstrumentSetPricingEngine(O156,OisEngine)</f>
        <v>1</v>
      </c>
      <c r="Q156" s="489">
        <f>_xll.qlIndexFixing("euribor3m",_xll.qlInterestRateIndexFixingDate("Euribor3M",M156),TRUE,AllTriggers)</f>
        <v>2.4665299024974587E-2</v>
      </c>
      <c r="R156" s="489">
        <f>_xll.qlOvernightIndexedSwapFairRate(O156,AllTriggers)</f>
        <v>2.3363289194966247E-2</v>
      </c>
      <c r="S156" s="491">
        <f t="shared" si="4"/>
        <v>1.3020098300083396E-3</v>
      </c>
    </row>
    <row r="157" spans="5:19" ht="11.25" customHeight="1" x14ac:dyDescent="0.2">
      <c r="E157" s="483"/>
      <c r="F157" s="483"/>
      <c r="G157" s="482"/>
      <c r="J157" s="482"/>
      <c r="K157" s="482"/>
      <c r="M157" s="497">
        <f>_xll.qlCalendarAdvance(Calendar,M156,"1M","f",,Trigger)</f>
        <v>46729</v>
      </c>
      <c r="N157" s="488">
        <f>_xll.qlCalendarAdvance(Calendar,M157,"3M","mf",,Trigger)</f>
        <v>46820</v>
      </c>
      <c r="O157" s="490" t="str">
        <f>_xll.qlMakeDatedOIS(,M157,N157,OvernightIndex,0,,,,EvaluationDate)</f>
        <v>obj_004ff#0001</v>
      </c>
      <c r="P157" s="490" t="b">
        <f>_xll.qlInstrumentSetPricingEngine(O157,OisEngine)</f>
        <v>1</v>
      </c>
      <c r="Q157" s="489">
        <f>_xll.qlIndexFixing("euribor3m",_xll.qlInterestRateIndexFixingDate("Euribor3M",M157),TRUE,AllTriggers)</f>
        <v>2.4681262272766191E-2</v>
      </c>
      <c r="R157" s="489">
        <f>_xll.qlOvernightIndexedSwapFairRate(O157,AllTriggers)</f>
        <v>2.3362532599941473E-2</v>
      </c>
      <c r="S157" s="491">
        <f t="shared" si="4"/>
        <v>1.3187296728247172E-3</v>
      </c>
    </row>
    <row r="158" spans="5:19" ht="11.25" customHeight="1" x14ac:dyDescent="0.2">
      <c r="E158" s="483"/>
      <c r="F158" s="483"/>
      <c r="G158" s="482"/>
      <c r="J158" s="482"/>
      <c r="K158" s="482"/>
      <c r="M158" s="497">
        <f>_xll.qlCalendarAdvance(Calendar,M157,"1M","f",,Trigger)</f>
        <v>46762</v>
      </c>
      <c r="N158" s="488">
        <f>_xll.qlCalendarAdvance(Calendar,M158,"3M","mf",,Trigger)</f>
        <v>46853</v>
      </c>
      <c r="O158" s="490" t="str">
        <f>_xll.qlMakeDatedOIS(,M158,N158,OvernightIndex,0,,,,EvaluationDate)</f>
        <v>obj_00501#0001</v>
      </c>
      <c r="P158" s="490" t="b">
        <f>_xll.qlInstrumentSetPricingEngine(O158,OisEngine)</f>
        <v>1</v>
      </c>
      <c r="Q158" s="489">
        <f>_xll.qlIndexFixing("euribor3m",_xll.qlInterestRateIndexFixingDate("Euribor3M",M158),TRUE,AllTriggers)</f>
        <v>2.4698545261518861E-2</v>
      </c>
      <c r="R158" s="489">
        <f>_xll.qlOvernightIndexedSwapFairRate(O158,AllTriggers)</f>
        <v>2.3362532599942348E-2</v>
      </c>
      <c r="S158" s="491">
        <f t="shared" si="4"/>
        <v>1.3360126615765133E-3</v>
      </c>
    </row>
    <row r="159" spans="5:19" ht="11.25" customHeight="1" x14ac:dyDescent="0.2">
      <c r="E159" s="483"/>
      <c r="F159" s="483"/>
      <c r="G159" s="482"/>
      <c r="J159" s="482"/>
      <c r="K159" s="482"/>
      <c r="M159" s="497">
        <f>_xll.qlCalendarAdvance(Calendar,M158,"1M","f",,Trigger)</f>
        <v>46793</v>
      </c>
      <c r="N159" s="488">
        <f>_xll.qlCalendarAdvance(Calendar,M159,"3M","mf",,Trigger)</f>
        <v>46883</v>
      </c>
      <c r="O159" s="490" t="str">
        <f>_xll.qlMakeDatedOIS(,M159,N159,OvernightIndex,0,,,,EvaluationDate)</f>
        <v>obj_00503#0001</v>
      </c>
      <c r="P159" s="490" t="b">
        <f>_xll.qlInstrumentSetPricingEngine(O159,OisEngine)</f>
        <v>1</v>
      </c>
      <c r="Q159" s="489">
        <f>_xll.qlIndexFixing("euribor3m",_xll.qlInterestRateIndexFixingDate("Euribor3M",M159),TRUE,AllTriggers)</f>
        <v>2.4712270240409673E-2</v>
      </c>
      <c r="R159" s="489">
        <f>_xll.qlOvernightIndexedSwapFairRate(O159,AllTriggers)</f>
        <v>2.3361776037569726E-2</v>
      </c>
      <c r="S159" s="491">
        <f t="shared" si="4"/>
        <v>1.3504942028399469E-3</v>
      </c>
    </row>
    <row r="160" spans="5:19" ht="11.25" customHeight="1" x14ac:dyDescent="0.2">
      <c r="E160" s="483"/>
      <c r="F160" s="483"/>
      <c r="G160" s="482"/>
      <c r="J160" s="482"/>
      <c r="K160" s="482"/>
      <c r="M160" s="497">
        <f>_xll.qlCalendarAdvance(Calendar,M159,"1M","f",,Trigger)</f>
        <v>46822</v>
      </c>
      <c r="N160" s="488">
        <f>_xll.qlCalendarAdvance(Calendar,M160,"3M","mf",,Trigger)</f>
        <v>46916</v>
      </c>
      <c r="O160" s="490" t="str">
        <f>_xll.qlMakeDatedOIS(,M160,N160,OvernightIndex,0,,,,EvaluationDate)</f>
        <v>obj_00504#0001</v>
      </c>
      <c r="P160" s="490" t="b">
        <f>_xll.qlInstrumentSetPricingEngine(O160,OisEngine)</f>
        <v>1</v>
      </c>
      <c r="Q160" s="489">
        <f>_xll.qlIndexFixing("euribor3m",_xll.qlInterestRateIndexFixingDate("Euribor3M",M160),TRUE,AllTriggers)</f>
        <v>2.4729022289805676E-2</v>
      </c>
      <c r="R160" s="489">
        <f>_xll.qlOvernightIndexedSwapFairRate(O160,AllTriggers)</f>
        <v>2.3364802482978411E-2</v>
      </c>
      <c r="S160" s="491">
        <f t="shared" si="4"/>
        <v>1.3642198068272646E-3</v>
      </c>
    </row>
    <row r="161" spans="5:19" ht="11.25" customHeight="1" x14ac:dyDescent="0.2">
      <c r="E161" s="483"/>
      <c r="F161" s="483"/>
      <c r="G161" s="482"/>
      <c r="J161" s="482"/>
      <c r="K161" s="482"/>
      <c r="M161" s="497">
        <f>_xll.qlCalendarAdvance(Calendar,M160,"1M","f",,Trigger)</f>
        <v>46853</v>
      </c>
      <c r="N161" s="488">
        <f>_xll.qlCalendarAdvance(Calendar,M161,"3M","mf",,Trigger)</f>
        <v>46944</v>
      </c>
      <c r="O161" s="490" t="str">
        <f>_xll.qlMakeDatedOIS(,M161,N161,OvernightIndex,0,,,,EvaluationDate)</f>
        <v>obj_00505#0001</v>
      </c>
      <c r="P161" s="490" t="b">
        <f>_xll.qlInstrumentSetPricingEngine(O161,OisEngine)</f>
        <v>1</v>
      </c>
      <c r="Q161" s="489">
        <f>_xll.qlIndexFixing("euribor3m",_xll.qlInterestRateIndexFixingDate("Euribor3M",M161),TRUE,AllTriggers)</f>
        <v>2.4737970503556053E-2</v>
      </c>
      <c r="R161" s="489">
        <f>_xll.qlOvernightIndexedSwapFairRate(O161,AllTriggers)</f>
        <v>2.3362532599941473E-2</v>
      </c>
      <c r="S161" s="491">
        <f t="shared" si="4"/>
        <v>1.3754379036145792E-3</v>
      </c>
    </row>
    <row r="162" spans="5:19" ht="11.25" customHeight="1" x14ac:dyDescent="0.2">
      <c r="E162" s="483"/>
      <c r="F162" s="483"/>
      <c r="G162" s="482"/>
      <c r="J162" s="482"/>
      <c r="K162" s="482"/>
      <c r="M162" s="497">
        <f>_xll.qlCalendarAdvance(Calendar,M161,"1M","f",,Trigger)</f>
        <v>46883</v>
      </c>
      <c r="N162" s="488">
        <f>_xll.qlCalendarAdvance(Calendar,M162,"3M","mf",,Trigger)</f>
        <v>46975</v>
      </c>
      <c r="O162" s="490" t="str">
        <f>_xll.qlMakeDatedOIS(,M162,N162,OvernightIndex,0,,,,EvaluationDate)</f>
        <v>obj_00507#0001</v>
      </c>
      <c r="P162" s="490" t="b">
        <f>_xll.qlInstrumentSetPricingEngine(O162,OisEngine)</f>
        <v>1</v>
      </c>
      <c r="Q162" s="489">
        <f>_xll.qlIndexFixing("euribor3m",_xll.qlInterestRateIndexFixingDate("Euribor3M",M162),TRUE,AllTriggers)</f>
        <v>2.4749318134117647E-2</v>
      </c>
      <c r="R162" s="489">
        <f>_xll.qlOvernightIndexedSwapFairRate(O162,AllTriggers)</f>
        <v>2.336328919496625E-2</v>
      </c>
      <c r="S162" s="491">
        <f t="shared" si="4"/>
        <v>1.3860289391513965E-3</v>
      </c>
    </row>
    <row r="163" spans="5:19" ht="11.25" customHeight="1" x14ac:dyDescent="0.2">
      <c r="E163" s="483"/>
      <c r="F163" s="483"/>
      <c r="G163" s="482"/>
      <c r="J163" s="482"/>
      <c r="K163" s="482"/>
      <c r="M163" s="497">
        <f>_xll.qlCalendarAdvance(Calendar,M162,"1M","f",,Trigger)</f>
        <v>46916</v>
      </c>
      <c r="N163" s="488">
        <f>_xll.qlCalendarAdvance(Calendar,M163,"3M","mf",,Trigger)</f>
        <v>47008</v>
      </c>
      <c r="O163" s="490" t="str">
        <f>_xll.qlMakeDatedOIS(,M163,N163,OvernightIndex,0,,,,EvaluationDate)</f>
        <v>obj_00509#0001</v>
      </c>
      <c r="P163" s="490" t="b">
        <f>_xll.qlInstrumentSetPricingEngine(O163,OisEngine)</f>
        <v>1</v>
      </c>
      <c r="Q163" s="489">
        <f>_xll.qlIndexFixing("euribor3m",_xll.qlInterestRateIndexFixingDate("Euribor3M",M163),TRUE,AllTriggers)</f>
        <v>2.4759160973350878E-2</v>
      </c>
      <c r="R163" s="489">
        <f>_xll.qlOvernightIndexedSwapFairRate(O163,AllTriggers)</f>
        <v>2.3363289194967118E-2</v>
      </c>
      <c r="S163" s="491">
        <f t="shared" si="4"/>
        <v>1.3958717783837601E-3</v>
      </c>
    </row>
    <row r="164" spans="5:19" ht="11.25" customHeight="1" x14ac:dyDescent="0.2">
      <c r="E164" s="483"/>
      <c r="F164" s="483"/>
      <c r="G164" s="482"/>
      <c r="J164" s="482"/>
      <c r="K164" s="482"/>
      <c r="M164" s="497">
        <f>_xll.qlCalendarAdvance(Calendar,M163,"1M","f",,Trigger)</f>
        <v>46946</v>
      </c>
      <c r="N164" s="488">
        <f>_xll.qlCalendarAdvance(Calendar,M164,"3M","mf",,Trigger)</f>
        <v>47038</v>
      </c>
      <c r="O164" s="490" t="str">
        <f>_xll.qlMakeDatedOIS(,M164,N164,OvernightIndex,0,,,,EvaluationDate)</f>
        <v>obj_0050b#0001</v>
      </c>
      <c r="P164" s="490" t="b">
        <f>_xll.qlInstrumentSetPricingEngine(O164,OisEngine)</f>
        <v>1</v>
      </c>
      <c r="Q164" s="489">
        <f>_xll.qlIndexFixing("euribor3m",_xll.qlInterestRateIndexFixingDate("Euribor3M",M164),TRUE,AllTriggers)</f>
        <v>2.4766729733539904E-2</v>
      </c>
      <c r="R164" s="489">
        <f>_xll.qlOvernightIndexedSwapFairRate(O164,AllTriggers)</f>
        <v>2.336328919496625E-2</v>
      </c>
      <c r="S164" s="491">
        <f t="shared" si="4"/>
        <v>1.4034405385736533E-3</v>
      </c>
    </row>
    <row r="165" spans="5:19" ht="11.25" customHeight="1" x14ac:dyDescent="0.2">
      <c r="E165" s="483"/>
      <c r="F165" s="483"/>
      <c r="G165" s="482"/>
      <c r="J165" s="482"/>
      <c r="K165" s="482"/>
      <c r="M165" s="497">
        <f>_xll.qlCalendarAdvance(Calendar,M164,"1M","f",,Trigger)</f>
        <v>46979</v>
      </c>
      <c r="N165" s="488">
        <f>_xll.qlCalendarAdvance(Calendar,M165,"3M","mf",,Trigger)</f>
        <v>47071</v>
      </c>
      <c r="O165" s="490" t="str">
        <f>_xll.qlMakeDatedOIS(,M165,N165,OvernightIndex,0,,,,EvaluationDate)</f>
        <v>obj_0050d#0001</v>
      </c>
      <c r="P165" s="490" t="b">
        <f>_xll.qlInstrumentSetPricingEngine(O165,OisEngine)</f>
        <v>1</v>
      </c>
      <c r="Q165" s="489">
        <f>_xll.qlIndexFixing("euribor3m",_xll.qlInterestRateIndexFixingDate("Euribor3M",M165),TRUE,AllTriggers)</f>
        <v>2.4773538157390692E-2</v>
      </c>
      <c r="R165" s="489">
        <f>_xll.qlOvernightIndexedSwapFairRate(O165,AllTriggers)</f>
        <v>2.3363289194967114E-2</v>
      </c>
      <c r="S165" s="491">
        <f t="shared" si="4"/>
        <v>1.4102489624235777E-3</v>
      </c>
    </row>
    <row r="166" spans="5:19" ht="11.25" customHeight="1" x14ac:dyDescent="0.2">
      <c r="E166" s="483"/>
      <c r="F166" s="483"/>
      <c r="G166" s="482"/>
      <c r="J166" s="482"/>
      <c r="K166" s="482"/>
      <c r="M166" s="497">
        <f>_xll.qlCalendarAdvance(Calendar,M165,"1M","f",,Trigger)</f>
        <v>47010</v>
      </c>
      <c r="N166" s="488">
        <f>_xll.qlCalendarAdvance(Calendar,M166,"3M","mf",,Trigger)</f>
        <v>47101</v>
      </c>
      <c r="O166" s="490" t="str">
        <f>_xll.qlMakeDatedOIS(,M166,N166,OvernightIndex,0,,,,EvaluationDate)</f>
        <v>obj_0050e#0001</v>
      </c>
      <c r="P166" s="490" t="b">
        <f>_xll.qlInstrumentSetPricingEngine(O166,OisEngine)</f>
        <v>1</v>
      </c>
      <c r="Q166" s="489">
        <f>_xll.qlIndexFixing("euribor3m",_xll.qlInterestRateIndexFixingDate("Euribor3M",M166),TRUE,AllTriggers)</f>
        <v>2.477757758962407E-2</v>
      </c>
      <c r="R166" s="489">
        <f>_xll.qlOvernightIndexedSwapFairRate(O166,AllTriggers)</f>
        <v>2.3362532599942348E-2</v>
      </c>
      <c r="S166" s="491">
        <f t="shared" si="4"/>
        <v>1.4150449896817227E-3</v>
      </c>
    </row>
    <row r="167" spans="5:19" ht="11.25" customHeight="1" x14ac:dyDescent="0.2">
      <c r="E167" s="483"/>
      <c r="F167" s="483"/>
      <c r="G167" s="482"/>
      <c r="J167" s="482"/>
      <c r="K167" s="482"/>
      <c r="M167" s="497">
        <f>_xll.qlCalendarAdvance(Calendar,M166,"1M","f",,Trigger)</f>
        <v>47042</v>
      </c>
      <c r="N167" s="488">
        <f>_xll.qlCalendarAdvance(Calendar,M167,"3M","mf",,Trigger)</f>
        <v>47134</v>
      </c>
      <c r="O167" s="490" t="str">
        <f>_xll.qlMakeDatedOIS(,M167,N167,OvernightIndex,0,,,,EvaluationDate)</f>
        <v>obj_00510#0001</v>
      </c>
      <c r="P167" s="490" t="b">
        <f>_xll.qlInstrumentSetPricingEngine(O167,OisEngine)</f>
        <v>1</v>
      </c>
      <c r="Q167" s="489">
        <f>_xll.qlIndexFixing("euribor3m",_xll.qlInterestRateIndexFixingDate("Euribor3M",M167),TRUE,AllTriggers)</f>
        <v>2.4782122321353826E-2</v>
      </c>
      <c r="R167" s="489">
        <f>_xll.qlOvernightIndexedSwapFairRate(O167,AllTriggers)</f>
        <v>2.336328919496625E-2</v>
      </c>
      <c r="S167" s="491">
        <f t="shared" si="4"/>
        <v>1.4188331263875753E-3</v>
      </c>
    </row>
    <row r="168" spans="5:19" ht="11.25" customHeight="1" x14ac:dyDescent="0.2">
      <c r="E168" s="483"/>
      <c r="F168" s="483"/>
      <c r="G168" s="482"/>
      <c r="J168" s="482"/>
      <c r="K168" s="482"/>
      <c r="M168" s="497">
        <f>_xll.qlCalendarAdvance(Calendar,M167,"1M","f",,Trigger)</f>
        <v>47073</v>
      </c>
      <c r="N168" s="488">
        <f>_xll.qlCalendarAdvance(Calendar,M168,"3M","mf",,Trigger)</f>
        <v>47165</v>
      </c>
      <c r="O168" s="490" t="str">
        <f>_xll.qlMakeDatedOIS(,M168,N168,OvernightIndex,0,,,,EvaluationDate)</f>
        <v>obj_00512#0001</v>
      </c>
      <c r="P168" s="490" t="b">
        <f>_xll.qlInstrumentSetPricingEngine(O168,OisEngine)</f>
        <v>1</v>
      </c>
      <c r="Q168" s="489">
        <f>_xll.qlIndexFixing("euribor3m",_xll.qlInterestRateIndexFixingDate("Euribor3M",M168),TRUE,AllTriggers)</f>
        <v>2.4784219673883737E-2</v>
      </c>
      <c r="R168" s="489">
        <f>_xll.qlOvernightIndexedSwapFairRate(O168,AllTriggers)</f>
        <v>2.3363289194967118E-2</v>
      </c>
      <c r="S168" s="491">
        <f t="shared" si="4"/>
        <v>1.420930478916619E-3</v>
      </c>
    </row>
    <row r="169" spans="5:19" ht="11.25" customHeight="1" x14ac:dyDescent="0.2">
      <c r="E169" s="483"/>
      <c r="F169" s="483"/>
      <c r="G169" s="482"/>
      <c r="J169" s="482"/>
      <c r="K169" s="482"/>
      <c r="M169" s="497">
        <f>_xll.qlCalendarAdvance(Calendar,M168,"1M","f",,Trigger)</f>
        <v>47105</v>
      </c>
      <c r="N169" s="488">
        <f>_xll.qlCalendarAdvance(Calendar,M169,"3M","mf",,Trigger)</f>
        <v>47196</v>
      </c>
      <c r="O169" s="490" t="str">
        <f>_xll.qlMakeDatedOIS(,M169,N169,OvernightIndex,0,,,,EvaluationDate)</f>
        <v>obj_00514#0001</v>
      </c>
      <c r="P169" s="490" t="b">
        <f>_xll.qlInstrumentSetPricingEngine(O169,OisEngine)</f>
        <v>1</v>
      </c>
      <c r="Q169" s="489">
        <f>_xll.qlIndexFixing("euribor3m",_xll.qlInterestRateIndexFixingDate("Euribor3M",M169),TRUE,AllTriggers)</f>
        <v>2.4784073842032163E-2</v>
      </c>
      <c r="R169" s="489">
        <f>_xll.qlOvernightIndexedSwapFairRate(O169,AllTriggers)</f>
        <v>2.3362532599942348E-2</v>
      </c>
      <c r="S169" s="491">
        <f t="shared" si="4"/>
        <v>1.4215412420898153E-3</v>
      </c>
    </row>
    <row r="170" spans="5:19" ht="11.25" customHeight="1" x14ac:dyDescent="0.2">
      <c r="E170" s="483"/>
      <c r="F170" s="483"/>
      <c r="G170" s="482"/>
      <c r="J170" s="482"/>
      <c r="K170" s="482"/>
      <c r="M170" s="497">
        <f>_xll.qlCalendarAdvance(Calendar,M169,"1M","f",,Trigger)</f>
        <v>47136</v>
      </c>
      <c r="N170" s="488">
        <f>_xll.qlCalendarAdvance(Calendar,M170,"3M","mf",,Trigger)</f>
        <v>47226</v>
      </c>
      <c r="O170" s="490" t="str">
        <f>_xll.qlMakeDatedOIS(,M170,N170,OvernightIndex,0,,,,EvaluationDate)</f>
        <v>obj_00516#0001</v>
      </c>
      <c r="P170" s="490" t="b">
        <f>_xll.qlInstrumentSetPricingEngine(O170,OisEngine)</f>
        <v>1</v>
      </c>
      <c r="Q170" s="489">
        <f>_xll.qlIndexFixing("euribor3m",_xll.qlInterestRateIndexFixingDate("Euribor3M",M170),TRUE,AllTriggers)</f>
        <v>2.4782525945819422E-2</v>
      </c>
      <c r="R170" s="489">
        <f>_xll.qlOvernightIndexedSwapFairRate(O170,AllTriggers)</f>
        <v>2.3361776037569726E-2</v>
      </c>
      <c r="S170" s="491">
        <f t="shared" si="4"/>
        <v>1.4207499082496966E-3</v>
      </c>
    </row>
    <row r="171" spans="5:19" ht="11.25" customHeight="1" x14ac:dyDescent="0.2">
      <c r="E171" s="483"/>
      <c r="F171" s="483"/>
      <c r="G171" s="482"/>
      <c r="J171" s="482"/>
      <c r="K171" s="482"/>
      <c r="M171" s="497">
        <f>_xll.qlCalendarAdvance(Calendar,M170,"1M","f",,Trigger)</f>
        <v>47168</v>
      </c>
      <c r="N171" s="488">
        <f>_xll.qlCalendarAdvance(Calendar,M171,"3M","mf",,Trigger)</f>
        <v>47259</v>
      </c>
      <c r="O171" s="490" t="str">
        <f>_xll.qlMakeDatedOIS(,M171,N171,OvernightIndex,0,,,,EvaluationDate)</f>
        <v>obj_00518#0001</v>
      </c>
      <c r="P171" s="490" t="b">
        <f>_xll.qlInstrumentSetPricingEngine(O171,OisEngine)</f>
        <v>1</v>
      </c>
      <c r="Q171" s="489">
        <f>_xll.qlIndexFixing("euribor3m",_xll.qlInterestRateIndexFixingDate("Euribor3M",M171),TRUE,AllTriggers)</f>
        <v>2.4781118057328574E-2</v>
      </c>
      <c r="R171" s="489">
        <f>_xll.qlOvernightIndexedSwapFairRate(O171,AllTriggers)</f>
        <v>2.3362532599942351E-2</v>
      </c>
      <c r="S171" s="491">
        <f t="shared" si="4"/>
        <v>1.4185854573862226E-3</v>
      </c>
    </row>
    <row r="172" spans="5:19" ht="11.25" customHeight="1" x14ac:dyDescent="0.2">
      <c r="E172" s="483"/>
      <c r="F172" s="483"/>
      <c r="G172" s="482"/>
      <c r="J172" s="482"/>
      <c r="K172" s="482"/>
      <c r="M172" s="497">
        <f>_xll.qlCalendarAdvance(Calendar,M171,"1M","f",,Trigger)</f>
        <v>47196</v>
      </c>
      <c r="N172" s="488">
        <f>_xll.qlCalendarAdvance(Calendar,M172,"3M","mf",,Trigger)</f>
        <v>47288</v>
      </c>
      <c r="O172" s="490" t="str">
        <f>_xll.qlMakeDatedOIS(,M172,N172,OvernightIndex,0,,,,EvaluationDate)</f>
        <v>obj_0051a#0001</v>
      </c>
      <c r="P172" s="490" t="b">
        <f>_xll.qlInstrumentSetPricingEngine(O172,OisEngine)</f>
        <v>1</v>
      </c>
      <c r="Q172" s="489">
        <f>_xll.qlIndexFixing("euribor3m",_xll.qlInterestRateIndexFixingDate("Euribor3M",M172),TRUE,AllTriggers)</f>
        <v>2.4778717755233496E-2</v>
      </c>
      <c r="R172" s="489">
        <f>_xll.qlOvernightIndexedSwapFairRate(O172,AllTriggers)</f>
        <v>2.3363289194967121E-2</v>
      </c>
      <c r="S172" s="491">
        <f t="shared" si="4"/>
        <v>1.4154285602663748E-3</v>
      </c>
    </row>
    <row r="173" spans="5:19" ht="11.25" customHeight="1" x14ac:dyDescent="0.2">
      <c r="E173" s="483"/>
      <c r="F173" s="483"/>
      <c r="G173" s="482"/>
      <c r="J173" s="482"/>
      <c r="K173" s="482"/>
      <c r="M173" s="497">
        <f>_xll.qlCalendarAdvance(Calendar,M172,"1M","f",,Trigger)</f>
        <v>47227</v>
      </c>
      <c r="N173" s="488">
        <f>_xll.qlCalendarAdvance(Calendar,M173,"3M","mf",,Trigger)</f>
        <v>47318</v>
      </c>
      <c r="O173" s="490" t="str">
        <f>_xll.qlMakeDatedOIS(,M173,N173,OvernightIndex,0,,,,EvaluationDate)</f>
        <v>obj_0051c#0001</v>
      </c>
      <c r="P173" s="490" t="b">
        <f>_xll.qlInstrumentSetPricingEngine(O173,OisEngine)</f>
        <v>1</v>
      </c>
      <c r="Q173" s="489">
        <f>_xll.qlIndexFixing("euribor3m",_xll.qlInterestRateIndexFixingDate("Euribor3M",M173),TRUE,AllTriggers)</f>
        <v>2.4773097287120568E-2</v>
      </c>
      <c r="R173" s="489">
        <f>_xll.qlOvernightIndexedSwapFairRate(O173,AllTriggers)</f>
        <v>2.3362532599942351E-2</v>
      </c>
      <c r="S173" s="491">
        <f t="shared" si="4"/>
        <v>1.4105646871782167E-3</v>
      </c>
    </row>
    <row r="174" spans="5:19" ht="11.25" customHeight="1" x14ac:dyDescent="0.2">
      <c r="E174" s="483"/>
      <c r="F174" s="483"/>
      <c r="G174" s="482"/>
      <c r="J174" s="482"/>
      <c r="K174" s="482"/>
      <c r="M174" s="497">
        <f>_xll.qlCalendarAdvance(Calendar,M173,"1M","f",,Trigger)</f>
        <v>47259</v>
      </c>
      <c r="N174" s="488">
        <f>_xll.qlCalendarAdvance(Calendar,M174,"3M","mf",,Trigger)</f>
        <v>47351</v>
      </c>
      <c r="O174" s="490" t="str">
        <f>_xll.qlMakeDatedOIS(,M174,N174,OvernightIndex,0,,,,EvaluationDate)</f>
        <v>obj_0051e#0001</v>
      </c>
      <c r="P174" s="490" t="b">
        <f>_xll.qlInstrumentSetPricingEngine(O174,OisEngine)</f>
        <v>1</v>
      </c>
      <c r="Q174" s="489">
        <f>_xll.qlIndexFixing("euribor3m",_xll.qlInterestRateIndexFixingDate("Euribor3M",M174),TRUE,AllTriggers)</f>
        <v>2.4767348052855652E-2</v>
      </c>
      <c r="R174" s="489">
        <f>_xll.qlOvernightIndexedSwapFairRate(O174,AllTriggers)</f>
        <v>2.336328919496625E-2</v>
      </c>
      <c r="S174" s="491">
        <f t="shared" si="4"/>
        <v>1.4040588578894016E-3</v>
      </c>
    </row>
    <row r="175" spans="5:19" ht="11.25" customHeight="1" x14ac:dyDescent="0.2">
      <c r="E175" s="483"/>
      <c r="F175" s="483"/>
      <c r="G175" s="482"/>
      <c r="J175" s="482"/>
      <c r="K175" s="482"/>
      <c r="M175" s="497">
        <f>_xll.qlCalendarAdvance(Calendar,M174,"1M","f",,Trigger)</f>
        <v>47290</v>
      </c>
      <c r="N175" s="488">
        <f>_xll.qlCalendarAdvance(Calendar,M175,"3M","mf",,Trigger)</f>
        <v>47382</v>
      </c>
      <c r="O175" s="490" t="str">
        <f>_xll.qlMakeDatedOIS(,M175,N175,OvernightIndex,0,,,,EvaluationDate)</f>
        <v>obj_00520#0001</v>
      </c>
      <c r="P175" s="490" t="b">
        <f>_xll.qlInstrumentSetPricingEngine(O175,OisEngine)</f>
        <v>1</v>
      </c>
      <c r="Q175" s="489">
        <f>_xll.qlIndexFixing("euribor3m",_xll.qlInterestRateIndexFixingDate("Euribor3M",M175),TRUE,AllTriggers)</f>
        <v>2.4759629707486731E-2</v>
      </c>
      <c r="R175" s="489">
        <f>_xll.qlOvernightIndexedSwapFairRate(O175,AllTriggers)</f>
        <v>2.3380032045855436E-2</v>
      </c>
      <c r="S175" s="491">
        <f t="shared" si="4"/>
        <v>1.3795976616312947E-3</v>
      </c>
    </row>
    <row r="176" spans="5:19" ht="11.25" customHeight="1" x14ac:dyDescent="0.2">
      <c r="E176" s="483"/>
      <c r="F176" s="483"/>
      <c r="G176" s="482"/>
      <c r="J176" s="482"/>
      <c r="K176" s="482"/>
      <c r="M176" s="497">
        <f>_xll.qlCalendarAdvance(Calendar,M175,"1M","f",,Trigger)</f>
        <v>47322</v>
      </c>
      <c r="N176" s="488">
        <f>_xll.qlCalendarAdvance(Calendar,M176,"3M","mf",,Trigger)</f>
        <v>47414</v>
      </c>
      <c r="O176" s="490" t="str">
        <f>_xll.qlMakeDatedOIS(,M176,N176,OvernightIndex,0,,,,EvaluationDate)</f>
        <v>obj_00522#0001</v>
      </c>
      <c r="P176" s="490" t="b">
        <f>_xll.qlInstrumentSetPricingEngine(O176,OisEngine)</f>
        <v>1</v>
      </c>
      <c r="Q176" s="489">
        <f>_xll.qlIndexFixing("euribor3m",_xll.qlInterestRateIndexFixingDate("Euribor3M",M176),TRUE,AllTriggers)</f>
        <v>2.4750355768182405E-2</v>
      </c>
      <c r="R176" s="489">
        <f>_xll.qlOvernightIndexedSwapFairRate(O176,AllTriggers)</f>
        <v>2.3428738926080155E-2</v>
      </c>
      <c r="S176" s="491">
        <f t="shared" si="4"/>
        <v>1.3216168421022502E-3</v>
      </c>
    </row>
    <row r="177" spans="5:19" ht="11.25" customHeight="1" x14ac:dyDescent="0.2">
      <c r="E177" s="483"/>
      <c r="F177" s="483"/>
      <c r="G177" s="482"/>
      <c r="J177" s="482"/>
      <c r="K177" s="482"/>
      <c r="M177" s="497">
        <f>_xll.qlCalendarAdvance(Calendar,M176,"1M","f",,Trigger)</f>
        <v>47353</v>
      </c>
      <c r="N177" s="488">
        <f>_xll.qlCalendarAdvance(Calendar,M177,"3M","mf",,Trigger)</f>
        <v>47445</v>
      </c>
      <c r="O177" s="490" t="str">
        <f>_xll.qlMakeDatedOIS(,M177,N177,OvernightIndex,0,,,,EvaluationDate)</f>
        <v>obj_00524#0001</v>
      </c>
      <c r="P177" s="490" t="b">
        <f>_xll.qlInstrumentSetPricingEngine(O177,OisEngine)</f>
        <v>1</v>
      </c>
      <c r="Q177" s="489">
        <f>_xll.qlIndexFixing("euribor3m",_xll.qlInterestRateIndexFixingDate("Euribor3M",M177),TRUE,AllTriggers)</f>
        <v>2.4740482195716694E-2</v>
      </c>
      <c r="R177" s="489">
        <f>_xll.qlOvernightIndexedSwapFairRate(O177,AllTriggers)</f>
        <v>2.3475924291011991E-2</v>
      </c>
      <c r="S177" s="491">
        <f t="shared" si="4"/>
        <v>1.264557904704703E-3</v>
      </c>
    </row>
    <row r="178" spans="5:19" ht="11.25" customHeight="1" x14ac:dyDescent="0.2">
      <c r="E178" s="483"/>
      <c r="F178" s="483"/>
      <c r="G178" s="482"/>
      <c r="J178" s="482"/>
      <c r="K178" s="482"/>
      <c r="M178" s="497">
        <f>_xll.qlCalendarAdvance(Calendar,M177,"1M","f",,Trigger)</f>
        <v>47385</v>
      </c>
      <c r="N178" s="488">
        <f>_xll.qlCalendarAdvance(Calendar,M178,"3M","mf",,Trigger)</f>
        <v>47476</v>
      </c>
      <c r="O178" s="490" t="str">
        <f>_xll.qlMakeDatedOIS(,M178,N178,OvernightIndex,0,,,,EvaluationDate)</f>
        <v>obj_00526#0001</v>
      </c>
      <c r="P178" s="490" t="b">
        <f>_xll.qlInstrumentSetPricingEngine(O178,OisEngine)</f>
        <v>1</v>
      </c>
      <c r="Q178" s="489">
        <f>_xll.qlIndexFixing("euribor3m",_xll.qlInterestRateIndexFixingDate("Euribor3M",M178),TRUE,AllTriggers)</f>
        <v>2.4729100756019171E-2</v>
      </c>
      <c r="R178" s="489">
        <f>_xll.qlOvernightIndexedSwapFairRate(O178,AllTriggers)</f>
        <v>2.3502556821727319E-2</v>
      </c>
      <c r="S178" s="491">
        <f t="shared" si="4"/>
        <v>1.2265439342918523E-3</v>
      </c>
    </row>
    <row r="179" spans="5:19" ht="11.25" customHeight="1" x14ac:dyDescent="0.2">
      <c r="E179" s="483"/>
      <c r="F179" s="483"/>
      <c r="G179" s="482"/>
      <c r="J179" s="482"/>
      <c r="K179" s="482"/>
      <c r="M179" s="497">
        <f>_xll.qlCalendarAdvance(Calendar,M178,"1M","f",,Trigger)</f>
        <v>47415</v>
      </c>
      <c r="N179" s="488">
        <f>_xll.qlCalendarAdvance(Calendar,M179,"3M","mf",,Trigger)</f>
        <v>47507</v>
      </c>
      <c r="O179" s="490" t="str">
        <f>_xll.qlMakeDatedOIS(,M179,N179,OvernightIndex,0,,,,EvaluationDate)</f>
        <v>obj_00527#0001</v>
      </c>
      <c r="P179" s="490" t="b">
        <f>_xll.qlInstrumentSetPricingEngine(O179,OisEngine)</f>
        <v>1</v>
      </c>
      <c r="Q179" s="489">
        <f>_xll.qlIndexFixing("euribor3m",_xll.qlInterestRateIndexFixingDate("Euribor3M",M179),TRUE,AllTriggers)</f>
        <v>2.4719471323635393E-2</v>
      </c>
      <c r="R179" s="489">
        <f>_xll.qlOvernightIndexedSwapFairRate(O179,AllTriggers)</f>
        <v>2.3503322504393517E-2</v>
      </c>
      <c r="S179" s="491">
        <f t="shared" si="4"/>
        <v>1.216148819241876E-3</v>
      </c>
    </row>
    <row r="180" spans="5:19" ht="11.25" customHeight="1" x14ac:dyDescent="0.2">
      <c r="E180" s="483"/>
      <c r="F180" s="483"/>
      <c r="G180" s="482"/>
      <c r="J180" s="482"/>
      <c r="K180" s="482"/>
      <c r="M180" s="497">
        <f>_xll.qlCalendarAdvance(Calendar,M179,"1M","f",,Trigger)</f>
        <v>47448</v>
      </c>
      <c r="N180" s="488">
        <f>_xll.qlCalendarAdvance(Calendar,M180,"3M","mf",,Trigger)</f>
        <v>47540</v>
      </c>
      <c r="O180" s="490" t="str">
        <f>_xll.qlMakeDatedOIS(,M180,N180,OvernightIndex,0,,,,EvaluationDate)</f>
        <v>obj_00529#0001</v>
      </c>
      <c r="P180" s="490" t="b">
        <f>_xll.qlInstrumentSetPricingEngine(O180,OisEngine)</f>
        <v>1</v>
      </c>
      <c r="Q180" s="489">
        <f>_xll.qlIndexFixing("euribor3m",_xll.qlInterestRateIndexFixingDate("Euribor3M",M180),TRUE,AllTriggers)</f>
        <v>2.4707848189053628E-2</v>
      </c>
      <c r="R180" s="489">
        <f>_xll.qlOvernightIndexedSwapFairRate(O180,AllTriggers)</f>
        <v>2.3503322504393513E-2</v>
      </c>
      <c r="S180" s="491">
        <f t="shared" si="4"/>
        <v>1.2045256846601148E-3</v>
      </c>
    </row>
    <row r="181" spans="5:19" ht="11.25" customHeight="1" x14ac:dyDescent="0.2">
      <c r="E181" s="483"/>
      <c r="F181" s="483"/>
      <c r="G181" s="482"/>
      <c r="J181" s="482"/>
      <c r="K181" s="482"/>
      <c r="M181" s="497">
        <f>_xll.qlCalendarAdvance(Calendar,M180,"1M","f",,Trigger)</f>
        <v>47479</v>
      </c>
      <c r="N181" s="488">
        <f>_xll.qlCalendarAdvance(Calendar,M181,"3M","mf",,Trigger)</f>
        <v>47569</v>
      </c>
      <c r="O181" s="490" t="str">
        <f>_xll.qlMakeDatedOIS(,M181,N181,OvernightIndex,0,,,,EvaluationDate)</f>
        <v>obj_0052b#0001</v>
      </c>
      <c r="P181" s="490" t="b">
        <f>_xll.qlInstrumentSetPricingEngine(O181,OisEngine)</f>
        <v>1</v>
      </c>
      <c r="Q181" s="489">
        <f>_xll.qlIndexFixing("euribor3m",_xll.qlInterestRateIndexFixingDate("Euribor3M",M181),TRUE,AllTriggers)</f>
        <v>2.4695334033819627E-2</v>
      </c>
      <c r="R181" s="489">
        <f>_xll.qlOvernightIndexedSwapFairRate(O181,AllTriggers)</f>
        <v>2.3501791172304998E-2</v>
      </c>
      <c r="S181" s="491">
        <f t="shared" si="4"/>
        <v>1.1935428615146293E-3</v>
      </c>
    </row>
    <row r="182" spans="5:19" ht="11.25" customHeight="1" x14ac:dyDescent="0.2">
      <c r="E182" s="483"/>
      <c r="F182" s="483"/>
      <c r="G182" s="482"/>
      <c r="J182" s="482"/>
      <c r="K182" s="482"/>
      <c r="M182" s="497">
        <f>_xll.qlCalendarAdvance(Calendar,M181,"1M","f",,Trigger)</f>
        <v>47511</v>
      </c>
      <c r="N182" s="488">
        <f>_xll.qlCalendarAdvance(Calendar,M182,"3M","mf",,Trigger)</f>
        <v>47602</v>
      </c>
      <c r="O182" s="490" t="str">
        <f>_xll.qlMakeDatedOIS(,M182,N182,OvernightIndex,0,,,,EvaluationDate)</f>
        <v>obj_0052c#0001</v>
      </c>
      <c r="P182" s="490" t="b">
        <f>_xll.qlInstrumentSetPricingEngine(O182,OisEngine)</f>
        <v>1</v>
      </c>
      <c r="Q182" s="489">
        <f>_xll.qlIndexFixing("euribor3m",_xll.qlInterestRateIndexFixingDate("Euribor3M",M182),TRUE,AllTriggers)</f>
        <v>2.4684167354103E-2</v>
      </c>
      <c r="R182" s="489">
        <f>_xll.qlOvernightIndexedSwapFairRate(O182,AllTriggers)</f>
        <v>2.3502556821727316E-2</v>
      </c>
      <c r="S182" s="491">
        <f t="shared" si="4"/>
        <v>1.1816105323756848E-3</v>
      </c>
    </row>
    <row r="183" spans="5:19" ht="11.25" customHeight="1" x14ac:dyDescent="0.2">
      <c r="E183" s="483"/>
      <c r="F183" s="483"/>
      <c r="G183" s="482"/>
      <c r="J183" s="482"/>
      <c r="K183" s="482"/>
      <c r="M183" s="497">
        <f>_xll.qlCalendarAdvance(Calendar,M182,"1M","f",,Trigger)</f>
        <v>47542</v>
      </c>
      <c r="N183" s="488">
        <f>_xll.qlCalendarAdvance(Calendar,M183,"3M","mf",,Trigger)</f>
        <v>47631</v>
      </c>
      <c r="O183" s="490" t="str">
        <f>_xll.qlMakeDatedOIS(,M183,N183,OvernightIndex,0,,,,EvaluationDate)</f>
        <v>obj_0052d#0001</v>
      </c>
      <c r="P183" s="490" t="b">
        <f>_xll.qlInstrumentSetPricingEngine(O183,OisEngine)</f>
        <v>1</v>
      </c>
      <c r="Q183" s="489">
        <f>_xll.qlIndexFixing("euribor3m",_xll.qlInterestRateIndexFixingDate("Euribor3M",M183),TRUE,AllTriggers)</f>
        <v>2.4673089993126944E-2</v>
      </c>
      <c r="R183" s="489">
        <f>_xll.qlOvernightIndexedSwapFairRate(O183,AllTriggers)</f>
        <v>2.3501025556121741E-2</v>
      </c>
      <c r="S183" s="491">
        <f t="shared" si="4"/>
        <v>1.1720644370052033E-3</v>
      </c>
    </row>
    <row r="184" spans="5:19" ht="11.25" customHeight="1" x14ac:dyDescent="0.2">
      <c r="E184" s="483"/>
      <c r="F184" s="483"/>
      <c r="G184" s="482"/>
      <c r="J184" s="482"/>
      <c r="K184" s="482"/>
      <c r="M184" s="497">
        <f>_xll.qlCalendarAdvance(Calendar,M183,"1M","f",,Trigger)</f>
        <v>47570</v>
      </c>
      <c r="N184" s="488">
        <f>_xll.qlCalendarAdvance(Calendar,M184,"3M","mf",,Trigger)</f>
        <v>47662</v>
      </c>
      <c r="O184" s="490" t="str">
        <f>_xll.qlMakeDatedOIS(,M184,N184,OvernightIndex,0,,,,EvaluationDate)</f>
        <v>obj_0052f#0001</v>
      </c>
      <c r="P184" s="490" t="b">
        <f>_xll.qlInstrumentSetPricingEngine(O184,OisEngine)</f>
        <v>1</v>
      </c>
      <c r="Q184" s="489">
        <f>_xll.qlIndexFixing("euribor3m",_xll.qlInterestRateIndexFixingDate("Euribor3M",M184),TRUE,AllTriggers)</f>
        <v>2.4662264391725548E-2</v>
      </c>
      <c r="R184" s="489">
        <f>_xll.qlOvernightIndexedSwapFairRate(O184,AllTriggers)</f>
        <v>2.3503322504393513E-2</v>
      </c>
      <c r="S184" s="491">
        <f t="shared" si="4"/>
        <v>1.1589418873320344E-3</v>
      </c>
    </row>
    <row r="185" spans="5:19" ht="11.25" customHeight="1" x14ac:dyDescent="0.2">
      <c r="E185" s="483"/>
      <c r="F185" s="483"/>
      <c r="G185" s="482"/>
      <c r="J185" s="482"/>
      <c r="K185" s="482"/>
      <c r="M185" s="497">
        <f>_xll.qlCalendarAdvance(Calendar,M184,"1M","f",,Trigger)</f>
        <v>47602</v>
      </c>
      <c r="N185" s="488">
        <f>_xll.qlCalendarAdvance(Calendar,M185,"3M","mf",,Trigger)</f>
        <v>47693</v>
      </c>
      <c r="O185" s="490" t="str">
        <f>_xll.qlMakeDatedOIS(,M185,N185,OvernightIndex,0,,,,EvaluationDate)</f>
        <v>obj_00531#0001</v>
      </c>
      <c r="P185" s="490" t="b">
        <f>_xll.qlInstrumentSetPricingEngine(O185,OisEngine)</f>
        <v>1</v>
      </c>
      <c r="Q185" s="489">
        <f>_xll.qlIndexFixing("euribor3m",_xll.qlInterestRateIndexFixingDate("Euribor3M",M185),TRUE,AllTriggers)</f>
        <v>2.4648986554970206E-2</v>
      </c>
      <c r="R185" s="489">
        <f>_xll.qlOvernightIndexedSwapFairRate(O185,AllTriggers)</f>
        <v>2.35025568217282E-2</v>
      </c>
      <c r="S185" s="491">
        <f t="shared" si="4"/>
        <v>1.1464297332420062E-3</v>
      </c>
    </row>
    <row r="186" spans="5:19" ht="11.25" customHeight="1" x14ac:dyDescent="0.2">
      <c r="E186" s="483"/>
      <c r="F186" s="483"/>
      <c r="G186" s="482"/>
      <c r="J186" s="482"/>
      <c r="K186" s="482"/>
      <c r="M186" s="497">
        <f>_xll.qlCalendarAdvance(Calendar,M185,"1M","f",,Trigger)</f>
        <v>47632</v>
      </c>
      <c r="N186" s="488">
        <f>_xll.qlCalendarAdvance(Calendar,M186,"3M","mf",,Trigger)</f>
        <v>47724</v>
      </c>
      <c r="O186" s="490" t="str">
        <f>_xll.qlMakeDatedOIS(,M186,N186,OvernightIndex,0,,,,EvaluationDate)</f>
        <v>obj_00533#0001</v>
      </c>
      <c r="P186" s="490" t="b">
        <f>_xll.qlInstrumentSetPricingEngine(O186,OisEngine)</f>
        <v>1</v>
      </c>
      <c r="Q186" s="489">
        <f>_xll.qlIndexFixing("euribor3m",_xll.qlInterestRateIndexFixingDate("Euribor3M",M186),TRUE,AllTriggers)</f>
        <v>2.4637522266827961E-2</v>
      </c>
      <c r="R186" s="489">
        <f>_xll.qlOvernightIndexedSwapFairRate(O186,AllTriggers)</f>
        <v>2.3503322504393513E-2</v>
      </c>
      <c r="S186" s="491">
        <f t="shared" si="4"/>
        <v>1.1341997624344478E-3</v>
      </c>
    </row>
    <row r="187" spans="5:19" ht="11.25" customHeight="1" x14ac:dyDescent="0.2">
      <c r="E187" s="483"/>
      <c r="F187" s="483"/>
      <c r="G187" s="482"/>
      <c r="J187" s="482"/>
      <c r="K187" s="482"/>
      <c r="M187" s="497">
        <f>_xll.qlCalendarAdvance(Calendar,M186,"1M","f",,Trigger)</f>
        <v>47665</v>
      </c>
      <c r="N187" s="488">
        <f>_xll.qlCalendarAdvance(Calendar,M187,"3M","mf",,Trigger)</f>
        <v>47757</v>
      </c>
      <c r="O187" s="490" t="str">
        <f>_xll.qlMakeDatedOIS(,M187,N187,OvernightIndex,0,,,,EvaluationDate)</f>
        <v>obj_00535#0001</v>
      </c>
      <c r="P187" s="490" t="b">
        <f>_xll.qlInstrumentSetPricingEngine(O187,OisEngine)</f>
        <v>1</v>
      </c>
      <c r="Q187" s="489">
        <f>_xll.qlIndexFixing("euribor3m",_xll.qlInterestRateIndexFixingDate("Euribor3M",M187),TRUE,AllTriggers)</f>
        <v>2.4623919822889785E-2</v>
      </c>
      <c r="R187" s="489">
        <f>_xll.qlOvernightIndexedSwapFairRate(O187,AllTriggers)</f>
        <v>2.3503322504393517E-2</v>
      </c>
      <c r="S187" s="491">
        <f t="shared" si="4"/>
        <v>1.1205973184962685E-3</v>
      </c>
    </row>
    <row r="188" spans="5:19" ht="11.25" customHeight="1" x14ac:dyDescent="0.2">
      <c r="E188" s="483"/>
      <c r="F188" s="483"/>
      <c r="G188" s="482"/>
      <c r="J188" s="482"/>
      <c r="K188" s="482"/>
      <c r="M188" s="497">
        <f>_xll.qlCalendarAdvance(Calendar,M187,"1M","f",,Trigger)</f>
        <v>47696</v>
      </c>
      <c r="N188" s="488">
        <f>_xll.qlCalendarAdvance(Calendar,M188,"3M","mf",,Trigger)</f>
        <v>47788</v>
      </c>
      <c r="O188" s="490" t="str">
        <f>_xll.qlMakeDatedOIS(,M188,N188,OvernightIndex,0,,,,EvaluationDate)</f>
        <v>obj_00537#0001</v>
      </c>
      <c r="P188" s="490" t="b">
        <f>_xll.qlInstrumentSetPricingEngine(O188,OisEngine)</f>
        <v>1</v>
      </c>
      <c r="Q188" s="489">
        <f>_xll.qlIndexFixing("euribor3m",_xll.qlInterestRateIndexFixingDate("Euribor3M",M188),TRUE,AllTriggers)</f>
        <v>2.4610867589715514E-2</v>
      </c>
      <c r="R188" s="489">
        <f>_xll.qlOvernightIndexedSwapFairRate(O188,AllTriggers)</f>
        <v>2.3503322504393513E-2</v>
      </c>
      <c r="S188" s="491">
        <f t="shared" si="4"/>
        <v>1.1075450853220009E-3</v>
      </c>
    </row>
    <row r="189" spans="5:19" ht="11.25" customHeight="1" x14ac:dyDescent="0.2">
      <c r="E189" s="483"/>
      <c r="F189" s="483"/>
      <c r="G189" s="482"/>
      <c r="J189" s="482"/>
      <c r="K189" s="482"/>
      <c r="M189" s="497">
        <f>_xll.qlCalendarAdvance(Calendar,M188,"1M","f",,Trigger)</f>
        <v>47728</v>
      </c>
      <c r="N189" s="488">
        <f>_xll.qlCalendarAdvance(Calendar,M189,"3M","mf",,Trigger)</f>
        <v>47819</v>
      </c>
      <c r="O189" s="490" t="str">
        <f>_xll.qlMakeDatedOIS(,M189,N189,OvernightIndex,0,,,,EvaluationDate)</f>
        <v>obj_00539#0001</v>
      </c>
      <c r="P189" s="490" t="b">
        <f>_xll.qlInstrumentSetPricingEngine(O189,OisEngine)</f>
        <v>1</v>
      </c>
      <c r="Q189" s="489">
        <f>_xll.qlIndexFixing("euribor3m",_xll.qlInterestRateIndexFixingDate("Euribor3M",M189),TRUE,AllTriggers)</f>
        <v>2.4596496331317757E-2</v>
      </c>
      <c r="R189" s="489">
        <f>_xll.qlOvernightIndexedSwapFairRate(O189,AllTriggers)</f>
        <v>2.3502556821728197E-2</v>
      </c>
      <c r="S189" s="491">
        <f t="shared" si="4"/>
        <v>1.0939395095895602E-3</v>
      </c>
    </row>
    <row r="190" spans="5:19" ht="11.25" customHeight="1" x14ac:dyDescent="0.2">
      <c r="E190" s="483"/>
      <c r="F190" s="483"/>
      <c r="G190" s="482"/>
      <c r="J190" s="482"/>
      <c r="K190" s="482"/>
      <c r="M190" s="497">
        <f>_xll.qlCalendarAdvance(Calendar,M189,"1M","f",,Trigger)</f>
        <v>47758</v>
      </c>
      <c r="N190" s="488">
        <f>_xll.qlCalendarAdvance(Calendar,M190,"3M","mf",,Trigger)</f>
        <v>47850</v>
      </c>
      <c r="O190" s="490" t="str">
        <f>_xll.qlMakeDatedOIS(,M190,N190,OvernightIndex,0,,,,EvaluationDate)</f>
        <v>obj_0053b#0001</v>
      </c>
      <c r="P190" s="490" t="b">
        <f>_xll.qlInstrumentSetPricingEngine(O190,OisEngine)</f>
        <v>1</v>
      </c>
      <c r="Q190" s="489">
        <f>_xll.qlIndexFixing("euribor3m",_xll.qlInterestRateIndexFixingDate("Euribor3M",M190),TRUE,AllTriggers)</f>
        <v>2.4583966299175124E-2</v>
      </c>
      <c r="R190" s="489">
        <f>_xll.qlOvernightIndexedSwapFairRate(O190,AllTriggers)</f>
        <v>2.3503322504393513E-2</v>
      </c>
      <c r="S190" s="491">
        <f t="shared" si="4"/>
        <v>1.0806437947816112E-3</v>
      </c>
    </row>
    <row r="191" spans="5:19" ht="11.25" customHeight="1" x14ac:dyDescent="0.2">
      <c r="E191" s="483"/>
      <c r="F191" s="483"/>
      <c r="G191" s="482"/>
      <c r="J191" s="482"/>
      <c r="K191" s="482"/>
      <c r="M191" s="497">
        <f>_xll.qlCalendarAdvance(Calendar,M190,"1M","f",,Trigger)</f>
        <v>47791</v>
      </c>
      <c r="N191" s="488">
        <f>_xll.qlCalendarAdvance(Calendar,M191,"3M","mf",,Trigger)</f>
        <v>47883</v>
      </c>
      <c r="O191" s="490" t="str">
        <f>_xll.qlMakeDatedOIS(,M191,N191,OvernightIndex,0,,,,EvaluationDate)</f>
        <v>obj_0053d#0001</v>
      </c>
      <c r="P191" s="490" t="b">
        <f>_xll.qlInstrumentSetPricingEngine(O191,OisEngine)</f>
        <v>1</v>
      </c>
      <c r="Q191" s="489">
        <f>_xll.qlIndexFixing("euribor3m",_xll.qlInterestRateIndexFixingDate("Euribor3M",M191),TRUE,AllTriggers)</f>
        <v>2.4569214639479607E-2</v>
      </c>
      <c r="R191" s="489">
        <f>_xll.qlOvernightIndexedSwapFairRate(O191,AllTriggers)</f>
        <v>2.3503322504393513E-2</v>
      </c>
      <c r="S191" s="491">
        <f t="shared" si="4"/>
        <v>1.0658921350860939E-3</v>
      </c>
    </row>
    <row r="192" spans="5:19" ht="11.25" customHeight="1" x14ac:dyDescent="0.2">
      <c r="E192" s="483"/>
      <c r="F192" s="483"/>
      <c r="G192" s="482"/>
      <c r="J192" s="482"/>
      <c r="K192" s="482"/>
      <c r="M192" s="497">
        <f>_xll.qlCalendarAdvance(Calendar,M191,"1M","f",,Trigger)</f>
        <v>47821</v>
      </c>
      <c r="N192" s="488">
        <f>_xll.qlCalendarAdvance(Calendar,M192,"3M","mf",,Trigger)</f>
        <v>47911</v>
      </c>
      <c r="O192" s="490" t="str">
        <f>_xll.qlMakeDatedOIS(,M192,N192,OvernightIndex,0,,,,EvaluationDate)</f>
        <v>obj_0053f#0001</v>
      </c>
      <c r="P192" s="490" t="b">
        <f>_xll.qlInstrumentSetPricingEngine(O192,OisEngine)</f>
        <v>1</v>
      </c>
      <c r="Q192" s="489">
        <f>_xll.qlIndexFixing("euribor3m",_xll.qlInterestRateIndexFixingDate("Euribor3M",M192),TRUE,AllTriggers)</f>
        <v>2.4554335362792834E-2</v>
      </c>
      <c r="R192" s="489">
        <f>_xll.qlOvernightIndexedSwapFairRate(O192,AllTriggers)</f>
        <v>2.3501791172304998E-2</v>
      </c>
      <c r="S192" s="491">
        <f t="shared" si="4"/>
        <v>1.0525441904878363E-3</v>
      </c>
    </row>
    <row r="193" spans="5:19" ht="11.25" customHeight="1" x14ac:dyDescent="0.2">
      <c r="E193" s="483"/>
      <c r="F193" s="483"/>
      <c r="G193" s="482"/>
      <c r="J193" s="482"/>
      <c r="K193" s="482"/>
      <c r="M193" s="497">
        <f>_xll.qlCalendarAdvance(Calendar,M192,"1M","f",,Trigger)</f>
        <v>47854</v>
      </c>
      <c r="N193" s="488">
        <f>_xll.qlCalendarAdvance(Calendar,M193,"3M","mf",,Trigger)</f>
        <v>47945</v>
      </c>
      <c r="O193" s="490" t="str">
        <f>_xll.qlMakeDatedOIS(,M193,N193,OvernightIndex,0,,,,EvaluationDate)</f>
        <v>obj_00541#0001</v>
      </c>
      <c r="P193" s="490" t="b">
        <f>_xll.qlInstrumentSetPricingEngine(O193,OisEngine)</f>
        <v>1</v>
      </c>
      <c r="Q193" s="489">
        <f>_xll.qlIndexFixing("euribor3m",_xll.qlInterestRateIndexFixingDate("Euribor3M",M193),TRUE,AllTriggers)</f>
        <v>2.4539618507211799E-2</v>
      </c>
      <c r="R193" s="489">
        <f>_xll.qlOvernightIndexedSwapFairRate(O193,AllTriggers)</f>
        <v>2.3502556821728197E-2</v>
      </c>
      <c r="S193" s="491">
        <f t="shared" si="4"/>
        <v>1.0370616854836028E-3</v>
      </c>
    </row>
    <row r="194" spans="5:19" ht="11.25" customHeight="1" x14ac:dyDescent="0.2">
      <c r="E194" s="483"/>
      <c r="F194" s="483"/>
      <c r="G194" s="482"/>
      <c r="J194" s="482"/>
      <c r="K194" s="482"/>
      <c r="M194" s="497">
        <f>_xll.qlCalendarAdvance(Calendar,M193,"1M","f",,Trigger)</f>
        <v>47885</v>
      </c>
      <c r="N194" s="488">
        <f>_xll.qlCalendarAdvance(Calendar,M194,"3M","mf",,Trigger)</f>
        <v>47974</v>
      </c>
      <c r="O194" s="490" t="str">
        <f>_xll.qlMakeDatedOIS(,M194,N194,OvernightIndex,0,,,,EvaluationDate)</f>
        <v>obj_00542#0001</v>
      </c>
      <c r="P194" s="490" t="b">
        <f>_xll.qlInstrumentSetPricingEngine(O194,OisEngine)</f>
        <v>1</v>
      </c>
      <c r="Q194" s="489">
        <f>_xll.qlIndexFixing("euribor3m",_xll.qlInterestRateIndexFixingDate("Euribor3M",M194),TRUE,AllTriggers)</f>
        <v>2.4523766329090087E-2</v>
      </c>
      <c r="R194" s="489">
        <f>_xll.qlOvernightIndexedSwapFairRate(O194,AllTriggers)</f>
        <v>2.3501025556121744E-2</v>
      </c>
      <c r="S194" s="491">
        <f t="shared" si="4"/>
        <v>1.0227407729683433E-3</v>
      </c>
    </row>
    <row r="195" spans="5:19" ht="11.25" customHeight="1" x14ac:dyDescent="0.2">
      <c r="E195" s="483"/>
      <c r="F195" s="483"/>
      <c r="G195" s="482"/>
      <c r="J195" s="482"/>
      <c r="K195" s="482"/>
      <c r="M195" s="497">
        <f>_xll.qlCalendarAdvance(Calendar,M194,"1M","f",,Trigger)</f>
        <v>47913</v>
      </c>
      <c r="N195" s="488">
        <f>_xll.qlCalendarAdvance(Calendar,M195,"3M","mf",,Trigger)</f>
        <v>48005</v>
      </c>
      <c r="O195" s="490" t="str">
        <f>_xll.qlMakeDatedOIS(,M195,N195,OvernightIndex,0,,,,EvaluationDate)</f>
        <v>obj_00544#0001</v>
      </c>
      <c r="P195" s="490" t="b">
        <f>_xll.qlInstrumentSetPricingEngine(O195,OisEngine)</f>
        <v>1</v>
      </c>
      <c r="Q195" s="489">
        <f>_xll.qlIndexFixing("euribor3m",_xll.qlInterestRateIndexFixingDate("Euribor3M",M195),TRUE,AllTriggers)</f>
        <v>2.4512065061255046E-2</v>
      </c>
      <c r="R195" s="489">
        <f>_xll.qlOvernightIndexedSwapFairRate(O195,AllTriggers)</f>
        <v>2.3503322504393513E-2</v>
      </c>
      <c r="S195" s="491">
        <f t="shared" ref="S195:S258" si="5">Q195-R195</f>
        <v>1.0087425568615326E-3</v>
      </c>
    </row>
    <row r="196" spans="5:19" ht="11.25" customHeight="1" x14ac:dyDescent="0.2">
      <c r="E196" s="483"/>
      <c r="F196" s="483"/>
      <c r="G196" s="482"/>
      <c r="J196" s="482"/>
      <c r="K196" s="482"/>
      <c r="M196" s="497">
        <f>_xll.qlCalendarAdvance(Calendar,M195,"1M","f",,Trigger)</f>
        <v>47945</v>
      </c>
      <c r="N196" s="488">
        <f>_xll.qlCalendarAdvance(Calendar,M196,"3M","mf",,Trigger)</f>
        <v>48036</v>
      </c>
      <c r="O196" s="490" t="str">
        <f>_xll.qlMakeDatedOIS(,M196,N196,OvernightIndex,0,,,,EvaluationDate)</f>
        <v>obj_00546#0001</v>
      </c>
      <c r="P196" s="490" t="b">
        <f>_xll.qlInstrumentSetPricingEngine(O196,OisEngine)</f>
        <v>1</v>
      </c>
      <c r="Q196" s="489">
        <f>_xll.qlIndexFixing("euribor3m",_xll.qlInterestRateIndexFixingDate("Euribor3M",M196),TRUE,AllTriggers)</f>
        <v>2.4495811475965332E-2</v>
      </c>
      <c r="R196" s="489">
        <f>_xll.qlOvernightIndexedSwapFairRate(O196,AllTriggers)</f>
        <v>2.3502556821728193E-2</v>
      </c>
      <c r="S196" s="491">
        <f t="shared" si="5"/>
        <v>9.9325465423713913E-4</v>
      </c>
    </row>
    <row r="197" spans="5:19" ht="11.25" customHeight="1" x14ac:dyDescent="0.2">
      <c r="E197" s="483"/>
      <c r="F197" s="483"/>
      <c r="G197" s="482"/>
      <c r="J197" s="482"/>
      <c r="K197" s="482"/>
      <c r="M197" s="497">
        <f>_xll.qlCalendarAdvance(Calendar,M196,"1M","f",,Trigger)</f>
        <v>47975</v>
      </c>
      <c r="N197" s="488">
        <f>_xll.qlCalendarAdvance(Calendar,M197,"3M","mf",,Trigger)</f>
        <v>48067</v>
      </c>
      <c r="O197" s="490" t="str">
        <f>_xll.qlMakeDatedOIS(,M197,N197,OvernightIndex,0,,,,EvaluationDate)</f>
        <v>obj_00547#0001</v>
      </c>
      <c r="P197" s="490" t="b">
        <f>_xll.qlInstrumentSetPricingEngine(O197,OisEngine)</f>
        <v>1</v>
      </c>
      <c r="Q197" s="489">
        <f>_xll.qlIndexFixing("euribor3m",_xll.qlInterestRateIndexFixingDate("Euribor3M",M197),TRUE,AllTriggers)</f>
        <v>2.448144542257483E-2</v>
      </c>
      <c r="R197" s="489">
        <f>_xll.qlOvernightIndexedSwapFairRate(O197,AllTriggers)</f>
        <v>2.3503322504393513E-2</v>
      </c>
      <c r="S197" s="491">
        <f t="shared" si="5"/>
        <v>9.7812291818131711E-4</v>
      </c>
    </row>
    <row r="198" spans="5:19" ht="11.25" customHeight="1" x14ac:dyDescent="0.2">
      <c r="E198" s="483"/>
      <c r="F198" s="483"/>
      <c r="G198" s="482"/>
      <c r="J198" s="482"/>
      <c r="K198" s="482"/>
      <c r="M198" s="497">
        <f>_xll.qlCalendarAdvance(Calendar,M197,"1M","f",,Trigger)</f>
        <v>48008</v>
      </c>
      <c r="N198" s="488">
        <f>_xll.qlCalendarAdvance(Calendar,M198,"3M","mf",,Trigger)</f>
        <v>48100</v>
      </c>
      <c r="O198" s="490" t="str">
        <f>_xll.qlMakeDatedOIS(,M198,N198,OvernightIndex,0,,,,EvaluationDate)</f>
        <v>obj_00548#0001</v>
      </c>
      <c r="P198" s="490" t="b">
        <f>_xll.qlInstrumentSetPricingEngine(O198,OisEngine)</f>
        <v>1</v>
      </c>
      <c r="Q198" s="489">
        <f>_xll.qlIndexFixing("euribor3m",_xll.qlInterestRateIndexFixingDate("Euribor3M",M198),TRUE,AllTriggers)</f>
        <v>2.4464714675746006E-2</v>
      </c>
      <c r="R198" s="489">
        <f>_xll.qlOvernightIndexedSwapFairRate(O198,AllTriggers)</f>
        <v>2.3503322504393513E-2</v>
      </c>
      <c r="S198" s="491">
        <f t="shared" si="5"/>
        <v>9.6139217135249311E-4</v>
      </c>
    </row>
    <row r="199" spans="5:19" ht="11.25" customHeight="1" x14ac:dyDescent="0.2">
      <c r="E199" s="483"/>
      <c r="F199" s="483"/>
      <c r="G199" s="482"/>
      <c r="J199" s="482"/>
      <c r="K199" s="482"/>
      <c r="M199" s="497">
        <f>_xll.qlCalendarAdvance(Calendar,M198,"1M","f",,Trigger)</f>
        <v>48038</v>
      </c>
      <c r="N199" s="488">
        <f>_xll.qlCalendarAdvance(Calendar,M199,"3M","mf",,Trigger)</f>
        <v>48130</v>
      </c>
      <c r="O199" s="490" t="str">
        <f>_xll.qlMakeDatedOIS(,M199,N199,OvernightIndex,0,,,,EvaluationDate)</f>
        <v>obj_0054a#0001</v>
      </c>
      <c r="P199" s="490" t="b">
        <f>_xll.qlInstrumentSetPricingEngine(O199,OisEngine)</f>
        <v>1</v>
      </c>
      <c r="Q199" s="489">
        <f>_xll.qlIndexFixing("euribor3m",_xll.qlInterestRateIndexFixingDate("Euribor3M",M199),TRUE,AllTriggers)</f>
        <v>2.4449243748132222E-2</v>
      </c>
      <c r="R199" s="489">
        <f>_xll.qlOvernightIndexedSwapFairRate(O199,AllTriggers)</f>
        <v>2.3503322504393513E-2</v>
      </c>
      <c r="S199" s="491">
        <f t="shared" si="5"/>
        <v>9.4592124373870864E-4</v>
      </c>
    </row>
    <row r="200" spans="5:19" ht="11.25" customHeight="1" x14ac:dyDescent="0.2">
      <c r="E200" s="483"/>
      <c r="F200" s="483"/>
      <c r="G200" s="482"/>
      <c r="J200" s="482"/>
      <c r="K200" s="482"/>
      <c r="M200" s="497">
        <f>_xll.qlCalendarAdvance(Calendar,M199,"1M","f",,Trigger)</f>
        <v>48071</v>
      </c>
      <c r="N200" s="488">
        <f>_xll.qlCalendarAdvance(Calendar,M200,"3M","mf",,Trigger)</f>
        <v>48163</v>
      </c>
      <c r="O200" s="490" t="str">
        <f>_xll.qlMakeDatedOIS(,M200,N200,OvernightIndex,0,,,,EvaluationDate)</f>
        <v>obj_0054c#0001</v>
      </c>
      <c r="P200" s="490" t="b">
        <f>_xll.qlInstrumentSetPricingEngine(O200,OisEngine)</f>
        <v>1</v>
      </c>
      <c r="Q200" s="489">
        <f>_xll.qlIndexFixing("euribor3m",_xll.qlInterestRateIndexFixingDate("Euribor3M",M200),TRUE,AllTriggers)</f>
        <v>2.4431938457826256E-2</v>
      </c>
      <c r="R200" s="489">
        <f>_xll.qlOvernightIndexedSwapFairRate(O200,AllTriggers)</f>
        <v>2.3503322504393517E-2</v>
      </c>
      <c r="S200" s="491">
        <f t="shared" si="5"/>
        <v>9.286159534327397E-4</v>
      </c>
    </row>
    <row r="201" spans="5:19" ht="11.25" customHeight="1" x14ac:dyDescent="0.2">
      <c r="E201" s="483"/>
      <c r="F201" s="483"/>
      <c r="G201" s="482"/>
      <c r="J201" s="482"/>
      <c r="K201" s="482"/>
      <c r="M201" s="497">
        <f>_xll.qlCalendarAdvance(Calendar,M200,"1M","f",,Trigger)</f>
        <v>48102</v>
      </c>
      <c r="N201" s="488">
        <f>_xll.qlCalendarAdvance(Calendar,M201,"3M","mf",,Trigger)</f>
        <v>48193</v>
      </c>
      <c r="O201" s="490" t="str">
        <f>_xll.qlMakeDatedOIS(,M201,N201,OvernightIndex,0,,,,EvaluationDate)</f>
        <v>obj_0054d#0001</v>
      </c>
      <c r="P201" s="490" t="b">
        <f>_xll.qlInstrumentSetPricingEngine(O201,OisEngine)</f>
        <v>1</v>
      </c>
      <c r="Q201" s="489">
        <f>_xll.qlIndexFixing("euribor3m",_xll.qlInterestRateIndexFixingDate("Euribor3M",M201),TRUE,AllTriggers)</f>
        <v>2.441485245454271E-2</v>
      </c>
      <c r="R201" s="489">
        <f>_xll.qlOvernightIndexedSwapFairRate(O201,AllTriggers)</f>
        <v>2.3502556821727316E-2</v>
      </c>
      <c r="S201" s="491">
        <f t="shared" si="5"/>
        <v>9.122956328153943E-4</v>
      </c>
    </row>
    <row r="202" spans="5:19" ht="11.25" customHeight="1" x14ac:dyDescent="0.2">
      <c r="E202" s="483"/>
      <c r="F202" s="483"/>
      <c r="G202" s="482"/>
      <c r="J202" s="482"/>
      <c r="K202" s="482"/>
      <c r="M202" s="497">
        <f>_xll.qlCalendarAdvance(Calendar,M201,"1M","f",,Trigger)</f>
        <v>48134</v>
      </c>
      <c r="N202" s="488">
        <f>_xll.qlCalendarAdvance(Calendar,M202,"3M","mf",,Trigger)</f>
        <v>48226</v>
      </c>
      <c r="O202" s="490" t="str">
        <f>_xll.qlMakeDatedOIS(,M202,N202,OvernightIndex,0,,,,EvaluationDate)</f>
        <v>obj_0054f#0001</v>
      </c>
      <c r="P202" s="490" t="b">
        <f>_xll.qlInstrumentSetPricingEngine(O202,OisEngine)</f>
        <v>1</v>
      </c>
      <c r="Q202" s="489">
        <f>_xll.qlIndexFixing("euribor3m",_xll.qlInterestRateIndexFixingDate("Euribor3M",M202),TRUE,AllTriggers)</f>
        <v>2.439806540516087E-2</v>
      </c>
      <c r="R202" s="489">
        <f>_xll.qlOvernightIndexedSwapFairRate(O202,AllTriggers)</f>
        <v>2.3503322504392642E-2</v>
      </c>
      <c r="S202" s="491">
        <f t="shared" si="5"/>
        <v>8.9474290076822782E-4</v>
      </c>
    </row>
    <row r="203" spans="5:19" ht="11.25" customHeight="1" x14ac:dyDescent="0.2">
      <c r="E203" s="483"/>
      <c r="F203" s="483"/>
      <c r="G203" s="482"/>
      <c r="J203" s="482"/>
      <c r="K203" s="482"/>
      <c r="M203" s="497">
        <f>_xll.qlCalendarAdvance(Calendar,M202,"1M","f",,Trigger)</f>
        <v>48165</v>
      </c>
      <c r="N203" s="488">
        <f>_xll.qlCalendarAdvance(Calendar,M203,"3M","mf",,Trigger)</f>
        <v>48257</v>
      </c>
      <c r="O203" s="490" t="str">
        <f>_xll.qlMakeDatedOIS(,M203,N203,OvernightIndex,0,,,,EvaluationDate)</f>
        <v>obj_00550#0001</v>
      </c>
      <c r="P203" s="490" t="b">
        <f>_xll.qlInstrumentSetPricingEngine(O203,OisEngine)</f>
        <v>1</v>
      </c>
      <c r="Q203" s="489">
        <f>_xll.qlIndexFixing("euribor3m",_xll.qlInterestRateIndexFixingDate("Euribor3M",M203),TRUE,AllTriggers)</f>
        <v>2.4380995078641596E-2</v>
      </c>
      <c r="R203" s="489">
        <f>_xll.qlOvernightIndexedSwapFairRate(O203,AllTriggers)</f>
        <v>2.3503322504392646E-2</v>
      </c>
      <c r="S203" s="491">
        <f t="shared" si="5"/>
        <v>8.7767257424894995E-4</v>
      </c>
    </row>
    <row r="204" spans="5:19" ht="11.25" customHeight="1" x14ac:dyDescent="0.2">
      <c r="E204" s="483"/>
      <c r="F204" s="483"/>
      <c r="G204" s="482"/>
      <c r="J204" s="482"/>
      <c r="K204" s="482"/>
      <c r="M204" s="497">
        <f>_xll.qlCalendarAdvance(Calendar,M203,"1M","f",,Trigger)</f>
        <v>48197</v>
      </c>
      <c r="N204" s="488">
        <f>_xll.qlCalendarAdvance(Calendar,M204,"3M","mf",,Trigger)</f>
        <v>48288</v>
      </c>
      <c r="O204" s="490" t="str">
        <f>_xll.qlMakeDatedOIS(,M204,N204,OvernightIndex,0,,,,EvaluationDate)</f>
        <v>obj_00552#0001</v>
      </c>
      <c r="P204" s="490" t="b">
        <f>_xll.qlInstrumentSetPricingEngine(O204,OisEngine)</f>
        <v>1</v>
      </c>
      <c r="Q204" s="489">
        <f>_xll.qlIndexFixing("euribor3m",_xll.qlInterestRateIndexFixingDate("Euribor3M",M204),TRUE,AllTriggers)</f>
        <v>2.4362556825576118E-2</v>
      </c>
      <c r="R204" s="489">
        <f>_xll.qlOvernightIndexedSwapFairRate(O204,AllTriggers)</f>
        <v>2.35025568217282E-2</v>
      </c>
      <c r="S204" s="491">
        <f t="shared" si="5"/>
        <v>8.6000000384791817E-4</v>
      </c>
    </row>
    <row r="205" spans="5:19" ht="11.25" customHeight="1" x14ac:dyDescent="0.2">
      <c r="E205" s="483"/>
      <c r="F205" s="483"/>
      <c r="G205" s="482"/>
      <c r="J205" s="482"/>
      <c r="K205" s="482"/>
      <c r="M205" s="497">
        <f>_xll.qlCalendarAdvance(Calendar,M204,"1M","f",,Trigger)</f>
        <v>48228</v>
      </c>
      <c r="N205" s="488">
        <f>_xll.qlCalendarAdvance(Calendar,M205,"3M","mf",,Trigger)</f>
        <v>48319</v>
      </c>
      <c r="O205" s="490" t="str">
        <f>_xll.qlMakeDatedOIS(,M205,N205,OvernightIndex,0,,,,EvaluationDate)</f>
        <v>obj_00553#0001</v>
      </c>
      <c r="P205" s="490" t="b">
        <f>_xll.qlInstrumentSetPricingEngine(O205,OisEngine)</f>
        <v>1</v>
      </c>
      <c r="Q205" s="489">
        <f>_xll.qlIndexFixing("euribor3m",_xll.qlInterestRateIndexFixingDate("Euribor3M",M205),TRUE,AllTriggers)</f>
        <v>2.4344952281820167E-2</v>
      </c>
      <c r="R205" s="489">
        <f>_xll.qlOvernightIndexedSwapFairRate(O205,AllTriggers)</f>
        <v>2.3502556821727319E-2</v>
      </c>
      <c r="S205" s="491">
        <f t="shared" si="5"/>
        <v>8.4239546009284849E-4</v>
      </c>
    </row>
    <row r="206" spans="5:19" ht="11.25" customHeight="1" x14ac:dyDescent="0.2">
      <c r="E206" s="483"/>
      <c r="F206" s="483"/>
      <c r="G206" s="482"/>
      <c r="J206" s="482"/>
      <c r="K206" s="482"/>
      <c r="M206" s="497">
        <f>_xll.qlCalendarAdvance(Calendar,M205,"1M","f",,Trigger)</f>
        <v>48260</v>
      </c>
      <c r="N206" s="488">
        <f>_xll.qlCalendarAdvance(Calendar,M206,"3M","mf",,Trigger)</f>
        <v>48351</v>
      </c>
      <c r="O206" s="490" t="str">
        <f>_xll.qlMakeDatedOIS(,M206,N206,OvernightIndex,0,,,,EvaluationDate)</f>
        <v>obj_00554#0001</v>
      </c>
      <c r="P206" s="490" t="b">
        <f>_xll.qlInstrumentSetPricingEngine(O206,OisEngine)</f>
        <v>1</v>
      </c>
      <c r="Q206" s="489">
        <f>_xll.qlIndexFixing("euribor3m",_xll.qlInterestRateIndexFixingDate("Euribor3M",M206),TRUE,AllTriggers)</f>
        <v>2.4326501324534178E-2</v>
      </c>
      <c r="R206" s="489">
        <f>_xll.qlOvernightIndexedSwapFairRate(O206,AllTriggers)</f>
        <v>2.3502556821727319E-2</v>
      </c>
      <c r="S206" s="491">
        <f t="shared" si="5"/>
        <v>8.2394450280685871E-4</v>
      </c>
    </row>
    <row r="207" spans="5:19" ht="11.25" customHeight="1" x14ac:dyDescent="0.2">
      <c r="E207" s="483"/>
      <c r="F207" s="483"/>
      <c r="G207" s="482"/>
      <c r="J207" s="482"/>
      <c r="K207" s="482"/>
      <c r="M207" s="497">
        <f>_xll.qlCalendarAdvance(Calendar,M206,"1M","f",,Trigger)</f>
        <v>48289</v>
      </c>
      <c r="N207" s="488">
        <f>_xll.qlCalendarAdvance(Calendar,M207,"3M","mf",,Trigger)</f>
        <v>48381</v>
      </c>
      <c r="O207" s="490" t="str">
        <f>_xll.qlMakeDatedOIS(,M207,N207,OvernightIndex,0,,,,EvaluationDate)</f>
        <v>obj_00556#0001</v>
      </c>
      <c r="P207" s="490" t="b">
        <f>_xll.qlInstrumentSetPricingEngine(O207,OisEngine)</f>
        <v>1</v>
      </c>
      <c r="Q207" s="489">
        <f>_xll.qlIndexFixing("euribor3m",_xll.qlInterestRateIndexFixingDate("Euribor3M",M207),TRUE,AllTriggers)</f>
        <v>2.4310058183511486E-2</v>
      </c>
      <c r="R207" s="489">
        <f>_xll.qlOvernightIndexedSwapFairRate(O207,AllTriggers)</f>
        <v>2.3503322504392642E-2</v>
      </c>
      <c r="S207" s="491">
        <f t="shared" si="5"/>
        <v>8.0673567911884389E-4</v>
      </c>
    </row>
    <row r="208" spans="5:19" ht="11.25" customHeight="1" x14ac:dyDescent="0.2">
      <c r="E208" s="483"/>
      <c r="F208" s="483"/>
      <c r="G208" s="482"/>
      <c r="J208" s="482"/>
      <c r="K208" s="482"/>
      <c r="M208" s="497">
        <f>_xll.qlCalendarAdvance(Calendar,M207,"1M","f",,Trigger)</f>
        <v>48320</v>
      </c>
      <c r="N208" s="488">
        <f>_xll.qlCalendarAdvance(Calendar,M208,"3M","mf",,Trigger)</f>
        <v>48411</v>
      </c>
      <c r="O208" s="490" t="str">
        <f>_xll.qlMakeDatedOIS(,M208,N208,OvernightIndex,0,,,,EvaluationDate)</f>
        <v>obj_00558#0001</v>
      </c>
      <c r="P208" s="490" t="b">
        <f>_xll.qlInstrumentSetPricingEngine(O208,OisEngine)</f>
        <v>1</v>
      </c>
      <c r="Q208" s="489">
        <f>_xll.qlIndexFixing("euribor3m",_xll.qlInterestRateIndexFixingDate("Euribor3M",M208),TRUE,AllTriggers)</f>
        <v>2.4291143165222972E-2</v>
      </c>
      <c r="R208" s="489">
        <f>_xll.qlOvernightIndexedSwapFairRate(O208,AllTriggers)</f>
        <v>2.3502556821727319E-2</v>
      </c>
      <c r="S208" s="491">
        <f t="shared" si="5"/>
        <v>7.885863434956529E-4</v>
      </c>
    </row>
    <row r="209" spans="5:19" ht="11.25" customHeight="1" x14ac:dyDescent="0.2">
      <c r="E209" s="483"/>
      <c r="F209" s="483"/>
      <c r="G209" s="482"/>
      <c r="J209" s="482"/>
      <c r="K209" s="482"/>
      <c r="M209" s="497">
        <f>_xll.qlCalendarAdvance(Calendar,M208,"1M","f",,Trigger)</f>
        <v>48351</v>
      </c>
      <c r="N209" s="488">
        <f>_xll.qlCalendarAdvance(Calendar,M209,"3M","mf",,Trigger)</f>
        <v>48443</v>
      </c>
      <c r="O209" s="490" t="str">
        <f>_xll.qlMakeDatedOIS(,M209,N209,OvernightIndex,0,,,,EvaluationDate)</f>
        <v>obj_00559#0001</v>
      </c>
      <c r="P209" s="490" t="b">
        <f>_xll.qlInstrumentSetPricingEngine(O209,OisEngine)</f>
        <v>1</v>
      </c>
      <c r="Q209" s="489">
        <f>_xll.qlIndexFixing("euribor3m",_xll.qlInterestRateIndexFixingDate("Euribor3M",M209),TRUE,AllTriggers)</f>
        <v>2.4272996432947329E-2</v>
      </c>
      <c r="R209" s="489">
        <f>_xll.qlOvernightIndexedSwapFairRate(O209,AllTriggers)</f>
        <v>2.3503322504393517E-2</v>
      </c>
      <c r="S209" s="491">
        <f t="shared" si="5"/>
        <v>7.696739285538122E-4</v>
      </c>
    </row>
    <row r="210" spans="5:19" ht="11.25" customHeight="1" x14ac:dyDescent="0.2">
      <c r="E210" s="483"/>
      <c r="F210" s="483"/>
      <c r="G210" s="482"/>
      <c r="J210" s="482"/>
      <c r="K210" s="482"/>
      <c r="M210" s="497">
        <f>_xll.qlCalendarAdvance(Calendar,M209,"1M","f",,Trigger)</f>
        <v>48382</v>
      </c>
      <c r="N210" s="488">
        <f>_xll.qlCalendarAdvance(Calendar,M210,"3M","mf",,Trigger)</f>
        <v>48474</v>
      </c>
      <c r="O210" s="490" t="str">
        <f>_xll.qlMakeDatedOIS(,M210,N210,OvernightIndex,0,,,,EvaluationDate)</f>
        <v>obj_0055b#0001</v>
      </c>
      <c r="P210" s="490" t="b">
        <f>_xll.qlInstrumentSetPricingEngine(O210,OisEngine)</f>
        <v>1</v>
      </c>
      <c r="Q210" s="489">
        <f>_xll.qlIndexFixing("euribor3m",_xll.qlInterestRateIndexFixingDate("Euribor3M",M210),TRUE,AllTriggers)</f>
        <v>2.4254067244899872E-2</v>
      </c>
      <c r="R210" s="489">
        <f>_xll.qlOvernightIndexedSwapFairRate(O210,AllTriggers)</f>
        <v>2.3503322504393513E-2</v>
      </c>
      <c r="S210" s="491">
        <f t="shared" si="5"/>
        <v>7.5074474050635873E-4</v>
      </c>
    </row>
    <row r="211" spans="5:19" ht="11.25" customHeight="1" x14ac:dyDescent="0.2">
      <c r="E211" s="483"/>
      <c r="F211" s="483"/>
      <c r="G211" s="482"/>
      <c r="J211" s="482"/>
      <c r="K211" s="482"/>
      <c r="M211" s="497">
        <f>_xll.qlCalendarAdvance(Calendar,M210,"1M","f",,Trigger)</f>
        <v>48414</v>
      </c>
      <c r="N211" s="488">
        <f>_xll.qlCalendarAdvance(Calendar,M211,"3M","mf",,Trigger)</f>
        <v>48506</v>
      </c>
      <c r="O211" s="490" t="str">
        <f>_xll.qlMakeDatedOIS(,M211,N211,OvernightIndex,0,,,,EvaluationDate)</f>
        <v>obj_0055d#0001</v>
      </c>
      <c r="P211" s="490" t="b">
        <f>_xll.qlInstrumentSetPricingEngine(O211,OisEngine)</f>
        <v>1</v>
      </c>
      <c r="Q211" s="489">
        <f>_xll.qlIndexFixing("euribor3m",_xll.qlInterestRateIndexFixingDate("Euribor3M",M211),TRUE,AllTriggers)</f>
        <v>2.4234248914463134E-2</v>
      </c>
      <c r="R211" s="489">
        <f>_xll.qlOvernightIndexedSwapFairRate(O211,AllTriggers)</f>
        <v>2.3503322504392646E-2</v>
      </c>
      <c r="S211" s="491">
        <f t="shared" si="5"/>
        <v>7.3092641007048778E-4</v>
      </c>
    </row>
    <row r="212" spans="5:19" ht="11.25" customHeight="1" x14ac:dyDescent="0.2">
      <c r="E212" s="483"/>
      <c r="F212" s="483"/>
      <c r="G212" s="482"/>
      <c r="J212" s="482"/>
      <c r="K212" s="482"/>
      <c r="M212" s="497">
        <f>_xll.qlCalendarAdvance(Calendar,M211,"1M","f",,Trigger)</f>
        <v>48445</v>
      </c>
      <c r="N212" s="488">
        <f>_xll.qlCalendarAdvance(Calendar,M212,"3M","mf",,Trigger)</f>
        <v>48537</v>
      </c>
      <c r="O212" s="490" t="str">
        <f>_xll.qlMakeDatedOIS(,M212,N212,OvernightIndex,0,,,,EvaluationDate)</f>
        <v>obj_0055f#0001</v>
      </c>
      <c r="P212" s="490" t="b">
        <f>_xll.qlInstrumentSetPricingEngine(O212,OisEngine)</f>
        <v>1</v>
      </c>
      <c r="Q212" s="489">
        <f>_xll.qlIndexFixing("euribor3m",_xll.qlInterestRateIndexFixingDate("Euribor3M",M212),TRUE,AllTriggers)</f>
        <v>2.4214780091281706E-2</v>
      </c>
      <c r="R212" s="489">
        <f>_xll.qlOvernightIndexedSwapFairRate(O212,AllTriggers)</f>
        <v>2.3503322504393517E-2</v>
      </c>
      <c r="S212" s="491">
        <f t="shared" si="5"/>
        <v>7.114575868881895E-4</v>
      </c>
    </row>
    <row r="213" spans="5:19" ht="11.25" customHeight="1" x14ac:dyDescent="0.2">
      <c r="E213" s="483"/>
      <c r="F213" s="483"/>
      <c r="G213" s="482"/>
      <c r="J213" s="482"/>
      <c r="K213" s="482"/>
      <c r="M213" s="497">
        <f>_xll.qlCalendarAdvance(Calendar,M212,"1M","f",,Trigger)</f>
        <v>48477</v>
      </c>
      <c r="N213" s="488">
        <f>_xll.qlCalendarAdvance(Calendar,M213,"3M","mf",,Trigger)</f>
        <v>48568</v>
      </c>
      <c r="O213" s="490" t="str">
        <f>_xll.qlMakeDatedOIS(,M213,N213,OvernightIndex,0,,,,EvaluationDate)</f>
        <v>obj_00560#0001</v>
      </c>
      <c r="P213" s="490" t="b">
        <f>_xll.qlInstrumentSetPricingEngine(O213,OisEngine)</f>
        <v>1</v>
      </c>
      <c r="Q213" s="489">
        <f>_xll.qlIndexFixing("euribor3m",_xll.qlInterestRateIndexFixingDate("Euribor3M",M213),TRUE,AllTriggers)</f>
        <v>2.4193916029174391E-2</v>
      </c>
      <c r="R213" s="489">
        <f>_xll.qlOvernightIndexedSwapFairRate(O213,AllTriggers)</f>
        <v>2.3502556821728197E-2</v>
      </c>
      <c r="S213" s="491">
        <f t="shared" si="5"/>
        <v>6.9135920744619467E-4</v>
      </c>
    </row>
    <row r="214" spans="5:19" ht="11.25" customHeight="1" x14ac:dyDescent="0.2">
      <c r="E214" s="483"/>
      <c r="F214" s="483"/>
      <c r="G214" s="482"/>
      <c r="J214" s="482"/>
      <c r="K214" s="482"/>
      <c r="M214" s="497">
        <f>_xll.qlCalendarAdvance(Calendar,M213,"1M","f",,Trigger)</f>
        <v>48507</v>
      </c>
      <c r="N214" s="488">
        <f>_xll.qlCalendarAdvance(Calendar,M214,"3M","mf",,Trigger)</f>
        <v>48599</v>
      </c>
      <c r="O214" s="490" t="str">
        <f>_xll.qlMakeDatedOIS(,M214,N214,OvernightIndex,0,,,,EvaluationDate)</f>
        <v>obj_00562#0001</v>
      </c>
      <c r="P214" s="490" t="b">
        <f>_xll.qlInstrumentSetPricingEngine(O214,OisEngine)</f>
        <v>1</v>
      </c>
      <c r="Q214" s="489">
        <f>_xll.qlIndexFixing("euribor3m",_xll.qlInterestRateIndexFixingDate("Euribor3M",M214),TRUE,AllTriggers)</f>
        <v>2.4175045862499692E-2</v>
      </c>
      <c r="R214" s="489">
        <f>_xll.qlOvernightIndexedSwapFairRate(O214,AllTriggers)</f>
        <v>2.3503322504393517E-2</v>
      </c>
      <c r="S214" s="491">
        <f t="shared" si="5"/>
        <v>6.7172335810617573E-4</v>
      </c>
    </row>
    <row r="215" spans="5:19" ht="11.25" customHeight="1" x14ac:dyDescent="0.2">
      <c r="E215" s="483"/>
      <c r="F215" s="483"/>
      <c r="G215" s="482"/>
      <c r="J215" s="482"/>
      <c r="K215" s="482"/>
      <c r="M215" s="497">
        <f>_xll.qlCalendarAdvance(Calendar,M214,"1M","f",,Trigger)</f>
        <v>48540</v>
      </c>
      <c r="N215" s="488">
        <f>_xll.qlCalendarAdvance(Calendar,M215,"3M","mf",,Trigger)</f>
        <v>48632</v>
      </c>
      <c r="O215" s="490" t="str">
        <f>_xll.qlMakeDatedOIS(,M215,N215,OvernightIndex,0,,,,EvaluationDate)</f>
        <v>obj_00564#0001</v>
      </c>
      <c r="P215" s="490" t="b">
        <f>_xll.qlInstrumentSetPricingEngine(O215,OisEngine)</f>
        <v>1</v>
      </c>
      <c r="Q215" s="489">
        <f>_xll.qlIndexFixing("euribor3m",_xll.qlInterestRateIndexFixingDate("Euribor3M",M215),TRUE,AllTriggers)</f>
        <v>2.4153463902257279E-2</v>
      </c>
      <c r="R215" s="489">
        <f>_xll.qlOvernightIndexedSwapFairRate(O215,AllTriggers)</f>
        <v>2.3503322504393517E-2</v>
      </c>
      <c r="S215" s="491">
        <f t="shared" si="5"/>
        <v>6.5014139786376268E-4</v>
      </c>
    </row>
    <row r="216" spans="5:19" ht="11.25" customHeight="1" x14ac:dyDescent="0.2">
      <c r="E216" s="483"/>
      <c r="F216" s="483"/>
      <c r="G216" s="482"/>
      <c r="J216" s="482"/>
      <c r="K216" s="482"/>
      <c r="M216" s="497">
        <f>_xll.qlCalendarAdvance(Calendar,M215,"1M","f",,Trigger)</f>
        <v>48570</v>
      </c>
      <c r="N216" s="488">
        <f>_xll.qlCalendarAdvance(Calendar,M216,"3M","mf",,Trigger)</f>
        <v>48660</v>
      </c>
      <c r="O216" s="490" t="str">
        <f>_xll.qlMakeDatedOIS(,M216,N216,OvernightIndex,0,,,,EvaluationDate)</f>
        <v>obj_00566#0001</v>
      </c>
      <c r="P216" s="490" t="b">
        <f>_xll.qlInstrumentSetPricingEngine(O216,OisEngine)</f>
        <v>1</v>
      </c>
      <c r="Q216" s="489">
        <f>_xll.qlIndexFixing("euribor3m",_xll.qlInterestRateIndexFixingDate("Euribor3M",M216),TRUE,AllTriggers)</f>
        <v>2.4132639180303173E-2</v>
      </c>
      <c r="R216" s="489">
        <f>_xll.qlOvernightIndexedSwapFairRate(O216,AllTriggers)</f>
        <v>2.350179117230411E-2</v>
      </c>
      <c r="S216" s="491">
        <f t="shared" si="5"/>
        <v>6.3084800799906304E-4</v>
      </c>
    </row>
    <row r="217" spans="5:19" ht="11.25" customHeight="1" x14ac:dyDescent="0.2">
      <c r="E217" s="483"/>
      <c r="F217" s="483"/>
      <c r="G217" s="482"/>
      <c r="J217" s="482"/>
      <c r="K217" s="482"/>
      <c r="M217" s="497">
        <f>_xll.qlCalendarAdvance(Calendar,M216,"1M","f",,Trigger)</f>
        <v>48603</v>
      </c>
      <c r="N217" s="488">
        <f>_xll.qlCalendarAdvance(Calendar,M217,"3M","mf",,Trigger)</f>
        <v>48694</v>
      </c>
      <c r="O217" s="490" t="str">
        <f>_xll.qlMakeDatedOIS(,M217,N217,OvernightIndex,0,,,,EvaluationDate)</f>
        <v>obj_00567#0001</v>
      </c>
      <c r="P217" s="490" t="b">
        <f>_xll.qlInstrumentSetPricingEngine(O217,OisEngine)</f>
        <v>1</v>
      </c>
      <c r="Q217" s="489">
        <f>_xll.qlIndexFixing("euribor3m",_xll.qlInterestRateIndexFixingDate("Euribor3M",M217),TRUE,AllTriggers)</f>
        <v>2.4110960733845149E-2</v>
      </c>
      <c r="R217" s="489">
        <f>_xll.qlOvernightIndexedSwapFairRate(O217,AllTriggers)</f>
        <v>2.3502556821728197E-2</v>
      </c>
      <c r="S217" s="491">
        <f t="shared" si="5"/>
        <v>6.0840391211695183E-4</v>
      </c>
    </row>
    <row r="218" spans="5:19" ht="11.25" customHeight="1" x14ac:dyDescent="0.2">
      <c r="E218" s="483"/>
      <c r="F218" s="483"/>
      <c r="G218" s="482"/>
      <c r="J218" s="482"/>
      <c r="K218" s="482"/>
      <c r="M218" s="497">
        <f>_xll.qlCalendarAdvance(Calendar,M217,"1M","f",,Trigger)</f>
        <v>48634</v>
      </c>
      <c r="N218" s="488">
        <f>_xll.qlCalendarAdvance(Calendar,M218,"3M","mf",,Trigger)</f>
        <v>48723</v>
      </c>
      <c r="O218" s="490" t="str">
        <f>_xll.qlMakeDatedOIS(,M218,N218,OvernightIndex,0,,,,EvaluationDate)</f>
        <v>obj_00569#0001</v>
      </c>
      <c r="P218" s="490" t="b">
        <f>_xll.qlInstrumentSetPricingEngine(O218,OisEngine)</f>
        <v>1</v>
      </c>
      <c r="Q218" s="489">
        <f>_xll.qlIndexFixing("euribor3m",_xll.qlInterestRateIndexFixingDate("Euribor3M",M218),TRUE,AllTriggers)</f>
        <v>2.4088958381929159E-2</v>
      </c>
      <c r="R218" s="489">
        <f>_xll.qlOvernightIndexedSwapFairRate(O218,AllTriggers)</f>
        <v>2.3501025556120839E-2</v>
      </c>
      <c r="S218" s="491">
        <f t="shared" si="5"/>
        <v>5.8793282580832038E-4</v>
      </c>
    </row>
    <row r="219" spans="5:19" ht="11.25" customHeight="1" x14ac:dyDescent="0.2">
      <c r="E219" s="483"/>
      <c r="F219" s="483"/>
      <c r="G219" s="482"/>
      <c r="J219" s="482"/>
      <c r="K219" s="482"/>
      <c r="M219" s="497">
        <f>_xll.qlCalendarAdvance(Calendar,M218,"1M","f",,Trigger)</f>
        <v>48662</v>
      </c>
      <c r="N219" s="488">
        <f>_xll.qlCalendarAdvance(Calendar,M219,"3M","mf",,Trigger)</f>
        <v>48754</v>
      </c>
      <c r="O219" s="490" t="str">
        <f>_xll.qlMakeDatedOIS(,M219,N219,OvernightIndex,0,,,,EvaluationDate)</f>
        <v>obj_0056b#0001</v>
      </c>
      <c r="P219" s="490" t="b">
        <f>_xll.qlInstrumentSetPricingEngine(O219,OisEngine)</f>
        <v>1</v>
      </c>
      <c r="Q219" s="489">
        <f>_xll.qlIndexFixing("euribor3m",_xll.qlInterestRateIndexFixingDate("Euribor3M",M219),TRUE,AllTriggers)</f>
        <v>2.407106374991588E-2</v>
      </c>
      <c r="R219" s="489">
        <f>_xll.qlOvernightIndexedSwapFairRate(O219,AllTriggers)</f>
        <v>2.3503322504392646E-2</v>
      </c>
      <c r="S219" s="491">
        <f t="shared" si="5"/>
        <v>5.6774124552323377E-4</v>
      </c>
    </row>
    <row r="220" spans="5:19" ht="11.25" customHeight="1" x14ac:dyDescent="0.2">
      <c r="E220" s="483"/>
      <c r="F220" s="483"/>
      <c r="G220" s="482"/>
      <c r="J220" s="482"/>
      <c r="K220" s="482"/>
      <c r="M220" s="497">
        <f>_xll.qlCalendarAdvance(Calendar,M219,"1M","f",,Trigger)</f>
        <v>48694</v>
      </c>
      <c r="N220" s="488">
        <f>_xll.qlCalendarAdvance(Calendar,M220,"3M","mf",,Trigger)</f>
        <v>48785</v>
      </c>
      <c r="O220" s="490" t="str">
        <f>_xll.qlMakeDatedOIS(,M220,N220,OvernightIndex,0,,,,EvaluationDate)</f>
        <v>obj_0056d#0001</v>
      </c>
      <c r="P220" s="490" t="b">
        <f>_xll.qlInstrumentSetPricingEngine(O220,OisEngine)</f>
        <v>1</v>
      </c>
      <c r="Q220" s="489">
        <f>_xll.qlIndexFixing("euribor3m",_xll.qlInterestRateIndexFixingDate("Euribor3M",M220),TRUE,AllTriggers)</f>
        <v>2.4048320850006105E-2</v>
      </c>
      <c r="R220" s="489">
        <f>_xll.qlOvernightIndexedSwapFairRate(O220,AllTriggers)</f>
        <v>2.3502556821728197E-2</v>
      </c>
      <c r="S220" s="491">
        <f t="shared" si="5"/>
        <v>5.4576402827790846E-4</v>
      </c>
    </row>
    <row r="221" spans="5:19" ht="11.25" customHeight="1" x14ac:dyDescent="0.2">
      <c r="E221" s="483"/>
      <c r="F221" s="483"/>
      <c r="G221" s="482"/>
      <c r="J221" s="482"/>
      <c r="K221" s="482"/>
      <c r="M221" s="497">
        <f>_xll.qlCalendarAdvance(Calendar,M220,"1M","f",,Trigger)</f>
        <v>48724</v>
      </c>
      <c r="N221" s="488">
        <f>_xll.qlCalendarAdvance(Calendar,M221,"3M","mf",,Trigger)</f>
        <v>48816</v>
      </c>
      <c r="O221" s="490" t="str">
        <f>_xll.qlMakeDatedOIS(,M221,N221,OvernightIndex,0,,,,EvaluationDate)</f>
        <v>obj_0056e#0001</v>
      </c>
      <c r="P221" s="490" t="b">
        <f>_xll.qlInstrumentSetPricingEngine(O221,OisEngine)</f>
        <v>1</v>
      </c>
      <c r="Q221" s="489">
        <f>_xll.qlIndexFixing("euribor3m",_xll.qlInterestRateIndexFixingDate("Euribor3M",M221),TRUE,AllTriggers)</f>
        <v>2.4027612377009192E-2</v>
      </c>
      <c r="R221" s="489">
        <f>_xll.qlOvernightIndexedSwapFairRate(O221,AllTriggers)</f>
        <v>2.3503322504393517E-2</v>
      </c>
      <c r="S221" s="491">
        <f t="shared" si="5"/>
        <v>5.2428987261567486E-4</v>
      </c>
    </row>
    <row r="222" spans="5:19" ht="11.25" customHeight="1" x14ac:dyDescent="0.2">
      <c r="E222" s="483"/>
      <c r="F222" s="483"/>
      <c r="G222" s="482"/>
      <c r="J222" s="482"/>
      <c r="K222" s="482"/>
      <c r="M222" s="497">
        <f>_xll.qlCalendarAdvance(Calendar,M221,"1M","f",,Trigger)</f>
        <v>48757</v>
      </c>
      <c r="N222" s="488">
        <f>_xll.qlCalendarAdvance(Calendar,M222,"3M","mf",,Trigger)</f>
        <v>48849</v>
      </c>
      <c r="O222" s="490" t="str">
        <f>_xll.qlMakeDatedOIS(,M222,N222,OvernightIndex,0,,,,EvaluationDate)</f>
        <v>obj_0056f#0001</v>
      </c>
      <c r="P222" s="490" t="b">
        <f>_xll.qlInstrumentSetPricingEngine(O222,OisEngine)</f>
        <v>1</v>
      </c>
      <c r="Q222" s="489">
        <f>_xll.qlIndexFixing("euribor3m",_xll.qlInterestRateIndexFixingDate("Euribor3M",M222),TRUE,AllTriggers)</f>
        <v>2.4004051985300298E-2</v>
      </c>
      <c r="R222" s="489">
        <f>_xll.qlOvernightIndexedSwapFairRate(O222,AllTriggers)</f>
        <v>2.3503322504393513E-2</v>
      </c>
      <c r="S222" s="491">
        <f t="shared" si="5"/>
        <v>5.0072948090678499E-4</v>
      </c>
    </row>
    <row r="223" spans="5:19" ht="11.25" customHeight="1" x14ac:dyDescent="0.2">
      <c r="E223" s="483"/>
      <c r="F223" s="483"/>
      <c r="G223" s="482"/>
      <c r="J223" s="482"/>
      <c r="K223" s="482"/>
      <c r="M223" s="497">
        <f>_xll.qlCalendarAdvance(Calendar,M222,"1M","f",,Trigger)</f>
        <v>48787</v>
      </c>
      <c r="N223" s="488">
        <f>_xll.qlCalendarAdvance(Calendar,M223,"3M","mf",,Trigger)</f>
        <v>48879</v>
      </c>
      <c r="O223" s="490" t="str">
        <f>_xll.qlMakeDatedOIS(,M223,N223,OvernightIndex,0,,,,EvaluationDate)</f>
        <v>obj_00571#0001</v>
      </c>
      <c r="P223" s="490" t="b">
        <f>_xll.qlInstrumentSetPricingEngine(O223,OisEngine)</f>
        <v>1</v>
      </c>
      <c r="Q223" s="489">
        <f>_xll.qlIndexFixing("euribor3m",_xll.qlInterestRateIndexFixingDate("Euribor3M",M223),TRUE,AllTriggers)</f>
        <v>2.3982372381246588E-2</v>
      </c>
      <c r="R223" s="489">
        <f>_xll.qlOvernightIndexedSwapFairRate(O223,AllTriggers)</f>
        <v>2.3503322504392649E-2</v>
      </c>
      <c r="S223" s="491">
        <f t="shared" si="5"/>
        <v>4.7904987685393891E-4</v>
      </c>
    </row>
    <row r="224" spans="5:19" ht="11.25" customHeight="1" x14ac:dyDescent="0.2">
      <c r="E224" s="483"/>
      <c r="F224" s="483"/>
      <c r="G224" s="482"/>
      <c r="J224" s="482"/>
      <c r="K224" s="482"/>
      <c r="M224" s="497">
        <f>_xll.qlCalendarAdvance(Calendar,M223,"1M","f",,Trigger)</f>
        <v>48820</v>
      </c>
      <c r="N224" s="488">
        <f>_xll.qlCalendarAdvance(Calendar,M224,"3M","mf",,Trigger)</f>
        <v>48912</v>
      </c>
      <c r="O224" s="490" t="str">
        <f>_xll.qlMakeDatedOIS(,M224,N224,OvernightIndex,0,,,,EvaluationDate)</f>
        <v>obj_00573#0001</v>
      </c>
      <c r="P224" s="490" t="b">
        <f>_xll.qlInstrumentSetPricingEngine(O224,OisEngine)</f>
        <v>1</v>
      </c>
      <c r="Q224" s="489">
        <f>_xll.qlIndexFixing("euribor3m",_xll.qlInterestRateIndexFixingDate("Euribor3M",M224),TRUE,AllTriggers)</f>
        <v>2.3958237649099882E-2</v>
      </c>
      <c r="R224" s="489">
        <f>_xll.qlOvernightIndexedSwapFairRate(O224,AllTriggers)</f>
        <v>2.3503322504392649E-2</v>
      </c>
      <c r="S224" s="491">
        <f t="shared" si="5"/>
        <v>4.5491514470723249E-4</v>
      </c>
    </row>
    <row r="225" spans="5:19" ht="11.25" customHeight="1" x14ac:dyDescent="0.2">
      <c r="E225" s="483"/>
      <c r="F225" s="483"/>
      <c r="G225" s="482"/>
      <c r="J225" s="482"/>
      <c r="K225" s="482"/>
      <c r="M225" s="497">
        <f>_xll.qlCalendarAdvance(Calendar,M224,"1M","f",,Trigger)</f>
        <v>48851</v>
      </c>
      <c r="N225" s="488">
        <f>_xll.qlCalendarAdvance(Calendar,M225,"3M","mf",,Trigger)</f>
        <v>48942</v>
      </c>
      <c r="O225" s="490" t="str">
        <f>_xll.qlMakeDatedOIS(,M225,N225,OvernightIndex,0,,,,EvaluationDate)</f>
        <v>obj_00575#0001</v>
      </c>
      <c r="P225" s="490" t="b">
        <f>_xll.qlInstrumentSetPricingEngine(O225,OisEngine)</f>
        <v>1</v>
      </c>
      <c r="Q225" s="489">
        <f>_xll.qlIndexFixing("euribor3m",_xll.qlInterestRateIndexFixingDate("Euribor3M",M225),TRUE,AllTriggers)</f>
        <v>2.3934871817078564E-2</v>
      </c>
      <c r="R225" s="489">
        <f>_xll.qlOvernightIndexedSwapFairRate(O225,AllTriggers)</f>
        <v>2.3502556821728197E-2</v>
      </c>
      <c r="S225" s="491">
        <f t="shared" si="5"/>
        <v>4.3231499535036771E-4</v>
      </c>
    </row>
    <row r="226" spans="5:19" ht="11.25" customHeight="1" x14ac:dyDescent="0.2">
      <c r="E226" s="483"/>
      <c r="F226" s="483"/>
      <c r="G226" s="482"/>
      <c r="J226" s="482"/>
      <c r="K226" s="482"/>
      <c r="M226" s="497">
        <f>_xll.qlCalendarAdvance(Calendar,M225,"1M","f",,Trigger)</f>
        <v>48883</v>
      </c>
      <c r="N226" s="488">
        <f>_xll.qlCalendarAdvance(Calendar,M226,"3M","mf",,Trigger)</f>
        <v>48975</v>
      </c>
      <c r="O226" s="490" t="str">
        <f>_xll.qlMakeDatedOIS(,M226,N226,OvernightIndex,0,,,,EvaluationDate)</f>
        <v>obj_00576#0001</v>
      </c>
      <c r="P226" s="490" t="b">
        <f>_xll.qlInstrumentSetPricingEngine(O226,OisEngine)</f>
        <v>1</v>
      </c>
      <c r="Q226" s="489">
        <f>_xll.qlIndexFixing("euribor3m",_xll.qlInterestRateIndexFixingDate("Euribor3M",M226),TRUE,AllTriggers)</f>
        <v>2.3911326874071905E-2</v>
      </c>
      <c r="R226" s="489">
        <f>_xll.qlOvernightIndexedSwapFairRate(O226,AllTriggers)</f>
        <v>2.350332250439351E-2</v>
      </c>
      <c r="S226" s="491">
        <f t="shared" si="5"/>
        <v>4.0800436967839554E-4</v>
      </c>
    </row>
    <row r="227" spans="5:19" ht="11.25" customHeight="1" x14ac:dyDescent="0.2">
      <c r="E227" s="483"/>
      <c r="F227" s="483"/>
      <c r="G227" s="482"/>
      <c r="J227" s="482"/>
      <c r="K227" s="482"/>
      <c r="M227" s="497">
        <f>_xll.qlCalendarAdvance(Calendar,M226,"1M","f",,Trigger)</f>
        <v>48913</v>
      </c>
      <c r="N227" s="488">
        <f>_xll.qlCalendarAdvance(Calendar,M227,"3M","mf",,Trigger)</f>
        <v>49003</v>
      </c>
      <c r="O227" s="490" t="str">
        <f>_xll.qlMakeDatedOIS(,M227,N227,OvernightIndex,0,,,,EvaluationDate)</f>
        <v>obj_00578#0001</v>
      </c>
      <c r="P227" s="490" t="b">
        <f>_xll.qlInstrumentSetPricingEngine(O227,OisEngine)</f>
        <v>1</v>
      </c>
      <c r="Q227" s="489">
        <f>_xll.qlIndexFixing("euribor3m",_xll.qlInterestRateIndexFixingDate("Euribor3M",M227),TRUE,AllTriggers)</f>
        <v>2.3887786712393222E-2</v>
      </c>
      <c r="R227" s="489">
        <f>_xll.qlOvernightIndexedSwapFairRate(O227,AllTriggers)</f>
        <v>2.350179117230411E-2</v>
      </c>
      <c r="S227" s="491">
        <f t="shared" si="5"/>
        <v>3.8599554008911241E-4</v>
      </c>
    </row>
    <row r="228" spans="5:19" ht="11.25" customHeight="1" x14ac:dyDescent="0.2">
      <c r="E228" s="483"/>
      <c r="F228" s="483"/>
      <c r="G228" s="482"/>
      <c r="J228" s="482"/>
      <c r="K228" s="482"/>
      <c r="M228" s="497">
        <f>_xll.qlCalendarAdvance(Calendar,M227,"1M","f",,Trigger)</f>
        <v>48943</v>
      </c>
      <c r="N228" s="488">
        <f>_xll.qlCalendarAdvance(Calendar,M228,"3M","mf",,Trigger)</f>
        <v>49033</v>
      </c>
      <c r="O228" s="490" t="str">
        <f>_xll.qlMakeDatedOIS(,M228,N228,OvernightIndex,0,,,,EvaluationDate)</f>
        <v>obj_0057a#0001</v>
      </c>
      <c r="P228" s="490" t="b">
        <f>_xll.qlInstrumentSetPricingEngine(O228,OisEngine)</f>
        <v>1</v>
      </c>
      <c r="Q228" s="489">
        <f>_xll.qlIndexFixing("euribor3m",_xll.qlInterestRateIndexFixingDate("Euribor3M",M228),TRUE,AllTriggers)</f>
        <v>2.3865228163040996E-2</v>
      </c>
      <c r="R228" s="489">
        <f>_xll.qlOvernightIndexedSwapFairRate(O228,AllTriggers)</f>
        <v>2.350179117230411E-2</v>
      </c>
      <c r="S228" s="491">
        <f t="shared" si="5"/>
        <v>3.6343699073688659E-4</v>
      </c>
    </row>
    <row r="229" spans="5:19" ht="11.25" customHeight="1" x14ac:dyDescent="0.2">
      <c r="E229" s="483"/>
      <c r="F229" s="483"/>
      <c r="G229" s="482"/>
      <c r="J229" s="482"/>
      <c r="K229" s="482"/>
      <c r="M229" s="497">
        <f>_xll.qlCalendarAdvance(Calendar,M228,"1M","f",,Trigger)</f>
        <v>48974</v>
      </c>
      <c r="N229" s="488">
        <f>_xll.qlCalendarAdvance(Calendar,M229,"3M","mf",,Trigger)</f>
        <v>49062</v>
      </c>
      <c r="O229" s="490" t="str">
        <f>_xll.qlMakeDatedOIS(,M229,N229,OvernightIndex,0,,,,EvaluationDate)</f>
        <v>obj_0057b#0001</v>
      </c>
      <c r="P229" s="490" t="b">
        <f>_xll.qlInstrumentSetPricingEngine(O229,OisEngine)</f>
        <v>1</v>
      </c>
      <c r="Q229" s="489">
        <f>_xll.qlIndexFixing("euribor3m",_xll.qlInterestRateIndexFixingDate("Euribor3M",M229),TRUE,AllTriggers)</f>
        <v>2.3840044255653812E-2</v>
      </c>
      <c r="R229" s="489">
        <f>_xll.qlOvernightIndexedSwapFairRate(O229,AllTriggers)</f>
        <v>2.3500259973177066E-2</v>
      </c>
      <c r="S229" s="491">
        <f t="shared" si="5"/>
        <v>3.3978428247674608E-4</v>
      </c>
    </row>
    <row r="230" spans="5:19" ht="11.25" customHeight="1" x14ac:dyDescent="0.2">
      <c r="E230" s="483"/>
      <c r="F230" s="483"/>
      <c r="G230" s="482"/>
      <c r="J230" s="482"/>
      <c r="K230" s="482"/>
      <c r="M230" s="497">
        <f>_xll.qlCalendarAdvance(Calendar,M229,"1M","f",,Trigger)</f>
        <v>49003</v>
      </c>
      <c r="N230" s="488">
        <f>_xll.qlCalendarAdvance(Calendar,M230,"3M","mf",,Trigger)</f>
        <v>49093</v>
      </c>
      <c r="O230" s="490" t="str">
        <f>_xll.qlMakeDatedOIS(,M230,N230,OvernightIndex,0,,,,EvaluationDate)</f>
        <v>obj_0057d#0001</v>
      </c>
      <c r="P230" s="490" t="b">
        <f>_xll.qlInstrumentSetPricingEngine(O230,OisEngine)</f>
        <v>1</v>
      </c>
      <c r="Q230" s="489">
        <f>_xll.qlIndexFixing("euribor3m",_xll.qlInterestRateIndexFixingDate("Euribor3M",M230),TRUE,AllTriggers)</f>
        <v>2.3818939926663934E-2</v>
      </c>
      <c r="R230" s="489">
        <f>_xll.qlOvernightIndexedSwapFairRate(O230,AllTriggers)</f>
        <v>2.3501791172304106E-2</v>
      </c>
      <c r="S230" s="491">
        <f t="shared" si="5"/>
        <v>3.1714875435982781E-4</v>
      </c>
    </row>
    <row r="231" spans="5:19" ht="11.25" customHeight="1" x14ac:dyDescent="0.2">
      <c r="E231" s="483"/>
      <c r="F231" s="483"/>
      <c r="G231" s="482"/>
      <c r="J231" s="482"/>
      <c r="K231" s="482"/>
      <c r="M231" s="497">
        <f>_xll.qlCalendarAdvance(Calendar,M230,"1M","f",,Trigger)</f>
        <v>49031</v>
      </c>
      <c r="N231" s="488">
        <f>_xll.qlCalendarAdvance(Calendar,M231,"3M","mf",,Trigger)</f>
        <v>49123</v>
      </c>
      <c r="O231" s="490" t="str">
        <f>_xll.qlMakeDatedOIS(,M231,N231,OvernightIndex,0,,,,EvaluationDate)</f>
        <v>obj_0057f#0001</v>
      </c>
      <c r="P231" s="490" t="b">
        <f>_xll.qlInstrumentSetPricingEngine(O231,OisEngine)</f>
        <v>1</v>
      </c>
      <c r="Q231" s="489">
        <f>_xll.qlIndexFixing("euribor3m",_xll.qlInterestRateIndexFixingDate("Euribor3M",M231),TRUE,AllTriggers)</f>
        <v>2.3796810631254765E-2</v>
      </c>
      <c r="R231" s="489">
        <f>_xll.qlOvernightIndexedSwapFairRate(O231,AllTriggers)</f>
        <v>2.350332250439351E-2</v>
      </c>
      <c r="S231" s="491">
        <f t="shared" si="5"/>
        <v>2.9348812686125561E-4</v>
      </c>
    </row>
    <row r="232" spans="5:19" ht="11.25" customHeight="1" x14ac:dyDescent="0.2">
      <c r="E232" s="483"/>
      <c r="F232" s="483"/>
      <c r="G232" s="482"/>
      <c r="J232" s="482"/>
      <c r="K232" s="482"/>
      <c r="M232" s="497">
        <f>_xll.qlCalendarAdvance(Calendar,M231,"1M","f",,Trigger)</f>
        <v>49062</v>
      </c>
      <c r="N232" s="488">
        <f>_xll.qlCalendarAdvance(Calendar,M232,"3M","mf",,Trigger)</f>
        <v>49153</v>
      </c>
      <c r="O232" s="490" t="str">
        <f>_xll.qlMakeDatedOIS(,M232,N232,OvernightIndex,0,,,,EvaluationDate)</f>
        <v>obj_00580#0001</v>
      </c>
      <c r="P232" s="490" t="b">
        <f>_xll.qlInstrumentSetPricingEngine(O232,OisEngine)</f>
        <v>1</v>
      </c>
      <c r="Q232" s="489">
        <f>_xll.qlIndexFixing("euribor3m",_xll.qlInterestRateIndexFixingDate("Euribor3M",M232),TRUE,AllTriggers)</f>
        <v>2.3772817101689301E-2</v>
      </c>
      <c r="R232" s="489">
        <f>_xll.qlOvernightIndexedSwapFairRate(O232,AllTriggers)</f>
        <v>2.3502556821728193E-2</v>
      </c>
      <c r="S232" s="491">
        <f t="shared" si="5"/>
        <v>2.7026027996110771E-4</v>
      </c>
    </row>
    <row r="233" spans="5:19" ht="11.25" customHeight="1" x14ac:dyDescent="0.2">
      <c r="E233" s="483"/>
      <c r="F233" s="483"/>
      <c r="G233" s="482"/>
      <c r="J233" s="482"/>
      <c r="K233" s="482"/>
      <c r="M233" s="497">
        <f>_xll.qlCalendarAdvance(Calendar,M232,"1M","f",,Trigger)</f>
        <v>49093</v>
      </c>
      <c r="N233" s="488">
        <f>_xll.qlCalendarAdvance(Calendar,M233,"3M","mf",,Trigger)</f>
        <v>49185</v>
      </c>
      <c r="O233" s="490" t="str">
        <f>_xll.qlMakeDatedOIS(,M233,N233,OvernightIndex,0,,,,EvaluationDate)</f>
        <v>obj_00581#0001</v>
      </c>
      <c r="P233" s="490" t="b">
        <f>_xll.qlInstrumentSetPricingEngine(O233,OisEngine)</f>
        <v>1</v>
      </c>
      <c r="Q233" s="489">
        <f>_xll.qlIndexFixing("euribor3m",_xll.qlInterestRateIndexFixingDate("Euribor3M",M233),TRUE,AllTriggers)</f>
        <v>2.3747039409363072E-2</v>
      </c>
      <c r="R233" s="489">
        <f>_xll.qlOvernightIndexedSwapFairRate(O233,AllTriggers)</f>
        <v>2.3503322504393517E-2</v>
      </c>
      <c r="S233" s="491">
        <f t="shared" si="5"/>
        <v>2.4371690496955561E-4</v>
      </c>
    </row>
    <row r="234" spans="5:19" ht="11.25" customHeight="1" x14ac:dyDescent="0.2">
      <c r="E234" s="483"/>
      <c r="F234" s="483"/>
      <c r="G234" s="482"/>
      <c r="J234" s="482"/>
      <c r="K234" s="482"/>
      <c r="M234" s="497">
        <f>_xll.qlCalendarAdvance(Calendar,M233,"1M","f",,Trigger)</f>
        <v>49124</v>
      </c>
      <c r="N234" s="488">
        <f>_xll.qlCalendarAdvance(Calendar,M234,"3M","mf",,Trigger)</f>
        <v>49216</v>
      </c>
      <c r="O234" s="490" t="str">
        <f>_xll.qlMakeDatedOIS(,M234,N234,OvernightIndex,0,,,,EvaluationDate)</f>
        <v>obj_00583#0001</v>
      </c>
      <c r="P234" s="490" t="b">
        <f>_xll.qlInstrumentSetPricingEngine(O234,OisEngine)</f>
        <v>1</v>
      </c>
      <c r="Q234" s="489">
        <f>_xll.qlIndexFixing("euribor3m",_xll.qlInterestRateIndexFixingDate("Euribor3M",M234),TRUE,AllTriggers)</f>
        <v>2.3721758871699809E-2</v>
      </c>
      <c r="R234" s="489">
        <f>_xll.qlOvernightIndexedSwapFairRate(O234,AllTriggers)</f>
        <v>2.3268712337989814E-2</v>
      </c>
      <c r="S234" s="491">
        <f t="shared" si="5"/>
        <v>4.5304653370999495E-4</v>
      </c>
    </row>
    <row r="235" spans="5:19" ht="11.25" customHeight="1" x14ac:dyDescent="0.2">
      <c r="E235" s="483"/>
      <c r="F235" s="483"/>
      <c r="G235" s="482"/>
      <c r="J235" s="482"/>
      <c r="K235" s="482"/>
      <c r="M235" s="497">
        <f>_xll.qlCalendarAdvance(Calendar,M234,"1M","f",,Trigger)</f>
        <v>49156</v>
      </c>
      <c r="N235" s="488">
        <f>_xll.qlCalendarAdvance(Calendar,M235,"3M","mf",,Trigger)</f>
        <v>49248</v>
      </c>
      <c r="O235" s="490" t="str">
        <f>_xll.qlMakeDatedOIS(,M235,N235,OvernightIndex,0,,,,EvaluationDate)</f>
        <v>obj_00584#0001</v>
      </c>
      <c r="P235" s="490" t="b">
        <f>_xll.qlInstrumentSetPricingEngine(O235,OisEngine)</f>
        <v>1</v>
      </c>
      <c r="Q235" s="489">
        <f>_xll.qlIndexFixing("euribor3m",_xll.qlInterestRateIndexFixingDate("Euribor3M",M235),TRUE,AllTriggers)</f>
        <v>2.3695447030441845E-2</v>
      </c>
      <c r="R235" s="489">
        <f>_xll.qlOvernightIndexedSwapFairRate(O235,AllTriggers)</f>
        <v>2.2851662121350372E-2</v>
      </c>
      <c r="S235" s="491">
        <f t="shared" si="5"/>
        <v>8.4378490909147244E-4</v>
      </c>
    </row>
    <row r="236" spans="5:19" ht="11.25" customHeight="1" x14ac:dyDescent="0.2">
      <c r="E236" s="483"/>
      <c r="F236" s="483"/>
      <c r="G236" s="482"/>
      <c r="J236" s="482"/>
      <c r="K236" s="482"/>
      <c r="M236" s="497">
        <f>_xll.qlCalendarAdvance(Calendar,M235,"1M","f",,Trigger)</f>
        <v>49187</v>
      </c>
      <c r="N236" s="488">
        <f>_xll.qlCalendarAdvance(Calendar,M236,"3M","mf",,Trigger)</f>
        <v>49278</v>
      </c>
      <c r="O236" s="490" t="str">
        <f>_xll.qlMakeDatedOIS(,M236,N236,OvernightIndex,0,,,,EvaluationDate)</f>
        <v>obj_00586#0001</v>
      </c>
      <c r="P236" s="490" t="b">
        <f>_xll.qlInstrumentSetPricingEngine(O236,OisEngine)</f>
        <v>1</v>
      </c>
      <c r="Q236" s="489">
        <f>_xll.qlIndexFixing("euribor3m",_xll.qlInterestRateIndexFixingDate("Euribor3M",M236),TRUE,AllTriggers)</f>
        <v>2.3669485229882024E-2</v>
      </c>
      <c r="R236" s="489">
        <f>_xll.qlOvernightIndexedSwapFairRate(O236,AllTriggers)</f>
        <v>2.2448563403297022E-2</v>
      </c>
      <c r="S236" s="491">
        <f t="shared" si="5"/>
        <v>1.2209218265850016E-3</v>
      </c>
    </row>
    <row r="237" spans="5:19" ht="11.25" customHeight="1" x14ac:dyDescent="0.2">
      <c r="E237" s="483"/>
      <c r="F237" s="483"/>
      <c r="G237" s="482"/>
      <c r="J237" s="482"/>
      <c r="K237" s="482"/>
      <c r="M237" s="497">
        <f>_xll.qlCalendarAdvance(Calendar,M236,"1M","f",,Trigger)</f>
        <v>49219</v>
      </c>
      <c r="N237" s="488">
        <f>_xll.qlCalendarAdvance(Calendar,M237,"3M","mf",,Trigger)</f>
        <v>49311</v>
      </c>
      <c r="O237" s="490" t="str">
        <f>_xll.qlMakeDatedOIS(,M237,N237,OvernightIndex,0,,,,EvaluationDate)</f>
        <v>obj_00588#0001</v>
      </c>
      <c r="P237" s="490" t="b">
        <f>_xll.qlInstrumentSetPricingEngine(O237,OisEngine)</f>
        <v>1</v>
      </c>
      <c r="Q237" s="489">
        <f>_xll.qlIndexFixing("euribor3m",_xll.qlInterestRateIndexFixingDate("Euribor3M",M237),TRUE,AllTriggers)</f>
        <v>2.3643413362796798E-2</v>
      </c>
      <c r="R237" s="489">
        <f>_xll.qlOvernightIndexedSwapFairRate(O237,AllTriggers)</f>
        <v>2.2304350767360419E-2</v>
      </c>
      <c r="S237" s="491">
        <f t="shared" si="5"/>
        <v>1.3390625954363793E-3</v>
      </c>
    </row>
    <row r="238" spans="5:19" ht="11.25" customHeight="1" x14ac:dyDescent="0.2">
      <c r="E238" s="483"/>
      <c r="F238" s="483"/>
      <c r="G238" s="482"/>
      <c r="J238" s="482"/>
      <c r="K238" s="482"/>
      <c r="M238" s="497">
        <f>_xll.qlCalendarAdvance(Calendar,M237,"1M","f",,Trigger)</f>
        <v>49250</v>
      </c>
      <c r="N238" s="488">
        <f>_xll.qlCalendarAdvance(Calendar,M238,"3M","mf",,Trigger)</f>
        <v>49342</v>
      </c>
      <c r="O238" s="490" t="str">
        <f>_xll.qlMakeDatedOIS(,M238,N238,OvernightIndex,0,,,,EvaluationDate)</f>
        <v>obj_0058a#0001</v>
      </c>
      <c r="P238" s="490" t="b">
        <f>_xll.qlInstrumentSetPricingEngine(O238,OisEngine)</f>
        <v>1</v>
      </c>
      <c r="Q238" s="489">
        <f>_xll.qlIndexFixing("euribor3m",_xll.qlInterestRateIndexFixingDate("Euribor3M",M238),TRUE,AllTriggers)</f>
        <v>2.3617831926847247E-2</v>
      </c>
      <c r="R238" s="489">
        <f>_xll.qlOvernightIndexedSwapFairRate(O238,AllTriggers)</f>
        <v>2.2304350767359551E-2</v>
      </c>
      <c r="S238" s="491">
        <f t="shared" si="5"/>
        <v>1.3134811594876956E-3</v>
      </c>
    </row>
    <row r="239" spans="5:19" ht="11.25" customHeight="1" x14ac:dyDescent="0.2">
      <c r="E239" s="483"/>
      <c r="F239" s="483"/>
      <c r="G239" s="482"/>
      <c r="J239" s="482"/>
      <c r="K239" s="482"/>
      <c r="M239" s="497">
        <f>_xll.qlCalendarAdvance(Calendar,M238,"1M","f",,Trigger)</f>
        <v>49282</v>
      </c>
      <c r="N239" s="488">
        <f>_xll.qlCalendarAdvance(Calendar,M239,"3M","mf",,Trigger)</f>
        <v>49373</v>
      </c>
      <c r="O239" s="490" t="str">
        <f>_xll.qlMakeDatedOIS(,M239,N239,OvernightIndex,0,,,,EvaluationDate)</f>
        <v>obj_0058c#0001</v>
      </c>
      <c r="P239" s="490" t="b">
        <f>_xll.qlInstrumentSetPricingEngine(O239,OisEngine)</f>
        <v>1</v>
      </c>
      <c r="Q239" s="489">
        <f>_xll.qlIndexFixing("euribor3m",_xll.qlInterestRateIndexFixingDate("Euribor3M",M239),TRUE,AllTriggers)</f>
        <v>2.3591094992235859E-2</v>
      </c>
      <c r="R239" s="489">
        <f>_xll.qlOvernightIndexedSwapFairRate(O239,AllTriggers)</f>
        <v>2.2303661140557152E-2</v>
      </c>
      <c r="S239" s="491">
        <f t="shared" si="5"/>
        <v>1.2874338516787077E-3</v>
      </c>
    </row>
    <row r="240" spans="5:19" ht="11.25" customHeight="1" x14ac:dyDescent="0.2">
      <c r="E240" s="483"/>
      <c r="F240" s="483"/>
      <c r="G240" s="482"/>
      <c r="J240" s="482"/>
      <c r="K240" s="482"/>
      <c r="M240" s="497">
        <f>_xll.qlCalendarAdvance(Calendar,M239,"1M","f",,Trigger)</f>
        <v>49313</v>
      </c>
      <c r="N240" s="488">
        <f>_xll.qlCalendarAdvance(Calendar,M240,"3M","mf",,Trigger)</f>
        <v>49403</v>
      </c>
      <c r="O240" s="490" t="str">
        <f>_xll.qlMakeDatedOIS(,M240,N240,OvernightIndex,0,,,,EvaluationDate)</f>
        <v>obj_0058e#0001</v>
      </c>
      <c r="P240" s="490" t="b">
        <f>_xll.qlInstrumentSetPricingEngine(O240,OisEngine)</f>
        <v>1</v>
      </c>
      <c r="Q240" s="489">
        <f>_xll.qlIndexFixing("euribor3m",_xll.qlInterestRateIndexFixingDate("Euribor3M",M240),TRUE,AllTriggers)</f>
        <v>2.3565213313510469E-2</v>
      </c>
      <c r="R240" s="489">
        <f>_xll.qlOvernightIndexedSwapFairRate(O240,AllTriggers)</f>
        <v>2.230297154217098E-2</v>
      </c>
      <c r="S240" s="491">
        <f t="shared" si="5"/>
        <v>1.2622417713394896E-3</v>
      </c>
    </row>
    <row r="241" spans="5:19" ht="11.25" customHeight="1" x14ac:dyDescent="0.2">
      <c r="E241" s="483"/>
      <c r="F241" s="483"/>
      <c r="G241" s="482"/>
      <c r="J241" s="482"/>
      <c r="K241" s="482"/>
      <c r="M241" s="497">
        <f>_xll.qlCalendarAdvance(Calendar,M240,"1M","f",,Trigger)</f>
        <v>49345</v>
      </c>
      <c r="N241" s="488">
        <f>_xll.qlCalendarAdvance(Calendar,M241,"3M","mf",,Trigger)</f>
        <v>49436</v>
      </c>
      <c r="O241" s="490" t="str">
        <f>_xll.qlMakeDatedOIS(,M241,N241,OvernightIndex,0,,,,EvaluationDate)</f>
        <v>obj_00590#0001</v>
      </c>
      <c r="P241" s="490" t="b">
        <f>_xll.qlInstrumentSetPricingEngine(O241,OisEngine)</f>
        <v>1</v>
      </c>
      <c r="Q241" s="489">
        <f>_xll.qlIndexFixing("euribor3m",_xll.qlInterestRateIndexFixingDate("Euribor3M",M241),TRUE,AllTriggers)</f>
        <v>2.3539254902503737E-2</v>
      </c>
      <c r="R241" s="489">
        <f>_xll.qlOvernightIndexedSwapFairRate(O241,AllTriggers)</f>
        <v>2.2303661140557152E-2</v>
      </c>
      <c r="S241" s="491">
        <f t="shared" si="5"/>
        <v>1.2355937619465858E-3</v>
      </c>
    </row>
    <row r="242" spans="5:19" ht="11.25" customHeight="1" x14ac:dyDescent="0.2">
      <c r="E242" s="483"/>
      <c r="F242" s="483"/>
      <c r="G242" s="482"/>
      <c r="J242" s="482"/>
      <c r="K242" s="482"/>
      <c r="M242" s="497">
        <f>_xll.qlCalendarAdvance(Calendar,M241,"1M","f",,Trigger)</f>
        <v>49373</v>
      </c>
      <c r="N242" s="488">
        <f>_xll.qlCalendarAdvance(Calendar,M242,"3M","mf",,Trigger)</f>
        <v>49465</v>
      </c>
      <c r="O242" s="490" t="str">
        <f>_xll.qlMakeDatedOIS(,M242,N242,OvernightIndex,0,,,,EvaluationDate)</f>
        <v>obj_00591#0001</v>
      </c>
      <c r="P242" s="490" t="b">
        <f>_xll.qlInstrumentSetPricingEngine(O242,OisEngine)</f>
        <v>1</v>
      </c>
      <c r="Q242" s="489">
        <f>_xll.qlIndexFixing("euribor3m",_xll.qlInterestRateIndexFixingDate("Euribor3M",M242),TRUE,AllTriggers)</f>
        <v>2.3516608321627705E-2</v>
      </c>
      <c r="R242" s="489">
        <f>_xll.qlOvernightIndexedSwapFairRate(O242,AllTriggers)</f>
        <v>2.2304350767359551E-2</v>
      </c>
      <c r="S242" s="491">
        <f t="shared" si="5"/>
        <v>1.2122575542681535E-3</v>
      </c>
    </row>
    <row r="243" spans="5:19" ht="11.25" customHeight="1" x14ac:dyDescent="0.2">
      <c r="E243" s="483"/>
      <c r="F243" s="483"/>
      <c r="G243" s="482"/>
      <c r="J243" s="482"/>
      <c r="K243" s="482"/>
      <c r="M243" s="497">
        <f>_xll.qlCalendarAdvance(Calendar,M242,"1M","f",,Trigger)</f>
        <v>49404</v>
      </c>
      <c r="N243" s="488">
        <f>_xll.qlCalendarAdvance(Calendar,M243,"3M","mf",,Trigger)</f>
        <v>49495</v>
      </c>
      <c r="O243" s="490" t="str">
        <f>_xll.qlMakeDatedOIS(,M243,N243,OvernightIndex,0,,,,EvaluationDate)</f>
        <v>obj_00593#0001</v>
      </c>
      <c r="P243" s="490" t="b">
        <f>_xll.qlInstrumentSetPricingEngine(O243,OisEngine)</f>
        <v>1</v>
      </c>
      <c r="Q243" s="489">
        <f>_xll.qlIndexFixing("euribor3m",_xll.qlInterestRateIndexFixingDate("Euribor3M",M243),TRUE,AllTriggers)</f>
        <v>2.3490811463709273E-2</v>
      </c>
      <c r="R243" s="489">
        <f>_xll.qlOvernightIndexedSwapFairRate(O243,AllTriggers)</f>
        <v>2.2303661140558026E-2</v>
      </c>
      <c r="S243" s="491">
        <f t="shared" si="5"/>
        <v>1.1871503231512467E-3</v>
      </c>
    </row>
    <row r="244" spans="5:19" ht="11.25" customHeight="1" x14ac:dyDescent="0.2">
      <c r="E244" s="483"/>
      <c r="F244" s="483"/>
      <c r="G244" s="482"/>
      <c r="J244" s="482"/>
      <c r="K244" s="482"/>
      <c r="M244" s="497">
        <f>_xll.qlCalendarAdvance(Calendar,M243,"1M","f",,Trigger)</f>
        <v>49436</v>
      </c>
      <c r="N244" s="488">
        <f>_xll.qlCalendarAdvance(Calendar,M244,"3M","mf",,Trigger)</f>
        <v>49528</v>
      </c>
      <c r="O244" s="490" t="str">
        <f>_xll.qlMakeDatedOIS(,M244,N244,OvernightIndex,0,,,,EvaluationDate)</f>
        <v>obj_00595#0001</v>
      </c>
      <c r="P244" s="490" t="b">
        <f>_xll.qlInstrumentSetPricingEngine(O244,OisEngine)</f>
        <v>1</v>
      </c>
      <c r="Q244" s="489">
        <f>_xll.qlIndexFixing("euribor3m",_xll.qlInterestRateIndexFixingDate("Euribor3M",M244),TRUE,AllTriggers)</f>
        <v>2.3464933393567654E-2</v>
      </c>
      <c r="R244" s="489">
        <f>_xll.qlOvernightIndexedSwapFairRate(O244,AllTriggers)</f>
        <v>2.2304350767360422E-2</v>
      </c>
      <c r="S244" s="491">
        <f t="shared" si="5"/>
        <v>1.1605826262072322E-3</v>
      </c>
    </row>
    <row r="245" spans="5:19" ht="11.25" customHeight="1" x14ac:dyDescent="0.2">
      <c r="E245" s="483"/>
      <c r="F245" s="483"/>
      <c r="G245" s="482"/>
      <c r="J245" s="482"/>
      <c r="K245" s="482"/>
      <c r="M245" s="497">
        <f>_xll.qlCalendarAdvance(Calendar,M244,"1M","f",,Trigger)</f>
        <v>49467</v>
      </c>
      <c r="N245" s="488">
        <f>_xll.qlCalendarAdvance(Calendar,M245,"3M","mf",,Trigger)</f>
        <v>49559</v>
      </c>
      <c r="O245" s="490" t="str">
        <f>_xll.qlMakeDatedOIS(,M245,N245,OvernightIndex,0,,,,EvaluationDate)</f>
        <v>obj_00597#0001</v>
      </c>
      <c r="P245" s="490" t="b">
        <f>_xll.qlInstrumentSetPricingEngine(O245,OisEngine)</f>
        <v>1</v>
      </c>
      <c r="Q245" s="489">
        <f>_xll.qlIndexFixing("euribor3m",_xll.qlInterestRateIndexFixingDate("Euribor3M",M245),TRUE,AllTriggers)</f>
        <v>2.3439548646684006E-2</v>
      </c>
      <c r="R245" s="489">
        <f>_xll.qlOvernightIndexedSwapFairRate(O245,AllTriggers)</f>
        <v>2.2304350767360419E-2</v>
      </c>
      <c r="S245" s="491">
        <f t="shared" si="5"/>
        <v>1.1351978793235872E-3</v>
      </c>
    </row>
    <row r="246" spans="5:19" ht="11.25" customHeight="1" x14ac:dyDescent="0.2">
      <c r="E246" s="483"/>
      <c r="F246" s="483"/>
      <c r="G246" s="482"/>
      <c r="J246" s="482"/>
      <c r="K246" s="482"/>
      <c r="M246" s="497">
        <f>_xll.qlCalendarAdvance(Calendar,M245,"1M","f",,Trigger)</f>
        <v>49499</v>
      </c>
      <c r="N246" s="488">
        <f>_xll.qlCalendarAdvance(Calendar,M246,"3M","mf",,Trigger)</f>
        <v>49591</v>
      </c>
      <c r="O246" s="490" t="str">
        <f>_xll.qlMakeDatedOIS(,M246,N246,OvernightIndex,0,,,,EvaluationDate)</f>
        <v>obj_00599#0001</v>
      </c>
      <c r="P246" s="490" t="b">
        <f>_xll.qlInstrumentSetPricingEngine(O246,OisEngine)</f>
        <v>1</v>
      </c>
      <c r="Q246" s="489">
        <f>_xll.qlIndexFixing("euribor3m",_xll.qlInterestRateIndexFixingDate("Euribor3M",M246),TRUE,AllTriggers)</f>
        <v>2.3413374507375889E-2</v>
      </c>
      <c r="R246" s="489">
        <f>_xll.qlOvernightIndexedSwapFairRate(O246,AllTriggers)</f>
        <v>2.2304350767359551E-2</v>
      </c>
      <c r="S246" s="491">
        <f t="shared" si="5"/>
        <v>1.1090237400163371E-3</v>
      </c>
    </row>
    <row r="247" spans="5:19" ht="11.25" customHeight="1" x14ac:dyDescent="0.2">
      <c r="E247" s="483"/>
      <c r="F247" s="483"/>
      <c r="G247" s="482"/>
      <c r="J247" s="482"/>
      <c r="K247" s="482"/>
      <c r="M247" s="497">
        <f>_xll.qlCalendarAdvance(Calendar,M246,"1M","f",,Trigger)</f>
        <v>49530</v>
      </c>
      <c r="N247" s="488">
        <f>_xll.qlCalendarAdvance(Calendar,M247,"3M","mf",,Trigger)</f>
        <v>49622</v>
      </c>
      <c r="O247" s="490" t="str">
        <f>_xll.qlMakeDatedOIS(,M247,N247,OvernightIndex,0,,,,EvaluationDate)</f>
        <v>obj_0059a#0001</v>
      </c>
      <c r="P247" s="490" t="b">
        <f>_xll.qlInstrumentSetPricingEngine(O247,OisEngine)</f>
        <v>1</v>
      </c>
      <c r="Q247" s="489">
        <f>_xll.qlIndexFixing("euribor3m",_xll.qlInterestRateIndexFixingDate("Euribor3M",M247),TRUE,AllTriggers)</f>
        <v>2.3388046858791374E-2</v>
      </c>
      <c r="R247" s="489">
        <f>_xll.qlOvernightIndexedSwapFairRate(O247,AllTriggers)</f>
        <v>2.2304350767359551E-2</v>
      </c>
      <c r="S247" s="491">
        <f t="shared" si="5"/>
        <v>1.0836960914318225E-3</v>
      </c>
    </row>
    <row r="248" spans="5:19" ht="11.25" customHeight="1" x14ac:dyDescent="0.2">
      <c r="E248" s="483"/>
      <c r="F248" s="483"/>
      <c r="G248" s="482"/>
      <c r="J248" s="482"/>
      <c r="K248" s="482"/>
      <c r="M248" s="497">
        <f>_xll.qlCalendarAdvance(Calendar,M247,"1M","f",,Trigger)</f>
        <v>49562</v>
      </c>
      <c r="N248" s="488">
        <f>_xll.qlCalendarAdvance(Calendar,M248,"3M","mf",,Trigger)</f>
        <v>49653</v>
      </c>
      <c r="O248" s="490" t="str">
        <f>_xll.qlMakeDatedOIS(,M248,N248,OvernightIndex,0,,,,EvaluationDate)</f>
        <v>obj_0059c#0001</v>
      </c>
      <c r="P248" s="490" t="b">
        <f>_xll.qlInstrumentSetPricingEngine(O248,OisEngine)</f>
        <v>1</v>
      </c>
      <c r="Q248" s="489">
        <f>_xll.qlIndexFixing("euribor3m",_xll.qlInterestRateIndexFixingDate("Euribor3M",M248),TRUE,AllTriggers)</f>
        <v>2.3361582723102309E-2</v>
      </c>
      <c r="R248" s="489">
        <f>_xll.qlOvernightIndexedSwapFairRate(O248,AllTriggers)</f>
        <v>2.2303661140558029E-2</v>
      </c>
      <c r="S248" s="491">
        <f t="shared" si="5"/>
        <v>1.05792158254428E-3</v>
      </c>
    </row>
    <row r="249" spans="5:19" ht="11.25" customHeight="1" x14ac:dyDescent="0.2">
      <c r="E249" s="483"/>
      <c r="F249" s="483"/>
      <c r="G249" s="482"/>
      <c r="J249" s="482"/>
      <c r="K249" s="482"/>
      <c r="M249" s="497">
        <f>_xll.qlCalendarAdvance(Calendar,M248,"1M","f",,Trigger)</f>
        <v>49592</v>
      </c>
      <c r="N249" s="488">
        <f>_xll.qlCalendarAdvance(Calendar,M249,"3M","mf",,Trigger)</f>
        <v>49684</v>
      </c>
      <c r="O249" s="490" t="str">
        <f>_xll.qlMakeDatedOIS(,M249,N249,OvernightIndex,0,,,,EvaluationDate)</f>
        <v>obj_0059e#0001</v>
      </c>
      <c r="P249" s="490" t="b">
        <f>_xll.qlInstrumentSetPricingEngine(O249,OisEngine)</f>
        <v>1</v>
      </c>
      <c r="Q249" s="489">
        <f>_xll.qlIndexFixing("euribor3m",_xll.qlInterestRateIndexFixingDate("Euribor3M",M249),TRUE,AllTriggers)</f>
        <v>2.333747584659265E-2</v>
      </c>
      <c r="R249" s="489">
        <f>_xll.qlOvernightIndexedSwapFairRate(O249,AllTriggers)</f>
        <v>2.2304350767360415E-2</v>
      </c>
      <c r="S249" s="491">
        <f t="shared" si="5"/>
        <v>1.0331250792322347E-3</v>
      </c>
    </row>
    <row r="250" spans="5:19" ht="11.25" customHeight="1" x14ac:dyDescent="0.2">
      <c r="E250" s="483"/>
      <c r="F250" s="483"/>
      <c r="G250" s="482"/>
      <c r="J250" s="482"/>
      <c r="K250" s="482"/>
      <c r="M250" s="497">
        <f>_xll.qlCalendarAdvance(Calendar,M249,"1M","f",,Trigger)</f>
        <v>49625</v>
      </c>
      <c r="N250" s="488">
        <f>_xll.qlCalendarAdvance(Calendar,M250,"3M","mf",,Trigger)</f>
        <v>49717</v>
      </c>
      <c r="O250" s="490" t="str">
        <f>_xll.qlMakeDatedOIS(,M250,N250,OvernightIndex,0,,,,EvaluationDate)</f>
        <v>obj_005a0#0001</v>
      </c>
      <c r="P250" s="490" t="b">
        <f>_xll.qlInstrumentSetPricingEngine(O250,OisEngine)</f>
        <v>1</v>
      </c>
      <c r="Q250" s="489">
        <f>_xll.qlIndexFixing("euribor3m",_xll.qlInterestRateIndexFixingDate("Euribor3M",M250),TRUE,AllTriggers)</f>
        <v>2.3310604842441313E-2</v>
      </c>
      <c r="R250" s="489">
        <f>_xll.qlOvernightIndexedSwapFairRate(O250,AllTriggers)</f>
        <v>2.2304350767359551E-2</v>
      </c>
      <c r="S250" s="491">
        <f t="shared" si="5"/>
        <v>1.0062540750817618E-3</v>
      </c>
    </row>
    <row r="251" spans="5:19" ht="11.25" customHeight="1" x14ac:dyDescent="0.2">
      <c r="E251" s="483"/>
      <c r="F251" s="483"/>
      <c r="G251" s="482"/>
      <c r="J251" s="482"/>
      <c r="K251" s="482"/>
      <c r="M251" s="497">
        <f>_xll.qlCalendarAdvance(Calendar,M250,"1M","f",,Trigger)</f>
        <v>49655</v>
      </c>
      <c r="N251" s="488">
        <f>_xll.qlCalendarAdvance(Calendar,M251,"3M","mf",,Trigger)</f>
        <v>49746</v>
      </c>
      <c r="O251" s="490" t="str">
        <f>_xll.qlMakeDatedOIS(,M251,N251,OvernightIndex,0,,,,EvaluationDate)</f>
        <v>obj_005a1#0001</v>
      </c>
      <c r="P251" s="490" t="b">
        <f>_xll.qlInstrumentSetPricingEngine(O251,OisEngine)</f>
        <v>1</v>
      </c>
      <c r="Q251" s="489">
        <f>_xll.qlIndexFixing("euribor3m",_xll.qlInterestRateIndexFixingDate("Euribor3M",M251),TRUE,AllTriggers)</f>
        <v>2.3285858879620071E-2</v>
      </c>
      <c r="R251" s="489">
        <f>_xll.qlOvernightIndexedSwapFairRate(O251,AllTriggers)</f>
        <v>2.2303661140557152E-2</v>
      </c>
      <c r="S251" s="491">
        <f t="shared" si="5"/>
        <v>9.8219773906291913E-4</v>
      </c>
    </row>
    <row r="252" spans="5:19" ht="11.25" customHeight="1" x14ac:dyDescent="0.2">
      <c r="E252" s="483"/>
      <c r="F252" s="483"/>
      <c r="G252" s="482"/>
      <c r="J252" s="482"/>
      <c r="K252" s="482"/>
      <c r="M252" s="497">
        <f>_xll.qlCalendarAdvance(Calendar,M251,"1M","f",,Trigger)</f>
        <v>49688</v>
      </c>
      <c r="N252" s="488">
        <f>_xll.qlCalendarAdvance(Calendar,M252,"3M","mf",,Trigger)</f>
        <v>49780</v>
      </c>
      <c r="O252" s="490" t="str">
        <f>_xll.qlMakeDatedOIS(,M252,N252,OvernightIndex,0,,,,EvaluationDate)</f>
        <v>obj_005a3#0001</v>
      </c>
      <c r="P252" s="490" t="b">
        <f>_xll.qlInstrumentSetPricingEngine(O252,OisEngine)</f>
        <v>1</v>
      </c>
      <c r="Q252" s="489">
        <f>_xll.qlIndexFixing("euribor3m",_xll.qlInterestRateIndexFixingDate("Euribor3M",M252),TRUE,AllTriggers)</f>
        <v>2.3259394054645742E-2</v>
      </c>
      <c r="R252" s="489">
        <f>_xll.qlOvernightIndexedSwapFairRate(O252,AllTriggers)</f>
        <v>2.2304350767359548E-2</v>
      </c>
      <c r="S252" s="491">
        <f t="shared" si="5"/>
        <v>9.55043287286194E-4</v>
      </c>
    </row>
    <row r="253" spans="5:19" ht="11.25" customHeight="1" x14ac:dyDescent="0.2">
      <c r="E253" s="483"/>
      <c r="F253" s="483"/>
      <c r="G253" s="482"/>
      <c r="J253" s="482"/>
      <c r="K253" s="482"/>
      <c r="M253" s="497">
        <f>_xll.qlCalendarAdvance(Calendar,M252,"1M","f",,Trigger)</f>
        <v>49719</v>
      </c>
      <c r="N253" s="488">
        <f>_xll.qlCalendarAdvance(Calendar,M253,"3M","mf",,Trigger)</f>
        <v>49809</v>
      </c>
      <c r="O253" s="490" t="str">
        <f>_xll.qlMakeDatedOIS(,M253,N253,OvernightIndex,0,,,,EvaluationDate)</f>
        <v>obj_005a5#0001</v>
      </c>
      <c r="P253" s="490" t="b">
        <f>_xll.qlInstrumentSetPricingEngine(O253,OisEngine)</f>
        <v>1</v>
      </c>
      <c r="Q253" s="489">
        <f>_xll.qlIndexFixing("euribor3m",_xll.qlInterestRateIndexFixingDate("Euribor3M",M253),TRUE,AllTriggers)</f>
        <v>2.3233551695795995E-2</v>
      </c>
      <c r="R253" s="489">
        <f>_xll.qlOvernightIndexedSwapFairRate(O253,AllTriggers)</f>
        <v>2.2302971542171864E-2</v>
      </c>
      <c r="S253" s="491">
        <f t="shared" si="5"/>
        <v>9.3058015362413107E-4</v>
      </c>
    </row>
    <row r="254" spans="5:19" ht="11.25" customHeight="1" x14ac:dyDescent="0.2">
      <c r="E254" s="483"/>
      <c r="F254" s="483"/>
      <c r="G254" s="482"/>
      <c r="J254" s="482"/>
      <c r="K254" s="482"/>
      <c r="M254" s="497">
        <f>_xll.qlCalendarAdvance(Calendar,M253,"1M","f",,Trigger)</f>
        <v>49748</v>
      </c>
      <c r="N254" s="488">
        <f>_xll.qlCalendarAdvance(Calendar,M254,"3M","mf",,Trigger)</f>
        <v>49842</v>
      </c>
      <c r="O254" s="490" t="str">
        <f>_xll.qlMakeDatedOIS(,M254,N254,OvernightIndex,0,,,,EvaluationDate)</f>
        <v>obj_005a7#0001</v>
      </c>
      <c r="P254" s="490" t="b">
        <f>_xll.qlInstrumentSetPricingEngine(O254,OisEngine)</f>
        <v>1</v>
      </c>
      <c r="Q254" s="489">
        <f>_xll.qlIndexFixing("euribor3m",_xll.qlInterestRateIndexFixingDate("Euribor3M",M254),TRUE,AllTriggers)</f>
        <v>2.3211413518144833E-2</v>
      </c>
      <c r="R254" s="489">
        <f>_xll.qlOvernightIndexedSwapFairRate(O254,AllTriggers)</f>
        <v>2.230573010621998E-2</v>
      </c>
      <c r="S254" s="491">
        <f t="shared" si="5"/>
        <v>9.0568341192485274E-4</v>
      </c>
    </row>
    <row r="255" spans="5:19" ht="11.25" customHeight="1" x14ac:dyDescent="0.2">
      <c r="E255" s="483"/>
      <c r="F255" s="483"/>
      <c r="G255" s="482"/>
      <c r="J255" s="482"/>
      <c r="K255" s="482"/>
      <c r="M255" s="497">
        <f>_xll.qlCalendarAdvance(Calendar,M254,"1M","f",,Trigger)</f>
        <v>49780</v>
      </c>
      <c r="N255" s="488">
        <f>_xll.qlCalendarAdvance(Calendar,M255,"3M","mf",,Trigger)</f>
        <v>49871</v>
      </c>
      <c r="O255" s="490" t="str">
        <f>_xll.qlMakeDatedOIS(,M255,N255,OvernightIndex,0,,,,EvaluationDate)</f>
        <v>obj_005a9#0001</v>
      </c>
      <c r="P255" s="490" t="b">
        <f>_xll.qlInstrumentSetPricingEngine(O255,OisEngine)</f>
        <v>1</v>
      </c>
      <c r="Q255" s="489">
        <f>_xll.qlIndexFixing("euribor3m",_xll.qlInterestRateIndexFixingDate("Euribor3M",M255),TRUE,AllTriggers)</f>
        <v>2.3184477767906071E-2</v>
      </c>
      <c r="R255" s="489">
        <f>_xll.qlOvernightIndexedSwapFairRate(O255,AllTriggers)</f>
        <v>2.2303661140558029E-2</v>
      </c>
      <c r="S255" s="491">
        <f t="shared" si="5"/>
        <v>8.8081662734804111E-4</v>
      </c>
    </row>
    <row r="256" spans="5:19" ht="11.25" customHeight="1" x14ac:dyDescent="0.2">
      <c r="E256" s="483"/>
      <c r="F256" s="483"/>
      <c r="G256" s="482"/>
      <c r="J256" s="482"/>
      <c r="K256" s="482"/>
      <c r="M256" s="497">
        <f>_xll.qlCalendarAdvance(Calendar,M255,"1M","f",,Trigger)</f>
        <v>49810</v>
      </c>
      <c r="N256" s="488">
        <f>_xll.qlCalendarAdvance(Calendar,M256,"3M","mf",,Trigger)</f>
        <v>49902</v>
      </c>
      <c r="O256" s="490" t="str">
        <f>_xll.qlMakeDatedOIS(,M256,N256,OvernightIndex,0,,,,EvaluationDate)</f>
        <v>obj_005ab#0001</v>
      </c>
      <c r="P256" s="490" t="b">
        <f>_xll.qlInstrumentSetPricingEngine(O256,OisEngine)</f>
        <v>1</v>
      </c>
      <c r="Q256" s="489">
        <f>_xll.qlIndexFixing("euribor3m",_xll.qlInterestRateIndexFixingDate("Euribor3M",M256),TRUE,AllTriggers)</f>
        <v>2.31605538423275E-2</v>
      </c>
      <c r="R256" s="489">
        <f>_xll.qlOvernightIndexedSwapFairRate(O256,AllTriggers)</f>
        <v>2.2304350767359551E-2</v>
      </c>
      <c r="S256" s="491">
        <f t="shared" si="5"/>
        <v>8.5620307496794834E-4</v>
      </c>
    </row>
    <row r="257" spans="5:19" ht="11.25" customHeight="1" x14ac:dyDescent="0.2">
      <c r="E257" s="483"/>
      <c r="F257" s="483"/>
      <c r="G257" s="482"/>
      <c r="J257" s="482"/>
      <c r="K257" s="482"/>
      <c r="M257" s="497">
        <f>_xll.qlCalendarAdvance(Calendar,M256,"1M","f",,Trigger)</f>
        <v>49842</v>
      </c>
      <c r="N257" s="488">
        <f>_xll.qlCalendarAdvance(Calendar,M257,"3M","mf",,Trigger)</f>
        <v>49934</v>
      </c>
      <c r="O257" s="490" t="str">
        <f>_xll.qlMakeDatedOIS(,M257,N257,OvernightIndex,0,,,,EvaluationDate)</f>
        <v>obj_005ac#0001</v>
      </c>
      <c r="P257" s="490" t="b">
        <f>_xll.qlInstrumentSetPricingEngine(O257,OisEngine)</f>
        <v>1</v>
      </c>
      <c r="Q257" s="489">
        <f>_xll.qlIndexFixing("euribor3m",_xll.qlInterestRateIndexFixingDate("Euribor3M",M257),TRUE,AllTriggers)</f>
        <v>2.3134700565519431E-2</v>
      </c>
      <c r="R257" s="489">
        <f>_xll.qlOvernightIndexedSwapFairRate(O257,AllTriggers)</f>
        <v>2.2304350767359551E-2</v>
      </c>
      <c r="S257" s="491">
        <f t="shared" si="5"/>
        <v>8.3034979815987953E-4</v>
      </c>
    </row>
    <row r="258" spans="5:19" ht="11.25" customHeight="1" x14ac:dyDescent="0.2">
      <c r="E258" s="483"/>
      <c r="F258" s="483"/>
      <c r="G258" s="482"/>
      <c r="J258" s="482"/>
      <c r="K258" s="482"/>
      <c r="M258" s="497">
        <f>_xll.qlCalendarAdvance(Calendar,M257,"1M","f",,Trigger)</f>
        <v>49872</v>
      </c>
      <c r="N258" s="488">
        <f>_xll.qlCalendarAdvance(Calendar,M258,"3M","mf",,Trigger)</f>
        <v>49964</v>
      </c>
      <c r="O258" s="490" t="str">
        <f>_xll.qlMakeDatedOIS(,M258,N258,OvernightIndex,0,,,,EvaluationDate)</f>
        <v>obj_005ad#0001</v>
      </c>
      <c r="P258" s="490" t="b">
        <f>_xll.qlInstrumentSetPricingEngine(O258,OisEngine)</f>
        <v>1</v>
      </c>
      <c r="Q258" s="489">
        <f>_xll.qlIndexFixing("euribor3m",_xll.qlInterestRateIndexFixingDate("Euribor3M",M258),TRUE,AllTriggers)</f>
        <v>2.3110490302167084E-2</v>
      </c>
      <c r="R258" s="489">
        <f>_xll.qlOvernightIndexedSwapFairRate(O258,AllTriggers)</f>
        <v>2.2304350767360422E-2</v>
      </c>
      <c r="S258" s="491">
        <f t="shared" si="5"/>
        <v>8.0613953480666162E-4</v>
      </c>
    </row>
    <row r="259" spans="5:19" ht="11.25" customHeight="1" x14ac:dyDescent="0.2">
      <c r="E259" s="483"/>
      <c r="F259" s="483"/>
      <c r="G259" s="482"/>
      <c r="J259" s="482"/>
      <c r="K259" s="482"/>
      <c r="M259" s="497">
        <f>_xll.qlCalendarAdvance(Calendar,M258,"1M","f",,Trigger)</f>
        <v>49905</v>
      </c>
      <c r="N259" s="488">
        <f>_xll.qlCalendarAdvance(Calendar,M259,"3M","mf",,Trigger)</f>
        <v>49997</v>
      </c>
      <c r="O259" s="490" t="str">
        <f>_xll.qlMakeDatedOIS(,M259,N259,OvernightIndex,0,,,,EvaluationDate)</f>
        <v>obj_005af#0001</v>
      </c>
      <c r="P259" s="490" t="b">
        <f>_xll.qlInstrumentSetPricingEngine(O259,OisEngine)</f>
        <v>1</v>
      </c>
      <c r="Q259" s="489">
        <f>_xll.qlIndexFixing("euribor3m",_xll.qlInterestRateIndexFixingDate("Euribor3M",M259),TRUE,AllTriggers)</f>
        <v>2.3083889396201301E-2</v>
      </c>
      <c r="R259" s="489">
        <f>_xll.qlOvernightIndexedSwapFairRate(O259,AllTriggers)</f>
        <v>2.2304350767359551E-2</v>
      </c>
      <c r="S259" s="491">
        <f t="shared" ref="S259:S322" si="6">Q259-R259</f>
        <v>7.7953862884174926E-4</v>
      </c>
    </row>
    <row r="260" spans="5:19" ht="11.25" customHeight="1" x14ac:dyDescent="0.2">
      <c r="E260" s="483"/>
      <c r="F260" s="483"/>
      <c r="G260" s="482"/>
      <c r="J260" s="482"/>
      <c r="K260" s="482"/>
      <c r="M260" s="497">
        <f>_xll.qlCalendarAdvance(Calendar,M259,"1M","f",,Trigger)</f>
        <v>49936</v>
      </c>
      <c r="N260" s="488">
        <f>_xll.qlCalendarAdvance(Calendar,M260,"3M","mf",,Trigger)</f>
        <v>50027</v>
      </c>
      <c r="O260" s="490" t="str">
        <f>_xll.qlMakeDatedOIS(,M260,N260,OvernightIndex,0,,,,EvaluationDate)</f>
        <v>obj_005b1#0001</v>
      </c>
      <c r="P260" s="490" t="b">
        <f>_xll.qlInstrumentSetPricingEngine(O260,OisEngine)</f>
        <v>1</v>
      </c>
      <c r="Q260" s="489">
        <f>_xll.qlIndexFixing("euribor3m",_xll.qlInterestRateIndexFixingDate("Euribor3M",M260),TRUE,AllTriggers)</f>
        <v>2.3058594737398404E-2</v>
      </c>
      <c r="R260" s="489">
        <f>_xll.qlOvernightIndexedSwapFairRate(O260,AllTriggers)</f>
        <v>2.2303661140557145E-2</v>
      </c>
      <c r="S260" s="491">
        <f t="shared" si="6"/>
        <v>7.5493359684125974E-4</v>
      </c>
    </row>
    <row r="261" spans="5:19" ht="11.25" customHeight="1" x14ac:dyDescent="0.2">
      <c r="E261" s="483"/>
      <c r="F261" s="483"/>
      <c r="G261" s="482"/>
      <c r="J261" s="482"/>
      <c r="K261" s="482"/>
      <c r="M261" s="497">
        <f>_xll.qlCalendarAdvance(Calendar,M260,"1M","f",,Trigger)</f>
        <v>49968</v>
      </c>
      <c r="N261" s="488">
        <f>_xll.qlCalendarAdvance(Calendar,M261,"3M","mf",,Trigger)</f>
        <v>50060</v>
      </c>
      <c r="O261" s="490" t="str">
        <f>_xll.qlMakeDatedOIS(,M261,N261,OvernightIndex,0,,,,EvaluationDate)</f>
        <v>obj_005b2#0001</v>
      </c>
      <c r="P261" s="490" t="b">
        <f>_xll.qlInstrumentSetPricingEngine(O261,OisEngine)</f>
        <v>1</v>
      </c>
      <c r="Q261" s="489">
        <f>_xll.qlIndexFixing("euribor3m",_xll.qlInterestRateIndexFixingDate("Euribor3M",M261),TRUE,AllTriggers)</f>
        <v>2.3033194235187002E-2</v>
      </c>
      <c r="R261" s="489">
        <f>_xll.qlOvernightIndexedSwapFairRate(O261,AllTriggers)</f>
        <v>2.2304350767359548E-2</v>
      </c>
      <c r="S261" s="491">
        <f t="shared" si="6"/>
        <v>7.2884346782745371E-4</v>
      </c>
    </row>
    <row r="262" spans="5:19" ht="11.25" customHeight="1" x14ac:dyDescent="0.2">
      <c r="E262" s="483"/>
      <c r="F262" s="483"/>
      <c r="G262" s="482"/>
      <c r="J262" s="482"/>
      <c r="K262" s="482"/>
      <c r="M262" s="497">
        <f>_xll.qlCalendarAdvance(Calendar,M261,"1M","f",,Trigger)</f>
        <v>49999</v>
      </c>
      <c r="N262" s="488">
        <f>_xll.qlCalendarAdvance(Calendar,M262,"3M","mf",,Trigger)</f>
        <v>50091</v>
      </c>
      <c r="O262" s="490" t="str">
        <f>_xll.qlMakeDatedOIS(,M262,N262,OvernightIndex,0,,,,EvaluationDate)</f>
        <v>obj_005b4#0001</v>
      </c>
      <c r="P262" s="490" t="b">
        <f>_xll.qlInstrumentSetPricingEngine(O262,OisEngine)</f>
        <v>1</v>
      </c>
      <c r="Q262" s="489">
        <f>_xll.qlIndexFixing("euribor3m",_xll.qlInterestRateIndexFixingDate("Euribor3M",M262),TRUE,AllTriggers)</f>
        <v>2.3008291581931854E-2</v>
      </c>
      <c r="R262" s="489">
        <f>_xll.qlOvernightIndexedSwapFairRate(O262,AllTriggers)</f>
        <v>2.2304350767359551E-2</v>
      </c>
      <c r="S262" s="491">
        <f t="shared" si="6"/>
        <v>7.0394081457230209E-4</v>
      </c>
    </row>
    <row r="263" spans="5:19" ht="11.25" customHeight="1" x14ac:dyDescent="0.2">
      <c r="E263" s="483"/>
      <c r="F263" s="483"/>
      <c r="G263" s="482"/>
      <c r="J263" s="482"/>
      <c r="K263" s="482"/>
      <c r="M263" s="497">
        <f>_xll.qlCalendarAdvance(Calendar,M262,"1M","f",,Trigger)</f>
        <v>50031</v>
      </c>
      <c r="N263" s="488">
        <f>_xll.qlCalendarAdvance(Calendar,M263,"3M","mf",,Trigger)</f>
        <v>50122</v>
      </c>
      <c r="O263" s="490" t="str">
        <f>_xll.qlMakeDatedOIS(,M263,N263,OvernightIndex,0,,,,EvaluationDate)</f>
        <v>obj_005b6#0001</v>
      </c>
      <c r="P263" s="490" t="b">
        <f>_xll.qlInstrumentSetPricingEngine(O263,OisEngine)</f>
        <v>1</v>
      </c>
      <c r="Q263" s="489">
        <f>_xll.qlIndexFixing("euribor3m",_xll.qlInterestRateIndexFixingDate("Euribor3M",M263),TRUE,AllTriggers)</f>
        <v>2.2982283631761656E-2</v>
      </c>
      <c r="R263" s="489">
        <f>_xll.qlOvernightIndexedSwapFairRate(O263,AllTriggers)</f>
        <v>2.2303661140557148E-2</v>
      </c>
      <c r="S263" s="491">
        <f t="shared" si="6"/>
        <v>6.7862249120450788E-4</v>
      </c>
    </row>
    <row r="264" spans="5:19" ht="11.25" customHeight="1" x14ac:dyDescent="0.2">
      <c r="E264" s="483"/>
      <c r="F264" s="483"/>
      <c r="G264" s="482"/>
      <c r="J264" s="482"/>
      <c r="K264" s="482"/>
      <c r="M264" s="497">
        <f>_xll.qlCalendarAdvance(Calendar,M263,"1M","f",,Trigger)</f>
        <v>50062</v>
      </c>
      <c r="N264" s="488">
        <f>_xll.qlCalendarAdvance(Calendar,M264,"3M","mf",,Trigger)</f>
        <v>50152</v>
      </c>
      <c r="O264" s="490" t="str">
        <f>_xll.qlMakeDatedOIS(,M264,N264,OvernightIndex,0,,,,EvaluationDate)</f>
        <v>obj_005b8#0001</v>
      </c>
      <c r="P264" s="490" t="b">
        <f>_xll.qlInstrumentSetPricingEngine(O264,OisEngine)</f>
        <v>1</v>
      </c>
      <c r="Q264" s="489">
        <f>_xll.qlIndexFixing("euribor3m",_xll.qlInterestRateIndexFixingDate("Euribor3M",M264),TRUE,AllTriggers)</f>
        <v>2.2957108857019293E-2</v>
      </c>
      <c r="R264" s="489">
        <f>_xll.qlOvernightIndexedSwapFairRate(O264,AllTriggers)</f>
        <v>2.230297154217098E-2</v>
      </c>
      <c r="S264" s="491">
        <f t="shared" si="6"/>
        <v>6.5413731484831317E-4</v>
      </c>
    </row>
    <row r="265" spans="5:19" ht="11.25" customHeight="1" x14ac:dyDescent="0.2">
      <c r="E265" s="483"/>
      <c r="F265" s="483"/>
      <c r="G265" s="482"/>
      <c r="J265" s="482"/>
      <c r="K265" s="482"/>
      <c r="M265" s="497">
        <f>_xll.qlCalendarAdvance(Calendar,M264,"1M","f",,Trigger)</f>
        <v>50094</v>
      </c>
      <c r="N265" s="488">
        <f>_xll.qlCalendarAdvance(Calendar,M265,"3M","mf",,Trigger)</f>
        <v>50185</v>
      </c>
      <c r="O265" s="490" t="str">
        <f>_xll.qlMakeDatedOIS(,M265,N265,OvernightIndex,0,,,,EvaluationDate)</f>
        <v>obj_005ba#0001</v>
      </c>
      <c r="P265" s="490" t="b">
        <f>_xll.qlInstrumentSetPricingEngine(O265,OisEngine)</f>
        <v>1</v>
      </c>
      <c r="Q265" s="489">
        <f>_xll.qlIndexFixing("euribor3m",_xll.qlInterestRateIndexFixingDate("Euribor3M",M265),TRUE,AllTriggers)</f>
        <v>2.29318227620284E-2</v>
      </c>
      <c r="R265" s="489">
        <f>_xll.qlOvernightIndexedSwapFairRate(O265,AllTriggers)</f>
        <v>2.2303661140558029E-2</v>
      </c>
      <c r="S265" s="491">
        <f t="shared" si="6"/>
        <v>6.281616214703703E-4</v>
      </c>
    </row>
    <row r="266" spans="5:19" ht="11.25" customHeight="1" x14ac:dyDescent="0.2">
      <c r="E266" s="483"/>
      <c r="F266" s="483"/>
      <c r="G266" s="482"/>
      <c r="J266" s="482"/>
      <c r="K266" s="482"/>
      <c r="M266" s="497">
        <f>_xll.qlCalendarAdvance(Calendar,M265,"1M","f",,Trigger)</f>
        <v>50122</v>
      </c>
      <c r="N266" s="488">
        <f>_xll.qlCalendarAdvance(Calendar,M266,"3M","mf",,Trigger)</f>
        <v>50214</v>
      </c>
      <c r="O266" s="490" t="str">
        <f>_xll.qlMakeDatedOIS(,M266,N266,OvernightIndex,0,,,,EvaluationDate)</f>
        <v>obj_005bc#0001</v>
      </c>
      <c r="P266" s="490" t="b">
        <f>_xll.qlInstrumentSetPricingEngine(O266,OisEngine)</f>
        <v>1</v>
      </c>
      <c r="Q266" s="489">
        <f>_xll.qlIndexFixing("euribor3m",_xll.qlInterestRateIndexFixingDate("Euribor3M",M266),TRUE,AllTriggers)</f>
        <v>2.2909761083291794E-2</v>
      </c>
      <c r="R266" s="489">
        <f>_xll.qlOvernightIndexedSwapFairRate(O266,AllTriggers)</f>
        <v>2.2304350767359548E-2</v>
      </c>
      <c r="S266" s="491">
        <f t="shared" si="6"/>
        <v>6.0541031593224631E-4</v>
      </c>
    </row>
    <row r="267" spans="5:19" ht="11.25" customHeight="1" x14ac:dyDescent="0.2">
      <c r="E267" s="483"/>
      <c r="F267" s="483"/>
      <c r="G267" s="482"/>
      <c r="J267" s="482"/>
      <c r="K267" s="482"/>
      <c r="M267" s="497">
        <f>_xll.qlCalendarAdvance(Calendar,M266,"1M","f",,Trigger)</f>
        <v>50153</v>
      </c>
      <c r="N267" s="488">
        <f>_xll.qlCalendarAdvance(Calendar,M267,"3M","mf",,Trigger)</f>
        <v>50244</v>
      </c>
      <c r="O267" s="490" t="str">
        <f>_xll.qlMakeDatedOIS(,M267,N267,OvernightIndex,0,,,,EvaluationDate)</f>
        <v>obj_005be#0001</v>
      </c>
      <c r="P267" s="490" t="b">
        <f>_xll.qlInstrumentSetPricingEngine(O267,OisEngine)</f>
        <v>1</v>
      </c>
      <c r="Q267" s="489">
        <f>_xll.qlIndexFixing("euribor3m",_xll.qlInterestRateIndexFixingDate("Euribor3M",M267),TRUE,AllTriggers)</f>
        <v>2.2884670925715167E-2</v>
      </c>
      <c r="R267" s="489">
        <f>_xll.qlOvernightIndexedSwapFairRate(O267,AllTriggers)</f>
        <v>2.2303661140557152E-2</v>
      </c>
      <c r="S267" s="491">
        <f t="shared" si="6"/>
        <v>5.8100978515801538E-4</v>
      </c>
    </row>
    <row r="268" spans="5:19" ht="11.25" customHeight="1" x14ac:dyDescent="0.2">
      <c r="E268" s="483"/>
      <c r="F268" s="483"/>
      <c r="G268" s="482"/>
      <c r="J268" s="482"/>
      <c r="K268" s="482"/>
      <c r="M268" s="497">
        <f>_xll.qlCalendarAdvance(Calendar,M267,"1M","f",,Trigger)</f>
        <v>50185</v>
      </c>
      <c r="N268" s="488">
        <f>_xll.qlCalendarAdvance(Calendar,M268,"3M","mf",,Trigger)</f>
        <v>50277</v>
      </c>
      <c r="O268" s="490" t="str">
        <f>_xll.qlMakeDatedOIS(,M268,N268,OvernightIndex,0,,,,EvaluationDate)</f>
        <v>obj_005c0#0001</v>
      </c>
      <c r="P268" s="490" t="b">
        <f>_xll.qlInstrumentSetPricingEngine(O268,OisEngine)</f>
        <v>1</v>
      </c>
      <c r="Q268" s="489">
        <f>_xll.qlIndexFixing("euribor3m",_xll.qlInterestRateIndexFixingDate("Euribor3M",M268),TRUE,AllTriggers)</f>
        <v>2.2859465472315769E-2</v>
      </c>
      <c r="R268" s="489">
        <f>_xll.qlOvernightIndexedSwapFairRate(O268,AllTriggers)</f>
        <v>2.2304350767359551E-2</v>
      </c>
      <c r="S268" s="491">
        <f t="shared" si="6"/>
        <v>5.5511470495621731E-4</v>
      </c>
    </row>
    <row r="269" spans="5:19" ht="11.25" customHeight="1" x14ac:dyDescent="0.2">
      <c r="E269" s="483"/>
      <c r="F269" s="483"/>
      <c r="G269" s="482"/>
      <c r="J269" s="482"/>
      <c r="K269" s="482"/>
      <c r="M269" s="497">
        <f>_xll.qlCalendarAdvance(Calendar,M268,"1M","f",,Trigger)</f>
        <v>50216</v>
      </c>
      <c r="N269" s="488">
        <f>_xll.qlCalendarAdvance(Calendar,M269,"3M","mf",,Trigger)</f>
        <v>50308</v>
      </c>
      <c r="O269" s="490" t="str">
        <f>_xll.qlMakeDatedOIS(,M269,N269,OvernightIndex,0,,,,EvaluationDate)</f>
        <v>obj_005c2#0001</v>
      </c>
      <c r="P269" s="490" t="b">
        <f>_xll.qlInstrumentSetPricingEngine(O269,OisEngine)</f>
        <v>1</v>
      </c>
      <c r="Q269" s="489">
        <f>_xll.qlIndexFixing("euribor3m",_xll.qlInterestRateIndexFixingDate("Euribor3M",M269),TRUE,AllTriggers)</f>
        <v>2.2834759417428636E-2</v>
      </c>
      <c r="R269" s="489">
        <f>_xll.qlOvernightIndexedSwapFairRate(O269,AllTriggers)</f>
        <v>2.2304350767359551E-2</v>
      </c>
      <c r="S269" s="491">
        <f t="shared" si="6"/>
        <v>5.3040865006908494E-4</v>
      </c>
    </row>
    <row r="270" spans="5:19" ht="11.25" customHeight="1" x14ac:dyDescent="0.2">
      <c r="E270" s="483"/>
      <c r="F270" s="483"/>
      <c r="G270" s="482"/>
      <c r="J270" s="482"/>
      <c r="K270" s="482"/>
      <c r="M270" s="497">
        <f>_xll.qlCalendarAdvance(Calendar,M269,"1M","f",,Trigger)</f>
        <v>50248</v>
      </c>
      <c r="N270" s="488">
        <f>_xll.qlCalendarAdvance(Calendar,M270,"3M","mf",,Trigger)</f>
        <v>50340</v>
      </c>
      <c r="O270" s="490" t="str">
        <f>_xll.qlMakeDatedOIS(,M270,N270,OvernightIndex,0,,,,EvaluationDate)</f>
        <v>obj_005c4#0001</v>
      </c>
      <c r="P270" s="490" t="b">
        <f>_xll.qlInstrumentSetPricingEngine(O270,OisEngine)</f>
        <v>1</v>
      </c>
      <c r="Q270" s="489">
        <f>_xll.qlIndexFixing("euribor3m",_xll.qlInterestRateIndexFixingDate("Euribor3M",M270),TRUE,AllTriggers)</f>
        <v>2.280928584987504E-2</v>
      </c>
      <c r="R270" s="489">
        <f>_xll.qlOvernightIndexedSwapFairRate(O270,AllTriggers)</f>
        <v>2.2304350767359551E-2</v>
      </c>
      <c r="S270" s="491">
        <f t="shared" si="6"/>
        <v>5.0493508251548899E-4</v>
      </c>
    </row>
    <row r="271" spans="5:19" ht="11.25" customHeight="1" x14ac:dyDescent="0.2">
      <c r="E271" s="483"/>
      <c r="F271" s="483"/>
      <c r="G271" s="482"/>
      <c r="J271" s="482"/>
      <c r="K271" s="482"/>
      <c r="M271" s="497">
        <f>_xll.qlCalendarAdvance(Calendar,M270,"1M","f",,Trigger)</f>
        <v>50279</v>
      </c>
      <c r="N271" s="488">
        <f>_xll.qlCalendarAdvance(Calendar,M271,"3M","mf",,Trigger)</f>
        <v>50371</v>
      </c>
      <c r="O271" s="490" t="str">
        <f>_xll.qlMakeDatedOIS(,M271,N271,OvernightIndex,0,,,,EvaluationDate)</f>
        <v>obj_005c6#0001</v>
      </c>
      <c r="P271" s="490" t="b">
        <f>_xll.qlInstrumentSetPricingEngine(O271,OisEngine)</f>
        <v>1</v>
      </c>
      <c r="Q271" s="489">
        <f>_xll.qlIndexFixing("euribor3m",_xll.qlInterestRateIndexFixingDate("Euribor3M",M271),TRUE,AllTriggers)</f>
        <v>2.2784636867087999E-2</v>
      </c>
      <c r="R271" s="489">
        <f>_xll.qlOvernightIndexedSwapFairRate(O271,AllTriggers)</f>
        <v>2.2304350767359555E-2</v>
      </c>
      <c r="S271" s="491">
        <f t="shared" si="6"/>
        <v>4.8028609972844416E-4</v>
      </c>
    </row>
    <row r="272" spans="5:19" ht="11.25" customHeight="1" x14ac:dyDescent="0.2">
      <c r="E272" s="483"/>
      <c r="F272" s="483"/>
      <c r="G272" s="482"/>
      <c r="J272" s="482"/>
      <c r="K272" s="482"/>
      <c r="M272" s="497">
        <f>_xll.qlCalendarAdvance(Calendar,M271,"1M","f",,Trigger)</f>
        <v>50311</v>
      </c>
      <c r="N272" s="488">
        <f>_xll.qlCalendarAdvance(Calendar,M272,"3M","mf",,Trigger)</f>
        <v>50402</v>
      </c>
      <c r="O272" s="490" t="str">
        <f>_xll.qlMakeDatedOIS(,M272,N272,OvernightIndex,0,,,,EvaluationDate)</f>
        <v>obj_005c8#0001</v>
      </c>
      <c r="P272" s="490" t="b">
        <f>_xll.qlInstrumentSetPricingEngine(O272,OisEngine)</f>
        <v>1</v>
      </c>
      <c r="Q272" s="489">
        <f>_xll.qlIndexFixing("euribor3m",_xll.qlInterestRateIndexFixingDate("Euribor3M",M272),TRUE,AllTriggers)</f>
        <v>2.2758900824937246E-2</v>
      </c>
      <c r="R272" s="489">
        <f>_xll.qlOvernightIndexedSwapFairRate(O272,AllTriggers)</f>
        <v>2.2303661140558029E-2</v>
      </c>
      <c r="S272" s="491">
        <f t="shared" si="6"/>
        <v>4.5523968437921614E-4</v>
      </c>
    </row>
    <row r="273" spans="5:19" ht="11.25" customHeight="1" x14ac:dyDescent="0.2">
      <c r="E273" s="483"/>
      <c r="F273" s="483"/>
      <c r="G273" s="482"/>
      <c r="J273" s="482"/>
      <c r="K273" s="482"/>
      <c r="M273" s="497">
        <f>_xll.qlCalendarAdvance(Calendar,M272,"1M","f",,Trigger)</f>
        <v>50341</v>
      </c>
      <c r="N273" s="488">
        <f>_xll.qlCalendarAdvance(Calendar,M273,"3M","mf",,Trigger)</f>
        <v>50433</v>
      </c>
      <c r="O273" s="490" t="str">
        <f>_xll.qlMakeDatedOIS(,M273,N273,OvernightIndex,0,,,,EvaluationDate)</f>
        <v>obj_005ca#0001</v>
      </c>
      <c r="P273" s="490" t="b">
        <f>_xll.qlInstrumentSetPricingEngine(O273,OisEngine)</f>
        <v>1</v>
      </c>
      <c r="Q273" s="489">
        <f>_xll.qlIndexFixing("euribor3m",_xll.qlInterestRateIndexFixingDate("Euribor3M",M273),TRUE,AllTriggers)</f>
        <v>2.273542314788727E-2</v>
      </c>
      <c r="R273" s="489">
        <f>_xll.qlOvernightIndexedSwapFairRate(O273,AllTriggers)</f>
        <v>2.2304350767360419E-2</v>
      </c>
      <c r="S273" s="491">
        <f t="shared" si="6"/>
        <v>4.3107238052685071E-4</v>
      </c>
    </row>
    <row r="274" spans="5:19" ht="11.25" customHeight="1" x14ac:dyDescent="0.2">
      <c r="E274" s="483"/>
      <c r="F274" s="483"/>
      <c r="G274" s="482"/>
      <c r="J274" s="482"/>
      <c r="K274" s="482"/>
      <c r="M274" s="497">
        <f>_xll.qlCalendarAdvance(Calendar,M273,"1M","f",,Trigger)</f>
        <v>50374</v>
      </c>
      <c r="N274" s="488">
        <f>_xll.qlCalendarAdvance(Calendar,M274,"3M","mf",,Trigger)</f>
        <v>50462</v>
      </c>
      <c r="O274" s="490" t="str">
        <f>_xll.qlMakeDatedOIS(,M274,N274,OvernightIndex,0,,,,EvaluationDate)</f>
        <v>obj_005cc#0001</v>
      </c>
      <c r="P274" s="490" t="b">
        <f>_xll.qlInstrumentSetPricingEngine(O274,OisEngine)</f>
        <v>1</v>
      </c>
      <c r="Q274" s="489">
        <f>_xll.qlIndexFixing("euribor3m",_xll.qlInterestRateIndexFixingDate("Euribor3M",M274),TRUE,AllTriggers)</f>
        <v>2.2707997844745309E-2</v>
      </c>
      <c r="R274" s="489">
        <f>_xll.qlOvernightIndexedSwapFairRate(O274,AllTriggers)</f>
        <v>2.2301592430642656E-2</v>
      </c>
      <c r="S274" s="491">
        <f t="shared" si="6"/>
        <v>4.0640541410265352E-4</v>
      </c>
    </row>
    <row r="275" spans="5:19" ht="11.25" customHeight="1" x14ac:dyDescent="0.2">
      <c r="E275" s="483"/>
      <c r="F275" s="483"/>
      <c r="G275" s="482"/>
      <c r="J275" s="482"/>
      <c r="K275" s="482"/>
      <c r="M275" s="497">
        <f>_xll.qlCalendarAdvance(Calendar,M274,"1M","f",,Trigger)</f>
        <v>50404</v>
      </c>
      <c r="N275" s="488">
        <f>_xll.qlCalendarAdvance(Calendar,M275,"3M","mf",,Trigger)</f>
        <v>50494</v>
      </c>
      <c r="O275" s="490" t="str">
        <f>_xll.qlMakeDatedOIS(,M275,N275,OvernightIndex,0,,,,EvaluationDate)</f>
        <v>obj_005ce#0001</v>
      </c>
      <c r="P275" s="490" t="b">
        <f>_xll.qlInstrumentSetPricingEngine(O275,OisEngine)</f>
        <v>1</v>
      </c>
      <c r="Q275" s="489">
        <f>_xll.qlIndexFixing("euribor3m",_xll.qlInterestRateIndexFixingDate("Euribor3M",M275),TRUE,AllTriggers)</f>
        <v>2.268489449098432E-2</v>
      </c>
      <c r="R275" s="489">
        <f>_xll.qlOvernightIndexedSwapFairRate(O275,AllTriggers)</f>
        <v>2.230297154217098E-2</v>
      </c>
      <c r="S275" s="491">
        <f t="shared" si="6"/>
        <v>3.8192294881334021E-4</v>
      </c>
    </row>
    <row r="276" spans="5:19" ht="11.25" customHeight="1" x14ac:dyDescent="0.2">
      <c r="E276" s="483"/>
      <c r="F276" s="483"/>
      <c r="G276" s="482"/>
      <c r="J276" s="482"/>
      <c r="K276" s="482"/>
      <c r="M276" s="497">
        <f>_xll.qlCalendarAdvance(Calendar,M275,"1M","f",,Trigger)</f>
        <v>50437</v>
      </c>
      <c r="N276" s="488">
        <f>_xll.qlCalendarAdvance(Calendar,M276,"3M","mf",,Trigger)</f>
        <v>50528</v>
      </c>
      <c r="O276" s="490" t="str">
        <f>_xll.qlMakeDatedOIS(,M276,N276,OvernightIndex,0,,,,EvaluationDate)</f>
        <v>obj_005d0#0001</v>
      </c>
      <c r="P276" s="490" t="b">
        <f>_xll.qlInstrumentSetPricingEngine(O276,OisEngine)</f>
        <v>1</v>
      </c>
      <c r="Q276" s="489">
        <f>_xll.qlIndexFixing("euribor3m",_xll.qlInterestRateIndexFixingDate("Euribor3M",M276),TRUE,AllTriggers)</f>
        <v>2.2659125918191834E-2</v>
      </c>
      <c r="R276" s="489">
        <f>_xll.qlOvernightIndexedSwapFairRate(O276,AllTriggers)</f>
        <v>2.2303661140557152E-2</v>
      </c>
      <c r="S276" s="491">
        <f t="shared" si="6"/>
        <v>3.5546477763468212E-4</v>
      </c>
    </row>
    <row r="277" spans="5:19" ht="11.25" customHeight="1" x14ac:dyDescent="0.2">
      <c r="E277" s="483"/>
      <c r="F277" s="483"/>
      <c r="G277" s="482"/>
      <c r="J277" s="482"/>
      <c r="K277" s="482"/>
      <c r="M277" s="497">
        <f>_xll.qlCalendarAdvance(Calendar,M276,"1M","f",,Trigger)</f>
        <v>50465</v>
      </c>
      <c r="N277" s="488">
        <f>_xll.qlCalendarAdvance(Calendar,M277,"3M","mf",,Trigger)</f>
        <v>50557</v>
      </c>
      <c r="O277" s="490" t="str">
        <f>_xll.qlMakeDatedOIS(,M277,N277,OvernightIndex,0,,,,EvaluationDate)</f>
        <v>obj_005d2#0001</v>
      </c>
      <c r="P277" s="490" t="b">
        <f>_xll.qlInstrumentSetPricingEngine(O277,OisEngine)</f>
        <v>1</v>
      </c>
      <c r="Q277" s="489">
        <f>_xll.qlIndexFixing("euribor3m",_xll.qlInterestRateIndexFixingDate("Euribor3M",M277),TRUE,AllTriggers)</f>
        <v>2.2637332680301415E-2</v>
      </c>
      <c r="R277" s="489">
        <f>_xll.qlOvernightIndexedSwapFairRate(O277,AllTriggers)</f>
        <v>2.2304350767359551E-2</v>
      </c>
      <c r="S277" s="491">
        <f t="shared" si="6"/>
        <v>3.3298191294186402E-4</v>
      </c>
    </row>
    <row r="278" spans="5:19" ht="11.25" customHeight="1" x14ac:dyDescent="0.2">
      <c r="E278" s="483"/>
      <c r="F278" s="483"/>
      <c r="G278" s="482"/>
      <c r="J278" s="482"/>
      <c r="K278" s="482"/>
      <c r="M278" s="497">
        <f>_xll.qlCalendarAdvance(Calendar,M277,"1M","f",,Trigger)</f>
        <v>50496</v>
      </c>
      <c r="N278" s="488">
        <f>_xll.qlCalendarAdvance(Calendar,M278,"3M","mf",,Trigger)</f>
        <v>50587</v>
      </c>
      <c r="O278" s="490" t="str">
        <f>_xll.qlMakeDatedOIS(,M278,N278,OvernightIndex,0,,,,EvaluationDate)</f>
        <v>obj_005d4#0001</v>
      </c>
      <c r="P278" s="490" t="b">
        <f>_xll.qlInstrumentSetPricingEngine(O278,OisEngine)</f>
        <v>1</v>
      </c>
      <c r="Q278" s="489">
        <f>_xll.qlIndexFixing("euribor3m",_xll.qlInterestRateIndexFixingDate("Euribor3M",M278),TRUE,AllTriggers)</f>
        <v>2.2612565368587866E-2</v>
      </c>
      <c r="R278" s="489">
        <f>_xll.qlOvernightIndexedSwapFairRate(O278,AllTriggers)</f>
        <v>2.2303661140557152E-2</v>
      </c>
      <c r="S278" s="491">
        <f t="shared" si="6"/>
        <v>3.0890422803071457E-4</v>
      </c>
    </row>
    <row r="279" spans="5:19" ht="11.25" customHeight="1" x14ac:dyDescent="0.2">
      <c r="E279" s="483"/>
      <c r="F279" s="483"/>
      <c r="G279" s="482"/>
      <c r="J279" s="482"/>
      <c r="K279" s="482"/>
      <c r="M279" s="497">
        <f>_xll.qlCalendarAdvance(Calendar,M278,"1M","f",,Trigger)</f>
        <v>50528</v>
      </c>
      <c r="N279" s="488">
        <f>_xll.qlCalendarAdvance(Calendar,M279,"3M","mf",,Trigger)</f>
        <v>50620</v>
      </c>
      <c r="O279" s="490" t="str">
        <f>_xll.qlMakeDatedOIS(,M279,N279,OvernightIndex,0,,,,EvaluationDate)</f>
        <v>obj_005d6#0001</v>
      </c>
      <c r="P279" s="490" t="b">
        <f>_xll.qlInstrumentSetPricingEngine(O279,OisEngine)</f>
        <v>1</v>
      </c>
      <c r="Q279" s="489">
        <f>_xll.qlIndexFixing("euribor3m",_xll.qlInterestRateIndexFixingDate("Euribor3M",M279),TRUE,AllTriggers)</f>
        <v>2.2587668509128443E-2</v>
      </c>
      <c r="R279" s="489">
        <f>_xll.qlOvernightIndexedSwapFairRate(O279,AllTriggers)</f>
        <v>2.2304350767360419E-2</v>
      </c>
      <c r="S279" s="491">
        <f t="shared" si="6"/>
        <v>2.8331774176802368E-4</v>
      </c>
    </row>
    <row r="280" spans="5:19" ht="11.25" customHeight="1" x14ac:dyDescent="0.2">
      <c r="E280" s="483"/>
      <c r="F280" s="483"/>
      <c r="G280" s="482"/>
      <c r="J280" s="482"/>
      <c r="K280" s="482"/>
      <c r="M280" s="497">
        <f>_xll.qlCalendarAdvance(Calendar,M279,"1M","f",,Trigger)</f>
        <v>50559</v>
      </c>
      <c r="N280" s="488">
        <f>_xll.qlCalendarAdvance(Calendar,M280,"3M","mf",,Trigger)</f>
        <v>50651</v>
      </c>
      <c r="O280" s="490" t="str">
        <f>_xll.qlMakeDatedOIS(,M280,N280,OvernightIndex,0,,,,EvaluationDate)</f>
        <v>obj_005d8#0001</v>
      </c>
      <c r="P280" s="490" t="b">
        <f>_xll.qlInstrumentSetPricingEngine(O280,OisEngine)</f>
        <v>1</v>
      </c>
      <c r="Q280" s="489">
        <f>_xll.qlIndexFixing("euribor3m",_xll.qlInterestRateIndexFixingDate("Euribor3M",M280),TRUE,AllTriggers)</f>
        <v>2.2563273153923816E-2</v>
      </c>
      <c r="R280" s="489">
        <f>_xll.qlOvernightIndexedSwapFairRate(O280,AllTriggers)</f>
        <v>2.2304350767359548E-2</v>
      </c>
      <c r="S280" s="491">
        <f t="shared" si="6"/>
        <v>2.5892238656426841E-4</v>
      </c>
    </row>
    <row r="281" spans="5:19" ht="11.25" customHeight="1" x14ac:dyDescent="0.2">
      <c r="E281" s="483"/>
      <c r="F281" s="483"/>
      <c r="G281" s="482"/>
      <c r="J281" s="482"/>
      <c r="K281" s="482"/>
      <c r="M281" s="497">
        <f>_xll.qlCalendarAdvance(Calendar,M280,"1M","f",,Trigger)</f>
        <v>50591</v>
      </c>
      <c r="N281" s="488">
        <f>_xll.qlCalendarAdvance(Calendar,M281,"3M","mf",,Trigger)</f>
        <v>50683</v>
      </c>
      <c r="O281" s="490" t="str">
        <f>_xll.qlMakeDatedOIS(,M281,N281,OvernightIndex,0,,,,EvaluationDate)</f>
        <v>obj_005da#0001</v>
      </c>
      <c r="P281" s="490" t="b">
        <f>_xll.qlInstrumentSetPricingEngine(O281,OisEngine)</f>
        <v>1</v>
      </c>
      <c r="Q281" s="489">
        <f>_xll.qlIndexFixing("euribor3m",_xll.qlInterestRateIndexFixingDate("Euribor3M",M281),TRUE,AllTriggers)</f>
        <v>2.2538120302549917E-2</v>
      </c>
      <c r="R281" s="489">
        <f>_xll.qlOvernightIndexedSwapFairRate(O281,AllTriggers)</f>
        <v>2.2304350767360422E-2</v>
      </c>
      <c r="S281" s="491">
        <f t="shared" si="6"/>
        <v>2.3376953518949514E-4</v>
      </c>
    </row>
    <row r="282" spans="5:19" ht="11.25" customHeight="1" x14ac:dyDescent="0.2">
      <c r="E282" s="483"/>
      <c r="F282" s="483"/>
      <c r="G282" s="482"/>
      <c r="J282" s="482"/>
      <c r="K282" s="482"/>
      <c r="M282" s="497">
        <f>_xll.qlCalendarAdvance(Calendar,M281,"1M","f",,Trigger)</f>
        <v>50622</v>
      </c>
      <c r="N282" s="488">
        <f>_xll.qlCalendarAdvance(Calendar,M282,"3M","mf",,Trigger)</f>
        <v>50714</v>
      </c>
      <c r="O282" s="490" t="str">
        <f>_xll.qlMakeDatedOIS(,M282,N282,OvernightIndex,0,,,,EvaluationDate)</f>
        <v>obj_005dc#0001</v>
      </c>
      <c r="P282" s="490" t="b">
        <f>_xll.qlInstrumentSetPricingEngine(O282,OisEngine)</f>
        <v>1</v>
      </c>
      <c r="Q282" s="489">
        <f>_xll.qlIndexFixing("euribor3m",_xll.qlInterestRateIndexFixingDate("Euribor3M",M282),TRUE,AllTriggers)</f>
        <v>2.2513782007685224E-2</v>
      </c>
      <c r="R282" s="489">
        <f>_xll.qlOvernightIndexedSwapFairRate(O282,AllTriggers)</f>
        <v>2.2304350767359551E-2</v>
      </c>
      <c r="S282" s="491">
        <f t="shared" si="6"/>
        <v>2.0943124032567206E-4</v>
      </c>
    </row>
    <row r="283" spans="5:19" ht="11.25" customHeight="1" x14ac:dyDescent="0.2">
      <c r="E283" s="483"/>
      <c r="F283" s="483"/>
      <c r="G283" s="482"/>
      <c r="J283" s="482"/>
      <c r="K283" s="482"/>
      <c r="M283" s="497">
        <f>_xll.qlCalendarAdvance(Calendar,M282,"1M","f",,Trigger)</f>
        <v>50654</v>
      </c>
      <c r="N283" s="488">
        <f>_xll.qlCalendarAdvance(Calendar,M283,"3M","mf",,Trigger)</f>
        <v>50745</v>
      </c>
      <c r="O283" s="490" t="str">
        <f>_xll.qlMakeDatedOIS(,M283,N283,OvernightIndex,0,,,,EvaluationDate)</f>
        <v>obj_005de#0001</v>
      </c>
      <c r="P283" s="490" t="b">
        <f>_xll.qlInstrumentSetPricingEngine(O283,OisEngine)</f>
        <v>1</v>
      </c>
      <c r="Q283" s="489">
        <f>_xll.qlIndexFixing("euribor3m",_xll.qlInterestRateIndexFixingDate("Euribor3M",M283),TRUE,AllTriggers)</f>
        <v>2.2488378611303185E-2</v>
      </c>
      <c r="R283" s="489">
        <f>_xll.qlOvernightIndexedSwapFairRate(O283,AllTriggers)</f>
        <v>2.2303661140557152E-2</v>
      </c>
      <c r="S283" s="491">
        <f t="shared" si="6"/>
        <v>1.8471747074603334E-4</v>
      </c>
    </row>
    <row r="284" spans="5:19" ht="11.25" customHeight="1" x14ac:dyDescent="0.2">
      <c r="E284" s="483"/>
      <c r="F284" s="483"/>
      <c r="G284" s="482"/>
      <c r="J284" s="482"/>
      <c r="K284" s="482"/>
      <c r="M284" s="497">
        <f>_xll.qlCalendarAdvance(Calendar,M283,"1M","f",,Trigger)</f>
        <v>50684</v>
      </c>
      <c r="N284" s="488">
        <f>_xll.qlCalendarAdvance(Calendar,M284,"3M","mf",,Trigger)</f>
        <v>50776</v>
      </c>
      <c r="O284" s="490" t="str">
        <f>_xll.qlMakeDatedOIS(,M284,N284,OvernightIndex,0,,,,EvaluationDate)</f>
        <v>obj_005e0#0001</v>
      </c>
      <c r="P284" s="490" t="b">
        <f>_xll.qlInstrumentSetPricingEngine(O284,OisEngine)</f>
        <v>1</v>
      </c>
      <c r="Q284" s="489">
        <f>_xll.qlIndexFixing("euribor3m",_xll.qlInterestRateIndexFixingDate("Euribor3M",M284),TRUE,AllTriggers)</f>
        <v>2.2465189647009127E-2</v>
      </c>
      <c r="R284" s="489">
        <f>_xll.qlOvernightIndexedSwapFairRate(O284,AllTriggers)</f>
        <v>2.2304350767359548E-2</v>
      </c>
      <c r="S284" s="491">
        <f t="shared" si="6"/>
        <v>1.6083887964957883E-4</v>
      </c>
    </row>
    <row r="285" spans="5:19" ht="11.25" customHeight="1" x14ac:dyDescent="0.2">
      <c r="E285" s="483"/>
      <c r="F285" s="483"/>
      <c r="G285" s="482"/>
      <c r="J285" s="482"/>
      <c r="K285" s="482"/>
      <c r="M285" s="497">
        <f>_xll.qlCalendarAdvance(Calendar,M284,"1M","f",,Trigger)</f>
        <v>50717</v>
      </c>
      <c r="N285" s="488">
        <f>_xll.qlCalendarAdvance(Calendar,M285,"3M","mf",,Trigger)</f>
        <v>50809</v>
      </c>
      <c r="O285" s="490" t="str">
        <f>_xll.qlMakeDatedOIS(,M285,N285,OvernightIndex,0,,,,EvaluationDate)</f>
        <v>obj_005e2#0001</v>
      </c>
      <c r="P285" s="490" t="b">
        <f>_xll.qlInstrumentSetPricingEngine(O285,OisEngine)</f>
        <v>1</v>
      </c>
      <c r="Q285" s="489">
        <f>_xll.qlIndexFixing("euribor3m",_xll.qlInterestRateIndexFixingDate("Euribor3M",M285),TRUE,AllTriggers)</f>
        <v>2.2439371765731912E-2</v>
      </c>
      <c r="R285" s="489">
        <f>_xll.qlOvernightIndexedSwapFairRate(O285,AllTriggers)</f>
        <v>2.2304350767359555E-2</v>
      </c>
      <c r="S285" s="491">
        <f t="shared" si="6"/>
        <v>1.3502099837235659E-4</v>
      </c>
    </row>
    <row r="286" spans="5:19" ht="11.25" customHeight="1" x14ac:dyDescent="0.2">
      <c r="E286" s="483"/>
      <c r="F286" s="483"/>
      <c r="G286" s="482"/>
      <c r="J286" s="482"/>
      <c r="K286" s="482"/>
      <c r="M286" s="497">
        <f>_xll.qlCalendarAdvance(Calendar,M285,"1M","f",,Trigger)</f>
        <v>50747</v>
      </c>
      <c r="N286" s="488">
        <f>_xll.qlCalendarAdvance(Calendar,M286,"3M","mf",,Trigger)</f>
        <v>50837</v>
      </c>
      <c r="O286" s="490" t="str">
        <f>_xll.qlMakeDatedOIS(,M286,N286,OvernightIndex,0,,,,EvaluationDate)</f>
        <v>obj_005e4#0001</v>
      </c>
      <c r="P286" s="490" t="b">
        <f>_xll.qlInstrumentSetPricingEngine(O286,OisEngine)</f>
        <v>1</v>
      </c>
      <c r="Q286" s="489">
        <f>_xll.qlIndexFixing("euribor3m",_xll.qlInterestRateIndexFixingDate("Euribor3M",M286),TRUE,AllTriggers)</f>
        <v>2.2415316005219843E-2</v>
      </c>
      <c r="R286" s="489">
        <f>_xll.qlOvernightIndexedSwapFairRate(O286,AllTriggers)</f>
        <v>2.230297154217098E-2</v>
      </c>
      <c r="S286" s="491">
        <f t="shared" si="6"/>
        <v>1.1234446304886347E-4</v>
      </c>
    </row>
    <row r="287" spans="5:19" ht="11.25" customHeight="1" x14ac:dyDescent="0.2">
      <c r="E287" s="483"/>
      <c r="F287" s="483"/>
      <c r="G287" s="482"/>
      <c r="J287" s="482"/>
      <c r="K287" s="482"/>
      <c r="M287" s="497">
        <f>_xll.qlCalendarAdvance(Calendar,M286,"1M","f",,Trigger)</f>
        <v>50780</v>
      </c>
      <c r="N287" s="488">
        <f>_xll.qlCalendarAdvance(Calendar,M287,"3M","mf",,Trigger)</f>
        <v>50872</v>
      </c>
      <c r="O287" s="490" t="str">
        <f>_xll.qlMakeDatedOIS(,M287,N287,OvernightIndex,0,,,,EvaluationDate)</f>
        <v>obj_005e6#0001</v>
      </c>
      <c r="P287" s="490" t="b">
        <f>_xll.qlInstrumentSetPricingEngine(O287,OisEngine)</f>
        <v>1</v>
      </c>
      <c r="Q287" s="489">
        <f>_xll.qlIndexFixing("euribor3m",_xll.qlInterestRateIndexFixingDate("Euribor3M",M287),TRUE,AllTriggers)</f>
        <v>2.2390171426795037E-2</v>
      </c>
      <c r="R287" s="489">
        <f>_xll.qlOvernightIndexedSwapFairRate(O287,AllTriggers)</f>
        <v>2.2304350767359551E-2</v>
      </c>
      <c r="S287" s="491">
        <f t="shared" si="6"/>
        <v>8.5820659435485724E-5</v>
      </c>
    </row>
    <row r="288" spans="5:19" ht="11.25" customHeight="1" x14ac:dyDescent="0.2">
      <c r="E288" s="483"/>
      <c r="F288" s="483"/>
      <c r="G288" s="482"/>
      <c r="J288" s="482"/>
      <c r="K288" s="482"/>
      <c r="M288" s="497">
        <f>_xll.qlCalendarAdvance(Calendar,M287,"1M","f",,Trigger)</f>
        <v>50811</v>
      </c>
      <c r="N288" s="488">
        <f>_xll.qlCalendarAdvance(Calendar,M288,"3M","mf",,Trigger)</f>
        <v>50900</v>
      </c>
      <c r="O288" s="490" t="str">
        <f>_xll.qlMakeDatedOIS(,M288,N288,OvernightIndex,0,,,,EvaluationDate)</f>
        <v>obj_005e8#0001</v>
      </c>
      <c r="P288" s="490" t="b">
        <f>_xll.qlInstrumentSetPricingEngine(O288,OisEngine)</f>
        <v>1</v>
      </c>
      <c r="Q288" s="489">
        <f>_xll.qlIndexFixing("euribor3m",_xll.qlInterestRateIndexFixingDate("Euribor3M",M288),TRUE,AllTriggers)</f>
        <v>2.2365091919526466E-2</v>
      </c>
      <c r="R288" s="489">
        <f>_xll.qlOvernightIndexedSwapFairRate(O288,AllTriggers)</f>
        <v>2.2302281972199658E-2</v>
      </c>
      <c r="S288" s="491">
        <f t="shared" si="6"/>
        <v>6.2809947326807752E-5</v>
      </c>
    </row>
    <row r="289" spans="5:19" ht="11.25" customHeight="1" x14ac:dyDescent="0.2">
      <c r="E289" s="483"/>
      <c r="F289" s="483"/>
      <c r="G289" s="482"/>
      <c r="J289" s="482"/>
      <c r="K289" s="482"/>
      <c r="M289" s="497">
        <f>_xll.qlCalendarAdvance(Calendar,M288,"1M","f",,Trigger)</f>
        <v>50839</v>
      </c>
      <c r="N289" s="488">
        <f>_xll.qlCalendarAdvance(Calendar,M289,"3M","mf",,Trigger)</f>
        <v>50931</v>
      </c>
      <c r="O289" s="490" t="str">
        <f>_xll.qlMakeDatedOIS(,M289,N289,OvernightIndex,0,,,,EvaluationDate)</f>
        <v>obj_005e9#0001</v>
      </c>
      <c r="P289" s="490" t="b">
        <f>_xll.qlInstrumentSetPricingEngine(O289,OisEngine)</f>
        <v>1</v>
      </c>
      <c r="Q289" s="489">
        <f>_xll.qlIndexFixing("euribor3m",_xll.qlInterestRateIndexFixingDate("Euribor3M",M289),TRUE,AllTriggers)</f>
        <v>2.2344200057299556E-2</v>
      </c>
      <c r="R289" s="489">
        <f>_xll.qlOvernightIndexedSwapFairRate(O289,AllTriggers)</f>
        <v>2.2304350767359551E-2</v>
      </c>
      <c r="S289" s="491">
        <f t="shared" si="6"/>
        <v>3.9849289940004085E-5</v>
      </c>
    </row>
    <row r="290" spans="5:19" ht="11.25" customHeight="1" x14ac:dyDescent="0.2">
      <c r="E290" s="483"/>
      <c r="F290" s="483"/>
      <c r="G290" s="482"/>
      <c r="J290" s="482"/>
      <c r="K290" s="482"/>
      <c r="M290" s="497">
        <f>_xll.qlCalendarAdvance(Calendar,M289,"1M","f",,Trigger)</f>
        <v>50872</v>
      </c>
      <c r="N290" s="488">
        <f>_xll.qlCalendarAdvance(Calendar,M290,"3M","mf",,Trigger)</f>
        <v>50963</v>
      </c>
      <c r="O290" s="490" t="str">
        <f>_xll.qlMakeDatedOIS(,M290,N290,OvernightIndex,0,,,,EvaluationDate)</f>
        <v>obj_005eb#0001</v>
      </c>
      <c r="P290" s="490" t="b">
        <f>_xll.qlInstrumentSetPricingEngine(O290,OisEngine)</f>
        <v>1</v>
      </c>
      <c r="Q290" s="489">
        <f>_xll.qlIndexFixing("euribor3m",_xll.qlInterestRateIndexFixingDate("Euribor3M",M290),TRUE,AllTriggers)</f>
        <v>2.2318229531644047E-2</v>
      </c>
      <c r="R290" s="489">
        <f>_xll.qlOvernightIndexedSwapFairRate(O290,AllTriggers)</f>
        <v>2.2303661140557152E-2</v>
      </c>
      <c r="S290" s="491">
        <f t="shared" si="6"/>
        <v>1.4568391086895033E-5</v>
      </c>
    </row>
    <row r="291" spans="5:19" ht="11.25" customHeight="1" x14ac:dyDescent="0.2">
      <c r="E291" s="483"/>
      <c r="F291" s="483"/>
      <c r="G291" s="482"/>
      <c r="J291" s="482"/>
      <c r="K291" s="482"/>
      <c r="M291" s="497">
        <f>_xll.qlCalendarAdvance(Calendar,M290,"1M","f",,Trigger)</f>
        <v>50902</v>
      </c>
      <c r="N291" s="488">
        <f>_xll.qlCalendarAdvance(Calendar,M291,"3M","mf",,Trigger)</f>
        <v>50994</v>
      </c>
      <c r="O291" s="490" t="str">
        <f>_xll.qlMakeDatedOIS(,M291,N291,OvernightIndex,0,,,,EvaluationDate)</f>
        <v>obj_005ed#0001</v>
      </c>
      <c r="P291" s="490" t="b">
        <f>_xll.qlInstrumentSetPricingEngine(O291,OisEngine)</f>
        <v>1</v>
      </c>
      <c r="Q291" s="489">
        <f>_xll.qlIndexFixing("euribor3m",_xll.qlInterestRateIndexFixingDate("Euribor3M",M291),TRUE,AllTriggers)</f>
        <v>2.2295224247116531E-2</v>
      </c>
      <c r="R291" s="489">
        <f>_xll.qlOvernightIndexedSwapFairRate(O291,AllTriggers)</f>
        <v>2.2304350767359555E-2</v>
      </c>
      <c r="S291" s="491">
        <f t="shared" si="6"/>
        <v>-9.1265202430239334E-6</v>
      </c>
    </row>
    <row r="292" spans="5:19" ht="11.25" customHeight="1" x14ac:dyDescent="0.2">
      <c r="E292" s="483"/>
      <c r="F292" s="483"/>
      <c r="G292" s="482"/>
      <c r="J292" s="482"/>
      <c r="K292" s="482"/>
      <c r="M292" s="497">
        <f>_xll.qlCalendarAdvance(Calendar,M291,"1M","f",,Trigger)</f>
        <v>50934</v>
      </c>
      <c r="N292" s="488">
        <f>_xll.qlCalendarAdvance(Calendar,M292,"3M","mf",,Trigger)</f>
        <v>51026</v>
      </c>
      <c r="O292" s="490" t="str">
        <f>_xll.qlMakeDatedOIS(,M292,N292,OvernightIndex,0,,,,EvaluationDate)</f>
        <v>obj_005ef#0001</v>
      </c>
      <c r="P292" s="490" t="b">
        <f>_xll.qlInstrumentSetPricingEngine(O292,OisEngine)</f>
        <v>1</v>
      </c>
      <c r="Q292" s="489">
        <f>_xll.qlIndexFixing("euribor3m",_xll.qlInterestRateIndexFixingDate("Euribor3M",M292),TRUE,AllTriggers)</f>
        <v>2.2270392047570333E-2</v>
      </c>
      <c r="R292" s="489">
        <f>_xll.qlOvernightIndexedSwapFairRate(O292,AllTriggers)</f>
        <v>2.229585239653336E-2</v>
      </c>
      <c r="S292" s="491">
        <f t="shared" si="6"/>
        <v>-2.5460348963026597E-5</v>
      </c>
    </row>
    <row r="293" spans="5:19" ht="11.25" customHeight="1" x14ac:dyDescent="0.2">
      <c r="E293" s="483"/>
      <c r="F293" s="483"/>
      <c r="G293" s="482"/>
      <c r="J293" s="482"/>
      <c r="K293" s="482"/>
      <c r="M293" s="497">
        <f>_xll.qlCalendarAdvance(Calendar,M292,"1M","f",,Trigger)</f>
        <v>50964</v>
      </c>
      <c r="N293" s="488">
        <f>_xll.qlCalendarAdvance(Calendar,M293,"3M","mf",,Trigger)</f>
        <v>51056</v>
      </c>
      <c r="O293" s="490" t="str">
        <f>_xll.qlMakeDatedOIS(,M293,N293,OvernightIndex,0,,,,EvaluationDate)</f>
        <v>obj_005f0#0001</v>
      </c>
      <c r="P293" s="490" t="b">
        <f>_xll.qlInstrumentSetPricingEngine(O293,OisEngine)</f>
        <v>1</v>
      </c>
      <c r="Q293" s="489">
        <f>_xll.qlIndexFixing("euribor3m",_xll.qlInterestRateIndexFixingDate("Euribor3M",M293),TRUE,AllTriggers)</f>
        <v>2.2247178284740085E-2</v>
      </c>
      <c r="R293" s="489">
        <f>_xll.qlOvernightIndexedSwapFairRate(O293,AllTriggers)</f>
        <v>2.2040909805351911E-2</v>
      </c>
      <c r="S293" s="491">
        <f t="shared" si="6"/>
        <v>2.0626847938817403E-4</v>
      </c>
    </row>
    <row r="294" spans="5:19" ht="11.25" customHeight="1" x14ac:dyDescent="0.2">
      <c r="E294" s="483"/>
      <c r="F294" s="483"/>
      <c r="G294" s="482"/>
      <c r="J294" s="482"/>
      <c r="K294" s="482"/>
      <c r="M294" s="497">
        <f>_xll.qlCalendarAdvance(Calendar,M293,"1M","f",,Trigger)</f>
        <v>50997</v>
      </c>
      <c r="N294" s="488">
        <f>_xll.qlCalendarAdvance(Calendar,M294,"3M","mf",,Trigger)</f>
        <v>51089</v>
      </c>
      <c r="O294" s="490" t="str">
        <f>_xll.qlMakeDatedOIS(,M294,N294,OvernightIndex,0,,,,EvaluationDate)</f>
        <v>obj_005f1#0001</v>
      </c>
      <c r="P294" s="490" t="b">
        <f>_xll.qlInstrumentSetPricingEngine(O294,OisEngine)</f>
        <v>1</v>
      </c>
      <c r="Q294" s="489">
        <f>_xll.qlIndexFixing("euribor3m",_xll.qlInterestRateIndexFixingDate("Euribor3M",M294),TRUE,AllTriggers)</f>
        <v>2.2221936535065295E-2</v>
      </c>
      <c r="R294" s="489">
        <f>_xll.qlOvernightIndexedSwapFairRate(O294,AllTriggers)</f>
        <v>2.1760492030891917E-2</v>
      </c>
      <c r="S294" s="491">
        <f t="shared" si="6"/>
        <v>4.6144450417337848E-4</v>
      </c>
    </row>
    <row r="295" spans="5:19" ht="11.25" customHeight="1" x14ac:dyDescent="0.2">
      <c r="E295" s="483"/>
      <c r="F295" s="483"/>
      <c r="G295" s="482"/>
      <c r="J295" s="482"/>
      <c r="K295" s="482"/>
      <c r="M295" s="497">
        <f>_xll.qlCalendarAdvance(Calendar,M294,"1M","f",,Trigger)</f>
        <v>51028</v>
      </c>
      <c r="N295" s="488">
        <f>_xll.qlCalendarAdvance(Calendar,M295,"3M","mf",,Trigger)</f>
        <v>51119</v>
      </c>
      <c r="O295" s="490" t="str">
        <f>_xll.qlMakeDatedOIS(,M295,N295,OvernightIndex,0,,,,EvaluationDate)</f>
        <v>obj_005f3#0001</v>
      </c>
      <c r="P295" s="490" t="b">
        <f>_xll.qlInstrumentSetPricingEngine(O295,OisEngine)</f>
        <v>1</v>
      </c>
      <c r="Q295" s="489">
        <f>_xll.qlIndexFixing("euribor3m",_xll.qlInterestRateIndexFixingDate("Euribor3M",M295),TRUE,AllTriggers)</f>
        <v>2.2198430066502132E-2</v>
      </c>
      <c r="R295" s="489">
        <f>_xll.qlOvernightIndexedSwapFairRate(O295,AllTriggers)</f>
        <v>2.1521935294827862E-2</v>
      </c>
      <c r="S295" s="491">
        <f t="shared" si="6"/>
        <v>6.7649477167426933E-4</v>
      </c>
    </row>
    <row r="296" spans="5:19" ht="11.25" customHeight="1" x14ac:dyDescent="0.2">
      <c r="E296" s="483"/>
      <c r="F296" s="483"/>
      <c r="G296" s="482"/>
      <c r="J296" s="482"/>
      <c r="K296" s="482"/>
      <c r="M296" s="497">
        <f>_xll.qlCalendarAdvance(Calendar,M295,"1M","f",,Trigger)</f>
        <v>51060</v>
      </c>
      <c r="N296" s="488">
        <f>_xll.qlCalendarAdvance(Calendar,M296,"3M","mf",,Trigger)</f>
        <v>51152</v>
      </c>
      <c r="O296" s="490" t="str">
        <f>_xll.qlMakeDatedOIS(,M296,N296,OvernightIndex,0,,,,EvaluationDate)</f>
        <v>obj_005f5#0001</v>
      </c>
      <c r="P296" s="490" t="b">
        <f>_xll.qlInstrumentSetPricingEngine(O296,OisEngine)</f>
        <v>1</v>
      </c>
      <c r="Q296" s="489">
        <f>_xll.qlIndexFixing("euribor3m",_xll.qlInterestRateIndexFixingDate("Euribor3M",M296),TRUE,AllTriggers)</f>
        <v>2.2175548982681662E-2</v>
      </c>
      <c r="R296" s="489">
        <f>_xll.qlOvernightIndexedSwapFairRate(O296,AllTriggers)</f>
        <v>2.1522577468721635E-2</v>
      </c>
      <c r="S296" s="491">
        <f t="shared" si="6"/>
        <v>6.5297151396002603E-4</v>
      </c>
    </row>
    <row r="297" spans="5:19" ht="11.25" customHeight="1" x14ac:dyDescent="0.2">
      <c r="E297" s="483"/>
      <c r="F297" s="483"/>
      <c r="G297" s="482"/>
      <c r="J297" s="482"/>
      <c r="K297" s="482"/>
      <c r="M297" s="497">
        <f>_xll.qlCalendarAdvance(Calendar,M296,"1M","f",,Trigger)</f>
        <v>51091</v>
      </c>
      <c r="N297" s="488">
        <f>_xll.qlCalendarAdvance(Calendar,M297,"3M","mf",,Trigger)</f>
        <v>51183</v>
      </c>
      <c r="O297" s="490" t="str">
        <f>_xll.qlMakeDatedOIS(,M297,N297,OvernightIndex,0,,,,EvaluationDate)</f>
        <v>obj_005f6#0001</v>
      </c>
      <c r="P297" s="490" t="b">
        <f>_xll.qlInstrumentSetPricingEngine(O297,OisEngine)</f>
        <v>1</v>
      </c>
      <c r="Q297" s="489">
        <f>_xll.qlIndexFixing("euribor3m",_xll.qlInterestRateIndexFixingDate("Euribor3M",M297),TRUE,AllTriggers)</f>
        <v>2.2153811561667167E-2</v>
      </c>
      <c r="R297" s="489">
        <f>_xll.qlOvernightIndexedSwapFairRate(O297,AllTriggers)</f>
        <v>2.1522577468722506E-2</v>
      </c>
      <c r="S297" s="491">
        <f t="shared" si="6"/>
        <v>6.3123409294466026E-4</v>
      </c>
    </row>
    <row r="298" spans="5:19" ht="11.25" customHeight="1" x14ac:dyDescent="0.2">
      <c r="E298" s="483"/>
      <c r="F298" s="483"/>
      <c r="G298" s="482"/>
      <c r="J298" s="482"/>
      <c r="K298" s="482"/>
      <c r="M298" s="497">
        <f>_xll.qlCalendarAdvance(Calendar,M297,"1M","f",,Trigger)</f>
        <v>51123</v>
      </c>
      <c r="N298" s="488">
        <f>_xll.qlCalendarAdvance(Calendar,M298,"3M","mf",,Trigger)</f>
        <v>51214</v>
      </c>
      <c r="O298" s="490" t="str">
        <f>_xll.qlMakeDatedOIS(,M298,N298,OvernightIndex,0,,,,EvaluationDate)</f>
        <v>obj_005f8#0001</v>
      </c>
      <c r="P298" s="490" t="b">
        <f>_xll.qlInstrumentSetPricingEngine(O298,OisEngine)</f>
        <v>1</v>
      </c>
      <c r="Q298" s="489">
        <f>_xll.qlIndexFixing("euribor3m",_xll.qlInterestRateIndexFixingDate("Euribor3M",M298),TRUE,AllTriggers)</f>
        <v>2.2131783528215748E-2</v>
      </c>
      <c r="R298" s="489">
        <f>_xll.qlOvernightIndexedSwapFairRate(O298,AllTriggers)</f>
        <v>2.1521935294828744E-2</v>
      </c>
      <c r="S298" s="491">
        <f t="shared" si="6"/>
        <v>6.0984823338700381E-4</v>
      </c>
    </row>
    <row r="299" spans="5:19" ht="11.25" customHeight="1" x14ac:dyDescent="0.2">
      <c r="E299" s="483"/>
      <c r="F299" s="483"/>
      <c r="G299" s="482"/>
      <c r="J299" s="482"/>
      <c r="K299" s="482"/>
      <c r="M299" s="497">
        <f>_xll.qlCalendarAdvance(Calendar,M298,"1M","f",,Trigger)</f>
        <v>51154</v>
      </c>
      <c r="N299" s="488">
        <f>_xll.qlCalendarAdvance(Calendar,M299,"3M","mf",,Trigger)</f>
        <v>51245</v>
      </c>
      <c r="O299" s="490" t="str">
        <f>_xll.qlMakeDatedOIS(,M299,N299,OvernightIndex,0,,,,EvaluationDate)</f>
        <v>obj_005f9#0001</v>
      </c>
      <c r="P299" s="490" t="b">
        <f>_xll.qlInstrumentSetPricingEngine(O299,OisEngine)</f>
        <v>1</v>
      </c>
      <c r="Q299" s="489">
        <f>_xll.qlIndexFixing("euribor3m",_xll.qlInterestRateIndexFixingDate("Euribor3M",M299),TRUE,AllTriggers)</f>
        <v>2.2111513308995693E-2</v>
      </c>
      <c r="R299" s="489">
        <f>_xll.qlOvernightIndexedSwapFairRate(O299,AllTriggers)</f>
        <v>2.152193529482874E-2</v>
      </c>
      <c r="S299" s="491">
        <f t="shared" si="6"/>
        <v>5.8957801416695266E-4</v>
      </c>
    </row>
    <row r="300" spans="5:19" ht="11.25" customHeight="1" x14ac:dyDescent="0.2">
      <c r="E300" s="483"/>
      <c r="F300" s="483"/>
      <c r="G300" s="482"/>
      <c r="J300" s="482"/>
      <c r="K300" s="482"/>
      <c r="M300" s="497">
        <f>_xll.qlCalendarAdvance(Calendar,M299,"1M","f",,Trigger)</f>
        <v>51186</v>
      </c>
      <c r="N300" s="488">
        <f>_xll.qlCalendarAdvance(Calendar,M300,"3M","mf",,Trigger)</f>
        <v>51277</v>
      </c>
      <c r="O300" s="490" t="str">
        <f>_xll.qlMakeDatedOIS(,M300,N300,OvernightIndex,0,,,,EvaluationDate)</f>
        <v>obj_005fb#0001</v>
      </c>
      <c r="P300" s="490" t="b">
        <f>_xll.qlInstrumentSetPricingEngine(O300,OisEngine)</f>
        <v>1</v>
      </c>
      <c r="Q300" s="489">
        <f>_xll.qlIndexFixing("euribor3m",_xll.qlInterestRateIndexFixingDate("Euribor3M",M300),TRUE,AllTriggers)</f>
        <v>2.2091351823074049E-2</v>
      </c>
      <c r="R300" s="489">
        <f>_xll.qlOvernightIndexedSwapFairRate(O300,AllTriggers)</f>
        <v>2.1521935294827866E-2</v>
      </c>
      <c r="S300" s="491">
        <f t="shared" si="6"/>
        <v>5.6941652824618258E-4</v>
      </c>
    </row>
    <row r="301" spans="5:19" ht="11.25" customHeight="1" x14ac:dyDescent="0.2">
      <c r="E301" s="483"/>
      <c r="F301" s="483"/>
      <c r="G301" s="482"/>
      <c r="J301" s="482"/>
      <c r="K301" s="482"/>
      <c r="M301" s="497">
        <f>_xll.qlCalendarAdvance(Calendar,M300,"1M","f",,Trigger)</f>
        <v>51215</v>
      </c>
      <c r="N301" s="488">
        <f>_xll.qlCalendarAdvance(Calendar,M301,"3M","mf",,Trigger)</f>
        <v>51307</v>
      </c>
      <c r="O301" s="490" t="str">
        <f>_xll.qlMakeDatedOIS(,M301,N301,OvernightIndex,0,,,,EvaluationDate)</f>
        <v>obj_005fd#0001</v>
      </c>
      <c r="P301" s="490" t="b">
        <f>_xll.qlInstrumentSetPricingEngine(O301,OisEngine)</f>
        <v>1</v>
      </c>
      <c r="Q301" s="489">
        <f>_xll.qlIndexFixing("euribor3m",_xll.qlInterestRateIndexFixingDate("Euribor3M",M301),TRUE,AllTriggers)</f>
        <v>2.2074132981997341E-2</v>
      </c>
      <c r="R301" s="489">
        <f>_xll.qlOvernightIndexedSwapFairRate(O301,AllTriggers)</f>
        <v>2.1522577468722506E-2</v>
      </c>
      <c r="S301" s="491">
        <f t="shared" si="6"/>
        <v>5.5155551327483454E-4</v>
      </c>
    </row>
    <row r="302" spans="5:19" ht="11.25" customHeight="1" x14ac:dyDescent="0.2">
      <c r="E302" s="483"/>
      <c r="F302" s="483"/>
      <c r="G302" s="482"/>
      <c r="J302" s="482"/>
      <c r="K302" s="482"/>
      <c r="M302" s="497">
        <f>_xll.qlCalendarAdvance(Calendar,M301,"1M","f",,Trigger)</f>
        <v>51246</v>
      </c>
      <c r="N302" s="488">
        <f>_xll.qlCalendarAdvance(Calendar,M302,"3M","mf",,Trigger)</f>
        <v>51337</v>
      </c>
      <c r="O302" s="490" t="str">
        <f>_xll.qlMakeDatedOIS(,M302,N302,OvernightIndex,0,,,,EvaluationDate)</f>
        <v>obj_005ff#0001</v>
      </c>
      <c r="P302" s="490" t="b">
        <f>_xll.qlInstrumentSetPricingEngine(O302,OisEngine)</f>
        <v>1</v>
      </c>
      <c r="Q302" s="489">
        <f>_xll.qlIndexFixing("euribor3m",_xll.qlInterestRateIndexFixingDate("Euribor3M",M302),TRUE,AllTriggers)</f>
        <v>2.2055637099127442E-2</v>
      </c>
      <c r="R302" s="489">
        <f>_xll.qlOvernightIndexedSwapFairRate(O302,AllTriggers)</f>
        <v>2.152193529482874E-2</v>
      </c>
      <c r="S302" s="491">
        <f t="shared" si="6"/>
        <v>5.3370180429870157E-4</v>
      </c>
    </row>
    <row r="303" spans="5:19" ht="11.25" customHeight="1" x14ac:dyDescent="0.2">
      <c r="E303" s="483"/>
      <c r="F303" s="483"/>
      <c r="G303" s="482"/>
      <c r="J303" s="482"/>
      <c r="K303" s="482"/>
      <c r="M303" s="497">
        <f>_xll.qlCalendarAdvance(Calendar,M302,"1M","f",,Trigger)</f>
        <v>51277</v>
      </c>
      <c r="N303" s="488">
        <f>_xll.qlCalendarAdvance(Calendar,M303,"3M","mf",,Trigger)</f>
        <v>51369</v>
      </c>
      <c r="O303" s="490" t="str">
        <f>_xll.qlMakeDatedOIS(,M303,N303,OvernightIndex,0,,,,EvaluationDate)</f>
        <v>obj_00601#0001</v>
      </c>
      <c r="P303" s="490" t="b">
        <f>_xll.qlInstrumentSetPricingEngine(O303,OisEngine)</f>
        <v>1</v>
      </c>
      <c r="Q303" s="489">
        <f>_xll.qlIndexFixing("euribor3m",_xll.qlInterestRateIndexFixingDate("Euribor3M",M303),TRUE,AllTriggers)</f>
        <v>2.2038656201638702E-2</v>
      </c>
      <c r="R303" s="489">
        <f>_xll.qlOvernightIndexedSwapFairRate(O303,AllTriggers)</f>
        <v>2.1522577468722503E-2</v>
      </c>
      <c r="S303" s="491">
        <f t="shared" si="6"/>
        <v>5.1607873291619963E-4</v>
      </c>
    </row>
    <row r="304" spans="5:19" ht="11.25" customHeight="1" x14ac:dyDescent="0.2">
      <c r="E304" s="483"/>
      <c r="F304" s="483"/>
      <c r="G304" s="482"/>
      <c r="J304" s="482"/>
      <c r="K304" s="482"/>
      <c r="M304" s="497">
        <f>_xll.qlCalendarAdvance(Calendar,M303,"1M","f",,Trigger)</f>
        <v>51308</v>
      </c>
      <c r="N304" s="488">
        <f>_xll.qlCalendarAdvance(Calendar,M304,"3M","mf",,Trigger)</f>
        <v>51400</v>
      </c>
      <c r="O304" s="490" t="str">
        <f>_xll.qlMakeDatedOIS(,M304,N304,OvernightIndex,0,,,,EvaluationDate)</f>
        <v>obj_00603#0001</v>
      </c>
      <c r="P304" s="490" t="b">
        <f>_xll.qlInstrumentSetPricingEngine(O304,OisEngine)</f>
        <v>1</v>
      </c>
      <c r="Q304" s="489">
        <f>_xll.qlIndexFixing("euribor3m",_xll.qlInterestRateIndexFixingDate("Euribor3M",M304),TRUE,AllTriggers)</f>
        <v>2.2022008403359647E-2</v>
      </c>
      <c r="R304" s="489">
        <f>_xll.qlOvernightIndexedSwapFairRate(O304,AllTriggers)</f>
        <v>2.1522577468722499E-2</v>
      </c>
      <c r="S304" s="491">
        <f t="shared" si="6"/>
        <v>4.9943093463714755E-4</v>
      </c>
    </row>
    <row r="305" spans="5:19" ht="11.25" customHeight="1" x14ac:dyDescent="0.2">
      <c r="E305" s="483"/>
      <c r="F305" s="483"/>
      <c r="G305" s="482"/>
      <c r="J305" s="482"/>
      <c r="K305" s="482"/>
      <c r="M305" s="497">
        <f>_xll.qlCalendarAdvance(Calendar,M304,"1M","f",,Trigger)</f>
        <v>51340</v>
      </c>
      <c r="N305" s="488">
        <f>_xll.qlCalendarAdvance(Calendar,M305,"3M","mf",,Trigger)</f>
        <v>51432</v>
      </c>
      <c r="O305" s="490" t="str">
        <f>_xll.qlMakeDatedOIS(,M305,N305,OvernightIndex,0,,,,EvaluationDate)</f>
        <v>obj_00604#0001</v>
      </c>
      <c r="P305" s="490" t="b">
        <f>_xll.qlInstrumentSetPricingEngine(O305,OisEngine)</f>
        <v>1</v>
      </c>
      <c r="Q305" s="489">
        <f>_xll.qlIndexFixing("euribor3m",_xll.qlInterestRateIndexFixingDate("Euribor3M",M305),TRUE,AllTriggers)</f>
        <v>2.2005586186118791E-2</v>
      </c>
      <c r="R305" s="489">
        <f>_xll.qlOvernightIndexedSwapFairRate(O305,AllTriggers)</f>
        <v>2.1522577468722506E-2</v>
      </c>
      <c r="S305" s="491">
        <f t="shared" si="6"/>
        <v>4.8300871739628479E-4</v>
      </c>
    </row>
    <row r="306" spans="5:19" ht="11.25" customHeight="1" x14ac:dyDescent="0.2">
      <c r="E306" s="483"/>
      <c r="F306" s="483"/>
      <c r="G306" s="482"/>
      <c r="J306" s="482"/>
      <c r="K306" s="482"/>
      <c r="M306" s="497">
        <f>_xll.qlCalendarAdvance(Calendar,M305,"1M","f",,Trigger)</f>
        <v>51371</v>
      </c>
      <c r="N306" s="488">
        <f>_xll.qlCalendarAdvance(Calendar,M306,"3M","mf",,Trigger)</f>
        <v>51463</v>
      </c>
      <c r="O306" s="490" t="str">
        <f>_xll.qlMakeDatedOIS(,M306,N306,OvernightIndex,0,,,,EvaluationDate)</f>
        <v>obj_00606#0001</v>
      </c>
      <c r="P306" s="490" t="b">
        <f>_xll.qlInstrumentSetPricingEngine(O306,OisEngine)</f>
        <v>1</v>
      </c>
      <c r="Q306" s="489">
        <f>_xll.qlIndexFixing("euribor3m",_xll.qlInterestRateIndexFixingDate("Euribor3M",M306),TRUE,AllTriggers)</f>
        <v>2.1990415929437505E-2</v>
      </c>
      <c r="R306" s="489">
        <f>_xll.qlOvernightIndexedSwapFairRate(O306,AllTriggers)</f>
        <v>2.1522577468722503E-2</v>
      </c>
      <c r="S306" s="491">
        <f t="shared" si="6"/>
        <v>4.6783846071500254E-4</v>
      </c>
    </row>
    <row r="307" spans="5:19" ht="11.25" customHeight="1" x14ac:dyDescent="0.2">
      <c r="E307" s="483"/>
      <c r="F307" s="483"/>
      <c r="G307" s="482"/>
      <c r="J307" s="482"/>
      <c r="K307" s="482"/>
      <c r="M307" s="497">
        <f>_xll.qlCalendarAdvance(Calendar,M306,"1M","f",,Trigger)</f>
        <v>51403</v>
      </c>
      <c r="N307" s="488">
        <f>_xll.qlCalendarAdvance(Calendar,M307,"3M","mf",,Trigger)</f>
        <v>51494</v>
      </c>
      <c r="O307" s="490" t="str">
        <f>_xll.qlMakeDatedOIS(,M307,N307,OvernightIndex,0,,,,EvaluationDate)</f>
        <v>obj_00608#0001</v>
      </c>
      <c r="P307" s="490" t="b">
        <f>_xll.qlInstrumentSetPricingEngine(O307,OisEngine)</f>
        <v>1</v>
      </c>
      <c r="Q307" s="489">
        <f>_xll.qlIndexFixing("euribor3m",_xll.qlInterestRateIndexFixingDate("Euribor3M",M307),TRUE,AllTriggers)</f>
        <v>2.1975070463608807E-2</v>
      </c>
      <c r="R307" s="489">
        <f>_xll.qlOvernightIndexedSwapFairRate(O307,AllTriggers)</f>
        <v>2.152193529482874E-2</v>
      </c>
      <c r="S307" s="491">
        <f t="shared" si="6"/>
        <v>4.5313516878006666E-4</v>
      </c>
    </row>
    <row r="308" spans="5:19" ht="11.25" customHeight="1" x14ac:dyDescent="0.2">
      <c r="E308" s="483"/>
      <c r="F308" s="483"/>
      <c r="G308" s="482"/>
      <c r="J308" s="482"/>
      <c r="K308" s="482"/>
      <c r="M308" s="497">
        <f>_xll.qlCalendarAdvance(Calendar,M307,"1M","f",,Trigger)</f>
        <v>51433</v>
      </c>
      <c r="N308" s="488">
        <f>_xll.qlCalendarAdvance(Calendar,M308,"3M","mf",,Trigger)</f>
        <v>51525</v>
      </c>
      <c r="O308" s="490" t="str">
        <f>_xll.qlMakeDatedOIS(,M308,N308,OvernightIndex,0,,,,EvaluationDate)</f>
        <v>obj_0060a#0001</v>
      </c>
      <c r="P308" s="490" t="b">
        <f>_xll.qlInstrumentSetPricingEngine(O308,OisEngine)</f>
        <v>1</v>
      </c>
      <c r="Q308" s="489">
        <f>_xll.qlIndexFixing("euribor3m",_xll.qlInterestRateIndexFixingDate("Euribor3M",M308),TRUE,AllTriggers)</f>
        <v>2.1962256502029386E-2</v>
      </c>
      <c r="R308" s="489">
        <f>_xll.qlOvernightIndexedSwapFairRate(O308,AllTriggers)</f>
        <v>2.1522577468722503E-2</v>
      </c>
      <c r="S308" s="491">
        <f t="shared" si="6"/>
        <v>4.396790333068834E-4</v>
      </c>
    </row>
    <row r="309" spans="5:19" ht="11.25" customHeight="1" x14ac:dyDescent="0.2">
      <c r="E309" s="483"/>
      <c r="F309" s="483"/>
      <c r="G309" s="482"/>
      <c r="J309" s="482"/>
      <c r="K309" s="482"/>
      <c r="M309" s="497">
        <f>_xll.qlCalendarAdvance(Calendar,M308,"1M","f",,Trigger)</f>
        <v>51466</v>
      </c>
      <c r="N309" s="488">
        <f>_xll.qlCalendarAdvance(Calendar,M309,"3M","mf",,Trigger)</f>
        <v>51558</v>
      </c>
      <c r="O309" s="490" t="str">
        <f>_xll.qlMakeDatedOIS(,M309,N309,OvernightIndex,0,,,,EvaluationDate)</f>
        <v>obj_0060b#0001</v>
      </c>
      <c r="P309" s="490" t="b">
        <f>_xll.qlInstrumentSetPricingEngine(O309,OisEngine)</f>
        <v>1</v>
      </c>
      <c r="Q309" s="489">
        <f>_xll.qlIndexFixing("euribor3m",_xll.qlInterestRateIndexFixingDate("Euribor3M",M309),TRUE,AllTriggers)</f>
        <v>2.1948454268660121E-2</v>
      </c>
      <c r="R309" s="489">
        <f>_xll.qlOvernightIndexedSwapFairRate(O309,AllTriggers)</f>
        <v>2.1522577468722503E-2</v>
      </c>
      <c r="S309" s="491">
        <f t="shared" si="6"/>
        <v>4.2587679993761826E-4</v>
      </c>
    </row>
    <row r="310" spans="5:19" ht="11.25" customHeight="1" x14ac:dyDescent="0.2">
      <c r="E310" s="483"/>
      <c r="F310" s="483"/>
      <c r="G310" s="482"/>
      <c r="J310" s="482"/>
      <c r="K310" s="482"/>
      <c r="M310" s="497">
        <f>_xll.qlCalendarAdvance(Calendar,M309,"1M","f",,Trigger)</f>
        <v>51497</v>
      </c>
      <c r="N310" s="488">
        <f>_xll.qlCalendarAdvance(Calendar,M310,"3M","mf",,Trigger)</f>
        <v>51587</v>
      </c>
      <c r="O310" s="490" t="str">
        <f>_xll.qlMakeDatedOIS(,M310,N310,OvernightIndex,0,,,,EvaluationDate)</f>
        <v>obj_0060d#0001</v>
      </c>
      <c r="P310" s="490" t="b">
        <f>_xll.qlInstrumentSetPricingEngine(O310,OisEngine)</f>
        <v>1</v>
      </c>
      <c r="Q310" s="489">
        <f>_xll.qlIndexFixing("euribor3m",_xll.qlInterestRateIndexFixingDate("Euribor3M",M310),TRUE,AllTriggers)</f>
        <v>2.1935276051776142E-2</v>
      </c>
      <c r="R310" s="489">
        <f>_xll.qlOvernightIndexedSwapFairRate(O310,AllTriggers)</f>
        <v>2.1521293146470555E-2</v>
      </c>
      <c r="S310" s="491">
        <f t="shared" si="6"/>
        <v>4.1398290530558768E-4</v>
      </c>
    </row>
    <row r="311" spans="5:19" ht="11.25" customHeight="1" x14ac:dyDescent="0.2">
      <c r="E311" s="483"/>
      <c r="F311" s="483"/>
      <c r="G311" s="482"/>
      <c r="J311" s="482"/>
      <c r="K311" s="482"/>
      <c r="M311" s="497">
        <f>_xll.qlCalendarAdvance(Calendar,M310,"1M","f",,Trigger)</f>
        <v>51529</v>
      </c>
      <c r="N311" s="488">
        <f>_xll.qlCalendarAdvance(Calendar,M311,"3M","mf",,Trigger)</f>
        <v>51620</v>
      </c>
      <c r="O311" s="490" t="str">
        <f>_xll.qlMakeDatedOIS(,M311,N311,OvernightIndex,0,,,,EvaluationDate)</f>
        <v>obj_0060e#0001</v>
      </c>
      <c r="P311" s="490" t="b">
        <f>_xll.qlInstrumentSetPricingEngine(O311,OisEngine)</f>
        <v>1</v>
      </c>
      <c r="Q311" s="489">
        <f>_xll.qlIndexFixing("euribor3m",_xll.qlInterestRateIndexFixingDate("Euribor3M",M311),TRUE,AllTriggers)</f>
        <v>2.1923899252699781E-2</v>
      </c>
      <c r="R311" s="489">
        <f>_xll.qlOvernightIndexedSwapFairRate(O311,AllTriggers)</f>
        <v>2.152193529482874E-2</v>
      </c>
      <c r="S311" s="491">
        <f t="shared" si="6"/>
        <v>4.0196395787104114E-4</v>
      </c>
    </row>
    <row r="312" spans="5:19" ht="11.25" customHeight="1" x14ac:dyDescent="0.2">
      <c r="E312" s="483"/>
      <c r="F312" s="483"/>
      <c r="G312" s="482"/>
      <c r="J312" s="482"/>
      <c r="K312" s="482"/>
      <c r="M312" s="497">
        <f>_xll.qlCalendarAdvance(Calendar,M311,"1M","f",,Trigger)</f>
        <v>51560</v>
      </c>
      <c r="N312" s="488">
        <f>_xll.qlCalendarAdvance(Calendar,M312,"3M","mf",,Trigger)</f>
        <v>51649</v>
      </c>
      <c r="O312" s="490" t="str">
        <f>_xll.qlMakeDatedOIS(,M312,N312,OvernightIndex,0,,,,EvaluationDate)</f>
        <v>obj_00610#0001</v>
      </c>
      <c r="P312" s="490" t="b">
        <f>_xll.qlInstrumentSetPricingEngine(O312,OisEngine)</f>
        <v>1</v>
      </c>
      <c r="Q312" s="489">
        <f>_xll.qlIndexFixing("euribor3m",_xll.qlInterestRateIndexFixingDate("Euribor3M",M312),TRUE,AllTriggers)</f>
        <v>2.1913654409224274E-2</v>
      </c>
      <c r="R312" s="489">
        <f>_xll.qlOvernightIndexedSwapFairRate(O312,AllTriggers)</f>
        <v>2.1520651023646468E-2</v>
      </c>
      <c r="S312" s="491">
        <f t="shared" si="6"/>
        <v>3.930033855778052E-4</v>
      </c>
    </row>
    <row r="313" spans="5:19" ht="11.25" customHeight="1" x14ac:dyDescent="0.2">
      <c r="E313" s="483"/>
      <c r="F313" s="483"/>
      <c r="G313" s="482"/>
      <c r="J313" s="482"/>
      <c r="K313" s="482"/>
      <c r="M313" s="497">
        <f>_xll.qlCalendarAdvance(Calendar,M312,"1M","f",,Trigger)</f>
        <v>51588</v>
      </c>
      <c r="N313" s="488">
        <f>_xll.qlCalendarAdvance(Calendar,M313,"3M","mf",,Trigger)</f>
        <v>51680</v>
      </c>
      <c r="O313" s="490" t="str">
        <f>_xll.qlMakeDatedOIS(,M313,N313,OvernightIndex,0,,,,EvaluationDate)</f>
        <v>obj_00612#0001</v>
      </c>
      <c r="P313" s="490" t="b">
        <f>_xll.qlInstrumentSetPricingEngine(O313,OisEngine)</f>
        <v>1</v>
      </c>
      <c r="Q313" s="489">
        <f>_xll.qlIndexFixing("euribor3m",_xll.qlInterestRateIndexFixingDate("Euribor3M",M313),TRUE,AllTriggers)</f>
        <v>2.1904580589544299E-2</v>
      </c>
      <c r="R313" s="489">
        <f>_xll.qlOvernightIndexedSwapFairRate(O313,AllTriggers)</f>
        <v>2.1522577468722503E-2</v>
      </c>
      <c r="S313" s="491">
        <f t="shared" si="6"/>
        <v>3.8200312082179583E-4</v>
      </c>
    </row>
    <row r="314" spans="5:19" ht="11.25" customHeight="1" x14ac:dyDescent="0.2">
      <c r="E314" s="483"/>
      <c r="F314" s="483"/>
      <c r="G314" s="482"/>
      <c r="J314" s="482"/>
      <c r="K314" s="482"/>
      <c r="M314" s="497">
        <f>_xll.qlCalendarAdvance(Calendar,M313,"1M","f",,Trigger)</f>
        <v>51620</v>
      </c>
      <c r="N314" s="488">
        <f>_xll.qlCalendarAdvance(Calendar,M314,"3M","mf",,Trigger)</f>
        <v>51711</v>
      </c>
      <c r="O314" s="490" t="str">
        <f>_xll.qlMakeDatedOIS(,M314,N314,OvernightIndex,0,,,,EvaluationDate)</f>
        <v>obj_00614#0001</v>
      </c>
      <c r="P314" s="490" t="b">
        <f>_xll.qlInstrumentSetPricingEngine(O314,OisEngine)</f>
        <v>1</v>
      </c>
      <c r="Q314" s="489">
        <f>_xll.qlIndexFixing("euribor3m",_xll.qlInterestRateIndexFixingDate("Euribor3M",M314),TRUE,AllTriggers)</f>
        <v>2.18944111231862E-2</v>
      </c>
      <c r="R314" s="489">
        <f>_xll.qlOvernightIndexedSwapFairRate(O314,AllTriggers)</f>
        <v>2.1521935294828744E-2</v>
      </c>
      <c r="S314" s="491">
        <f t="shared" si="6"/>
        <v>3.7247582835745613E-4</v>
      </c>
    </row>
    <row r="315" spans="5:19" ht="11.25" customHeight="1" x14ac:dyDescent="0.2">
      <c r="E315" s="483"/>
      <c r="F315" s="483"/>
      <c r="G315" s="482"/>
      <c r="J315" s="482"/>
      <c r="K315" s="482"/>
      <c r="M315" s="497">
        <f>_xll.qlCalendarAdvance(Calendar,M314,"1M","f",,Trigger)</f>
        <v>51650</v>
      </c>
      <c r="N315" s="488">
        <f>_xll.qlCalendarAdvance(Calendar,M315,"3M","mf",,Trigger)</f>
        <v>51742</v>
      </c>
      <c r="O315" s="490" t="str">
        <f>_xll.qlMakeDatedOIS(,M315,N315,OvernightIndex,0,,,,EvaluationDate)</f>
        <v>obj_00616#0001</v>
      </c>
      <c r="P315" s="490" t="b">
        <f>_xll.qlInstrumentSetPricingEngine(O315,OisEngine)</f>
        <v>1</v>
      </c>
      <c r="Q315" s="489">
        <f>_xll.qlIndexFixing("euribor3m",_xll.qlInterestRateIndexFixingDate("Euribor3M",M315),TRUE,AllTriggers)</f>
        <v>2.1886599152707395E-2</v>
      </c>
      <c r="R315" s="489">
        <f>_xll.qlOvernightIndexedSwapFairRate(O315,AllTriggers)</f>
        <v>2.1522577468722506E-2</v>
      </c>
      <c r="S315" s="491">
        <f t="shared" si="6"/>
        <v>3.6402168398488866E-4</v>
      </c>
    </row>
    <row r="316" spans="5:19" ht="11.25" customHeight="1" x14ac:dyDescent="0.2">
      <c r="E316" s="483"/>
      <c r="F316" s="483"/>
      <c r="G316" s="482"/>
      <c r="J316" s="482"/>
      <c r="K316" s="482"/>
      <c r="M316" s="497">
        <f>_xll.qlCalendarAdvance(Calendar,M315,"1M","f",,Trigger)</f>
        <v>51683</v>
      </c>
      <c r="N316" s="488">
        <f>_xll.qlCalendarAdvance(Calendar,M316,"3M","mf",,Trigger)</f>
        <v>51775</v>
      </c>
      <c r="O316" s="490" t="str">
        <f>_xll.qlMakeDatedOIS(,M316,N316,OvernightIndex,0,,,,EvaluationDate)</f>
        <v>obj_00618#0001</v>
      </c>
      <c r="P316" s="490" t="b">
        <f>_xll.qlInstrumentSetPricingEngine(O316,OisEngine)</f>
        <v>1</v>
      </c>
      <c r="Q316" s="489">
        <f>_xll.qlIndexFixing("euribor3m",_xll.qlInterestRateIndexFixingDate("Euribor3M",M316),TRUE,AllTriggers)</f>
        <v>2.18782141670694E-2</v>
      </c>
      <c r="R316" s="489">
        <f>_xll.qlOvernightIndexedSwapFairRate(O316,AllTriggers)</f>
        <v>2.1522577468722506E-2</v>
      </c>
      <c r="S316" s="491">
        <f t="shared" si="6"/>
        <v>3.5563669834689365E-4</v>
      </c>
    </row>
    <row r="317" spans="5:19" ht="11.25" customHeight="1" x14ac:dyDescent="0.2">
      <c r="E317" s="483"/>
      <c r="F317" s="483"/>
      <c r="G317" s="482"/>
      <c r="J317" s="482"/>
      <c r="K317" s="482"/>
      <c r="M317" s="497">
        <f>_xll.qlCalendarAdvance(Calendar,M316,"1M","f",,Trigger)</f>
        <v>51714</v>
      </c>
      <c r="N317" s="488">
        <f>_xll.qlCalendarAdvance(Calendar,M317,"3M","mf",,Trigger)</f>
        <v>51806</v>
      </c>
      <c r="O317" s="490" t="str">
        <f>_xll.qlMakeDatedOIS(,M317,N317,OvernightIndex,0,,,,EvaluationDate)</f>
        <v>obj_00619#0001</v>
      </c>
      <c r="P317" s="490" t="b">
        <f>_xll.qlInstrumentSetPricingEngine(O317,OisEngine)</f>
        <v>1</v>
      </c>
      <c r="Q317" s="489">
        <f>_xll.qlIndexFixing("euribor3m",_xll.qlInterestRateIndexFixingDate("Euribor3M",M317),TRUE,AllTriggers)</f>
        <v>2.1871087782224557E-2</v>
      </c>
      <c r="R317" s="489">
        <f>_xll.qlOvernightIndexedSwapFairRate(O317,AllTriggers)</f>
        <v>2.152257746872251E-2</v>
      </c>
      <c r="S317" s="491">
        <f t="shared" si="6"/>
        <v>3.4851031350204703E-4</v>
      </c>
    </row>
    <row r="318" spans="5:19" ht="11.25" customHeight="1" x14ac:dyDescent="0.2">
      <c r="E318" s="483"/>
      <c r="F318" s="483"/>
      <c r="G318" s="482"/>
      <c r="J318" s="482"/>
      <c r="K318" s="482"/>
      <c r="M318" s="497">
        <f>_xll.qlCalendarAdvance(Calendar,M317,"1M","f",,Trigger)</f>
        <v>51746</v>
      </c>
      <c r="N318" s="488">
        <f>_xll.qlCalendarAdvance(Calendar,M318,"3M","mf",,Trigger)</f>
        <v>51837</v>
      </c>
      <c r="O318" s="490" t="str">
        <f>_xll.qlMakeDatedOIS(,M318,N318,OvernightIndex,0,,,,EvaluationDate)</f>
        <v>obj_0061a#0001</v>
      </c>
      <c r="P318" s="490" t="b">
        <f>_xll.qlInstrumentSetPricingEngine(O318,OisEngine)</f>
        <v>1</v>
      </c>
      <c r="Q318" s="489">
        <f>_xll.qlIndexFixing("euribor3m",_xll.qlInterestRateIndexFixingDate("Euribor3M",M318),TRUE,AllTriggers)</f>
        <v>2.1863922609582323E-2</v>
      </c>
      <c r="R318" s="489">
        <f>_xll.qlOvernightIndexedSwapFairRate(O318,AllTriggers)</f>
        <v>2.1521935294827862E-2</v>
      </c>
      <c r="S318" s="491">
        <f t="shared" si="6"/>
        <v>3.4198731475446054E-4</v>
      </c>
    </row>
    <row r="319" spans="5:19" ht="11.25" customHeight="1" x14ac:dyDescent="0.2">
      <c r="E319" s="483"/>
      <c r="F319" s="483"/>
      <c r="G319" s="482"/>
      <c r="J319" s="482"/>
      <c r="K319" s="482"/>
      <c r="M319" s="497">
        <f>_xll.qlCalendarAdvance(Calendar,M318,"1M","f",,Trigger)</f>
        <v>51776</v>
      </c>
      <c r="N319" s="488">
        <f>_xll.qlCalendarAdvance(Calendar,M319,"3M","mf",,Trigger)</f>
        <v>51868</v>
      </c>
      <c r="O319" s="490" t="str">
        <f>_xll.qlMakeDatedOIS(,M319,N319,OvernightIndex,0,,,,EvaluationDate)</f>
        <v>obj_0061c#0001</v>
      </c>
      <c r="P319" s="490" t="b">
        <f>_xll.qlInstrumentSetPricingEngine(O319,OisEngine)</f>
        <v>1</v>
      </c>
      <c r="Q319" s="489">
        <f>_xll.qlIndexFixing("euribor3m",_xll.qlInterestRateIndexFixingDate("Euribor3M",M319),TRUE,AllTriggers)</f>
        <v>2.1859015904538381E-2</v>
      </c>
      <c r="R319" s="489">
        <f>_xll.qlOvernightIndexedSwapFairRate(O319,AllTriggers)</f>
        <v>2.1522577468722503E-2</v>
      </c>
      <c r="S319" s="491">
        <f t="shared" si="6"/>
        <v>3.3643843581587785E-4</v>
      </c>
    </row>
    <row r="320" spans="5:19" ht="11.25" customHeight="1" x14ac:dyDescent="0.2">
      <c r="E320" s="483"/>
      <c r="F320" s="483"/>
      <c r="G320" s="482"/>
      <c r="J320" s="482"/>
      <c r="K320" s="482"/>
      <c r="M320" s="497">
        <f>_xll.qlCalendarAdvance(Calendar,M319,"1M","f",,Trigger)</f>
        <v>51809</v>
      </c>
      <c r="N320" s="488">
        <f>_xll.qlCalendarAdvance(Calendar,M320,"3M","mf",,Trigger)</f>
        <v>51901</v>
      </c>
      <c r="O320" s="490" t="str">
        <f>_xll.qlMakeDatedOIS(,M320,N320,OvernightIndex,0,,,,EvaluationDate)</f>
        <v>obj_0061e#0001</v>
      </c>
      <c r="P320" s="490" t="b">
        <f>_xll.qlInstrumentSetPricingEngine(O320,OisEngine)</f>
        <v>1</v>
      </c>
      <c r="Q320" s="489">
        <f>_xll.qlIndexFixing("euribor3m",_xll.qlInterestRateIndexFixingDate("Euribor3M",M320),TRUE,AllTriggers)</f>
        <v>2.1853776303646089E-2</v>
      </c>
      <c r="R320" s="489">
        <f>_xll.qlOvernightIndexedSwapFairRate(O320,AllTriggers)</f>
        <v>2.1522577468722506E-2</v>
      </c>
      <c r="S320" s="491">
        <f t="shared" si="6"/>
        <v>3.3119883492358296E-4</v>
      </c>
    </row>
    <row r="321" spans="5:19" ht="11.25" customHeight="1" x14ac:dyDescent="0.2">
      <c r="E321" s="483"/>
      <c r="F321" s="483"/>
      <c r="G321" s="482"/>
      <c r="J321" s="482"/>
      <c r="K321" s="482"/>
      <c r="M321" s="497">
        <f>_xll.qlCalendarAdvance(Calendar,M320,"1M","f",,Trigger)</f>
        <v>51839</v>
      </c>
      <c r="N321" s="488">
        <f>_xll.qlCalendarAdvance(Calendar,M321,"3M","mf",,Trigger)</f>
        <v>51929</v>
      </c>
      <c r="O321" s="490" t="str">
        <f>_xll.qlMakeDatedOIS(,M321,N321,OvernightIndex,0,,,,EvaluationDate)</f>
        <v>obj_00620#0001</v>
      </c>
      <c r="P321" s="490" t="b">
        <f>_xll.qlInstrumentSetPricingEngine(O321,OisEngine)</f>
        <v>1</v>
      </c>
      <c r="Q321" s="489">
        <f>_xll.qlIndexFixing("euribor3m",_xll.qlInterestRateIndexFixingDate("Euribor3M",M321),TRUE,AllTriggers)</f>
        <v>2.1848516749058078E-2</v>
      </c>
      <c r="R321" s="489">
        <f>_xll.qlOvernightIndexedSwapFairRate(O321,AllTriggers)</f>
        <v>2.1521293146470555E-2</v>
      </c>
      <c r="S321" s="491">
        <f t="shared" si="6"/>
        <v>3.2722360258752303E-4</v>
      </c>
    </row>
    <row r="322" spans="5:19" ht="11.25" customHeight="1" x14ac:dyDescent="0.2">
      <c r="E322" s="483"/>
      <c r="F322" s="483"/>
      <c r="G322" s="482"/>
      <c r="J322" s="482"/>
      <c r="K322" s="482"/>
      <c r="M322" s="497">
        <f>_xll.qlCalendarAdvance(Calendar,M321,"1M","f",,Trigger)</f>
        <v>51872</v>
      </c>
      <c r="N322" s="488">
        <f>_xll.qlCalendarAdvance(Calendar,M322,"3M","mf",,Trigger)</f>
        <v>51964</v>
      </c>
      <c r="O322" s="490" t="str">
        <f>_xll.qlMakeDatedOIS(,M322,N322,OvernightIndex,0,,,,EvaluationDate)</f>
        <v>obj_00622#0001</v>
      </c>
      <c r="P322" s="490" t="b">
        <f>_xll.qlInstrumentSetPricingEngine(O322,OisEngine)</f>
        <v>1</v>
      </c>
      <c r="Q322" s="489">
        <f>_xll.qlIndexFixing("euribor3m",_xll.qlInterestRateIndexFixingDate("Euribor3M",M322),TRUE,AllTriggers)</f>
        <v>2.1846060954152889E-2</v>
      </c>
      <c r="R322" s="489">
        <f>_xll.qlOvernightIndexedSwapFairRate(O322,AllTriggers)</f>
        <v>2.1522577468722506E-2</v>
      </c>
      <c r="S322" s="491">
        <f t="shared" si="6"/>
        <v>3.234834854303828E-4</v>
      </c>
    </row>
    <row r="323" spans="5:19" ht="11.25" customHeight="1" x14ac:dyDescent="0.2">
      <c r="E323" s="483"/>
      <c r="F323" s="483"/>
      <c r="G323" s="482"/>
      <c r="J323" s="482"/>
      <c r="K323" s="482"/>
      <c r="M323" s="497">
        <f>_xll.qlCalendarAdvance(Calendar,M322,"1M","f",,Trigger)</f>
        <v>51903</v>
      </c>
      <c r="N323" s="488">
        <f>_xll.qlCalendarAdvance(Calendar,M323,"3M","mf",,Trigger)</f>
        <v>51992</v>
      </c>
      <c r="O323" s="490" t="str">
        <f>_xll.qlMakeDatedOIS(,M323,N323,OvernightIndex,0,,,,EvaluationDate)</f>
        <v>obj_00624#0001</v>
      </c>
      <c r="P323" s="490" t="b">
        <f>_xll.qlInstrumentSetPricingEngine(O323,OisEngine)</f>
        <v>1</v>
      </c>
      <c r="Q323" s="489">
        <f>_xll.qlIndexFixing("euribor3m",_xll.qlInterestRateIndexFixingDate("Euribor3M",M323),TRUE,AllTriggers)</f>
        <v>2.1841478921714889E-2</v>
      </c>
      <c r="R323" s="489">
        <f>_xll.qlOvernightIndexedSwapFairRate(O323,AllTriggers)</f>
        <v>2.1520651023647367E-2</v>
      </c>
      <c r="S323" s="491">
        <f t="shared" ref="S323:S386" si="7">Q323-R323</f>
        <v>3.2082789806752235E-4</v>
      </c>
    </row>
    <row r="324" spans="5:19" ht="11.25" customHeight="1" x14ac:dyDescent="0.2">
      <c r="E324" s="483"/>
      <c r="F324" s="483"/>
      <c r="G324" s="482"/>
      <c r="J324" s="482"/>
      <c r="K324" s="482"/>
      <c r="M324" s="497">
        <f>_xll.qlCalendarAdvance(Calendar,M323,"1M","f",,Trigger)</f>
        <v>51931</v>
      </c>
      <c r="N324" s="488">
        <f>_xll.qlCalendarAdvance(Calendar,M324,"3M","mf",,Trigger)</f>
        <v>52023</v>
      </c>
      <c r="O324" s="490" t="str">
        <f>_xll.qlMakeDatedOIS(,M324,N324,OvernightIndex,0,,,,EvaluationDate)</f>
        <v>obj_00626#0001</v>
      </c>
      <c r="P324" s="490" t="b">
        <f>_xll.qlInstrumentSetPricingEngine(O324,OisEngine)</f>
        <v>1</v>
      </c>
      <c r="Q324" s="489">
        <f>_xll.qlIndexFixing("euribor3m",_xll.qlInterestRateIndexFixingDate("Euribor3M",M324),TRUE,AllTriggers)</f>
        <v>2.1841557943023695E-2</v>
      </c>
      <c r="R324" s="489">
        <f>_xll.qlOvernightIndexedSwapFairRate(O324,AllTriggers)</f>
        <v>2.1522577468722506E-2</v>
      </c>
      <c r="S324" s="491">
        <f t="shared" si="7"/>
        <v>3.1898047430118856E-4</v>
      </c>
    </row>
    <row r="325" spans="5:19" ht="11.25" customHeight="1" x14ac:dyDescent="0.2">
      <c r="E325" s="483"/>
      <c r="F325" s="483"/>
      <c r="G325" s="482"/>
      <c r="J325" s="482"/>
      <c r="K325" s="482"/>
      <c r="M325" s="497">
        <f>_xll.qlCalendarAdvance(Calendar,M324,"1M","f",,Trigger)</f>
        <v>51964</v>
      </c>
      <c r="N325" s="488">
        <f>_xll.qlCalendarAdvance(Calendar,M325,"3M","mf",,Trigger)</f>
        <v>52055</v>
      </c>
      <c r="O325" s="490" t="str">
        <f>_xll.qlMakeDatedOIS(,M325,N325,OvernightIndex,0,,,,EvaluationDate)</f>
        <v>obj_00627#0001</v>
      </c>
      <c r="P325" s="490" t="b">
        <f>_xll.qlInstrumentSetPricingEngine(O325,OisEngine)</f>
        <v>1</v>
      </c>
      <c r="Q325" s="489">
        <f>_xll.qlIndexFixing("euribor3m",_xll.qlInterestRateIndexFixingDate("Euribor3M",M325),TRUE,AllTriggers)</f>
        <v>2.1839535201060693E-2</v>
      </c>
      <c r="R325" s="489">
        <f>_xll.qlOvernightIndexedSwapFairRate(O325,AllTriggers)</f>
        <v>2.1521935294827869E-2</v>
      </c>
      <c r="S325" s="491">
        <f t="shared" si="7"/>
        <v>3.1759990623282316E-4</v>
      </c>
    </row>
    <row r="326" spans="5:19" ht="11.25" customHeight="1" x14ac:dyDescent="0.2">
      <c r="E326" s="483"/>
      <c r="F326" s="483"/>
      <c r="G326" s="482"/>
      <c r="J326" s="482"/>
      <c r="K326" s="482"/>
      <c r="M326" s="497">
        <f>_xll.qlCalendarAdvance(Calendar,M325,"1M","f",,Trigger)</f>
        <v>51994</v>
      </c>
      <c r="N326" s="488">
        <f>_xll.qlCalendarAdvance(Calendar,M326,"3M","mf",,Trigger)</f>
        <v>52086</v>
      </c>
      <c r="O326" s="490" t="str">
        <f>_xll.qlMakeDatedOIS(,M326,N326,OvernightIndex,0,,,,EvaluationDate)</f>
        <v>obj_00629#0001</v>
      </c>
      <c r="P326" s="490" t="b">
        <f>_xll.qlInstrumentSetPricingEngine(O326,OisEngine)</f>
        <v>1</v>
      </c>
      <c r="Q326" s="489">
        <f>_xll.qlIndexFixing("euribor3m",_xll.qlInterestRateIndexFixingDate("Euribor3M",M326),TRUE,AllTriggers)</f>
        <v>2.1839656682048951E-2</v>
      </c>
      <c r="R326" s="489">
        <f>_xll.qlOvernightIndexedSwapFairRate(O326,AllTriggers)</f>
        <v>2.1522577468722506E-2</v>
      </c>
      <c r="S326" s="491">
        <f t="shared" si="7"/>
        <v>3.1707921332644468E-4</v>
      </c>
    </row>
    <row r="327" spans="5:19" ht="11.25" customHeight="1" x14ac:dyDescent="0.2">
      <c r="E327" s="483"/>
      <c r="F327" s="483"/>
      <c r="G327" s="482"/>
      <c r="J327" s="482"/>
      <c r="K327" s="482"/>
      <c r="M327" s="497">
        <f>_xll.qlCalendarAdvance(Calendar,M326,"1M","f",,Trigger)</f>
        <v>52026</v>
      </c>
      <c r="N327" s="488">
        <f>_xll.qlCalendarAdvance(Calendar,M327,"3M","mf",,Trigger)</f>
        <v>52118</v>
      </c>
      <c r="O327" s="490" t="str">
        <f>_xll.qlMakeDatedOIS(,M327,N327,OvernightIndex,0,,,,EvaluationDate)</f>
        <v>obj_0062a#0001</v>
      </c>
      <c r="P327" s="490" t="b">
        <f>_xll.qlInstrumentSetPricingEngine(O327,OisEngine)</f>
        <v>1</v>
      </c>
      <c r="Q327" s="489">
        <f>_xll.qlIndexFixing("euribor3m",_xll.qlInterestRateIndexFixingDate("Euribor3M",M327),TRUE,AllTriggers)</f>
        <v>2.18398407652724E-2</v>
      </c>
      <c r="R327" s="489">
        <f>_xll.qlOvernightIndexedSwapFairRate(O327,AllTriggers)</f>
        <v>2.152257746872251E-2</v>
      </c>
      <c r="S327" s="491">
        <f t="shared" si="7"/>
        <v>3.1726329654989047E-4</v>
      </c>
    </row>
    <row r="328" spans="5:19" ht="11.25" customHeight="1" x14ac:dyDescent="0.2">
      <c r="E328" s="483"/>
      <c r="F328" s="483"/>
      <c r="G328" s="482"/>
      <c r="J328" s="482"/>
      <c r="K328" s="482"/>
      <c r="M328" s="497">
        <f>_xll.qlCalendarAdvance(Calendar,M327,"1M","f",,Trigger)</f>
        <v>52056</v>
      </c>
      <c r="N328" s="488">
        <f>_xll.qlCalendarAdvance(Calendar,M328,"3M","mf",,Trigger)</f>
        <v>52148</v>
      </c>
      <c r="O328" s="490" t="str">
        <f>_xll.qlMakeDatedOIS(,M328,N328,OvernightIndex,0,,,,EvaluationDate)</f>
        <v>obj_0062c#0001</v>
      </c>
      <c r="P328" s="490" t="b">
        <f>_xll.qlInstrumentSetPricingEngine(O328,OisEngine)</f>
        <v>1</v>
      </c>
      <c r="Q328" s="489">
        <f>_xll.qlIndexFixing("euribor3m",_xll.qlInterestRateIndexFixingDate("Euribor3M",M328),TRUE,AllTriggers)</f>
        <v>2.1840716841220707E-2</v>
      </c>
      <c r="R328" s="489">
        <f>_xll.qlOvernightIndexedSwapFairRate(O328,AllTriggers)</f>
        <v>2.152257746872251E-2</v>
      </c>
      <c r="S328" s="491">
        <f t="shared" si="7"/>
        <v>3.1813937249819749E-4</v>
      </c>
    </row>
    <row r="329" spans="5:19" ht="11.25" customHeight="1" x14ac:dyDescent="0.2">
      <c r="E329" s="483"/>
      <c r="F329" s="483"/>
      <c r="G329" s="482"/>
      <c r="J329" s="482"/>
      <c r="K329" s="482"/>
      <c r="M329" s="497">
        <f>_xll.qlCalendarAdvance(Calendar,M328,"1M","f",,Trigger)</f>
        <v>52089</v>
      </c>
      <c r="N329" s="488">
        <f>_xll.qlCalendarAdvance(Calendar,M329,"3M","mf",,Trigger)</f>
        <v>52181</v>
      </c>
      <c r="O329" s="490" t="str">
        <f>_xll.qlMakeDatedOIS(,M329,N329,OvernightIndex,0,,,,EvaluationDate)</f>
        <v>obj_0062e#0001</v>
      </c>
      <c r="P329" s="490" t="b">
        <f>_xll.qlInstrumentSetPricingEngine(O329,OisEngine)</f>
        <v>1</v>
      </c>
      <c r="Q329" s="489">
        <f>_xll.qlIndexFixing("euribor3m",_xll.qlInterestRateIndexFixingDate("Euribor3M",M329),TRUE,AllTriggers)</f>
        <v>2.1842466854457638E-2</v>
      </c>
      <c r="R329" s="489">
        <f>_xll.qlOvernightIndexedSwapFairRate(O329,AllTriggers)</f>
        <v>2.1522577468723374E-2</v>
      </c>
      <c r="S329" s="491">
        <f t="shared" si="7"/>
        <v>3.1988938573426426E-4</v>
      </c>
    </row>
    <row r="330" spans="5:19" ht="11.25" customHeight="1" x14ac:dyDescent="0.2">
      <c r="E330" s="483"/>
      <c r="F330" s="483"/>
      <c r="G330" s="482"/>
      <c r="J330" s="482"/>
      <c r="K330" s="482"/>
      <c r="M330" s="497">
        <f>_xll.qlCalendarAdvance(Calendar,M329,"1M","f",,Trigger)</f>
        <v>52120</v>
      </c>
      <c r="N330" s="488">
        <f>_xll.qlCalendarAdvance(Calendar,M330,"3M","mf",,Trigger)</f>
        <v>52211</v>
      </c>
      <c r="O330" s="490" t="str">
        <f>_xll.qlMakeDatedOIS(,M330,N330,OvernightIndex,0,,,,EvaluationDate)</f>
        <v>obj_00630#0001</v>
      </c>
      <c r="P330" s="490" t="b">
        <f>_xll.qlInstrumentSetPricingEngine(O330,OisEngine)</f>
        <v>1</v>
      </c>
      <c r="Q330" s="489">
        <f>_xll.qlIndexFixing("euribor3m",_xll.qlInterestRateIndexFixingDate("Euribor3M",M330),TRUE,AllTriggers)</f>
        <v>2.1844149522456002E-2</v>
      </c>
      <c r="R330" s="489">
        <f>_xll.qlOvernightIndexedSwapFairRate(O330,AllTriggers)</f>
        <v>2.152193529482874E-2</v>
      </c>
      <c r="S330" s="491">
        <f t="shared" si="7"/>
        <v>3.2221422762726201E-4</v>
      </c>
    </row>
    <row r="331" spans="5:19" ht="11.25" customHeight="1" x14ac:dyDescent="0.2">
      <c r="E331" s="483"/>
      <c r="F331" s="483"/>
      <c r="G331" s="482"/>
      <c r="J331" s="482"/>
      <c r="K331" s="482"/>
      <c r="M331" s="497">
        <f>_xll.qlCalendarAdvance(Calendar,M330,"1M","f",,Trigger)</f>
        <v>52152</v>
      </c>
      <c r="N331" s="488">
        <f>_xll.qlCalendarAdvance(Calendar,M331,"3M","mf",,Trigger)</f>
        <v>52244</v>
      </c>
      <c r="O331" s="490" t="str">
        <f>_xll.qlMakeDatedOIS(,M331,N331,OvernightIndex,0,,,,EvaluationDate)</f>
        <v>obj_00632#0001</v>
      </c>
      <c r="P331" s="490" t="b">
        <f>_xll.qlInstrumentSetPricingEngine(O331,OisEngine)</f>
        <v>1</v>
      </c>
      <c r="Q331" s="489">
        <f>_xll.qlIndexFixing("euribor3m",_xll.qlInterestRateIndexFixingDate("Euribor3M",M331),TRUE,AllTriggers)</f>
        <v>2.1848095297723011E-2</v>
      </c>
      <c r="R331" s="489">
        <f>_xll.qlOvernightIndexedSwapFairRate(O331,AllTriggers)</f>
        <v>2.1522577468722506E-2</v>
      </c>
      <c r="S331" s="491">
        <f t="shared" si="7"/>
        <v>3.2551782900050452E-4</v>
      </c>
    </row>
    <row r="332" spans="5:19" ht="11.25" customHeight="1" x14ac:dyDescent="0.2">
      <c r="E332" s="483"/>
      <c r="F332" s="483"/>
      <c r="G332" s="482"/>
      <c r="J332" s="482"/>
      <c r="K332" s="482"/>
      <c r="M332" s="497">
        <f>_xll.qlCalendarAdvance(Calendar,M331,"1M","f",,Trigger)</f>
        <v>52183</v>
      </c>
      <c r="N332" s="488">
        <f>_xll.qlCalendarAdvance(Calendar,M332,"3M","mf",,Trigger)</f>
        <v>52275</v>
      </c>
      <c r="O332" s="490" t="str">
        <f>_xll.qlMakeDatedOIS(,M332,N332,OvernightIndex,0,,,,EvaluationDate)</f>
        <v>obj_00634#0001</v>
      </c>
      <c r="P332" s="490" t="b">
        <f>_xll.qlInstrumentSetPricingEngine(O332,OisEngine)</f>
        <v>1</v>
      </c>
      <c r="Q332" s="489">
        <f>_xll.qlIndexFixing("euribor3m",_xll.qlInterestRateIndexFixingDate("Euribor3M",M332),TRUE,AllTriggers)</f>
        <v>2.1851967001961962E-2</v>
      </c>
      <c r="R332" s="489">
        <f>_xll.qlOvernightIndexedSwapFairRate(O332,AllTriggers)</f>
        <v>2.1522577468722506E-2</v>
      </c>
      <c r="S332" s="491">
        <f t="shared" si="7"/>
        <v>3.2938953323945544E-4</v>
      </c>
    </row>
    <row r="333" spans="5:19" ht="11.25" customHeight="1" x14ac:dyDescent="0.2">
      <c r="E333" s="483"/>
      <c r="F333" s="483"/>
      <c r="G333" s="482"/>
      <c r="J333" s="482"/>
      <c r="K333" s="482"/>
      <c r="M333" s="497">
        <f>_xll.qlCalendarAdvance(Calendar,M332,"1M","f",,Trigger)</f>
        <v>52215</v>
      </c>
      <c r="N333" s="488">
        <f>_xll.qlCalendarAdvance(Calendar,M333,"3M","mf",,Trigger)</f>
        <v>52306</v>
      </c>
      <c r="O333" s="490" t="str">
        <f>_xll.qlMakeDatedOIS(,M333,N333,OvernightIndex,0,,,,EvaluationDate)</f>
        <v>obj_00636#0001</v>
      </c>
      <c r="P333" s="490" t="b">
        <f>_xll.qlInstrumentSetPricingEngine(O333,OisEngine)</f>
        <v>1</v>
      </c>
      <c r="Q333" s="489">
        <f>_xll.qlIndexFixing("euribor3m",_xll.qlInterestRateIndexFixingDate("Euribor3M",M333),TRUE,AllTriggers)</f>
        <v>2.1855977777242179E-2</v>
      </c>
      <c r="R333" s="489">
        <f>_xll.qlOvernightIndexedSwapFairRate(O333,AllTriggers)</f>
        <v>2.1521935294827862E-2</v>
      </c>
      <c r="S333" s="491">
        <f t="shared" si="7"/>
        <v>3.340424824143165E-4</v>
      </c>
    </row>
    <row r="334" spans="5:19" ht="11.25" customHeight="1" x14ac:dyDescent="0.2">
      <c r="E334" s="483"/>
      <c r="F334" s="483"/>
      <c r="G334" s="482"/>
      <c r="J334" s="482"/>
      <c r="K334" s="482"/>
      <c r="M334" s="497">
        <f>_xll.qlCalendarAdvance(Calendar,M333,"1M","f",,Trigger)</f>
        <v>52246</v>
      </c>
      <c r="N334" s="488">
        <f>_xll.qlCalendarAdvance(Calendar,M334,"3M","mf",,Trigger)</f>
        <v>52336</v>
      </c>
      <c r="O334" s="490" t="str">
        <f>_xll.qlMakeDatedOIS(,M334,N334,OvernightIndex,0,,,,EvaluationDate)</f>
        <v>obj_00638#0001</v>
      </c>
      <c r="P334" s="490" t="b">
        <f>_xll.qlInstrumentSetPricingEngine(O334,OisEngine)</f>
        <v>1</v>
      </c>
      <c r="Q334" s="489">
        <f>_xll.qlIndexFixing("euribor3m",_xll.qlInterestRateIndexFixingDate("Euribor3M",M334),TRUE,AllTriggers)</f>
        <v>2.1860554706861102E-2</v>
      </c>
      <c r="R334" s="489">
        <f>_xll.qlOvernightIndexedSwapFairRate(O334,AllTriggers)</f>
        <v>2.1521293146471443E-2</v>
      </c>
      <c r="S334" s="491">
        <f t="shared" si="7"/>
        <v>3.3926156038965871E-4</v>
      </c>
    </row>
    <row r="335" spans="5:19" ht="11.25" customHeight="1" x14ac:dyDescent="0.2">
      <c r="E335" s="483"/>
      <c r="F335" s="483"/>
      <c r="G335" s="482"/>
      <c r="J335" s="482"/>
      <c r="K335" s="482"/>
      <c r="M335" s="497">
        <f>_xll.qlCalendarAdvance(Calendar,M334,"1M","f",,Trigger)</f>
        <v>52278</v>
      </c>
      <c r="N335" s="488">
        <f>_xll.qlCalendarAdvance(Calendar,M335,"3M","mf",,Trigger)</f>
        <v>52369</v>
      </c>
      <c r="O335" s="490" t="str">
        <f>_xll.qlMakeDatedOIS(,M335,N335,OvernightIndex,0,,,,EvaluationDate)</f>
        <v>obj_0063a#0001</v>
      </c>
      <c r="P335" s="490" t="b">
        <f>_xll.qlInstrumentSetPricingEngine(O335,OisEngine)</f>
        <v>1</v>
      </c>
      <c r="Q335" s="489">
        <f>_xll.qlIndexFixing("euribor3m",_xll.qlInterestRateIndexFixingDate("Euribor3M",M335),TRUE,AllTriggers)</f>
        <v>2.1867586442569652E-2</v>
      </c>
      <c r="R335" s="489">
        <f>_xll.qlOvernightIndexedSwapFairRate(O335,AllTriggers)</f>
        <v>2.1521935294829618E-2</v>
      </c>
      <c r="S335" s="491">
        <f t="shared" si="7"/>
        <v>3.4565114774003439E-4</v>
      </c>
    </row>
    <row r="336" spans="5:19" ht="11.25" customHeight="1" x14ac:dyDescent="0.2">
      <c r="E336" s="483"/>
      <c r="F336" s="483"/>
      <c r="G336" s="482"/>
      <c r="J336" s="482"/>
      <c r="K336" s="482"/>
      <c r="M336" s="497">
        <f>_xll.qlCalendarAdvance(Calendar,M335,"1M","f",,Trigger)</f>
        <v>52306</v>
      </c>
      <c r="N336" s="488">
        <f>_xll.qlCalendarAdvance(Calendar,M336,"3M","mf",,Trigger)</f>
        <v>52398</v>
      </c>
      <c r="O336" s="490" t="str">
        <f>_xll.qlMakeDatedOIS(,M336,N336,OvernightIndex,0,,,,EvaluationDate)</f>
        <v>obj_0063c#0001</v>
      </c>
      <c r="P336" s="490" t="b">
        <f>_xll.qlInstrumentSetPricingEngine(O336,OisEngine)</f>
        <v>1</v>
      </c>
      <c r="Q336" s="489">
        <f>_xll.qlIndexFixing("euribor3m",_xll.qlInterestRateIndexFixingDate("Euribor3M",M336),TRUE,AllTriggers)</f>
        <v>2.1874493350439814E-2</v>
      </c>
      <c r="R336" s="489">
        <f>_xll.qlOvernightIndexedSwapFairRate(O336,AllTriggers)</f>
        <v>2.1522577468722503E-2</v>
      </c>
      <c r="S336" s="491">
        <f t="shared" si="7"/>
        <v>3.5191588171731153E-4</v>
      </c>
    </row>
    <row r="337" spans="5:19" ht="11.25" customHeight="1" x14ac:dyDescent="0.2">
      <c r="E337" s="483"/>
      <c r="F337" s="483"/>
      <c r="G337" s="482"/>
      <c r="J337" s="482"/>
      <c r="K337" s="482"/>
      <c r="M337" s="497">
        <f>_xll.qlCalendarAdvance(Calendar,M336,"1M","f",,Trigger)</f>
        <v>52337</v>
      </c>
      <c r="N337" s="488">
        <f>_xll.qlCalendarAdvance(Calendar,M337,"3M","mf",,Trigger)</f>
        <v>52428</v>
      </c>
      <c r="O337" s="490" t="str">
        <f>_xll.qlMakeDatedOIS(,M337,N337,OvernightIndex,0,,,,EvaluationDate)</f>
        <v>obj_0063e#0001</v>
      </c>
      <c r="P337" s="490" t="b">
        <f>_xll.qlInstrumentSetPricingEngine(O337,OisEngine)</f>
        <v>1</v>
      </c>
      <c r="Q337" s="489">
        <f>_xll.qlIndexFixing("euribor3m",_xll.qlInterestRateIndexFixingDate("Euribor3M",M337),TRUE,AllTriggers)</f>
        <v>2.1881180404557381E-2</v>
      </c>
      <c r="R337" s="489">
        <f>_xll.qlOvernightIndexedSwapFairRate(O337,AllTriggers)</f>
        <v>2.152193529482874E-2</v>
      </c>
      <c r="S337" s="491">
        <f t="shared" si="7"/>
        <v>3.5924510972864046E-4</v>
      </c>
    </row>
    <row r="338" spans="5:19" ht="11.25" customHeight="1" x14ac:dyDescent="0.2">
      <c r="E338" s="483"/>
      <c r="F338" s="483"/>
      <c r="G338" s="482"/>
      <c r="J338" s="482"/>
      <c r="K338" s="482"/>
      <c r="M338" s="497">
        <f>_xll.qlCalendarAdvance(Calendar,M337,"1M","f",,Trigger)</f>
        <v>52369</v>
      </c>
      <c r="N338" s="488">
        <f>_xll.qlCalendarAdvance(Calendar,M338,"3M","mf",,Trigger)</f>
        <v>52461</v>
      </c>
      <c r="O338" s="490" t="str">
        <f>_xll.qlMakeDatedOIS(,M338,N338,OvernightIndex,0,,,,EvaluationDate)</f>
        <v>obj_00640#0001</v>
      </c>
      <c r="P338" s="490" t="b">
        <f>_xll.qlInstrumentSetPricingEngine(O338,OisEngine)</f>
        <v>1</v>
      </c>
      <c r="Q338" s="489">
        <f>_xll.qlIndexFixing("euribor3m",_xll.qlInterestRateIndexFixingDate("Euribor3M",M338),TRUE,AllTriggers)</f>
        <v>2.1890463377012281E-2</v>
      </c>
      <c r="R338" s="489">
        <f>_xll.qlOvernightIndexedSwapFairRate(O338,AllTriggers)</f>
        <v>2.152257746872251E-2</v>
      </c>
      <c r="S338" s="491">
        <f t="shared" si="7"/>
        <v>3.6788590828977161E-4</v>
      </c>
    </row>
    <row r="339" spans="5:19" ht="11.25" customHeight="1" x14ac:dyDescent="0.2">
      <c r="E339" s="483"/>
      <c r="F339" s="483"/>
      <c r="G339" s="482"/>
      <c r="J339" s="482"/>
      <c r="K339" s="482"/>
      <c r="M339" s="497">
        <f>_xll.qlCalendarAdvance(Calendar,M338,"1M","f",,Trigger)</f>
        <v>52400</v>
      </c>
      <c r="N339" s="488">
        <f>_xll.qlCalendarAdvance(Calendar,M339,"3M","mf",,Trigger)</f>
        <v>52492</v>
      </c>
      <c r="O339" s="490" t="str">
        <f>_xll.qlMakeDatedOIS(,M339,N339,OvernightIndex,0,,,,EvaluationDate)</f>
        <v>obj_00642#0001</v>
      </c>
      <c r="P339" s="490" t="b">
        <f>_xll.qlInstrumentSetPricingEngine(O339,OisEngine)</f>
        <v>1</v>
      </c>
      <c r="Q339" s="489">
        <f>_xll.qlIndexFixing("euribor3m",_xll.qlInterestRateIndexFixingDate("Euribor3M",M339),TRUE,AllTriggers)</f>
        <v>2.1899423830978919E-2</v>
      </c>
      <c r="R339" s="489">
        <f>_xll.qlOvernightIndexedSwapFairRate(O339,AllTriggers)</f>
        <v>2.1522577468721639E-2</v>
      </c>
      <c r="S339" s="491">
        <f t="shared" si="7"/>
        <v>3.7684636225727985E-4</v>
      </c>
    </row>
    <row r="340" spans="5:19" ht="11.25" customHeight="1" x14ac:dyDescent="0.2">
      <c r="E340" s="483"/>
      <c r="F340" s="483"/>
      <c r="G340" s="482"/>
      <c r="J340" s="482"/>
      <c r="K340" s="482"/>
      <c r="M340" s="497">
        <f>_xll.qlCalendarAdvance(Calendar,M339,"1M","f",,Trigger)</f>
        <v>52432</v>
      </c>
      <c r="N340" s="488">
        <f>_xll.qlCalendarAdvance(Calendar,M340,"3M","mf",,Trigger)</f>
        <v>52524</v>
      </c>
      <c r="O340" s="490" t="str">
        <f>_xll.qlMakeDatedOIS(,M340,N340,OvernightIndex,0,,,,EvaluationDate)</f>
        <v>obj_00644#0001</v>
      </c>
      <c r="P340" s="490" t="b">
        <f>_xll.qlInstrumentSetPricingEngine(O340,OisEngine)</f>
        <v>1</v>
      </c>
      <c r="Q340" s="489">
        <f>_xll.qlIndexFixing("euribor3m",_xll.qlInterestRateIndexFixingDate("Euribor3M",M340),TRUE,AllTriggers)</f>
        <v>2.1909435867531784E-2</v>
      </c>
      <c r="R340" s="489">
        <f>_xll.qlOvernightIndexedSwapFairRate(O340,AllTriggers)</f>
        <v>2.1522577468722506E-2</v>
      </c>
      <c r="S340" s="491">
        <f t="shared" si="7"/>
        <v>3.8685839880927761E-4</v>
      </c>
    </row>
    <row r="341" spans="5:19" ht="11.25" customHeight="1" x14ac:dyDescent="0.2">
      <c r="E341" s="483"/>
      <c r="F341" s="483"/>
      <c r="G341" s="482"/>
      <c r="J341" s="482"/>
      <c r="K341" s="482"/>
      <c r="M341" s="497">
        <f>_xll.qlCalendarAdvance(Calendar,M340,"1M","f",,Trigger)</f>
        <v>52463</v>
      </c>
      <c r="N341" s="488">
        <f>_xll.qlCalendarAdvance(Calendar,M341,"3M","mf",,Trigger)</f>
        <v>52555</v>
      </c>
      <c r="O341" s="490" t="str">
        <f>_xll.qlMakeDatedOIS(,M341,N341,OvernightIndex,0,,,,EvaluationDate)</f>
        <v>obj_00646#0001</v>
      </c>
      <c r="P341" s="490" t="b">
        <f>_xll.qlInstrumentSetPricingEngine(O341,OisEngine)</f>
        <v>1</v>
      </c>
      <c r="Q341" s="489">
        <f>_xll.qlIndexFixing("euribor3m",_xll.qlInterestRateIndexFixingDate("Euribor3M",M341),TRUE,AllTriggers)</f>
        <v>2.1919873739906035E-2</v>
      </c>
      <c r="R341" s="489">
        <f>_xll.qlOvernightIndexedSwapFairRate(O341,AllTriggers)</f>
        <v>2.1522577468722506E-2</v>
      </c>
      <c r="S341" s="491">
        <f t="shared" si="7"/>
        <v>3.9729627118352887E-4</v>
      </c>
    </row>
    <row r="342" spans="5:19" ht="11.25" customHeight="1" x14ac:dyDescent="0.2">
      <c r="E342" s="483"/>
      <c r="F342" s="483"/>
      <c r="G342" s="482"/>
      <c r="J342" s="482"/>
      <c r="K342" s="482"/>
      <c r="M342" s="497">
        <f>_xll.qlCalendarAdvance(Calendar,M341,"1M","f",,Trigger)</f>
        <v>52495</v>
      </c>
      <c r="N342" s="488">
        <f>_xll.qlCalendarAdvance(Calendar,M342,"3M","mf",,Trigger)</f>
        <v>52586</v>
      </c>
      <c r="O342" s="490" t="str">
        <f>_xll.qlMakeDatedOIS(,M342,N342,OvernightIndex,0,,,,EvaluationDate)</f>
        <v>obj_00647#0001</v>
      </c>
      <c r="P342" s="490" t="b">
        <f>_xll.qlInstrumentSetPricingEngine(O342,OisEngine)</f>
        <v>1</v>
      </c>
      <c r="Q342" s="489">
        <f>_xll.qlIndexFixing("euribor3m",_xll.qlInterestRateIndexFixingDate("Euribor3M",M342),TRUE,AllTriggers)</f>
        <v>2.1930552104877512E-2</v>
      </c>
      <c r="R342" s="489">
        <f>_xll.qlOvernightIndexedSwapFairRate(O342,AllTriggers)</f>
        <v>2.152193529482874E-2</v>
      </c>
      <c r="S342" s="491">
        <f t="shared" si="7"/>
        <v>4.0861681004877165E-4</v>
      </c>
    </row>
    <row r="343" spans="5:19" ht="11.25" customHeight="1" x14ac:dyDescent="0.2">
      <c r="E343" s="483"/>
      <c r="F343" s="483"/>
      <c r="G343" s="482"/>
      <c r="J343" s="482"/>
      <c r="K343" s="482"/>
      <c r="M343" s="497">
        <f>_xll.qlCalendarAdvance(Calendar,M342,"1M","f",,Trigger)</f>
        <v>52525</v>
      </c>
      <c r="N343" s="488">
        <f>_xll.qlCalendarAdvance(Calendar,M343,"3M","mf",,Trigger)</f>
        <v>52617</v>
      </c>
      <c r="O343" s="490" t="str">
        <f>_xll.qlMakeDatedOIS(,M343,N343,OvernightIndex,0,,,,EvaluationDate)</f>
        <v>obj_00649#0001</v>
      </c>
      <c r="P343" s="490" t="b">
        <f>_xll.qlInstrumentSetPricingEngine(O343,OisEngine)</f>
        <v>1</v>
      </c>
      <c r="Q343" s="489">
        <f>_xll.qlIndexFixing("euribor3m",_xll.qlInterestRateIndexFixingDate("Euribor3M",M343),TRUE,AllTriggers)</f>
        <v>2.1942930467511459E-2</v>
      </c>
      <c r="R343" s="489">
        <f>_xll.qlOvernightIndexedSwapFairRate(O343,AllTriggers)</f>
        <v>2.1522577468721635E-2</v>
      </c>
      <c r="S343" s="491">
        <f t="shared" si="7"/>
        <v>4.2035299878982399E-4</v>
      </c>
    </row>
    <row r="344" spans="5:19" ht="11.25" customHeight="1" x14ac:dyDescent="0.2">
      <c r="E344" s="483"/>
      <c r="F344" s="483"/>
      <c r="G344" s="482"/>
      <c r="J344" s="482"/>
      <c r="K344" s="482"/>
      <c r="M344" s="497">
        <f>_xll.qlCalendarAdvance(Calendar,M343,"1M","f",,Trigger)</f>
        <v>52558</v>
      </c>
      <c r="N344" s="488">
        <f>_xll.qlCalendarAdvance(Calendar,M344,"3M","mf",,Trigger)</f>
        <v>52650</v>
      </c>
      <c r="O344" s="490" t="str">
        <f>_xll.qlMakeDatedOIS(,M344,N344,OvernightIndex,0,,,,EvaluationDate)</f>
        <v>obj_0064b#0001</v>
      </c>
      <c r="P344" s="490" t="b">
        <f>_xll.qlInstrumentSetPricingEngine(O344,OisEngine)</f>
        <v>1</v>
      </c>
      <c r="Q344" s="489">
        <f>_xll.qlIndexFixing("euribor3m",_xll.qlInterestRateIndexFixingDate("Euribor3M",M344),TRUE,AllTriggers)</f>
        <v>2.1956388420991776E-2</v>
      </c>
      <c r="R344" s="489">
        <f>_xll.qlOvernightIndexedSwapFairRate(O344,AllTriggers)</f>
        <v>2.1522577468721635E-2</v>
      </c>
      <c r="S344" s="491">
        <f t="shared" si="7"/>
        <v>4.3381095227014096E-4</v>
      </c>
    </row>
    <row r="345" spans="5:19" ht="11.25" customHeight="1" x14ac:dyDescent="0.2">
      <c r="E345" s="483"/>
      <c r="F345" s="483"/>
      <c r="G345" s="482"/>
      <c r="J345" s="482"/>
      <c r="K345" s="482"/>
      <c r="M345" s="497">
        <f>_xll.qlCalendarAdvance(Calendar,M344,"1M","f",,Trigger)</f>
        <v>52588</v>
      </c>
      <c r="N345" s="488">
        <f>_xll.qlCalendarAdvance(Calendar,M345,"3M","mf",,Trigger)</f>
        <v>52679</v>
      </c>
      <c r="O345" s="490" t="str">
        <f>_xll.qlMakeDatedOIS(,M345,N345,OvernightIndex,0,,,,EvaluationDate)</f>
        <v>obj_0064d#0001</v>
      </c>
      <c r="P345" s="490" t="b">
        <f>_xll.qlInstrumentSetPricingEngine(O345,OisEngine)</f>
        <v>1</v>
      </c>
      <c r="Q345" s="489">
        <f>_xll.qlIndexFixing("euribor3m",_xll.qlInterestRateIndexFixingDate("Euribor3M",M345),TRUE,AllTriggers)</f>
        <v>2.1968441589841545E-2</v>
      </c>
      <c r="R345" s="489">
        <f>_xll.qlOvernightIndexedSwapFairRate(O345,AllTriggers)</f>
        <v>2.1521935294828737E-2</v>
      </c>
      <c r="S345" s="491">
        <f t="shared" si="7"/>
        <v>4.4650629501280861E-4</v>
      </c>
    </row>
    <row r="346" spans="5:19" ht="11.25" customHeight="1" x14ac:dyDescent="0.2">
      <c r="E346" s="483"/>
      <c r="F346" s="483"/>
      <c r="G346" s="482"/>
      <c r="J346" s="482"/>
      <c r="K346" s="482"/>
      <c r="M346" s="497">
        <f>_xll.qlCalendarAdvance(Calendar,M345,"1M","f",,Trigger)</f>
        <v>52621</v>
      </c>
      <c r="N346" s="488">
        <f>_xll.qlCalendarAdvance(Calendar,M346,"3M","mf",,Trigger)</f>
        <v>52712</v>
      </c>
      <c r="O346" s="490" t="str">
        <f>_xll.qlMakeDatedOIS(,M346,N346,OvernightIndex,0,,,,EvaluationDate)</f>
        <v>obj_0064f#0001</v>
      </c>
      <c r="P346" s="490" t="b">
        <f>_xll.qlInstrumentSetPricingEngine(O346,OisEngine)</f>
        <v>1</v>
      </c>
      <c r="Q346" s="489">
        <f>_xll.qlIndexFixing("euribor3m",_xll.qlInterestRateIndexFixingDate("Euribor3M",M346),TRUE,AllTriggers)</f>
        <v>2.1983458952177189E-2</v>
      </c>
      <c r="R346" s="489">
        <f>_xll.qlOvernightIndexedSwapFairRate(O346,AllTriggers)</f>
        <v>2.1521935294827862E-2</v>
      </c>
      <c r="S346" s="491">
        <f t="shared" si="7"/>
        <v>4.6152365734932616E-4</v>
      </c>
    </row>
    <row r="347" spans="5:19" ht="11.25" customHeight="1" x14ac:dyDescent="0.2">
      <c r="E347" s="483"/>
      <c r="F347" s="483"/>
      <c r="G347" s="482"/>
      <c r="J347" s="482"/>
      <c r="K347" s="482"/>
      <c r="M347" s="497">
        <f>_xll.qlCalendarAdvance(Calendar,M346,"1M","f",,Trigger)</f>
        <v>52652</v>
      </c>
      <c r="N347" s="488">
        <f>_xll.qlCalendarAdvance(Calendar,M347,"3M","mf",,Trigger)</f>
        <v>52742</v>
      </c>
      <c r="O347" s="490" t="str">
        <f>_xll.qlMakeDatedOIS(,M347,N347,OvernightIndex,0,,,,EvaluationDate)</f>
        <v>obj_00651#0001</v>
      </c>
      <c r="P347" s="490" t="b">
        <f>_xll.qlInstrumentSetPricingEngine(O347,OisEngine)</f>
        <v>1</v>
      </c>
      <c r="Q347" s="489">
        <f>_xll.qlIndexFixing("euribor3m",_xll.qlInterestRateIndexFixingDate("Euribor3M",M347),TRUE,AllTriggers)</f>
        <v>2.1997394644576396E-2</v>
      </c>
      <c r="R347" s="489">
        <f>_xll.qlOvernightIndexedSwapFairRate(O347,AllTriggers)</f>
        <v>2.1521293146470555E-2</v>
      </c>
      <c r="S347" s="491">
        <f t="shared" si="7"/>
        <v>4.761014981058409E-4</v>
      </c>
    </row>
    <row r="348" spans="5:19" ht="11.25" customHeight="1" x14ac:dyDescent="0.2">
      <c r="E348" s="483"/>
      <c r="F348" s="483"/>
      <c r="G348" s="482"/>
      <c r="J348" s="482"/>
      <c r="K348" s="482"/>
      <c r="M348" s="497">
        <f>_xll.qlCalendarAdvance(Calendar,M347,"1M","f",,Trigger)</f>
        <v>52681</v>
      </c>
      <c r="N348" s="488">
        <f>_xll.qlCalendarAdvance(Calendar,M348,"3M","mf",,Trigger)</f>
        <v>52775</v>
      </c>
      <c r="O348" s="490" t="str">
        <f>_xll.qlMakeDatedOIS(,M348,N348,OvernightIndex,0,,,,EvaluationDate)</f>
        <v>obj_00653#0001</v>
      </c>
      <c r="P348" s="490" t="b">
        <f>_xll.qlInstrumentSetPricingEngine(O348,OisEngine)</f>
        <v>1</v>
      </c>
      <c r="Q348" s="489">
        <f>_xll.qlIndexFixing("euribor3m",_xll.qlInterestRateIndexFixingDate("Euribor3M",M348),TRUE,AllTriggers)</f>
        <v>2.2015677168589244E-2</v>
      </c>
      <c r="R348" s="489">
        <f>_xll.qlOvernightIndexedSwapFairRate(O348,AllTriggers)</f>
        <v>2.152386189312154E-2</v>
      </c>
      <c r="S348" s="491">
        <f t="shared" si="7"/>
        <v>4.9181527546770382E-4</v>
      </c>
    </row>
    <row r="349" spans="5:19" ht="11.25" customHeight="1" x14ac:dyDescent="0.2">
      <c r="E349" s="483"/>
      <c r="F349" s="483"/>
      <c r="G349" s="482"/>
      <c r="J349" s="482"/>
      <c r="K349" s="482"/>
      <c r="M349" s="497">
        <f>_xll.qlCalendarAdvance(Calendar,M348,"1M","f",,Trigger)</f>
        <v>52712</v>
      </c>
      <c r="N349" s="488">
        <f>_xll.qlCalendarAdvance(Calendar,M349,"3M","mf",,Trigger)</f>
        <v>52803</v>
      </c>
      <c r="O349" s="490" t="str">
        <f>_xll.qlMakeDatedOIS(,M349,N349,OvernightIndex,0,,,,EvaluationDate)</f>
        <v>obj_00654#0001</v>
      </c>
      <c r="P349" s="490" t="b">
        <f>_xll.qlInstrumentSetPricingEngine(O349,OisEngine)</f>
        <v>1</v>
      </c>
      <c r="Q349" s="489">
        <f>_xll.qlIndexFixing("euribor3m",_xll.qlInterestRateIndexFixingDate("Euribor3M",M349),TRUE,AllTriggers)</f>
        <v>2.2029138590338903E-2</v>
      </c>
      <c r="R349" s="489">
        <f>_xll.qlOvernightIndexedSwapFairRate(O349,AllTriggers)</f>
        <v>2.152193529482874E-2</v>
      </c>
      <c r="S349" s="491">
        <f t="shared" si="7"/>
        <v>5.0720329551016269E-4</v>
      </c>
    </row>
    <row r="350" spans="5:19" ht="11.25" customHeight="1" x14ac:dyDescent="0.2">
      <c r="E350" s="483"/>
      <c r="F350" s="483"/>
      <c r="G350" s="482"/>
      <c r="J350" s="482"/>
      <c r="K350" s="482"/>
      <c r="M350" s="497">
        <f>_xll.qlCalendarAdvance(Calendar,M349,"1M","f",,Trigger)</f>
        <v>52742</v>
      </c>
      <c r="N350" s="488">
        <f>_xll.qlCalendarAdvance(Calendar,M350,"3M","mf",,Trigger)</f>
        <v>52834</v>
      </c>
      <c r="O350" s="490" t="str">
        <f>_xll.qlMakeDatedOIS(,M350,N350,OvernightIndex,0,,,,EvaluationDate)</f>
        <v>obj_00655#0001</v>
      </c>
      <c r="P350" s="490" t="b">
        <f>_xll.qlInstrumentSetPricingEngine(O350,OisEngine)</f>
        <v>1</v>
      </c>
      <c r="Q350" s="489">
        <f>_xll.qlIndexFixing("euribor3m",_xll.qlInterestRateIndexFixingDate("Euribor3M",M350),TRUE,AllTriggers)</f>
        <v>2.2046530068470287E-2</v>
      </c>
      <c r="R350" s="489">
        <f>_xll.qlOvernightIndexedSwapFairRate(O350,AllTriggers)</f>
        <v>2.1522577468721635E-2</v>
      </c>
      <c r="S350" s="491">
        <f t="shared" si="7"/>
        <v>5.2395259974865119E-4</v>
      </c>
    </row>
    <row r="351" spans="5:19" ht="11.25" customHeight="1" x14ac:dyDescent="0.2">
      <c r="E351" s="483"/>
      <c r="F351" s="483"/>
      <c r="G351" s="482"/>
      <c r="J351" s="482"/>
      <c r="K351" s="482"/>
      <c r="M351" s="497">
        <f>_xll.qlCalendarAdvance(Calendar,M350,"1M","f",,Trigger)</f>
        <v>52775</v>
      </c>
      <c r="N351" s="488">
        <f>_xll.qlCalendarAdvance(Calendar,M351,"3M","mf",,Trigger)</f>
        <v>52867</v>
      </c>
      <c r="O351" s="490" t="str">
        <f>_xll.qlMakeDatedOIS(,M351,N351,OvernightIndex,0,,,,EvaluationDate)</f>
        <v>obj_00657#0001</v>
      </c>
      <c r="P351" s="490" t="b">
        <f>_xll.qlInstrumentSetPricingEngine(O351,OisEngine)</f>
        <v>1</v>
      </c>
      <c r="Q351" s="489">
        <f>_xll.qlIndexFixing("euribor3m",_xll.qlInterestRateIndexFixingDate("Euribor3M",M351),TRUE,AllTriggers)</f>
        <v>2.2065398822355722E-2</v>
      </c>
      <c r="R351" s="489">
        <f>_xll.qlOvernightIndexedSwapFairRate(O351,AllTriggers)</f>
        <v>2.1620218850014125E-2</v>
      </c>
      <c r="S351" s="491">
        <f t="shared" si="7"/>
        <v>4.4517997234159654E-4</v>
      </c>
    </row>
    <row r="352" spans="5:19" ht="11.25" customHeight="1" x14ac:dyDescent="0.2">
      <c r="E352" s="483"/>
      <c r="F352" s="483"/>
      <c r="G352" s="482"/>
      <c r="J352" s="482"/>
      <c r="K352" s="482"/>
      <c r="M352" s="497">
        <f>_xll.qlCalendarAdvance(Calendar,M351,"1M","f",,Trigger)</f>
        <v>52805</v>
      </c>
      <c r="N352" s="488">
        <f>_xll.qlCalendarAdvance(Calendar,M352,"3M","mf",,Trigger)</f>
        <v>52897</v>
      </c>
      <c r="O352" s="490" t="str">
        <f>_xll.qlMakeDatedOIS(,M352,N352,OvernightIndex,0,,,,EvaluationDate)</f>
        <v>obj_00659#0001</v>
      </c>
      <c r="P352" s="490" t="b">
        <f>_xll.qlInstrumentSetPricingEngine(O352,OisEngine)</f>
        <v>1</v>
      </c>
      <c r="Q352" s="489">
        <f>_xll.qlIndexFixing("euribor3m",_xll.qlInterestRateIndexFixingDate("Euribor3M",M352),TRUE,AllTriggers)</f>
        <v>2.2083096734564503E-2</v>
      </c>
      <c r="R352" s="489">
        <f>_xll.qlOvernightIndexedSwapFairRate(O352,AllTriggers)</f>
        <v>2.1815508881949431E-2</v>
      </c>
      <c r="S352" s="491">
        <f t="shared" si="7"/>
        <v>2.6758785261507198E-4</v>
      </c>
    </row>
    <row r="353" spans="5:19" ht="11.25" customHeight="1" x14ac:dyDescent="0.2">
      <c r="E353" s="483"/>
      <c r="F353" s="483"/>
      <c r="G353" s="482"/>
      <c r="J353" s="482"/>
      <c r="K353" s="482"/>
      <c r="M353" s="497">
        <f>_xll.qlCalendarAdvance(Calendar,M352,"1M","f",,Trigger)</f>
        <v>52838</v>
      </c>
      <c r="N353" s="488">
        <f>_xll.qlCalendarAdvance(Calendar,M353,"3M","mf",,Trigger)</f>
        <v>52930</v>
      </c>
      <c r="O353" s="490" t="str">
        <f>_xll.qlMakeDatedOIS(,M353,N353,OvernightIndex,0,,,,EvaluationDate)</f>
        <v>obj_0065a#0001</v>
      </c>
      <c r="P353" s="490" t="b">
        <f>_xll.qlInstrumentSetPricingEngine(O353,OisEngine)</f>
        <v>1</v>
      </c>
      <c r="Q353" s="489">
        <f>_xll.qlIndexFixing("euribor3m",_xll.qlInterestRateIndexFixingDate("Euribor3M",M353),TRUE,AllTriggers)</f>
        <v>2.2102773364221437E-2</v>
      </c>
      <c r="R353" s="489">
        <f>_xll.qlOvernightIndexedSwapFairRate(O353,AllTriggers)</f>
        <v>2.2030339112365759E-2</v>
      </c>
      <c r="S353" s="491">
        <f t="shared" si="7"/>
        <v>7.2434251855678367E-5</v>
      </c>
    </row>
    <row r="354" spans="5:19" ht="11.25" customHeight="1" x14ac:dyDescent="0.2">
      <c r="E354" s="483"/>
      <c r="F354" s="483"/>
      <c r="G354" s="482"/>
      <c r="J354" s="482"/>
      <c r="K354" s="482"/>
      <c r="M354" s="497">
        <f>_xll.qlCalendarAdvance(Calendar,M353,"1M","f",,Trigger)</f>
        <v>52869</v>
      </c>
      <c r="N354" s="488">
        <f>_xll.qlCalendarAdvance(Calendar,M354,"3M","mf",,Trigger)</f>
        <v>52960</v>
      </c>
      <c r="O354" s="490" t="str">
        <f>_xll.qlMakeDatedOIS(,M354,N354,OvernightIndex,0,,,,EvaluationDate)</f>
        <v>obj_0065c#0001</v>
      </c>
      <c r="P354" s="490" t="b">
        <f>_xll.qlInstrumentSetPricingEngine(O354,OisEngine)</f>
        <v>1</v>
      </c>
      <c r="Q354" s="489">
        <f>_xll.qlIndexFixing("euribor3m",_xll.qlInterestRateIndexFixingDate("Euribor3M",M354),TRUE,AllTriggers)</f>
        <v>2.2120122850930457E-2</v>
      </c>
      <c r="R354" s="489">
        <f>_xll.qlOvernightIndexedSwapFairRate(O354,AllTriggers)</f>
        <v>2.2120804377927055E-2</v>
      </c>
      <c r="S354" s="491">
        <f t="shared" si="7"/>
        <v>-6.8152699659804195E-7</v>
      </c>
    </row>
    <row r="355" spans="5:19" ht="11.25" customHeight="1" x14ac:dyDescent="0.2">
      <c r="E355" s="483"/>
      <c r="F355" s="483"/>
      <c r="G355" s="482"/>
      <c r="J355" s="482"/>
      <c r="K355" s="482"/>
      <c r="M355" s="497">
        <f>_xll.qlCalendarAdvance(Calendar,M354,"1M","f",,Trigger)</f>
        <v>52901</v>
      </c>
      <c r="N355" s="488">
        <f>_xll.qlCalendarAdvance(Calendar,M355,"3M","mf",,Trigger)</f>
        <v>52993</v>
      </c>
      <c r="O355" s="490" t="str">
        <f>_xll.qlMakeDatedOIS(,M355,N355,OvernightIndex,0,,,,EvaluationDate)</f>
        <v>obj_0065e#0001</v>
      </c>
      <c r="P355" s="490" t="b">
        <f>_xll.qlInstrumentSetPricingEngine(O355,OisEngine)</f>
        <v>1</v>
      </c>
      <c r="Q355" s="489">
        <f>_xll.qlIndexFixing("euribor3m",_xll.qlInterestRateIndexFixingDate("Euribor3M",M355),TRUE,AllTriggers)</f>
        <v>2.2139648418074458E-2</v>
      </c>
      <c r="R355" s="489">
        <f>_xll.qlOvernightIndexedSwapFairRate(O355,AllTriggers)</f>
        <v>2.2121482753559227E-2</v>
      </c>
      <c r="S355" s="491">
        <f t="shared" si="7"/>
        <v>1.8165664515231578E-5</v>
      </c>
    </row>
    <row r="356" spans="5:19" ht="11.25" customHeight="1" x14ac:dyDescent="0.2">
      <c r="E356" s="483"/>
      <c r="F356" s="483"/>
      <c r="G356" s="482"/>
      <c r="J356" s="482"/>
      <c r="K356" s="482"/>
      <c r="M356" s="497">
        <f>_xll.qlCalendarAdvance(Calendar,M355,"1M","f",,Trigger)</f>
        <v>52931</v>
      </c>
      <c r="N356" s="488">
        <f>_xll.qlCalendarAdvance(Calendar,M356,"3M","mf",,Trigger)</f>
        <v>53021</v>
      </c>
      <c r="O356" s="490" t="str">
        <f>_xll.qlMakeDatedOIS(,M356,N356,OvernightIndex,0,,,,EvaluationDate)</f>
        <v>obj_00660#0001</v>
      </c>
      <c r="P356" s="490" t="b">
        <f>_xll.qlInstrumentSetPricingEngine(O356,OisEngine)</f>
        <v>1</v>
      </c>
      <c r="Q356" s="489">
        <f>_xll.qlIndexFixing("euribor3m",_xll.qlInterestRateIndexFixingDate("Euribor3M",M356),TRUE,AllTriggers)</f>
        <v>2.2154796532566579E-2</v>
      </c>
      <c r="R356" s="489">
        <f>_xll.qlOvernightIndexedSwapFairRate(O356,AllTriggers)</f>
        <v>2.2120126030019449E-2</v>
      </c>
      <c r="S356" s="491">
        <f t="shared" si="7"/>
        <v>3.4670502547129445E-5</v>
      </c>
    </row>
    <row r="357" spans="5:19" ht="11.25" customHeight="1" x14ac:dyDescent="0.2">
      <c r="E357" s="483"/>
      <c r="F357" s="483"/>
      <c r="G357" s="482"/>
      <c r="J357" s="482"/>
      <c r="K357" s="482"/>
      <c r="M357" s="497">
        <f>_xll.qlCalendarAdvance(Calendar,M356,"1M","f",,Trigger)</f>
        <v>52961</v>
      </c>
      <c r="N357" s="488">
        <f>_xll.qlCalendarAdvance(Calendar,M357,"3M","mf",,Trigger)</f>
        <v>53051</v>
      </c>
      <c r="O357" s="490" t="str">
        <f>_xll.qlMakeDatedOIS(,M357,N357,OvernightIndex,0,,,,EvaluationDate)</f>
        <v>obj_00662#0001</v>
      </c>
      <c r="P357" s="490" t="b">
        <f>_xll.qlInstrumentSetPricingEngine(O357,OisEngine)</f>
        <v>1</v>
      </c>
      <c r="Q357" s="489">
        <f>_xll.qlIndexFixing("euribor3m",_xll.qlInterestRateIndexFixingDate("Euribor3M",M357),TRUE,AllTriggers)</f>
        <v>2.2172508857864134E-2</v>
      </c>
      <c r="R357" s="489">
        <f>_xll.qlOvernightIndexedSwapFairRate(O357,AllTriggers)</f>
        <v>2.2120126030018561E-2</v>
      </c>
      <c r="S357" s="491">
        <f t="shared" si="7"/>
        <v>5.2382827845573465E-5</v>
      </c>
    </row>
    <row r="358" spans="5:19" ht="11.25" customHeight="1" x14ac:dyDescent="0.2">
      <c r="E358" s="483"/>
      <c r="F358" s="483"/>
      <c r="G358" s="482"/>
      <c r="J358" s="482"/>
      <c r="K358" s="482"/>
      <c r="M358" s="497">
        <f>_xll.qlCalendarAdvance(Calendar,M357,"1M","f",,Trigger)</f>
        <v>52992</v>
      </c>
      <c r="N358" s="488">
        <f>_xll.qlCalendarAdvance(Calendar,M358,"3M","mf",,Trigger)</f>
        <v>53080</v>
      </c>
      <c r="O358" s="490" t="str">
        <f>_xll.qlMakeDatedOIS(,M358,N358,OvernightIndex,0,,,,EvaluationDate)</f>
        <v>obj_00663#0001</v>
      </c>
      <c r="P358" s="490" t="b">
        <f>_xll.qlInstrumentSetPricingEngine(O358,OisEngine)</f>
        <v>1</v>
      </c>
      <c r="Q358" s="489">
        <f>_xll.qlIndexFixing("euribor3m",_xll.qlInterestRateIndexFixingDate("Euribor3M",M358),TRUE,AllTriggers)</f>
        <v>2.2186631525734333E-2</v>
      </c>
      <c r="R358" s="489">
        <f>_xll.qlOvernightIndexedSwapFairRate(O358,AllTriggers)</f>
        <v>2.2118769417371596E-2</v>
      </c>
      <c r="S358" s="491">
        <f t="shared" si="7"/>
        <v>6.7862108362737317E-5</v>
      </c>
    </row>
    <row r="359" spans="5:19" ht="11.25" customHeight="1" x14ac:dyDescent="0.2">
      <c r="E359" s="483"/>
      <c r="F359" s="483"/>
      <c r="G359" s="482"/>
      <c r="J359" s="482"/>
      <c r="K359" s="482"/>
      <c r="M359" s="497">
        <f>_xll.qlCalendarAdvance(Calendar,M358,"1M","f",,Trigger)</f>
        <v>53021</v>
      </c>
      <c r="N359" s="488">
        <f>_xll.qlCalendarAdvance(Calendar,M359,"3M","mf",,Trigger)</f>
        <v>53111</v>
      </c>
      <c r="O359" s="490" t="str">
        <f>_xll.qlMakeDatedOIS(,M359,N359,OvernightIndex,0,,,,EvaluationDate)</f>
        <v>obj_00665#0001</v>
      </c>
      <c r="P359" s="490" t="b">
        <f>_xll.qlInstrumentSetPricingEngine(O359,OisEngine)</f>
        <v>1</v>
      </c>
      <c r="Q359" s="489">
        <f>_xll.qlIndexFixing("euribor3m",_xll.qlInterestRateIndexFixingDate("Euribor3M",M359),TRUE,AllTriggers)</f>
        <v>2.2206003359076281E-2</v>
      </c>
      <c r="R359" s="489">
        <f>_xll.qlOvernightIndexedSwapFairRate(O359,AllTriggers)</f>
        <v>2.2120126030018561E-2</v>
      </c>
      <c r="S359" s="491">
        <f t="shared" si="7"/>
        <v>8.5877329057720136E-5</v>
      </c>
    </row>
    <row r="360" spans="5:19" ht="11.25" customHeight="1" x14ac:dyDescent="0.2">
      <c r="E360" s="483"/>
      <c r="F360" s="483"/>
      <c r="G360" s="482"/>
      <c r="J360" s="482"/>
      <c r="K360" s="482"/>
      <c r="M360" s="497">
        <f>_xll.qlCalendarAdvance(Calendar,M359,"1M","f",,Trigger)</f>
        <v>53049</v>
      </c>
      <c r="N360" s="488">
        <f>_xll.qlCalendarAdvance(Calendar,M360,"3M","mf",,Trigger)</f>
        <v>53141</v>
      </c>
      <c r="O360" s="490" t="str">
        <f>_xll.qlMakeDatedOIS(,M360,N360,OvernightIndex,0,,,,EvaluationDate)</f>
        <v>obj_00667#0001</v>
      </c>
      <c r="P360" s="490" t="b">
        <f>_xll.qlInstrumentSetPricingEngine(O360,OisEngine)</f>
        <v>1</v>
      </c>
      <c r="Q360" s="489">
        <f>_xll.qlIndexFixing("euribor3m",_xll.qlInterestRateIndexFixingDate("Euribor3M",M360),TRUE,AllTriggers)</f>
        <v>2.222075137451994E-2</v>
      </c>
      <c r="R360" s="489">
        <f>_xll.qlOvernightIndexedSwapFairRate(O360,AllTriggers)</f>
        <v>2.2121482753559223E-2</v>
      </c>
      <c r="S360" s="491">
        <f t="shared" si="7"/>
        <v>9.9268620960716453E-5</v>
      </c>
    </row>
    <row r="361" spans="5:19" ht="11.25" customHeight="1" x14ac:dyDescent="0.2">
      <c r="E361" s="483"/>
      <c r="F361" s="483"/>
      <c r="G361" s="482"/>
      <c r="J361" s="482"/>
      <c r="K361" s="482"/>
      <c r="M361" s="497">
        <f>_xll.qlCalendarAdvance(Calendar,M360,"1M","f",,Trigger)</f>
        <v>53080</v>
      </c>
      <c r="N361" s="488">
        <f>_xll.qlCalendarAdvance(Calendar,M361,"3M","mf",,Trigger)</f>
        <v>53171</v>
      </c>
      <c r="O361" s="490" t="str">
        <f>_xll.qlMakeDatedOIS(,M361,N361,OvernightIndex,0,,,,EvaluationDate)</f>
        <v>obj_00668#0001</v>
      </c>
      <c r="P361" s="490" t="b">
        <f>_xll.qlInstrumentSetPricingEngine(O361,OisEngine)</f>
        <v>1</v>
      </c>
      <c r="Q361" s="489">
        <f>_xll.qlIndexFixing("euribor3m",_xll.qlInterestRateIndexFixingDate("Euribor3M",M361),TRUE,AllTriggers)</f>
        <v>2.2238631354123309E-2</v>
      </c>
      <c r="R361" s="489">
        <f>_xll.qlOvernightIndexedSwapFairRate(O361,AllTriggers)</f>
        <v>2.2120804377927055E-2</v>
      </c>
      <c r="S361" s="491">
        <f t="shared" si="7"/>
        <v>1.1782697619625374E-4</v>
      </c>
    </row>
    <row r="362" spans="5:19" ht="11.25" customHeight="1" x14ac:dyDescent="0.2">
      <c r="E362" s="483"/>
      <c r="F362" s="483"/>
      <c r="G362" s="482"/>
      <c r="J362" s="482"/>
      <c r="K362" s="482"/>
      <c r="M362" s="497">
        <f>_xll.qlCalendarAdvance(Calendar,M361,"1M","f",,Trigger)</f>
        <v>53111</v>
      </c>
      <c r="N362" s="488">
        <f>_xll.qlCalendarAdvance(Calendar,M362,"3M","mf",,Trigger)</f>
        <v>53203</v>
      </c>
      <c r="O362" s="490" t="str">
        <f>_xll.qlMakeDatedOIS(,M362,N362,OvernightIndex,0,,,,EvaluationDate)</f>
        <v>obj_0066a#0001</v>
      </c>
      <c r="P362" s="490" t="b">
        <f>_xll.qlInstrumentSetPricingEngine(O362,OisEngine)</f>
        <v>1</v>
      </c>
      <c r="Q362" s="489">
        <f>_xll.qlIndexFixing("euribor3m",_xll.qlInterestRateIndexFixingDate("Euribor3M",M362),TRUE,AllTriggers)</f>
        <v>2.2252418234142292E-2</v>
      </c>
      <c r="R362" s="489">
        <f>_xll.qlOvernightIndexedSwapFairRate(O362,AllTriggers)</f>
        <v>2.2121482753559223E-2</v>
      </c>
      <c r="S362" s="491">
        <f t="shared" si="7"/>
        <v>1.3093548058306856E-4</v>
      </c>
    </row>
    <row r="363" spans="5:19" ht="11.25" customHeight="1" x14ac:dyDescent="0.2">
      <c r="E363" s="483"/>
      <c r="F363" s="483"/>
      <c r="G363" s="482"/>
      <c r="J363" s="482"/>
      <c r="K363" s="482"/>
      <c r="M363" s="497">
        <f>_xll.qlCalendarAdvance(Calendar,M362,"1M","f",,Trigger)</f>
        <v>53142</v>
      </c>
      <c r="N363" s="488">
        <f>_xll.qlCalendarAdvance(Calendar,M363,"3M","mf",,Trigger)</f>
        <v>53234</v>
      </c>
      <c r="O363" s="490" t="str">
        <f>_xll.qlMakeDatedOIS(,M363,N363,OvernightIndex,0,,,,EvaluationDate)</f>
        <v>obj_0066c#0001</v>
      </c>
      <c r="P363" s="490" t="b">
        <f>_xll.qlInstrumentSetPricingEngine(O363,OisEngine)</f>
        <v>1</v>
      </c>
      <c r="Q363" s="489">
        <f>_xll.qlIndexFixing("euribor3m",_xll.qlInterestRateIndexFixingDate("Euribor3M",M363),TRUE,AllTriggers)</f>
        <v>2.2267740434783603E-2</v>
      </c>
      <c r="R363" s="489">
        <f>_xll.qlOvernightIndexedSwapFairRate(O363,AllTriggers)</f>
        <v>2.2121482753559227E-2</v>
      </c>
      <c r="S363" s="491">
        <f t="shared" si="7"/>
        <v>1.4625768122437585E-4</v>
      </c>
    </row>
    <row r="364" spans="5:19" ht="11.25" customHeight="1" x14ac:dyDescent="0.2">
      <c r="E364" s="483"/>
      <c r="F364" s="483"/>
      <c r="G364" s="482"/>
      <c r="J364" s="482"/>
      <c r="K364" s="482"/>
      <c r="M364" s="497">
        <f>_xll.qlCalendarAdvance(Calendar,M363,"1M","f",,Trigger)</f>
        <v>53174</v>
      </c>
      <c r="N364" s="488">
        <f>_xll.qlCalendarAdvance(Calendar,M364,"3M","mf",,Trigger)</f>
        <v>53266</v>
      </c>
      <c r="O364" s="490" t="str">
        <f>_xll.qlMakeDatedOIS(,M364,N364,OvernightIndex,0,,,,EvaluationDate)</f>
        <v>obj_0066e#0001</v>
      </c>
      <c r="P364" s="490" t="b">
        <f>_xll.qlInstrumentSetPricingEngine(O364,OisEngine)</f>
        <v>1</v>
      </c>
      <c r="Q364" s="489">
        <f>_xll.qlIndexFixing("euribor3m",_xll.qlInterestRateIndexFixingDate("Euribor3M",M364),TRUE,AllTriggers)</f>
        <v>2.228319940628129E-2</v>
      </c>
      <c r="R364" s="489">
        <f>_xll.qlOvernightIndexedSwapFairRate(O364,AllTriggers)</f>
        <v>2.2121482753558359E-2</v>
      </c>
      <c r="S364" s="491">
        <f t="shared" si="7"/>
        <v>1.6171665272293051E-4</v>
      </c>
    </row>
    <row r="365" spans="5:19" ht="11.25" customHeight="1" x14ac:dyDescent="0.2">
      <c r="E365" s="483"/>
      <c r="F365" s="483"/>
      <c r="G365" s="482"/>
      <c r="J365" s="482"/>
      <c r="K365" s="482"/>
      <c r="M365" s="497">
        <f>_xll.qlCalendarAdvance(Calendar,M364,"1M","f",,Trigger)</f>
        <v>53205</v>
      </c>
      <c r="N365" s="488">
        <f>_xll.qlCalendarAdvance(Calendar,M365,"3M","mf",,Trigger)</f>
        <v>53296</v>
      </c>
      <c r="O365" s="490" t="str">
        <f>_xll.qlMakeDatedOIS(,M365,N365,OvernightIndex,0,,,,EvaluationDate)</f>
        <v>obj_00670#0001</v>
      </c>
      <c r="P365" s="490" t="b">
        <f>_xll.qlInstrumentSetPricingEngine(O365,OisEngine)</f>
        <v>1</v>
      </c>
      <c r="Q365" s="489">
        <f>_xll.qlIndexFixing("euribor3m",_xll.qlInterestRateIndexFixingDate("Euribor3M",M365),TRUE,AllTriggers)</f>
        <v>2.2296909197726377E-2</v>
      </c>
      <c r="R365" s="489">
        <f>_xll.qlOvernightIndexedSwapFairRate(O365,AllTriggers)</f>
        <v>2.2120804377927052E-2</v>
      </c>
      <c r="S365" s="491">
        <f t="shared" si="7"/>
        <v>1.7610481979932549E-4</v>
      </c>
    </row>
    <row r="366" spans="5:19" ht="11.25" customHeight="1" x14ac:dyDescent="0.2">
      <c r="E366" s="483"/>
      <c r="F366" s="483"/>
      <c r="G366" s="482"/>
      <c r="J366" s="482"/>
      <c r="K366" s="482"/>
      <c r="M366" s="497">
        <f>_xll.qlCalendarAdvance(Calendar,M365,"1M","f",,Trigger)</f>
        <v>53237</v>
      </c>
      <c r="N366" s="488">
        <f>_xll.qlCalendarAdvance(Calendar,M366,"3M","mf",,Trigger)</f>
        <v>53329</v>
      </c>
      <c r="O366" s="490" t="str">
        <f>_xll.qlMakeDatedOIS(,M366,N366,OvernightIndex,0,,,,EvaluationDate)</f>
        <v>obj_00672#0001</v>
      </c>
      <c r="P366" s="490" t="b">
        <f>_xll.qlInstrumentSetPricingEngine(O366,OisEngine)</f>
        <v>1</v>
      </c>
      <c r="Q366" s="489">
        <f>_xll.qlIndexFixing("euribor3m",_xll.qlInterestRateIndexFixingDate("Euribor3M",M366),TRUE,AllTriggers)</f>
        <v>2.2312572930734919E-2</v>
      </c>
      <c r="R366" s="489">
        <f>_xll.qlOvernightIndexedSwapFairRate(O366,AllTriggers)</f>
        <v>2.2121482753559223E-2</v>
      </c>
      <c r="S366" s="491">
        <f t="shared" si="7"/>
        <v>1.9109017717569565E-4</v>
      </c>
    </row>
    <row r="367" spans="5:19" ht="11.25" customHeight="1" x14ac:dyDescent="0.2">
      <c r="E367" s="483"/>
      <c r="F367" s="483"/>
      <c r="G367" s="482"/>
      <c r="J367" s="482"/>
      <c r="K367" s="482"/>
      <c r="M367" s="497">
        <f>_xll.qlCalendarAdvance(Calendar,M366,"1M","f",,Trigger)</f>
        <v>53268</v>
      </c>
      <c r="N367" s="488">
        <f>_xll.qlCalendarAdvance(Calendar,M367,"3M","mf",,Trigger)</f>
        <v>53360</v>
      </c>
      <c r="O367" s="490" t="str">
        <f>_xll.qlMakeDatedOIS(,M367,N367,OvernightIndex,0,,,,EvaluationDate)</f>
        <v>obj_00674#0001</v>
      </c>
      <c r="P367" s="490" t="b">
        <f>_xll.qlInstrumentSetPricingEngine(O367,OisEngine)</f>
        <v>1</v>
      </c>
      <c r="Q367" s="489">
        <f>_xll.qlIndexFixing("euribor3m",_xll.qlInterestRateIndexFixingDate("Euribor3M",M367),TRUE,AllTriggers)</f>
        <v>2.2326509819671748E-2</v>
      </c>
      <c r="R367" s="489">
        <f>_xll.qlOvernightIndexedSwapFairRate(O367,AllTriggers)</f>
        <v>2.2121482753560094E-2</v>
      </c>
      <c r="S367" s="491">
        <f t="shared" si="7"/>
        <v>2.0502706611165433E-4</v>
      </c>
    </row>
    <row r="368" spans="5:19" ht="11.25" customHeight="1" x14ac:dyDescent="0.2">
      <c r="E368" s="483"/>
      <c r="F368" s="483"/>
      <c r="G368" s="482"/>
      <c r="J368" s="482"/>
      <c r="K368" s="482"/>
      <c r="M368" s="497">
        <f>_xll.qlCalendarAdvance(Calendar,M367,"1M","f",,Trigger)</f>
        <v>53300</v>
      </c>
      <c r="N368" s="488">
        <f>_xll.qlCalendarAdvance(Calendar,M368,"3M","mf",,Trigger)</f>
        <v>53391</v>
      </c>
      <c r="O368" s="490" t="str">
        <f>_xll.qlMakeDatedOIS(,M368,N368,OvernightIndex,0,,,,EvaluationDate)</f>
        <v>obj_00676#0001</v>
      </c>
      <c r="P368" s="490" t="b">
        <f>_xll.qlInstrumentSetPricingEngine(O368,OisEngine)</f>
        <v>1</v>
      </c>
      <c r="Q368" s="489">
        <f>_xll.qlIndexFixing("euribor3m",_xll.qlInterestRateIndexFixingDate("Euribor3M",M368),TRUE,AllTriggers)</f>
        <v>2.2339633220330956E-2</v>
      </c>
      <c r="R368" s="489">
        <f>_xll.qlOvernightIndexedSwapFairRate(O368,AllTriggers)</f>
        <v>2.2120804377927936E-2</v>
      </c>
      <c r="S368" s="491">
        <f t="shared" si="7"/>
        <v>2.1882884240301964E-4</v>
      </c>
    </row>
    <row r="369" spans="5:19" ht="11.25" customHeight="1" x14ac:dyDescent="0.2">
      <c r="E369" s="483"/>
      <c r="F369" s="483"/>
      <c r="G369" s="482"/>
      <c r="J369" s="482"/>
      <c r="K369" s="482"/>
      <c r="M369" s="497">
        <f>_xll.qlCalendarAdvance(Calendar,M368,"1M","f",,Trigger)</f>
        <v>53331</v>
      </c>
      <c r="N369" s="488">
        <f>_xll.qlCalendarAdvance(Calendar,M369,"3M","mf",,Trigger)</f>
        <v>53421</v>
      </c>
      <c r="O369" s="490" t="str">
        <f>_xll.qlMakeDatedOIS(,M369,N369,OvernightIndex,0,,,,EvaluationDate)</f>
        <v>obj_00678#0001</v>
      </c>
      <c r="P369" s="490" t="b">
        <f>_xll.qlInstrumentSetPricingEngine(O369,OisEngine)</f>
        <v>1</v>
      </c>
      <c r="Q369" s="489">
        <f>_xll.qlIndexFixing("euribor3m",_xll.qlInterestRateIndexFixingDate("Euribor3M",M369),TRUE,AllTriggers)</f>
        <v>2.2351981165946277E-2</v>
      </c>
      <c r="R369" s="489">
        <f>_xll.qlOvernightIndexedSwapFairRate(O369,AllTriggers)</f>
        <v>2.2120126030018561E-2</v>
      </c>
      <c r="S369" s="491">
        <f t="shared" si="7"/>
        <v>2.3185513592771656E-4</v>
      </c>
    </row>
    <row r="370" spans="5:19" ht="11.25" customHeight="1" x14ac:dyDescent="0.2">
      <c r="E370" s="483"/>
      <c r="F370" s="483"/>
      <c r="G370" s="482"/>
      <c r="J370" s="482"/>
      <c r="K370" s="482"/>
      <c r="M370" s="497">
        <f>_xll.qlCalendarAdvance(Calendar,M369,"1M","f",,Trigger)</f>
        <v>53363</v>
      </c>
      <c r="N370" s="488">
        <f>_xll.qlCalendarAdvance(Calendar,M370,"3M","mf",,Trigger)</f>
        <v>53454</v>
      </c>
      <c r="O370" s="490" t="str">
        <f>_xll.qlMakeDatedOIS(,M370,N370,OvernightIndex,0,,,,EvaluationDate)</f>
        <v>obj_0067a#0001</v>
      </c>
      <c r="P370" s="490" t="b">
        <f>_xll.qlInstrumentSetPricingEngine(O370,OisEngine)</f>
        <v>1</v>
      </c>
      <c r="Q370" s="489">
        <f>_xll.qlIndexFixing("euribor3m",_xll.qlInterestRateIndexFixingDate("Euribor3M",M370),TRUE,AllTriggers)</f>
        <v>2.2366200883746135E-2</v>
      </c>
      <c r="R370" s="489">
        <f>_xll.qlOvernightIndexedSwapFairRate(O370,AllTriggers)</f>
        <v>2.2120804377927055E-2</v>
      </c>
      <c r="S370" s="491">
        <f t="shared" si="7"/>
        <v>2.4539650581907949E-4</v>
      </c>
    </row>
    <row r="371" spans="5:19" ht="11.25" customHeight="1" x14ac:dyDescent="0.2">
      <c r="E371" s="483"/>
      <c r="F371" s="483"/>
      <c r="G371" s="482"/>
      <c r="J371" s="482"/>
      <c r="K371" s="482"/>
      <c r="M371" s="497">
        <f>_xll.qlCalendarAdvance(Calendar,M370,"1M","f",,Trigger)</f>
        <v>53391</v>
      </c>
      <c r="N371" s="488">
        <f>_xll.qlCalendarAdvance(Calendar,M371,"3M","mf",,Trigger)</f>
        <v>53483</v>
      </c>
      <c r="O371" s="490" t="str">
        <f>_xll.qlMakeDatedOIS(,M371,N371,OvernightIndex,0,,,,EvaluationDate)</f>
        <v>obj_0067c#0001</v>
      </c>
      <c r="P371" s="490" t="b">
        <f>_xll.qlInstrumentSetPricingEngine(O371,OisEngine)</f>
        <v>1</v>
      </c>
      <c r="Q371" s="489">
        <f>_xll.qlIndexFixing("euribor3m",_xll.qlInterestRateIndexFixingDate("Euribor3M",M371),TRUE,AllTriggers)</f>
        <v>2.237844866321605E-2</v>
      </c>
      <c r="R371" s="489">
        <f>_xll.qlOvernightIndexedSwapFairRate(O371,AllTriggers)</f>
        <v>2.2121482753558356E-2</v>
      </c>
      <c r="S371" s="491">
        <f t="shared" si="7"/>
        <v>2.5696590965769428E-4</v>
      </c>
    </row>
    <row r="372" spans="5:19" ht="11.25" customHeight="1" x14ac:dyDescent="0.2">
      <c r="E372" s="483"/>
      <c r="F372" s="483"/>
      <c r="G372" s="482"/>
      <c r="J372" s="482"/>
      <c r="K372" s="482"/>
      <c r="M372" s="497">
        <f>_xll.qlCalendarAdvance(Calendar,M371,"1M","f",,Trigger)</f>
        <v>53422</v>
      </c>
      <c r="N372" s="488">
        <f>_xll.qlCalendarAdvance(Calendar,M372,"3M","mf",,Trigger)</f>
        <v>53513</v>
      </c>
      <c r="O372" s="490" t="str">
        <f>_xll.qlMakeDatedOIS(,M372,N372,OvernightIndex,0,,,,EvaluationDate)</f>
        <v>obj_0067e#0001</v>
      </c>
      <c r="P372" s="490" t="b">
        <f>_xll.qlInstrumentSetPricingEngine(O372,OisEngine)</f>
        <v>1</v>
      </c>
      <c r="Q372" s="489">
        <f>_xll.qlIndexFixing("euribor3m",_xll.qlInterestRateIndexFixingDate("Euribor3M",M372),TRUE,AllTriggers)</f>
        <v>2.2389805284581822E-2</v>
      </c>
      <c r="R372" s="489">
        <f>_xll.qlOvernightIndexedSwapFairRate(O372,AllTriggers)</f>
        <v>2.2120804377926174E-2</v>
      </c>
      <c r="S372" s="491">
        <f t="shared" si="7"/>
        <v>2.6900090665564827E-4</v>
      </c>
    </row>
    <row r="373" spans="5:19" ht="11.25" customHeight="1" x14ac:dyDescent="0.2">
      <c r="E373" s="483"/>
      <c r="F373" s="483"/>
      <c r="G373" s="482"/>
      <c r="J373" s="482"/>
      <c r="K373" s="482"/>
      <c r="M373" s="497">
        <f>_xll.qlCalendarAdvance(Calendar,M372,"1M","f",,Trigger)</f>
        <v>53454</v>
      </c>
      <c r="N373" s="488">
        <f>_xll.qlCalendarAdvance(Calendar,M373,"3M","mf",,Trigger)</f>
        <v>53546</v>
      </c>
      <c r="O373" s="490" t="str">
        <f>_xll.qlMakeDatedOIS(,M373,N373,OvernightIndex,0,,,,EvaluationDate)</f>
        <v>obj_00680#0001</v>
      </c>
      <c r="P373" s="490" t="b">
        <f>_xll.qlInstrumentSetPricingEngine(O373,OisEngine)</f>
        <v>1</v>
      </c>
      <c r="Q373" s="489">
        <f>_xll.qlIndexFixing("euribor3m",_xll.qlInterestRateIndexFixingDate("Euribor3M",M373),TRUE,AllTriggers)</f>
        <v>2.2402973391545063E-2</v>
      </c>
      <c r="R373" s="489">
        <f>_xll.qlOvernightIndexedSwapFairRate(O373,AllTriggers)</f>
        <v>2.2121482753559223E-2</v>
      </c>
      <c r="S373" s="491">
        <f t="shared" si="7"/>
        <v>2.8149063798584006E-4</v>
      </c>
    </row>
    <row r="374" spans="5:19" ht="11.25" customHeight="1" x14ac:dyDescent="0.2">
      <c r="E374" s="483"/>
      <c r="F374" s="483"/>
      <c r="G374" s="482"/>
      <c r="J374" s="482"/>
      <c r="K374" s="482"/>
      <c r="M374" s="497">
        <f>_xll.qlCalendarAdvance(Calendar,M373,"1M","f",,Trigger)</f>
        <v>53485</v>
      </c>
      <c r="N374" s="488">
        <f>_xll.qlCalendarAdvance(Calendar,M374,"3M","mf",,Trigger)</f>
        <v>53577</v>
      </c>
      <c r="O374" s="490" t="str">
        <f>_xll.qlMakeDatedOIS(,M374,N374,OvernightIndex,0,,,,EvaluationDate)</f>
        <v>obj_00682#0001</v>
      </c>
      <c r="P374" s="490" t="b">
        <f>_xll.qlInstrumentSetPricingEngine(O374,OisEngine)</f>
        <v>1</v>
      </c>
      <c r="Q374" s="489">
        <f>_xll.qlIndexFixing("euribor3m",_xll.qlInterestRateIndexFixingDate("Euribor3M",M374),TRUE,AllTriggers)</f>
        <v>2.2414524328990732E-2</v>
      </c>
      <c r="R374" s="489">
        <f>_xll.qlOvernightIndexedSwapFairRate(O374,AllTriggers)</f>
        <v>2.2121482753559223E-2</v>
      </c>
      <c r="S374" s="491">
        <f t="shared" si="7"/>
        <v>2.9304157543150883E-4</v>
      </c>
    </row>
    <row r="375" spans="5:19" ht="11.25" customHeight="1" x14ac:dyDescent="0.2">
      <c r="E375" s="483"/>
      <c r="F375" s="483"/>
      <c r="G375" s="482"/>
      <c r="J375" s="482"/>
      <c r="K375" s="482"/>
      <c r="M375" s="497">
        <f>_xll.qlCalendarAdvance(Calendar,M374,"1M","f",,Trigger)</f>
        <v>53517</v>
      </c>
      <c r="N375" s="488">
        <f>_xll.qlCalendarAdvance(Calendar,M375,"3M","mf",,Trigger)</f>
        <v>53609</v>
      </c>
      <c r="O375" s="490" t="str">
        <f>_xll.qlMakeDatedOIS(,M375,N375,OvernightIndex,0,,,,EvaluationDate)</f>
        <v>obj_00683#0001</v>
      </c>
      <c r="P375" s="490" t="b">
        <f>_xll.qlInstrumentSetPricingEngine(O375,OisEngine)</f>
        <v>1</v>
      </c>
      <c r="Q375" s="489">
        <f>_xll.qlIndexFixing("euribor3m",_xll.qlInterestRateIndexFixingDate("Euribor3M",M375),TRUE,AllTriggers)</f>
        <v>2.2426090343645445E-2</v>
      </c>
      <c r="R375" s="489">
        <f>_xll.qlOvernightIndexedSwapFairRate(O375,AllTriggers)</f>
        <v>2.2121482753559227E-2</v>
      </c>
      <c r="S375" s="491">
        <f t="shared" si="7"/>
        <v>3.0460759008621788E-4</v>
      </c>
    </row>
    <row r="376" spans="5:19" ht="11.25" customHeight="1" x14ac:dyDescent="0.2">
      <c r="E376" s="483"/>
      <c r="F376" s="483"/>
      <c r="G376" s="482"/>
      <c r="J376" s="482"/>
      <c r="K376" s="482"/>
      <c r="M376" s="497">
        <f>_xll.qlCalendarAdvance(Calendar,M375,"1M","f",,Trigger)</f>
        <v>53548</v>
      </c>
      <c r="N376" s="488">
        <f>_xll.qlCalendarAdvance(Calendar,M376,"3M","mf",,Trigger)</f>
        <v>53640</v>
      </c>
      <c r="O376" s="490" t="str">
        <f>_xll.qlMakeDatedOIS(,M376,N376,OvernightIndex,0,,,,EvaluationDate)</f>
        <v>obj_00685#0001</v>
      </c>
      <c r="P376" s="490" t="b">
        <f>_xll.qlInstrumentSetPricingEngine(O376,OisEngine)</f>
        <v>1</v>
      </c>
      <c r="Q376" s="489">
        <f>_xll.qlIndexFixing("euribor3m",_xll.qlInterestRateIndexFixingDate("Euribor3M",M376),TRUE,AllTriggers)</f>
        <v>2.2436948556602904E-2</v>
      </c>
      <c r="R376" s="489">
        <f>_xll.qlOvernightIndexedSwapFairRate(O376,AllTriggers)</f>
        <v>2.2121482753559227E-2</v>
      </c>
      <c r="S376" s="491">
        <f t="shared" si="7"/>
        <v>3.1546580304367758E-4</v>
      </c>
    </row>
    <row r="377" spans="5:19" ht="11.25" customHeight="1" x14ac:dyDescent="0.2">
      <c r="E377" s="483"/>
      <c r="F377" s="483"/>
      <c r="G377" s="482"/>
      <c r="J377" s="482"/>
      <c r="K377" s="482"/>
      <c r="M377" s="497">
        <f>_xll.qlCalendarAdvance(Calendar,M376,"1M","f",,Trigger)</f>
        <v>53580</v>
      </c>
      <c r="N377" s="488">
        <f>_xll.qlCalendarAdvance(Calendar,M377,"3M","mf",,Trigger)</f>
        <v>53671</v>
      </c>
      <c r="O377" s="490" t="str">
        <f>_xll.qlMakeDatedOIS(,M377,N377,OvernightIndex,0,,,,EvaluationDate)</f>
        <v>obj_00686#0001</v>
      </c>
      <c r="P377" s="490" t="b">
        <f>_xll.qlInstrumentSetPricingEngine(O377,OisEngine)</f>
        <v>1</v>
      </c>
      <c r="Q377" s="489">
        <f>_xll.qlIndexFixing("euribor3m",_xll.qlInterestRateIndexFixingDate("Euribor3M",M377),TRUE,AllTriggers)</f>
        <v>2.2446936939838166E-2</v>
      </c>
      <c r="R377" s="489">
        <f>_xll.qlOvernightIndexedSwapFairRate(O377,AllTriggers)</f>
        <v>2.2120804377927933E-2</v>
      </c>
      <c r="S377" s="491">
        <f t="shared" si="7"/>
        <v>3.2613256191023343E-4</v>
      </c>
    </row>
    <row r="378" spans="5:19" ht="11.25" customHeight="1" x14ac:dyDescent="0.2">
      <c r="E378" s="483"/>
      <c r="F378" s="483"/>
      <c r="G378" s="482"/>
      <c r="J378" s="482"/>
      <c r="K378" s="482"/>
      <c r="M378" s="497">
        <f>_xll.qlCalendarAdvance(Calendar,M377,"1M","f",,Trigger)</f>
        <v>53610</v>
      </c>
      <c r="N378" s="488">
        <f>_xll.qlCalendarAdvance(Calendar,M378,"3M","mf",,Trigger)</f>
        <v>53702</v>
      </c>
      <c r="O378" s="490" t="str">
        <f>_xll.qlMakeDatedOIS(,M378,N378,OvernightIndex,0,,,,EvaluationDate)</f>
        <v>obj_00688#0001</v>
      </c>
      <c r="P378" s="490" t="b">
        <f>_xll.qlInstrumentSetPricingEngine(O378,OisEngine)</f>
        <v>1</v>
      </c>
      <c r="Q378" s="489">
        <f>_xll.qlIndexFixing("euribor3m",_xll.qlInterestRateIndexFixingDate("Euribor3M",M378),TRUE,AllTriggers)</f>
        <v>2.2457642373517741E-2</v>
      </c>
      <c r="R378" s="489">
        <f>_xll.qlOvernightIndexedSwapFairRate(O378,AllTriggers)</f>
        <v>2.2121482753560094E-2</v>
      </c>
      <c r="S378" s="491">
        <f t="shared" si="7"/>
        <v>3.3615961995764679E-4</v>
      </c>
    </row>
    <row r="379" spans="5:19" ht="11.25" customHeight="1" x14ac:dyDescent="0.2">
      <c r="E379" s="483"/>
      <c r="F379" s="483"/>
      <c r="G379" s="482"/>
      <c r="J379" s="482"/>
      <c r="K379" s="482"/>
      <c r="M379" s="497">
        <f>_xll.qlCalendarAdvance(Calendar,M378,"1M","f",,Trigger)</f>
        <v>53643</v>
      </c>
      <c r="N379" s="488">
        <f>_xll.qlCalendarAdvance(Calendar,M379,"3M","mf",,Trigger)</f>
        <v>53735</v>
      </c>
      <c r="O379" s="490" t="str">
        <f>_xll.qlMakeDatedOIS(,M379,N379,OvernightIndex,0,,,,EvaluationDate)</f>
        <v>obj_0068a#0001</v>
      </c>
      <c r="P379" s="490" t="b">
        <f>_xll.qlInstrumentSetPricingEngine(O379,OisEngine)</f>
        <v>1</v>
      </c>
      <c r="Q379" s="489">
        <f>_xll.qlIndexFixing("euribor3m",_xll.qlInterestRateIndexFixingDate("Euribor3M",M379),TRUE,AllTriggers)</f>
        <v>2.2468100821432392E-2</v>
      </c>
      <c r="R379" s="489">
        <f>_xll.qlOvernightIndexedSwapFairRate(O379,AllTriggers)</f>
        <v>2.2121482753559223E-2</v>
      </c>
      <c r="S379" s="491">
        <f t="shared" si="7"/>
        <v>3.4661806787316882E-4</v>
      </c>
    </row>
    <row r="380" spans="5:19" ht="11.25" customHeight="1" x14ac:dyDescent="0.2">
      <c r="E380" s="483"/>
      <c r="F380" s="483"/>
      <c r="G380" s="482"/>
      <c r="J380" s="482"/>
      <c r="K380" s="482"/>
      <c r="M380" s="497">
        <f>_xll.qlCalendarAdvance(Calendar,M379,"1M","f",,Trigger)</f>
        <v>53673</v>
      </c>
      <c r="N380" s="488">
        <f>_xll.qlCalendarAdvance(Calendar,M380,"3M","mf",,Trigger)</f>
        <v>53763</v>
      </c>
      <c r="O380" s="490" t="str">
        <f>_xll.qlMakeDatedOIS(,M380,N380,OvernightIndex,0,,,,EvaluationDate)</f>
        <v>obj_0068b#0001</v>
      </c>
      <c r="P380" s="490" t="b">
        <f>_xll.qlInstrumentSetPricingEngine(O380,OisEngine)</f>
        <v>1</v>
      </c>
      <c r="Q380" s="489">
        <f>_xll.qlIndexFixing("euribor3m",_xll.qlInterestRateIndexFixingDate("Euribor3M",M380),TRUE,AllTriggers)</f>
        <v>2.2475577437942817E-2</v>
      </c>
      <c r="R380" s="489">
        <f>_xll.qlOvernightIndexedSwapFairRate(O380,AllTriggers)</f>
        <v>2.2120126030018561E-2</v>
      </c>
      <c r="S380" s="491">
        <f t="shared" si="7"/>
        <v>3.5545140792425656E-4</v>
      </c>
    </row>
    <row r="381" spans="5:19" ht="11.25" customHeight="1" x14ac:dyDescent="0.2">
      <c r="E381" s="483"/>
      <c r="F381" s="483"/>
      <c r="G381" s="482"/>
      <c r="J381" s="482"/>
      <c r="K381" s="482"/>
      <c r="M381" s="497">
        <f>_xll.qlCalendarAdvance(Calendar,M380,"1M","f",,Trigger)</f>
        <v>53706</v>
      </c>
      <c r="N381" s="488">
        <f>_xll.qlCalendarAdvance(Calendar,M381,"3M","mf",,Trigger)</f>
        <v>53798</v>
      </c>
      <c r="O381" s="490" t="str">
        <f>_xll.qlMakeDatedOIS(,M381,N381,OvernightIndex,0,,,,EvaluationDate)</f>
        <v>obj_0068d#0001</v>
      </c>
      <c r="P381" s="490" t="b">
        <f>_xll.qlInstrumentSetPricingEngine(O381,OisEngine)</f>
        <v>1</v>
      </c>
      <c r="Q381" s="489">
        <f>_xll.qlIndexFixing("euribor3m",_xll.qlInterestRateIndexFixingDate("Euribor3M",M381),TRUE,AllTriggers)</f>
        <v>2.2486994302029811E-2</v>
      </c>
      <c r="R381" s="489">
        <f>_xll.qlOvernightIndexedSwapFairRate(O381,AllTriggers)</f>
        <v>2.2121482753559227E-2</v>
      </c>
      <c r="S381" s="491">
        <f t="shared" si="7"/>
        <v>3.6551154847058384E-4</v>
      </c>
    </row>
    <row r="382" spans="5:19" ht="11.25" customHeight="1" x14ac:dyDescent="0.2">
      <c r="E382" s="483"/>
      <c r="F382" s="483"/>
      <c r="G382" s="482"/>
      <c r="J382" s="482"/>
      <c r="K382" s="482"/>
      <c r="M382" s="497">
        <f>_xll.qlCalendarAdvance(Calendar,M381,"1M","f",,Trigger)</f>
        <v>53737</v>
      </c>
      <c r="N382" s="488">
        <f>_xll.qlCalendarAdvance(Calendar,M382,"3M","mf",,Trigger)</f>
        <v>53826</v>
      </c>
      <c r="O382" s="490" t="str">
        <f>_xll.qlMakeDatedOIS(,M382,N382,OvernightIndex,0,,,,EvaluationDate)</f>
        <v>obj_0068e#0001</v>
      </c>
      <c r="P382" s="490" t="b">
        <f>_xll.qlInstrumentSetPricingEngine(O382,OisEngine)</f>
        <v>1</v>
      </c>
      <c r="Q382" s="489">
        <f>_xll.qlIndexFixing("euribor3m",_xll.qlInterestRateIndexFixingDate("Euribor3M",M382),TRUE,AllTriggers)</f>
        <v>2.2493260965244701E-2</v>
      </c>
      <c r="R382" s="489">
        <f>_xll.qlOvernightIndexedSwapFairRate(O382,AllTriggers)</f>
        <v>2.2119447709834171E-2</v>
      </c>
      <c r="S382" s="491">
        <f t="shared" si="7"/>
        <v>3.7381325541053015E-4</v>
      </c>
    </row>
    <row r="383" spans="5:19" ht="11.25" customHeight="1" x14ac:dyDescent="0.2">
      <c r="E383" s="483"/>
      <c r="F383" s="483"/>
      <c r="G383" s="482"/>
      <c r="J383" s="482"/>
      <c r="K383" s="482"/>
      <c r="M383" s="497">
        <f>_xll.qlCalendarAdvance(Calendar,M382,"1M","f",,Trigger)</f>
        <v>53765</v>
      </c>
      <c r="N383" s="488">
        <f>_xll.qlCalendarAdvance(Calendar,M383,"3M","mf",,Trigger)</f>
        <v>53857</v>
      </c>
      <c r="O383" s="490" t="str">
        <f>_xll.qlMakeDatedOIS(,M383,N383,OvernightIndex,0,,,,EvaluationDate)</f>
        <v>obj_0068f#0001</v>
      </c>
      <c r="P383" s="490" t="b">
        <f>_xll.qlInstrumentSetPricingEngine(O383,OisEngine)</f>
        <v>1</v>
      </c>
      <c r="Q383" s="489">
        <f>_xll.qlIndexFixing("euribor3m",_xll.qlInterestRateIndexFixingDate("Euribor3M",M383),TRUE,AllTriggers)</f>
        <v>2.2503411575312382E-2</v>
      </c>
      <c r="R383" s="489">
        <f>_xll.qlOvernightIndexedSwapFairRate(O383,AllTriggers)</f>
        <v>2.2121482753559227E-2</v>
      </c>
      <c r="S383" s="491">
        <f t="shared" si="7"/>
        <v>3.8192882175315523E-4</v>
      </c>
    </row>
    <row r="384" spans="5:19" ht="11.25" customHeight="1" x14ac:dyDescent="0.2">
      <c r="E384" s="483"/>
      <c r="F384" s="483"/>
      <c r="G384" s="482"/>
      <c r="J384" s="482"/>
      <c r="K384" s="482"/>
      <c r="M384" s="497">
        <f>_xll.qlCalendarAdvance(Calendar,M383,"1M","f",,Trigger)</f>
        <v>53798</v>
      </c>
      <c r="N384" s="488">
        <f>_xll.qlCalendarAdvance(Calendar,M384,"3M","mf",,Trigger)</f>
        <v>53889</v>
      </c>
      <c r="O384" s="490" t="str">
        <f>_xll.qlMakeDatedOIS(,M384,N384,OvernightIndex,0,,,,EvaluationDate)</f>
        <v>obj_00691#0001</v>
      </c>
      <c r="P384" s="490" t="b">
        <f>_xll.qlInstrumentSetPricingEngine(O384,OisEngine)</f>
        <v>1</v>
      </c>
      <c r="Q384" s="489">
        <f>_xll.qlIndexFixing("euribor3m",_xll.qlInterestRateIndexFixingDate("Euribor3M",M384),TRUE,AllTriggers)</f>
        <v>2.2511227759655902E-2</v>
      </c>
      <c r="R384" s="489">
        <f>_xll.qlOvernightIndexedSwapFairRate(O384,AllTriggers)</f>
        <v>2.2120804377927933E-2</v>
      </c>
      <c r="S384" s="491">
        <f t="shared" si="7"/>
        <v>3.9042338172796953E-4</v>
      </c>
    </row>
    <row r="385" spans="5:19" ht="11.25" customHeight="1" x14ac:dyDescent="0.2">
      <c r="E385" s="483"/>
      <c r="F385" s="483"/>
      <c r="G385" s="482"/>
      <c r="J385" s="482"/>
      <c r="K385" s="482"/>
      <c r="M385" s="497">
        <f>_xll.qlCalendarAdvance(Calendar,M384,"1M","f",,Trigger)</f>
        <v>53828</v>
      </c>
      <c r="N385" s="488">
        <f>_xll.qlCalendarAdvance(Calendar,M385,"3M","mf",,Trigger)</f>
        <v>53920</v>
      </c>
      <c r="O385" s="490" t="str">
        <f>_xll.qlMakeDatedOIS(,M385,N385,OvernightIndex,0,,,,EvaluationDate)</f>
        <v>obj_00693#0001</v>
      </c>
      <c r="P385" s="490" t="b">
        <f>_xll.qlInstrumentSetPricingEngine(O385,OisEngine)</f>
        <v>1</v>
      </c>
      <c r="Q385" s="489">
        <f>_xll.qlIndexFixing("euribor3m",_xll.qlInterestRateIndexFixingDate("Euribor3M",M385),TRUE,AllTriggers)</f>
        <v>2.2519578694403679E-2</v>
      </c>
      <c r="R385" s="489">
        <f>_xll.qlOvernightIndexedSwapFairRate(O385,AllTriggers)</f>
        <v>2.2121482753559223E-2</v>
      </c>
      <c r="S385" s="491">
        <f t="shared" si="7"/>
        <v>3.9809594084445551E-4</v>
      </c>
    </row>
    <row r="386" spans="5:19" ht="11.25" customHeight="1" x14ac:dyDescent="0.2">
      <c r="E386" s="483"/>
      <c r="F386" s="483"/>
      <c r="G386" s="482"/>
      <c r="J386" s="482"/>
      <c r="K386" s="482"/>
      <c r="M386" s="497">
        <f>_xll.qlCalendarAdvance(Calendar,M385,"1M","f",,Trigger)</f>
        <v>53860</v>
      </c>
      <c r="N386" s="488">
        <f>_xll.qlCalendarAdvance(Calendar,M386,"3M","mf",,Trigger)</f>
        <v>53952</v>
      </c>
      <c r="O386" s="490" t="str">
        <f>_xll.qlMakeDatedOIS(,M386,N386,OvernightIndex,0,,,,EvaluationDate)</f>
        <v>obj_00695#0001</v>
      </c>
      <c r="P386" s="490" t="b">
        <f>_xll.qlInstrumentSetPricingEngine(O386,OisEngine)</f>
        <v>1</v>
      </c>
      <c r="Q386" s="489">
        <f>_xll.qlIndexFixing("euribor3m",_xll.qlInterestRateIndexFixingDate("Euribor3M",M386),TRUE,AllTriggers)</f>
        <v>2.2527251384272348E-2</v>
      </c>
      <c r="R386" s="489">
        <f>_xll.qlOvernightIndexedSwapFairRate(O386,AllTriggers)</f>
        <v>2.2121482753559227E-2</v>
      </c>
      <c r="S386" s="491">
        <f t="shared" si="7"/>
        <v>4.0576863071312141E-4</v>
      </c>
    </row>
    <row r="387" spans="5:19" ht="11.25" customHeight="1" x14ac:dyDescent="0.2">
      <c r="E387" s="483"/>
      <c r="F387" s="483"/>
      <c r="G387" s="482"/>
      <c r="J387" s="482"/>
      <c r="K387" s="482"/>
      <c r="M387" s="497">
        <f>_xll.qlCalendarAdvance(Calendar,M386,"1M","f",,Trigger)</f>
        <v>53890</v>
      </c>
      <c r="N387" s="488">
        <f>_xll.qlCalendarAdvance(Calendar,M387,"3M","mf",,Trigger)</f>
        <v>53982</v>
      </c>
      <c r="O387" s="490" t="str">
        <f>_xll.qlMakeDatedOIS(,M387,N387,OvernightIndex,0,,,,EvaluationDate)</f>
        <v>obj_00697#0001</v>
      </c>
      <c r="P387" s="490" t="b">
        <f>_xll.qlInstrumentSetPricingEngine(O387,OisEngine)</f>
        <v>1</v>
      </c>
      <c r="Q387" s="489">
        <f>_xll.qlIndexFixing("euribor3m",_xll.qlInterestRateIndexFixingDate("Euribor3M",M387),TRUE,AllTriggers)</f>
        <v>2.2534114635365015E-2</v>
      </c>
      <c r="R387" s="489">
        <f>_xll.qlOvernightIndexedSwapFairRate(O387,AllTriggers)</f>
        <v>2.2121482753559223E-2</v>
      </c>
      <c r="S387" s="491">
        <f t="shared" ref="S387:S450" si="8">Q387-R387</f>
        <v>4.1263188180579169E-4</v>
      </c>
    </row>
    <row r="388" spans="5:19" ht="11.25" customHeight="1" x14ac:dyDescent="0.2">
      <c r="E388" s="483"/>
      <c r="F388" s="483"/>
      <c r="G388" s="482"/>
      <c r="J388" s="482"/>
      <c r="K388" s="482"/>
      <c r="M388" s="497">
        <f>_xll.qlCalendarAdvance(Calendar,M387,"1M","f",,Trigger)</f>
        <v>53923</v>
      </c>
      <c r="N388" s="488">
        <f>_xll.qlCalendarAdvance(Calendar,M388,"3M","mf",,Trigger)</f>
        <v>54015</v>
      </c>
      <c r="O388" s="490" t="str">
        <f>_xll.qlMakeDatedOIS(,M388,N388,OvernightIndex,0,,,,EvaluationDate)</f>
        <v>obj_00699#0001</v>
      </c>
      <c r="P388" s="490" t="b">
        <f>_xll.qlInstrumentSetPricingEngine(O388,OisEngine)</f>
        <v>1</v>
      </c>
      <c r="Q388" s="489">
        <f>_xll.qlIndexFixing("euribor3m",_xll.qlInterestRateIndexFixingDate("Euribor3M",M388),TRUE,AllTriggers)</f>
        <v>2.2541295471319566E-2</v>
      </c>
      <c r="R388" s="489">
        <f>_xll.qlOvernightIndexedSwapFairRate(O388,AllTriggers)</f>
        <v>2.2121482753559223E-2</v>
      </c>
      <c r="S388" s="491">
        <f t="shared" si="8"/>
        <v>4.1981271776034279E-4</v>
      </c>
    </row>
    <row r="389" spans="5:19" ht="11.25" customHeight="1" x14ac:dyDescent="0.2">
      <c r="E389" s="483"/>
      <c r="F389" s="483"/>
      <c r="G389" s="482"/>
      <c r="J389" s="482"/>
      <c r="K389" s="482"/>
      <c r="M389" s="497">
        <f>_xll.qlCalendarAdvance(Calendar,M388,"1M","f",,Trigger)</f>
        <v>53954</v>
      </c>
      <c r="N389" s="488">
        <f>_xll.qlCalendarAdvance(Calendar,M389,"3M","mf",,Trigger)</f>
        <v>54045</v>
      </c>
      <c r="O389" s="490" t="str">
        <f>_xll.qlMakeDatedOIS(,M389,N389,OvernightIndex,0,,,,EvaluationDate)</f>
        <v>obj_0069a#0001</v>
      </c>
      <c r="P389" s="490" t="b">
        <f>_xll.qlInstrumentSetPricingEngine(O389,OisEngine)</f>
        <v>1</v>
      </c>
      <c r="Q389" s="489">
        <f>_xll.qlIndexFixing("euribor3m",_xll.qlInterestRateIndexFixingDate("Euribor3M",M389),TRUE,AllTriggers)</f>
        <v>2.2546886761895701E-2</v>
      </c>
      <c r="R389" s="489">
        <f>_xll.qlOvernightIndexedSwapFairRate(O389,AllTriggers)</f>
        <v>2.2120804377927055E-2</v>
      </c>
      <c r="S389" s="491">
        <f t="shared" si="8"/>
        <v>4.2608238396864631E-4</v>
      </c>
    </row>
    <row r="390" spans="5:19" ht="11.25" customHeight="1" x14ac:dyDescent="0.2">
      <c r="E390" s="483"/>
      <c r="F390" s="483"/>
      <c r="G390" s="482"/>
      <c r="J390" s="482"/>
      <c r="K390" s="482"/>
      <c r="M390" s="497">
        <f>_xll.qlCalendarAdvance(Calendar,M389,"1M","f",,Trigger)</f>
        <v>53986</v>
      </c>
      <c r="N390" s="488">
        <f>_xll.qlCalendarAdvance(Calendar,M390,"3M","mf",,Trigger)</f>
        <v>54078</v>
      </c>
      <c r="O390" s="490" t="str">
        <f>_xll.qlMakeDatedOIS(,M390,N390,OvernightIndex,0,,,,EvaluationDate)</f>
        <v>obj_0069c#0001</v>
      </c>
      <c r="P390" s="490" t="b">
        <f>_xll.qlInstrumentSetPricingEngine(O390,OisEngine)</f>
        <v>1</v>
      </c>
      <c r="Q390" s="489">
        <f>_xll.qlIndexFixing("euribor3m",_xll.qlInterestRateIndexFixingDate("Euribor3M",M390),TRUE,AllTriggers)</f>
        <v>2.2553931633685596E-2</v>
      </c>
      <c r="R390" s="489">
        <f>_xll.qlOvernightIndexedSwapFairRate(O390,AllTriggers)</f>
        <v>2.2121482753559223E-2</v>
      </c>
      <c r="S390" s="491">
        <f t="shared" si="8"/>
        <v>4.3244888012637303E-4</v>
      </c>
    </row>
    <row r="391" spans="5:19" ht="11.25" customHeight="1" x14ac:dyDescent="0.2">
      <c r="E391" s="483"/>
      <c r="F391" s="483"/>
      <c r="G391" s="482"/>
      <c r="J391" s="482"/>
      <c r="K391" s="482"/>
      <c r="M391" s="497">
        <f>_xll.qlCalendarAdvance(Calendar,M390,"1M","f",,Trigger)</f>
        <v>54017</v>
      </c>
      <c r="N391" s="488">
        <f>_xll.qlCalendarAdvance(Calendar,M391,"3M","mf",,Trigger)</f>
        <v>54109</v>
      </c>
      <c r="O391" s="490" t="str">
        <f>_xll.qlMakeDatedOIS(,M391,N391,OvernightIndex,0,,,,EvaluationDate)</f>
        <v>obj_0069d#0001</v>
      </c>
      <c r="P391" s="490" t="b">
        <f>_xll.qlInstrumentSetPricingEngine(O391,OisEngine)</f>
        <v>1</v>
      </c>
      <c r="Q391" s="489">
        <f>_xll.qlIndexFixing("euribor3m",_xll.qlInterestRateIndexFixingDate("Euribor3M",M391),TRUE,AllTriggers)</f>
        <v>2.2559632581580228E-2</v>
      </c>
      <c r="R391" s="489">
        <f>_xll.qlOvernightIndexedSwapFairRate(O391,AllTriggers)</f>
        <v>2.2121482753558356E-2</v>
      </c>
      <c r="S391" s="491">
        <f t="shared" si="8"/>
        <v>4.3814982802187208E-4</v>
      </c>
    </row>
    <row r="392" spans="5:19" ht="11.25" customHeight="1" x14ac:dyDescent="0.2">
      <c r="E392" s="483"/>
      <c r="F392" s="483"/>
      <c r="G392" s="482"/>
      <c r="J392" s="482"/>
      <c r="K392" s="482"/>
      <c r="M392" s="497">
        <f>_xll.qlCalendarAdvance(Calendar,M391,"1M","f",,Trigger)</f>
        <v>54049</v>
      </c>
      <c r="N392" s="488">
        <f>_xll.qlCalendarAdvance(Calendar,M392,"3M","mf",,Trigger)</f>
        <v>54140</v>
      </c>
      <c r="O392" s="490" t="str">
        <f>_xll.qlMakeDatedOIS(,M392,N392,OvernightIndex,0,,,,EvaluationDate)</f>
        <v>obj_0069f#0001</v>
      </c>
      <c r="P392" s="490" t="b">
        <f>_xll.qlInstrumentSetPricingEngine(O392,OisEngine)</f>
        <v>1</v>
      </c>
      <c r="Q392" s="489">
        <f>_xll.qlIndexFixing("euribor3m",_xll.qlInterestRateIndexFixingDate("Euribor3M",M392),TRUE,AllTriggers)</f>
        <v>2.2564373164459878E-2</v>
      </c>
      <c r="R392" s="489">
        <f>_xll.qlOvernightIndexedSwapFairRate(O392,AllTriggers)</f>
        <v>2.2120804377927055E-2</v>
      </c>
      <c r="S392" s="491">
        <f t="shared" si="8"/>
        <v>4.4356878653282333E-4</v>
      </c>
    </row>
    <row r="393" spans="5:19" ht="11.25" customHeight="1" x14ac:dyDescent="0.2">
      <c r="E393" s="483"/>
      <c r="F393" s="483"/>
      <c r="G393" s="482"/>
      <c r="J393" s="482"/>
      <c r="K393" s="482"/>
      <c r="M393" s="497">
        <f>_xll.qlCalendarAdvance(Calendar,M392,"1M","f",,Trigger)</f>
        <v>54080</v>
      </c>
      <c r="N393" s="488">
        <f>_xll.qlCalendarAdvance(Calendar,M393,"3M","mf",,Trigger)</f>
        <v>54171</v>
      </c>
      <c r="O393" s="490" t="str">
        <f>_xll.qlMakeDatedOIS(,M393,N393,OvernightIndex,0,,,,EvaluationDate)</f>
        <v>obj_006a1#0001</v>
      </c>
      <c r="P393" s="490" t="b">
        <f>_xll.qlInstrumentSetPricingEngine(O393,OisEngine)</f>
        <v>1</v>
      </c>
      <c r="Q393" s="489">
        <f>_xll.qlIndexFixing("euribor3m",_xll.qlInterestRateIndexFixingDate("Euribor3M",M393),TRUE,AllTriggers)</f>
        <v>2.2569386497882125E-2</v>
      </c>
      <c r="R393" s="489">
        <f>_xll.qlOvernightIndexedSwapFairRate(O393,AllTriggers)</f>
        <v>2.2120804377927052E-2</v>
      </c>
      <c r="S393" s="491">
        <f t="shared" si="8"/>
        <v>4.4858211995507311E-4</v>
      </c>
    </row>
    <row r="394" spans="5:19" ht="11.25" customHeight="1" x14ac:dyDescent="0.2">
      <c r="E394" s="483"/>
      <c r="F394" s="483"/>
      <c r="G394" s="482"/>
      <c r="J394" s="482"/>
      <c r="K394" s="482"/>
      <c r="M394" s="497">
        <f>_xll.qlCalendarAdvance(Calendar,M393,"1M","f",,Trigger)</f>
        <v>54112</v>
      </c>
      <c r="N394" s="488">
        <f>_xll.qlCalendarAdvance(Calendar,M394,"3M","mf",,Trigger)</f>
        <v>54203</v>
      </c>
      <c r="O394" s="490" t="str">
        <f>_xll.qlMakeDatedOIS(,M394,N394,OvernightIndex,0,,,,EvaluationDate)</f>
        <v>obj_006a3#0001</v>
      </c>
      <c r="P394" s="490" t="b">
        <f>_xll.qlInstrumentSetPricingEngine(O394,OisEngine)</f>
        <v>1</v>
      </c>
      <c r="Q394" s="489">
        <f>_xll.qlIndexFixing("euribor3m",_xll.qlInterestRateIndexFixingDate("Euribor3M",M394),TRUE,AllTriggers)</f>
        <v>2.257420399796186E-2</v>
      </c>
      <c r="R394" s="489">
        <f>_xll.qlOvernightIndexedSwapFairRate(O394,AllTriggers)</f>
        <v>2.2120804377927933E-2</v>
      </c>
      <c r="S394" s="491">
        <f t="shared" si="8"/>
        <v>4.5339962003392714E-4</v>
      </c>
    </row>
    <row r="395" spans="5:19" ht="11.25" customHeight="1" x14ac:dyDescent="0.2">
      <c r="E395" s="483"/>
      <c r="F395" s="483"/>
      <c r="G395" s="482"/>
      <c r="J395" s="482"/>
      <c r="K395" s="482"/>
      <c r="M395" s="497">
        <f>_xll.qlCalendarAdvance(Calendar,M394,"1M","f",,Trigger)</f>
        <v>54141</v>
      </c>
      <c r="N395" s="488">
        <f>_xll.qlCalendarAdvance(Calendar,M395,"3M","mf",,Trigger)</f>
        <v>54233</v>
      </c>
      <c r="O395" s="490" t="str">
        <f>_xll.qlMakeDatedOIS(,M395,N395,OvernightIndex,0,,,,EvaluationDate)</f>
        <v>obj_006a5#0001</v>
      </c>
      <c r="P395" s="490" t="b">
        <f>_xll.qlInstrumentSetPricingEngine(O395,OisEngine)</f>
        <v>1</v>
      </c>
      <c r="Q395" s="489">
        <f>_xll.qlIndexFixing("euribor3m",_xll.qlInterestRateIndexFixingDate("Euribor3M",M395),TRUE,AllTriggers)</f>
        <v>2.2579027353317547E-2</v>
      </c>
      <c r="R395" s="489">
        <f>_xll.qlOvernightIndexedSwapFairRate(O395,AllTriggers)</f>
        <v>2.2121482753559223E-2</v>
      </c>
      <c r="S395" s="491">
        <f t="shared" si="8"/>
        <v>4.5754459975832357E-4</v>
      </c>
    </row>
    <row r="396" spans="5:19" ht="11.25" customHeight="1" x14ac:dyDescent="0.2">
      <c r="E396" s="483"/>
      <c r="F396" s="483"/>
      <c r="G396" s="482"/>
      <c r="J396" s="482"/>
      <c r="K396" s="482"/>
      <c r="M396" s="497">
        <f>_xll.qlCalendarAdvance(Calendar,M395,"1M","f",,Trigger)</f>
        <v>54172</v>
      </c>
      <c r="N396" s="488">
        <f>_xll.qlCalendarAdvance(Calendar,M396,"3M","mf",,Trigger)</f>
        <v>54263</v>
      </c>
      <c r="O396" s="490" t="str">
        <f>_xll.qlMakeDatedOIS(,M396,N396,OvernightIndex,0,,,,EvaluationDate)</f>
        <v>obj_006a7#0001</v>
      </c>
      <c r="P396" s="490" t="b">
        <f>_xll.qlInstrumentSetPricingEngine(O396,OisEngine)</f>
        <v>1</v>
      </c>
      <c r="Q396" s="489">
        <f>_xll.qlIndexFixing("euribor3m",_xll.qlInterestRateIndexFixingDate("Euribor3M",M396),TRUE,AllTriggers)</f>
        <v>2.2582257789843175E-2</v>
      </c>
      <c r="R396" s="489">
        <f>_xll.qlOvernightIndexedSwapFairRate(O396,AllTriggers)</f>
        <v>2.2120804377927055E-2</v>
      </c>
      <c r="S396" s="491">
        <f t="shared" si="8"/>
        <v>4.6145341191611983E-4</v>
      </c>
    </row>
    <row r="397" spans="5:19" ht="11.25" customHeight="1" x14ac:dyDescent="0.2">
      <c r="E397" s="483"/>
      <c r="F397" s="483"/>
      <c r="G397" s="482"/>
      <c r="J397" s="482"/>
      <c r="K397" s="482"/>
      <c r="M397" s="497">
        <f>_xll.qlCalendarAdvance(Calendar,M396,"1M","f",,Trigger)</f>
        <v>54203</v>
      </c>
      <c r="N397" s="488">
        <f>_xll.qlCalendarAdvance(Calendar,M397,"3M","mf",,Trigger)</f>
        <v>54295</v>
      </c>
      <c r="O397" s="490" t="str">
        <f>_xll.qlMakeDatedOIS(,M397,N397,OvernightIndex,0,,,,EvaluationDate)</f>
        <v>obj_006a8#0001</v>
      </c>
      <c r="P397" s="490" t="b">
        <f>_xll.qlInstrumentSetPricingEngine(O397,OisEngine)</f>
        <v>1</v>
      </c>
      <c r="Q397" s="489">
        <f>_xll.qlIndexFixing("euribor3m",_xll.qlInterestRateIndexFixingDate("Euribor3M",M397),TRUE,AllTriggers)</f>
        <v>2.2586679309949353E-2</v>
      </c>
      <c r="R397" s="489">
        <f>_xll.qlOvernightIndexedSwapFairRate(O397,AllTriggers)</f>
        <v>2.2121482753558356E-2</v>
      </c>
      <c r="S397" s="491">
        <f t="shared" si="8"/>
        <v>4.6519655639099683E-4</v>
      </c>
    </row>
    <row r="398" spans="5:19" ht="11.25" customHeight="1" x14ac:dyDescent="0.2">
      <c r="E398" s="483"/>
      <c r="F398" s="483"/>
      <c r="G398" s="482"/>
      <c r="J398" s="482"/>
      <c r="K398" s="482"/>
      <c r="M398" s="497">
        <f>_xll.qlCalendarAdvance(Calendar,M397,"1M","f",,Trigger)</f>
        <v>54234</v>
      </c>
      <c r="N398" s="488">
        <f>_xll.qlCalendarAdvance(Calendar,M398,"3M","mf",,Trigger)</f>
        <v>54326</v>
      </c>
      <c r="O398" s="490" t="str">
        <f>_xll.qlMakeDatedOIS(,M398,N398,OvernightIndex,0,,,,EvaluationDate)</f>
        <v>obj_006a9#0001</v>
      </c>
      <c r="P398" s="490" t="b">
        <f>_xll.qlInstrumentSetPricingEngine(O398,OisEngine)</f>
        <v>1</v>
      </c>
      <c r="Q398" s="489">
        <f>_xll.qlIndexFixing("euribor3m",_xll.qlInterestRateIndexFixingDate("Euribor3M",M398),TRUE,AllTriggers)</f>
        <v>2.2589993927245637E-2</v>
      </c>
      <c r="R398" s="489">
        <f>_xll.qlOvernightIndexedSwapFairRate(O398,AllTriggers)</f>
        <v>2.2121482753559223E-2</v>
      </c>
      <c r="S398" s="491">
        <f t="shared" si="8"/>
        <v>4.6851117368641379E-4</v>
      </c>
    </row>
    <row r="399" spans="5:19" ht="11.25" customHeight="1" x14ac:dyDescent="0.2">
      <c r="E399" s="483"/>
      <c r="F399" s="483"/>
      <c r="G399" s="482"/>
      <c r="J399" s="482"/>
      <c r="K399" s="482"/>
      <c r="M399" s="497">
        <f>_xll.qlCalendarAdvance(Calendar,M398,"1M","f",,Trigger)</f>
        <v>54266</v>
      </c>
      <c r="N399" s="488">
        <f>_xll.qlCalendarAdvance(Calendar,M399,"3M","mf",,Trigger)</f>
        <v>54358</v>
      </c>
      <c r="O399" s="490" t="str">
        <f>_xll.qlMakeDatedOIS(,M399,N399,OvernightIndex,0,,,,EvaluationDate)</f>
        <v>obj_006ab#0001</v>
      </c>
      <c r="P399" s="490" t="b">
        <f>_xll.qlInstrumentSetPricingEngine(O399,OisEngine)</f>
        <v>1</v>
      </c>
      <c r="Q399" s="489">
        <f>_xll.qlIndexFixing("euribor3m",_xll.qlInterestRateIndexFixingDate("Euribor3M",M399),TRUE,AllTriggers)</f>
        <v>2.2593057886198278E-2</v>
      </c>
      <c r="R399" s="489">
        <f>_xll.qlOvernightIndexedSwapFairRate(O399,AllTriggers)</f>
        <v>2.2121482753558359E-2</v>
      </c>
      <c r="S399" s="491">
        <f t="shared" si="8"/>
        <v>4.7157513263991827E-4</v>
      </c>
    </row>
    <row r="400" spans="5:19" ht="11.25" customHeight="1" x14ac:dyDescent="0.2">
      <c r="E400" s="483"/>
      <c r="F400" s="483"/>
      <c r="G400" s="482"/>
      <c r="J400" s="482"/>
      <c r="K400" s="482"/>
      <c r="M400" s="497">
        <f>_xll.qlCalendarAdvance(Calendar,M399,"1M","f",,Trigger)</f>
        <v>54297</v>
      </c>
      <c r="N400" s="488">
        <f>_xll.qlCalendarAdvance(Calendar,M400,"3M","mf",,Trigger)</f>
        <v>54389</v>
      </c>
      <c r="O400" s="490" t="str">
        <f>_xll.qlMakeDatedOIS(,M400,N400,OvernightIndex,0,,,,EvaluationDate)</f>
        <v>obj_006ad#0001</v>
      </c>
      <c r="P400" s="490" t="b">
        <f>_xll.qlInstrumentSetPricingEngine(O400,OisEngine)</f>
        <v>1</v>
      </c>
      <c r="Q400" s="489">
        <f>_xll.qlIndexFixing("euribor3m",_xll.qlInterestRateIndexFixingDate("Euribor3M",M400),TRUE,AllTriggers)</f>
        <v>2.2595679688583038E-2</v>
      </c>
      <c r="R400" s="489">
        <f>_xll.qlOvernightIndexedSwapFairRate(O400,AllTriggers)</f>
        <v>2.2121482753559223E-2</v>
      </c>
      <c r="S400" s="491">
        <f t="shared" si="8"/>
        <v>4.7419693502381496E-4</v>
      </c>
    </row>
    <row r="401" spans="5:19" ht="11.25" customHeight="1" x14ac:dyDescent="0.2">
      <c r="E401" s="483"/>
      <c r="F401" s="483"/>
      <c r="G401" s="482"/>
      <c r="J401" s="482"/>
      <c r="K401" s="482"/>
      <c r="M401" s="497">
        <f>_xll.qlCalendarAdvance(Calendar,M400,"1M","f",,Trigger)</f>
        <v>54329</v>
      </c>
      <c r="N401" s="488">
        <f>_xll.qlCalendarAdvance(Calendar,M401,"3M","mf",,Trigger)</f>
        <v>54420</v>
      </c>
      <c r="O401" s="490" t="str">
        <f>_xll.qlMakeDatedOIS(,M401,N401,OvernightIndex,0,,,,EvaluationDate)</f>
        <v>obj_006ae#0001</v>
      </c>
      <c r="P401" s="490" t="b">
        <f>_xll.qlInstrumentSetPricingEngine(O401,OisEngine)</f>
        <v>1</v>
      </c>
      <c r="Q401" s="489">
        <f>_xll.qlIndexFixing("euribor3m",_xll.qlInterestRateIndexFixingDate("Euribor3M",M401),TRUE,AllTriggers)</f>
        <v>2.2597289393897834E-2</v>
      </c>
      <c r="R401" s="489">
        <f>_xll.qlOvernightIndexedSwapFairRate(O401,AllTriggers)</f>
        <v>2.2120804377926177E-2</v>
      </c>
      <c r="S401" s="491">
        <f t="shared" si="8"/>
        <v>4.7648501597165674E-4</v>
      </c>
    </row>
    <row r="402" spans="5:19" ht="11.25" customHeight="1" x14ac:dyDescent="0.2">
      <c r="E402" s="483"/>
      <c r="F402" s="483"/>
      <c r="G402" s="482"/>
      <c r="J402" s="482"/>
      <c r="K402" s="482"/>
      <c r="M402" s="497">
        <f>_xll.qlCalendarAdvance(Calendar,M401,"1M","f",,Trigger)</f>
        <v>54359</v>
      </c>
      <c r="N402" s="488">
        <f>_xll.qlCalendarAdvance(Calendar,M402,"3M","mf",,Trigger)</f>
        <v>54451</v>
      </c>
      <c r="O402" s="490" t="str">
        <f>_xll.qlMakeDatedOIS(,M402,N402,OvernightIndex,0,,,,EvaluationDate)</f>
        <v>obj_006b0#0001</v>
      </c>
      <c r="P402" s="490" t="b">
        <f>_xll.qlInstrumentSetPricingEngine(O402,OisEngine)</f>
        <v>1</v>
      </c>
      <c r="Q402" s="489">
        <f>_xll.qlIndexFixing("euribor3m",_xll.qlInterestRateIndexFixingDate("Euribor3M",M402),TRUE,AllTriggers)</f>
        <v>2.259990056275148E-2</v>
      </c>
      <c r="R402" s="489">
        <f>_xll.qlOvernightIndexedSwapFairRate(O402,AllTriggers)</f>
        <v>2.2121482753558359E-2</v>
      </c>
      <c r="S402" s="491">
        <f t="shared" si="8"/>
        <v>4.7841780919312057E-4</v>
      </c>
    </row>
    <row r="403" spans="5:19" ht="11.25" customHeight="1" x14ac:dyDescent="0.2">
      <c r="E403" s="483"/>
      <c r="F403" s="483"/>
      <c r="G403" s="482"/>
      <c r="J403" s="482"/>
      <c r="K403" s="482"/>
      <c r="M403" s="497">
        <f>_xll.qlCalendarAdvance(Calendar,M402,"1M","f",,Trigger)</f>
        <v>54392</v>
      </c>
      <c r="N403" s="488">
        <f>_xll.qlCalendarAdvance(Calendar,M403,"3M","mf",,Trigger)</f>
        <v>54480</v>
      </c>
      <c r="O403" s="490" t="str">
        <f>_xll.qlMakeDatedOIS(,M403,N403,OvernightIndex,0,,,,EvaluationDate)</f>
        <v>obj_006b1#0001</v>
      </c>
      <c r="P403" s="490" t="b">
        <f>_xll.qlInstrumentSetPricingEngine(O403,OisEngine)</f>
        <v>1</v>
      </c>
      <c r="Q403" s="489">
        <f>_xll.qlIndexFixing("euribor3m",_xll.qlInterestRateIndexFixingDate("Euribor3M",M403),TRUE,AllTriggers)</f>
        <v>2.2598678025750836E-2</v>
      </c>
      <c r="R403" s="489">
        <f>_xll.qlOvernightIndexedSwapFairRate(O403,AllTriggers)</f>
        <v>2.2118769417371596E-2</v>
      </c>
      <c r="S403" s="491">
        <f t="shared" si="8"/>
        <v>4.7990860837924046E-4</v>
      </c>
    </row>
    <row r="404" spans="5:19" ht="11.25" customHeight="1" x14ac:dyDescent="0.2">
      <c r="E404" s="483"/>
      <c r="F404" s="483"/>
      <c r="G404" s="482"/>
      <c r="J404" s="482"/>
      <c r="K404" s="482"/>
      <c r="M404" s="497">
        <f>_xll.qlCalendarAdvance(Calendar,M403,"1M","f",,Trigger)</f>
        <v>54422</v>
      </c>
      <c r="N404" s="488">
        <f>_xll.qlCalendarAdvance(Calendar,M404,"3M","mf",,Trigger)</f>
        <v>54512</v>
      </c>
      <c r="O404" s="490" t="str">
        <f>_xll.qlMakeDatedOIS(,M404,N404,OvernightIndex,0,,,,EvaluationDate)</f>
        <v>obj_006b3#0001</v>
      </c>
      <c r="P404" s="490" t="b">
        <f>_xll.qlInstrumentSetPricingEngine(O404,OisEngine)</f>
        <v>1</v>
      </c>
      <c r="Q404" s="489">
        <f>_xll.qlIndexFixing("euribor3m",_xll.qlInterestRateIndexFixingDate("Euribor3M",M404),TRUE,AllTriggers)</f>
        <v>2.2601346831901736E-2</v>
      </c>
      <c r="R404" s="489">
        <f>_xll.qlOvernightIndexedSwapFairRate(O404,AllTriggers)</f>
        <v>2.2120126030019449E-2</v>
      </c>
      <c r="S404" s="491">
        <f t="shared" si="8"/>
        <v>4.8122080188228722E-4</v>
      </c>
    </row>
    <row r="405" spans="5:19" ht="11.25" customHeight="1" x14ac:dyDescent="0.2">
      <c r="E405" s="483"/>
      <c r="F405" s="483"/>
      <c r="G405" s="482"/>
      <c r="J405" s="482"/>
      <c r="K405" s="482"/>
      <c r="M405" s="497">
        <f>_xll.qlCalendarAdvance(Calendar,M404,"1M","f",,Trigger)</f>
        <v>54455</v>
      </c>
      <c r="N405" s="488">
        <f>_xll.qlCalendarAdvance(Calendar,M405,"3M","mf",,Trigger)</f>
        <v>54546</v>
      </c>
      <c r="O405" s="490" t="str">
        <f>_xll.qlMakeDatedOIS(,M405,N405,OvernightIndex,0,,,,EvaluationDate)</f>
        <v>obj_006b5#0001</v>
      </c>
      <c r="P405" s="490" t="b">
        <f>_xll.qlInstrumentSetPricingEngine(O405,OisEngine)</f>
        <v>1</v>
      </c>
      <c r="Q405" s="489">
        <f>_xll.qlIndexFixing("euribor3m",_xll.qlInterestRateIndexFixingDate("Euribor3M",M405),TRUE,AllTriggers)</f>
        <v>2.2603028615144651E-2</v>
      </c>
      <c r="R405" s="489">
        <f>_xll.qlOvernightIndexedSwapFairRate(O405,AllTriggers)</f>
        <v>2.2120804377927052E-2</v>
      </c>
      <c r="S405" s="491">
        <f t="shared" si="8"/>
        <v>4.8222423721759958E-4</v>
      </c>
    </row>
    <row r="406" spans="5:19" ht="11.25" customHeight="1" x14ac:dyDescent="0.2">
      <c r="E406" s="483"/>
      <c r="F406" s="483"/>
      <c r="G406" s="482"/>
      <c r="J406" s="482"/>
      <c r="K406" s="482"/>
      <c r="M406" s="497">
        <f>_xll.qlCalendarAdvance(Calendar,M405,"1M","f",,Trigger)</f>
        <v>54483</v>
      </c>
      <c r="N406" s="488">
        <f>_xll.qlCalendarAdvance(Calendar,M406,"3M","mf",,Trigger)</f>
        <v>54575</v>
      </c>
      <c r="O406" s="490" t="str">
        <f>_xll.qlMakeDatedOIS(,M406,N406,OvernightIndex,0,,,,EvaluationDate)</f>
        <v>obj_006b6#0001</v>
      </c>
      <c r="P406" s="490" t="b">
        <f>_xll.qlInstrumentSetPricingEngine(O406,OisEngine)</f>
        <v>1</v>
      </c>
      <c r="Q406" s="489">
        <f>_xll.qlIndexFixing("euribor3m",_xll.qlInterestRateIndexFixingDate("Euribor3M",M406),TRUE,AllTriggers)</f>
        <v>2.2604251375185288E-2</v>
      </c>
      <c r="R406" s="489">
        <f>_xll.qlOvernightIndexedSwapFairRate(O406,AllTriggers)</f>
        <v>2.2121482753559223E-2</v>
      </c>
      <c r="S406" s="491">
        <f t="shared" si="8"/>
        <v>4.827686216260646E-4</v>
      </c>
    </row>
    <row r="407" spans="5:19" ht="11.25" customHeight="1" x14ac:dyDescent="0.2">
      <c r="E407" s="483"/>
      <c r="F407" s="483"/>
      <c r="G407" s="482"/>
      <c r="J407" s="482"/>
      <c r="K407" s="482"/>
      <c r="M407" s="497">
        <f>_xll.qlCalendarAdvance(Calendar,M406,"1M","f",,Trigger)</f>
        <v>54514</v>
      </c>
      <c r="N407" s="488">
        <f>_xll.qlCalendarAdvance(Calendar,M407,"3M","mf",,Trigger)</f>
        <v>54605</v>
      </c>
      <c r="O407" s="490" t="str">
        <f>_xll.qlMakeDatedOIS(,M407,N407,OvernightIndex,0,,,,EvaluationDate)</f>
        <v>obj_006b8#0001</v>
      </c>
      <c r="P407" s="490" t="b">
        <f>_xll.qlInstrumentSetPricingEngine(O407,OisEngine)</f>
        <v>1</v>
      </c>
      <c r="Q407" s="489">
        <f>_xll.qlIndexFixing("euribor3m",_xll.qlInterestRateIndexFixingDate("Euribor3M",M407),TRUE,AllTriggers)</f>
        <v>2.2603780117639173E-2</v>
      </c>
      <c r="R407" s="489">
        <f>_xll.qlOvernightIndexedSwapFairRate(O407,AllTriggers)</f>
        <v>2.2120804377927052E-2</v>
      </c>
      <c r="S407" s="491">
        <f t="shared" si="8"/>
        <v>4.8297573971212149E-4</v>
      </c>
    </row>
    <row r="408" spans="5:19" ht="11.25" customHeight="1" x14ac:dyDescent="0.2">
      <c r="E408" s="483"/>
      <c r="F408" s="483"/>
      <c r="G408" s="482"/>
      <c r="J408" s="482"/>
      <c r="K408" s="482"/>
      <c r="M408" s="497">
        <f>_xll.qlCalendarAdvance(Calendar,M407,"1M","f",,Trigger)</f>
        <v>54546</v>
      </c>
      <c r="N408" s="488">
        <f>_xll.qlCalendarAdvance(Calendar,M408,"3M","mf",,Trigger)</f>
        <v>54638</v>
      </c>
      <c r="O408" s="490" t="str">
        <f>_xll.qlMakeDatedOIS(,M408,N408,OvernightIndex,0,,,,EvaluationDate)</f>
        <v>obj_006b9#0001</v>
      </c>
      <c r="P408" s="490" t="b">
        <f>_xll.qlInstrumentSetPricingEngine(O408,OisEngine)</f>
        <v>1</v>
      </c>
      <c r="Q408" s="489">
        <f>_xll.qlIndexFixing("euribor3m",_xll.qlInterestRateIndexFixingDate("Euribor3M",M408),TRUE,AllTriggers)</f>
        <v>2.2604372230088765E-2</v>
      </c>
      <c r="R408" s="489">
        <f>_xll.qlOvernightIndexedSwapFairRate(O408,AllTriggers)</f>
        <v>2.2121482753559227E-2</v>
      </c>
      <c r="S408" s="491">
        <f t="shared" si="8"/>
        <v>4.8288947652953829E-4</v>
      </c>
    </row>
    <row r="409" spans="5:19" ht="11.25" customHeight="1" x14ac:dyDescent="0.2">
      <c r="E409" s="483"/>
      <c r="F409" s="483"/>
      <c r="G409" s="482"/>
      <c r="J409" s="482"/>
      <c r="K409" s="482"/>
      <c r="M409" s="497">
        <f>_xll.qlCalendarAdvance(Calendar,M408,"1M","f",,Trigger)</f>
        <v>54577</v>
      </c>
      <c r="N409" s="488">
        <f>_xll.qlCalendarAdvance(Calendar,M409,"3M","mf",,Trigger)</f>
        <v>54669</v>
      </c>
      <c r="O409" s="490" t="str">
        <f>_xll.qlMakeDatedOIS(,M409,N409,OvernightIndex,0,,,,EvaluationDate)</f>
        <v>obj_006bb#0001</v>
      </c>
      <c r="P409" s="490" t="b">
        <f>_xll.qlInstrumentSetPricingEngine(O409,OisEngine)</f>
        <v>1</v>
      </c>
      <c r="Q409" s="489">
        <f>_xll.qlIndexFixing("euribor3m",_xll.qlInterestRateIndexFixingDate("Euribor3M",M409),TRUE,AllTriggers)</f>
        <v>2.2603914831381158E-2</v>
      </c>
      <c r="R409" s="489">
        <f>_xll.qlOvernightIndexedSwapFairRate(O409,AllTriggers)</f>
        <v>2.2121482753559227E-2</v>
      </c>
      <c r="S409" s="491">
        <f t="shared" si="8"/>
        <v>4.8243207782193084E-4</v>
      </c>
    </row>
    <row r="410" spans="5:19" ht="11.25" customHeight="1" x14ac:dyDescent="0.2">
      <c r="E410" s="483"/>
      <c r="F410" s="483"/>
      <c r="G410" s="482"/>
      <c r="J410" s="482"/>
      <c r="K410" s="482"/>
      <c r="M410" s="497">
        <f>_xll.qlCalendarAdvance(Calendar,M409,"1M","f",,Trigger)</f>
        <v>54609</v>
      </c>
      <c r="N410" s="488">
        <f>_xll.qlCalendarAdvance(Calendar,M410,"3M","mf",,Trigger)</f>
        <v>54701</v>
      </c>
      <c r="O410" s="490" t="str">
        <f>_xll.qlMakeDatedOIS(,M410,N410,OvernightIndex,0,,,,EvaluationDate)</f>
        <v>obj_006bc#0001</v>
      </c>
      <c r="P410" s="490" t="b">
        <f>_xll.qlInstrumentSetPricingEngine(O410,OisEngine)</f>
        <v>1</v>
      </c>
      <c r="Q410" s="489">
        <f>_xll.qlIndexFixing("euribor3m",_xll.qlInterestRateIndexFixingDate("Euribor3M",M410),TRUE,AllTriggers)</f>
        <v>2.260308509261303E-2</v>
      </c>
      <c r="R410" s="489">
        <f>_xll.qlOvernightIndexedSwapFairRate(O410,AllTriggers)</f>
        <v>2.2121482753558356E-2</v>
      </c>
      <c r="S410" s="491">
        <f t="shared" si="8"/>
        <v>4.8160233905467434E-4</v>
      </c>
    </row>
    <row r="411" spans="5:19" ht="11.25" customHeight="1" x14ac:dyDescent="0.2">
      <c r="E411" s="483"/>
      <c r="F411" s="483"/>
      <c r="G411" s="482"/>
      <c r="J411" s="482"/>
      <c r="K411" s="482"/>
      <c r="M411" s="497">
        <f>_xll.qlCalendarAdvance(Calendar,M410,"1M","f",,Trigger)</f>
        <v>54640</v>
      </c>
      <c r="N411" s="488">
        <f>_xll.qlCalendarAdvance(Calendar,M411,"3M","mf",,Trigger)</f>
        <v>54732</v>
      </c>
      <c r="O411" s="490" t="str">
        <f>_xll.qlMakeDatedOIS(,M411,N411,OvernightIndex,0,,,,EvaluationDate)</f>
        <v>obj_006be#0001</v>
      </c>
      <c r="P411" s="490" t="b">
        <f>_xll.qlInstrumentSetPricingEngine(O411,OisEngine)</f>
        <v>1</v>
      </c>
      <c r="Q411" s="489">
        <f>_xll.qlIndexFixing("euribor3m",_xll.qlInterestRateIndexFixingDate("Euribor3M",M411),TRUE,AllTriggers)</f>
        <v>2.2601934872673736E-2</v>
      </c>
      <c r="R411" s="489">
        <f>_xll.qlOvernightIndexedSwapFairRate(O411,AllTriggers)</f>
        <v>2.2121482753558356E-2</v>
      </c>
      <c r="S411" s="491">
        <f t="shared" si="8"/>
        <v>4.8045211911538002E-4</v>
      </c>
    </row>
    <row r="412" spans="5:19" ht="11.25" customHeight="1" x14ac:dyDescent="0.2">
      <c r="E412" s="483"/>
      <c r="F412" s="483"/>
      <c r="G412" s="482"/>
      <c r="J412" s="482"/>
      <c r="K412" s="482"/>
      <c r="M412" s="497">
        <f>_xll.qlCalendarAdvance(Calendar,M411,"1M","f",,Trigger)</f>
        <v>54672</v>
      </c>
      <c r="N412" s="488">
        <f>_xll.qlCalendarAdvance(Calendar,M412,"3M","mf",,Trigger)</f>
        <v>54763</v>
      </c>
      <c r="O412" s="490" t="str">
        <f>_xll.qlMakeDatedOIS(,M412,N412,OvernightIndex,0,,,,EvaluationDate)</f>
        <v>obj_006c0#0001</v>
      </c>
      <c r="P412" s="490" t="b">
        <f>_xll.qlInstrumentSetPricingEngine(O412,OisEngine)</f>
        <v>1</v>
      </c>
      <c r="Q412" s="489">
        <f>_xll.qlIndexFixing("euribor3m",_xll.qlInterestRateIndexFixingDate("Euribor3M",M412),TRUE,AllTriggers)</f>
        <v>2.2599711563313203E-2</v>
      </c>
      <c r="R412" s="489">
        <f>_xll.qlOvernightIndexedSwapFairRate(O412,AllTriggers)</f>
        <v>2.2120804377927052E-2</v>
      </c>
      <c r="S412" s="491">
        <f t="shared" si="8"/>
        <v>4.7890718538615151E-4</v>
      </c>
    </row>
    <row r="413" spans="5:19" ht="11.25" customHeight="1" x14ac:dyDescent="0.2">
      <c r="E413" s="483"/>
      <c r="F413" s="483"/>
      <c r="G413" s="482"/>
      <c r="J413" s="482"/>
      <c r="K413" s="482"/>
      <c r="M413" s="497">
        <f>_xll.qlCalendarAdvance(Calendar,M412,"1M","f",,Trigger)</f>
        <v>54702</v>
      </c>
      <c r="N413" s="488">
        <f>_xll.qlCalendarAdvance(Calendar,M413,"3M","mf",,Trigger)</f>
        <v>54794</v>
      </c>
      <c r="O413" s="490" t="str">
        <f>_xll.qlMakeDatedOIS(,M413,N413,OvernightIndex,0,,,,EvaluationDate)</f>
        <v>obj_006c2#0001</v>
      </c>
      <c r="P413" s="490" t="b">
        <f>_xll.qlInstrumentSetPricingEngine(O413,OisEngine)</f>
        <v>1</v>
      </c>
      <c r="Q413" s="489">
        <f>_xll.qlIndexFixing("euribor3m",_xll.qlInterestRateIndexFixingDate("Euribor3M",M413),TRUE,AllTriggers)</f>
        <v>2.2598611698292845E-2</v>
      </c>
      <c r="R413" s="489">
        <f>_xll.qlOvernightIndexedSwapFairRate(O413,AllTriggers)</f>
        <v>2.2121482753559227E-2</v>
      </c>
      <c r="S413" s="491">
        <f t="shared" si="8"/>
        <v>4.77128944733618E-4</v>
      </c>
    </row>
    <row r="414" spans="5:19" ht="11.25" customHeight="1" x14ac:dyDescent="0.2">
      <c r="E414" s="483"/>
      <c r="F414" s="483"/>
      <c r="G414" s="482"/>
      <c r="J414" s="482"/>
      <c r="K414" s="482"/>
      <c r="M414" s="497">
        <f>_xll.qlCalendarAdvance(Calendar,M413,"1M","f",,Trigger)</f>
        <v>54735</v>
      </c>
      <c r="N414" s="488">
        <f>_xll.qlCalendarAdvance(Calendar,M414,"3M","mf",,Trigger)</f>
        <v>54827</v>
      </c>
      <c r="O414" s="490" t="str">
        <f>_xll.qlMakeDatedOIS(,M414,N414,OvernightIndex,0,,,,EvaluationDate)</f>
        <v>obj_006c3#0001</v>
      </c>
      <c r="P414" s="490" t="b">
        <f>_xll.qlInstrumentSetPricingEngine(O414,OisEngine)</f>
        <v>1</v>
      </c>
      <c r="Q414" s="489">
        <f>_xll.qlIndexFixing("euribor3m",_xll.qlInterestRateIndexFixingDate("Euribor3M",M414),TRUE,AllTriggers)</f>
        <v>2.259628684756439E-2</v>
      </c>
      <c r="R414" s="489">
        <f>_xll.qlOvernightIndexedSwapFairRate(O414,AllTriggers)</f>
        <v>2.2121482753559227E-2</v>
      </c>
      <c r="S414" s="491">
        <f t="shared" si="8"/>
        <v>4.7480409400516357E-4</v>
      </c>
    </row>
    <row r="415" spans="5:19" ht="11.25" customHeight="1" x14ac:dyDescent="0.2">
      <c r="E415" s="483"/>
      <c r="F415" s="483"/>
      <c r="G415" s="482"/>
      <c r="J415" s="482"/>
      <c r="K415" s="482"/>
      <c r="M415" s="497">
        <f>_xll.qlCalendarAdvance(Calendar,M414,"1M","f",,Trigger)</f>
        <v>54765</v>
      </c>
      <c r="N415" s="488">
        <f>_xll.qlCalendarAdvance(Calendar,M415,"3M","mf",,Trigger)</f>
        <v>54855</v>
      </c>
      <c r="O415" s="490" t="str">
        <f>_xll.qlMakeDatedOIS(,M415,N415,OvernightIndex,0,,,,EvaluationDate)</f>
        <v>obj_006c5#0001</v>
      </c>
      <c r="P415" s="490" t="b">
        <f>_xll.qlInstrumentSetPricingEngine(O415,OisEngine)</f>
        <v>1</v>
      </c>
      <c r="Q415" s="489">
        <f>_xll.qlIndexFixing("euribor3m",_xll.qlInterestRateIndexFixingDate("Euribor3M",M415),TRUE,AllTriggers)</f>
        <v>2.2592515025904092E-2</v>
      </c>
      <c r="R415" s="489">
        <f>_xll.qlOvernightIndexedSwapFairRate(O415,AllTriggers)</f>
        <v>2.2120126030018561E-2</v>
      </c>
      <c r="S415" s="491">
        <f t="shared" si="8"/>
        <v>4.7238899588553096E-4</v>
      </c>
    </row>
    <row r="416" spans="5:19" ht="11.25" customHeight="1" x14ac:dyDescent="0.2">
      <c r="E416" s="483"/>
      <c r="F416" s="483"/>
      <c r="G416" s="482"/>
      <c r="J416" s="482"/>
      <c r="K416" s="482"/>
      <c r="M416" s="497">
        <f>_xll.qlCalendarAdvance(Calendar,M415,"1M","f",,Trigger)</f>
        <v>54798</v>
      </c>
      <c r="N416" s="488">
        <f>_xll.qlCalendarAdvance(Calendar,M416,"3M","mf",,Trigger)</f>
        <v>54890</v>
      </c>
      <c r="O416" s="490" t="str">
        <f>_xll.qlMakeDatedOIS(,M416,N416,OvernightIndex,0,,,,EvaluationDate)</f>
        <v>obj_006c7#0001</v>
      </c>
      <c r="P416" s="490" t="b">
        <f>_xll.qlInstrumentSetPricingEngine(O416,OisEngine)</f>
        <v>1</v>
      </c>
      <c r="Q416" s="489">
        <f>_xll.qlIndexFixing("euribor3m",_xll.qlInterestRateIndexFixingDate("Euribor3M",M416),TRUE,AllTriggers)</f>
        <v>2.2590775747286521E-2</v>
      </c>
      <c r="R416" s="489">
        <f>_xll.qlOvernightIndexedSwapFairRate(O416,AllTriggers)</f>
        <v>2.2121482753559223E-2</v>
      </c>
      <c r="S416" s="491">
        <f t="shared" si="8"/>
        <v>4.6929299372729799E-4</v>
      </c>
    </row>
    <row r="417" spans="5:19" ht="11.25" customHeight="1" x14ac:dyDescent="0.2">
      <c r="E417" s="483"/>
      <c r="F417" s="483"/>
      <c r="G417" s="482"/>
      <c r="J417" s="482"/>
      <c r="K417" s="482"/>
      <c r="M417" s="497">
        <f>_xll.qlCalendarAdvance(Calendar,M416,"1M","f",,Trigger)</f>
        <v>54829</v>
      </c>
      <c r="N417" s="488">
        <f>_xll.qlCalendarAdvance(Calendar,M417,"3M","mf",,Trigger)</f>
        <v>54918</v>
      </c>
      <c r="O417" s="490" t="str">
        <f>_xll.qlMakeDatedOIS(,M417,N417,OvernightIndex,0,,,,EvaluationDate)</f>
        <v>obj_006c9#0001</v>
      </c>
      <c r="P417" s="490" t="b">
        <f>_xll.qlInstrumentSetPricingEngine(O417,OisEngine)</f>
        <v>1</v>
      </c>
      <c r="Q417" s="489">
        <f>_xll.qlIndexFixing("euribor3m",_xll.qlInterestRateIndexFixingDate("Euribor3M",M417),TRUE,AllTriggers)</f>
        <v>2.2585597532041833E-2</v>
      </c>
      <c r="R417" s="489">
        <f>_xll.qlOvernightIndexedSwapFairRate(O417,AllTriggers)</f>
        <v>2.211944770983507E-2</v>
      </c>
      <c r="S417" s="491">
        <f t="shared" si="8"/>
        <v>4.6614982220676351E-4</v>
      </c>
    </row>
    <row r="418" spans="5:19" ht="11.25" customHeight="1" x14ac:dyDescent="0.2">
      <c r="E418" s="483"/>
      <c r="F418" s="483"/>
      <c r="G418" s="482"/>
      <c r="J418" s="482"/>
      <c r="K418" s="482"/>
      <c r="M418" s="497">
        <f>_xll.qlCalendarAdvance(Calendar,M417,"1M","f",,Trigger)</f>
        <v>54857</v>
      </c>
      <c r="N418" s="488">
        <f>_xll.qlCalendarAdvance(Calendar,M418,"3M","mf",,Trigger)</f>
        <v>54949</v>
      </c>
      <c r="O418" s="490" t="str">
        <f>_xll.qlMakeDatedOIS(,M418,N418,OvernightIndex,0,,,,EvaluationDate)</f>
        <v>obj_006ca#0001</v>
      </c>
      <c r="P418" s="490" t="b">
        <f>_xll.qlInstrumentSetPricingEngine(O418,OisEngine)</f>
        <v>1</v>
      </c>
      <c r="Q418" s="489">
        <f>_xll.qlIndexFixing("euribor3m",_xll.qlInterestRateIndexFixingDate("Euribor3M",M418),TRUE,AllTriggers)</f>
        <v>2.2584337835389025E-2</v>
      </c>
      <c r="R418" s="489">
        <f>_xll.qlOvernightIndexedSwapFairRate(O418,AllTriggers)</f>
        <v>2.2121482753559223E-2</v>
      </c>
      <c r="S418" s="491">
        <f t="shared" si="8"/>
        <v>4.6285508182980148E-4</v>
      </c>
    </row>
    <row r="419" spans="5:19" ht="11.25" customHeight="1" x14ac:dyDescent="0.2">
      <c r="E419" s="483"/>
      <c r="F419" s="483"/>
      <c r="G419" s="482"/>
      <c r="J419" s="482"/>
      <c r="K419" s="482"/>
      <c r="M419" s="497">
        <f>_xll.qlCalendarAdvance(Calendar,M418,"1M","f",,Trigger)</f>
        <v>54890</v>
      </c>
      <c r="N419" s="488">
        <f>_xll.qlCalendarAdvance(Calendar,M419,"3M","mf",,Trigger)</f>
        <v>54981</v>
      </c>
      <c r="O419" s="490" t="str">
        <f>_xll.qlMakeDatedOIS(,M419,N419,OvernightIndex,0,,,,EvaluationDate)</f>
        <v>obj_006cb#0001</v>
      </c>
      <c r="P419" s="490" t="b">
        <f>_xll.qlInstrumentSetPricingEngine(O419,OisEngine)</f>
        <v>1</v>
      </c>
      <c r="Q419" s="489">
        <f>_xll.qlIndexFixing("euribor3m",_xll.qlInterestRateIndexFixingDate("Euribor3M",M419),TRUE,AllTriggers)</f>
        <v>2.2579559997848102E-2</v>
      </c>
      <c r="R419" s="489">
        <f>_xll.qlOvernightIndexedSwapFairRate(O419,AllTriggers)</f>
        <v>2.2120804377927052E-2</v>
      </c>
      <c r="S419" s="491">
        <f t="shared" si="8"/>
        <v>4.5875561992105018E-4</v>
      </c>
    </row>
    <row r="420" spans="5:19" ht="11.25" customHeight="1" x14ac:dyDescent="0.2">
      <c r="E420" s="483"/>
      <c r="F420" s="483"/>
      <c r="G420" s="482"/>
      <c r="J420" s="482"/>
      <c r="K420" s="482"/>
      <c r="M420" s="497">
        <f>_xll.qlCalendarAdvance(Calendar,M419,"1M","f",,Trigger)</f>
        <v>54920</v>
      </c>
      <c r="N420" s="488">
        <f>_xll.qlCalendarAdvance(Calendar,M420,"3M","mf",,Trigger)</f>
        <v>55012</v>
      </c>
      <c r="O420" s="490" t="str">
        <f>_xll.qlMakeDatedOIS(,M420,N420,OvernightIndex,0,,,,EvaluationDate)</f>
        <v>obj_006cd#0001</v>
      </c>
      <c r="P420" s="490" t="b">
        <f>_xll.qlInstrumentSetPricingEngine(O420,OisEngine)</f>
        <v>1</v>
      </c>
      <c r="Q420" s="489">
        <f>_xll.qlIndexFixing("euribor3m",_xll.qlInterestRateIndexFixingDate("Euribor3M",M420),TRUE,AllTriggers)</f>
        <v>2.2576100181657701E-2</v>
      </c>
      <c r="R420" s="489">
        <f>_xll.qlOvernightIndexedSwapFairRate(O420,AllTriggers)</f>
        <v>2.2121482753558356E-2</v>
      </c>
      <c r="S420" s="491">
        <f t="shared" si="8"/>
        <v>4.5461742809934508E-4</v>
      </c>
    </row>
    <row r="421" spans="5:19" ht="11.25" customHeight="1" x14ac:dyDescent="0.2">
      <c r="E421" s="483"/>
      <c r="F421" s="483"/>
      <c r="G421" s="482"/>
      <c r="J421" s="482"/>
      <c r="K421" s="482"/>
      <c r="M421" s="497">
        <f>_xll.qlCalendarAdvance(Calendar,M420,"1M","f",,Trigger)</f>
        <v>54952</v>
      </c>
      <c r="N421" s="488">
        <f>_xll.qlCalendarAdvance(Calendar,M421,"3M","mf",,Trigger)</f>
        <v>55044</v>
      </c>
      <c r="O421" s="490" t="str">
        <f>_xll.qlMakeDatedOIS(,M421,N421,OvernightIndex,0,,,,EvaluationDate)</f>
        <v>obj_006cf#0001</v>
      </c>
      <c r="P421" s="490" t="b">
        <f>_xll.qlInstrumentSetPricingEngine(O421,OisEngine)</f>
        <v>1</v>
      </c>
      <c r="Q421" s="489">
        <f>_xll.qlIndexFixing("euribor3m",_xll.qlInterestRateIndexFixingDate("Euribor3M",M421),TRUE,AllTriggers)</f>
        <v>2.2571376771565951E-2</v>
      </c>
      <c r="R421" s="489">
        <f>_xll.qlOvernightIndexedSwapFairRate(O421,AllTriggers)</f>
        <v>2.2121482753560094E-2</v>
      </c>
      <c r="S421" s="491">
        <f t="shared" si="8"/>
        <v>4.4989401800585652E-4</v>
      </c>
    </row>
    <row r="422" spans="5:19" ht="11.25" customHeight="1" x14ac:dyDescent="0.2">
      <c r="E422" s="483"/>
      <c r="F422" s="483"/>
      <c r="G422" s="482"/>
      <c r="J422" s="482"/>
      <c r="K422" s="482"/>
      <c r="M422" s="497">
        <f>_xll.qlCalendarAdvance(Calendar,M421,"1M","f",,Trigger)</f>
        <v>54982</v>
      </c>
      <c r="N422" s="488">
        <f>_xll.qlCalendarAdvance(Calendar,M422,"3M","mf",,Trigger)</f>
        <v>55074</v>
      </c>
      <c r="O422" s="490" t="str">
        <f>_xll.qlMakeDatedOIS(,M422,N422,OvernightIndex,0,,,,EvaluationDate)</f>
        <v>obj_006d1#0001</v>
      </c>
      <c r="P422" s="490" t="b">
        <f>_xll.qlInstrumentSetPricingEngine(O422,OisEngine)</f>
        <v>1</v>
      </c>
      <c r="Q422" s="489">
        <f>_xll.qlIndexFixing("euribor3m",_xll.qlInterestRateIndexFixingDate("Euribor3M",M422),TRUE,AllTriggers)</f>
        <v>2.2566618667785407E-2</v>
      </c>
      <c r="R422" s="489">
        <f>_xll.qlOvernightIndexedSwapFairRate(O422,AllTriggers)</f>
        <v>2.2121482753559223E-2</v>
      </c>
      <c r="S422" s="491">
        <f t="shared" si="8"/>
        <v>4.4513591422618362E-4</v>
      </c>
    </row>
    <row r="423" spans="5:19" ht="11.25" customHeight="1" x14ac:dyDescent="0.2">
      <c r="E423" s="483"/>
      <c r="F423" s="483"/>
      <c r="G423" s="482"/>
      <c r="J423" s="482"/>
      <c r="K423" s="482"/>
      <c r="M423" s="497">
        <f>_xll.qlCalendarAdvance(Calendar,M422,"1M","f",,Trigger)</f>
        <v>55015</v>
      </c>
      <c r="N423" s="488">
        <f>_xll.qlCalendarAdvance(Calendar,M423,"3M","mf",,Trigger)</f>
        <v>55107</v>
      </c>
      <c r="O423" s="490" t="str">
        <f>_xll.qlMakeDatedOIS(,M423,N423,OvernightIndex,0,,,,EvaluationDate)</f>
        <v>obj_006d3#0001</v>
      </c>
      <c r="P423" s="490" t="b">
        <f>_xll.qlInstrumentSetPricingEngine(O423,OisEngine)</f>
        <v>1</v>
      </c>
      <c r="Q423" s="489">
        <f>_xll.qlIndexFixing("euribor3m",_xll.qlInterestRateIndexFixingDate("Euribor3M",M423),TRUE,AllTriggers)</f>
        <v>2.2561016004349611E-2</v>
      </c>
      <c r="R423" s="489">
        <f>_xll.qlOvernightIndexedSwapFairRate(O423,AllTriggers)</f>
        <v>2.2121482753559227E-2</v>
      </c>
      <c r="S423" s="491">
        <f t="shared" si="8"/>
        <v>4.3953325079038388E-4</v>
      </c>
    </row>
    <row r="424" spans="5:19" ht="11.25" customHeight="1" x14ac:dyDescent="0.2">
      <c r="E424" s="483"/>
      <c r="F424" s="483"/>
      <c r="G424" s="482"/>
      <c r="J424" s="482"/>
      <c r="K424" s="482"/>
      <c r="M424" s="497">
        <f>_xll.qlCalendarAdvance(Calendar,M423,"1M","f",,Trigger)</f>
        <v>55046</v>
      </c>
      <c r="N424" s="488">
        <f>_xll.qlCalendarAdvance(Calendar,M424,"3M","mf",,Trigger)</f>
        <v>55137</v>
      </c>
      <c r="O424" s="490" t="str">
        <f>_xll.qlMakeDatedOIS(,M424,N424,OvernightIndex,0,,,,EvaluationDate)</f>
        <v>obj_006d4#0001</v>
      </c>
      <c r="P424" s="490" t="b">
        <f>_xll.qlInstrumentSetPricingEngine(O424,OisEngine)</f>
        <v>1</v>
      </c>
      <c r="Q424" s="489">
        <f>_xll.qlIndexFixing("euribor3m",_xll.qlInterestRateIndexFixingDate("Euribor3M",M424),TRUE,AllTriggers)</f>
        <v>2.2554791743430114E-2</v>
      </c>
      <c r="R424" s="489">
        <f>_xll.qlOvernightIndexedSwapFairRate(O424,AllTriggers)</f>
        <v>2.2120804377927055E-2</v>
      </c>
      <c r="S424" s="491">
        <f t="shared" si="8"/>
        <v>4.3398736550305864E-4</v>
      </c>
    </row>
    <row r="425" spans="5:19" ht="11.25" customHeight="1" x14ac:dyDescent="0.2">
      <c r="E425" s="483"/>
      <c r="F425" s="483"/>
      <c r="G425" s="482"/>
      <c r="J425" s="482"/>
      <c r="K425" s="482"/>
      <c r="M425" s="497">
        <f>_xll.qlCalendarAdvance(Calendar,M424,"1M","f",,Trigger)</f>
        <v>55078</v>
      </c>
      <c r="N425" s="488">
        <f>_xll.qlCalendarAdvance(Calendar,M425,"3M","mf",,Trigger)</f>
        <v>55170</v>
      </c>
      <c r="O425" s="490" t="str">
        <f>_xll.qlMakeDatedOIS(,M425,N425,OvernightIndex,0,,,,EvaluationDate)</f>
        <v>obj_006d6#0001</v>
      </c>
      <c r="P425" s="490" t="b">
        <f>_xll.qlInstrumentSetPricingEngine(O425,OisEngine)</f>
        <v>1</v>
      </c>
      <c r="Q425" s="489">
        <f>_xll.qlIndexFixing("euribor3m",_xll.qlInterestRateIndexFixingDate("Euribor3M",M425),TRUE,AllTriggers)</f>
        <v>2.2549247291288141E-2</v>
      </c>
      <c r="R425" s="489">
        <f>_xll.qlOvernightIndexedSwapFairRate(O425,AllTriggers)</f>
        <v>2.2121482753560098E-2</v>
      </c>
      <c r="S425" s="491">
        <f t="shared" si="8"/>
        <v>4.2776453772804326E-4</v>
      </c>
    </row>
    <row r="426" spans="5:19" ht="11.25" customHeight="1" x14ac:dyDescent="0.2">
      <c r="E426" s="483"/>
      <c r="F426" s="483"/>
      <c r="G426" s="482"/>
      <c r="J426" s="482"/>
      <c r="K426" s="482"/>
      <c r="M426" s="497">
        <f>_xll.qlCalendarAdvance(Calendar,M425,"1M","f",,Trigger)</f>
        <v>55109</v>
      </c>
      <c r="N426" s="488">
        <f>_xll.qlCalendarAdvance(Calendar,M426,"3M","mf",,Trigger)</f>
        <v>55201</v>
      </c>
      <c r="O426" s="490" t="str">
        <f>_xll.qlMakeDatedOIS(,M426,N426,OvernightIndex,0,,,,EvaluationDate)</f>
        <v>obj_006d7#0001</v>
      </c>
      <c r="P426" s="490" t="b">
        <f>_xll.qlInstrumentSetPricingEngine(O426,OisEngine)</f>
        <v>1</v>
      </c>
      <c r="Q426" s="489">
        <f>_xll.qlIndexFixing("euribor3m",_xll.qlInterestRateIndexFixingDate("Euribor3M",M426),TRUE,AllTriggers)</f>
        <v>2.2542939491172864E-2</v>
      </c>
      <c r="R426" s="489">
        <f>_xll.qlOvernightIndexedSwapFairRate(O426,AllTriggers)</f>
        <v>2.2121482753559223E-2</v>
      </c>
      <c r="S426" s="491">
        <f t="shared" si="8"/>
        <v>4.2145673761364091E-4</v>
      </c>
    </row>
    <row r="427" spans="5:19" ht="11.25" customHeight="1" x14ac:dyDescent="0.2">
      <c r="E427" s="483"/>
      <c r="F427" s="483"/>
      <c r="G427" s="482"/>
      <c r="J427" s="482"/>
      <c r="K427" s="482"/>
      <c r="M427" s="497">
        <f>_xll.qlCalendarAdvance(Calendar,M426,"1M","f",,Trigger)</f>
        <v>55141</v>
      </c>
      <c r="N427" s="488">
        <f>_xll.qlCalendarAdvance(Calendar,M427,"3M","mf",,Trigger)</f>
        <v>55232</v>
      </c>
      <c r="O427" s="490" t="str">
        <f>_xll.qlMakeDatedOIS(,M427,N427,OvernightIndex,0,,,,EvaluationDate)</f>
        <v>obj_006d9#0001</v>
      </c>
      <c r="P427" s="490" t="b">
        <f>_xll.qlInstrumentSetPricingEngine(O427,OisEngine)</f>
        <v>1</v>
      </c>
      <c r="Q427" s="489">
        <f>_xll.qlIndexFixing("euribor3m",_xll.qlInterestRateIndexFixingDate("Euribor3M",M427),TRUE,AllTriggers)</f>
        <v>2.2535479445780694E-2</v>
      </c>
      <c r="R427" s="489">
        <f>_xll.qlOvernightIndexedSwapFairRate(O427,AllTriggers)</f>
        <v>2.2120804377927052E-2</v>
      </c>
      <c r="S427" s="491">
        <f t="shared" si="8"/>
        <v>4.1467506785364261E-4</v>
      </c>
    </row>
    <row r="428" spans="5:19" ht="11.25" customHeight="1" x14ac:dyDescent="0.2">
      <c r="E428" s="483"/>
      <c r="F428" s="483"/>
      <c r="G428" s="482"/>
      <c r="J428" s="482"/>
      <c r="K428" s="482"/>
      <c r="M428" s="497">
        <f>_xll.qlCalendarAdvance(Calendar,M427,"1M","f",,Trigger)</f>
        <v>55172</v>
      </c>
      <c r="N428" s="488">
        <f>_xll.qlCalendarAdvance(Calendar,M428,"3M","mf",,Trigger)</f>
        <v>55262</v>
      </c>
      <c r="O428" s="490" t="str">
        <f>_xll.qlMakeDatedOIS(,M428,N428,OvernightIndex,0,,,,EvaluationDate)</f>
        <v>obj_006da#0001</v>
      </c>
      <c r="P428" s="490" t="b">
        <f>_xll.qlInstrumentSetPricingEngine(O428,OisEngine)</f>
        <v>1</v>
      </c>
      <c r="Q428" s="489">
        <f>_xll.qlIndexFixing("euribor3m",_xll.qlInterestRateIndexFixingDate("Euribor3M",M428),TRUE,AllTriggers)</f>
        <v>2.2527899424967579E-2</v>
      </c>
      <c r="R428" s="489">
        <f>_xll.qlOvernightIndexedSwapFairRate(O428,AllTriggers)</f>
        <v>2.2120126030019449E-2</v>
      </c>
      <c r="S428" s="491">
        <f t="shared" si="8"/>
        <v>4.0777339494812992E-4</v>
      </c>
    </row>
    <row r="429" spans="5:19" ht="11.25" customHeight="1" x14ac:dyDescent="0.2">
      <c r="E429" s="483"/>
      <c r="F429" s="483"/>
      <c r="G429" s="482"/>
      <c r="J429" s="482"/>
      <c r="K429" s="482"/>
      <c r="M429" s="497">
        <f>_xll.qlCalendarAdvance(Calendar,M428,"1M","f",,Trigger)</f>
        <v>55204</v>
      </c>
      <c r="N429" s="488">
        <f>_xll.qlCalendarAdvance(Calendar,M429,"3M","mf",,Trigger)</f>
        <v>55295</v>
      </c>
      <c r="O429" s="490" t="str">
        <f>_xll.qlMakeDatedOIS(,M429,N429,OvernightIndex,0,,,,EvaluationDate)</f>
        <v>obj_006dc#0001</v>
      </c>
      <c r="P429" s="490" t="b">
        <f>_xll.qlInstrumentSetPricingEngine(O429,OisEngine)</f>
        <v>1</v>
      </c>
      <c r="Q429" s="489">
        <f>_xll.qlIndexFixing("euribor3m",_xll.qlInterestRateIndexFixingDate("Euribor3M",M429),TRUE,AllTriggers)</f>
        <v>2.2520906963683193E-2</v>
      </c>
      <c r="R429" s="489">
        <f>_xll.qlOvernightIndexedSwapFairRate(O429,AllTriggers)</f>
        <v>2.2120804377927052E-2</v>
      </c>
      <c r="S429" s="491">
        <f t="shared" si="8"/>
        <v>4.0010258575614091E-4</v>
      </c>
    </row>
    <row r="430" spans="5:19" ht="11.25" customHeight="1" x14ac:dyDescent="0.2">
      <c r="E430" s="483"/>
      <c r="F430" s="483"/>
      <c r="G430" s="482"/>
      <c r="J430" s="482"/>
      <c r="K430" s="482"/>
      <c r="M430" s="497">
        <f>_xll.qlCalendarAdvance(Calendar,M429,"1M","f",,Trigger)</f>
        <v>55232</v>
      </c>
      <c r="N430" s="488">
        <f>_xll.qlCalendarAdvance(Calendar,M430,"3M","mf",,Trigger)</f>
        <v>55324</v>
      </c>
      <c r="O430" s="490" t="str">
        <f>_xll.qlMakeDatedOIS(,M430,N430,OvernightIndex,0,,,,EvaluationDate)</f>
        <v>obj_006dd#0001</v>
      </c>
      <c r="P430" s="490" t="b">
        <f>_xll.qlInstrumentSetPricingEngine(O430,OisEngine)</f>
        <v>1</v>
      </c>
      <c r="Q430" s="489">
        <f>_xll.qlIndexFixing("euribor3m",_xll.qlInterestRateIndexFixingDate("Euribor3M",M430),TRUE,AllTriggers)</f>
        <v>2.2514552130010263E-2</v>
      </c>
      <c r="R430" s="489">
        <f>_xll.qlOvernightIndexedSwapFairRate(O430,AllTriggers)</f>
        <v>2.2121482753559223E-2</v>
      </c>
      <c r="S430" s="491">
        <f t="shared" si="8"/>
        <v>3.9306937645103984E-4</v>
      </c>
    </row>
    <row r="431" spans="5:19" ht="11.25" customHeight="1" x14ac:dyDescent="0.2">
      <c r="E431" s="483"/>
      <c r="F431" s="483"/>
      <c r="G431" s="482"/>
      <c r="J431" s="482"/>
      <c r="K431" s="482"/>
      <c r="M431" s="497">
        <f>_xll.qlCalendarAdvance(Calendar,M430,"1M","f",,Trigger)</f>
        <v>55263</v>
      </c>
      <c r="N431" s="488">
        <f>_xll.qlCalendarAdvance(Calendar,M431,"3M","mf",,Trigger)</f>
        <v>55354</v>
      </c>
      <c r="O431" s="490" t="str">
        <f>_xll.qlMakeDatedOIS(,M431,N431,OvernightIndex,0,,,,EvaluationDate)</f>
        <v>obj_006de#0001</v>
      </c>
      <c r="P431" s="490" t="b">
        <f>_xll.qlInstrumentSetPricingEngine(O431,OisEngine)</f>
        <v>1</v>
      </c>
      <c r="Q431" s="489">
        <f>_xll.qlIndexFixing("euribor3m",_xll.qlInterestRateIndexFixingDate("Euribor3M",M431),TRUE,AllTriggers)</f>
        <v>2.2505983141977735E-2</v>
      </c>
      <c r="R431" s="489">
        <f>_xll.qlOvernightIndexedSwapFairRate(O431,AllTriggers)</f>
        <v>2.2120804377927052E-2</v>
      </c>
      <c r="S431" s="491">
        <f t="shared" si="8"/>
        <v>3.8517876405068374E-4</v>
      </c>
    </row>
    <row r="432" spans="5:19" ht="11.25" customHeight="1" x14ac:dyDescent="0.2">
      <c r="E432" s="483"/>
      <c r="F432" s="483"/>
      <c r="G432" s="482"/>
      <c r="J432" s="482"/>
      <c r="K432" s="482"/>
      <c r="M432" s="497">
        <f>_xll.qlCalendarAdvance(Calendar,M431,"1M","f",,Trigger)</f>
        <v>55295</v>
      </c>
      <c r="N432" s="488">
        <f>_xll.qlCalendarAdvance(Calendar,M432,"3M","mf",,Trigger)</f>
        <v>55387</v>
      </c>
      <c r="O432" s="490" t="str">
        <f>_xll.qlMakeDatedOIS(,M432,N432,OvernightIndex,0,,,,EvaluationDate)</f>
        <v>obj_006e0#0001</v>
      </c>
      <c r="P432" s="490" t="b">
        <f>_xll.qlInstrumentSetPricingEngine(O432,OisEngine)</f>
        <v>1</v>
      </c>
      <c r="Q432" s="489">
        <f>_xll.qlIndexFixing("euribor3m",_xll.qlInterestRateIndexFixingDate("Euribor3M",M432),TRUE,AllTriggers)</f>
        <v>2.2497933931803171E-2</v>
      </c>
      <c r="R432" s="489">
        <f>_xll.qlOvernightIndexedSwapFairRate(O432,AllTriggers)</f>
        <v>2.2121482753559227E-2</v>
      </c>
      <c r="S432" s="491">
        <f t="shared" si="8"/>
        <v>3.7645117824394378E-4</v>
      </c>
    </row>
    <row r="433" spans="5:19" ht="11.25" customHeight="1" x14ac:dyDescent="0.2">
      <c r="E433" s="483"/>
      <c r="F433" s="483"/>
      <c r="G433" s="482"/>
      <c r="J433" s="482"/>
      <c r="K433" s="482"/>
      <c r="M433" s="497">
        <f>_xll.qlCalendarAdvance(Calendar,M432,"1M","f",,Trigger)</f>
        <v>55326</v>
      </c>
      <c r="N433" s="488">
        <f>_xll.qlCalendarAdvance(Calendar,M433,"3M","mf",,Trigger)</f>
        <v>55418</v>
      </c>
      <c r="O433" s="490" t="str">
        <f>_xll.qlMakeDatedOIS(,M433,N433,OvernightIndex,0,,,,EvaluationDate)</f>
        <v>obj_006e2#0001</v>
      </c>
      <c r="P433" s="490" t="b">
        <f>_xll.qlInstrumentSetPricingEngine(O433,OisEngine)</f>
        <v>1</v>
      </c>
      <c r="Q433" s="489">
        <f>_xll.qlIndexFixing("euribor3m",_xll.qlInterestRateIndexFixingDate("Euribor3M",M433),TRUE,AllTriggers)</f>
        <v>2.248923989698675E-2</v>
      </c>
      <c r="R433" s="489">
        <f>_xll.qlOvernightIndexedSwapFairRate(O433,AllTriggers)</f>
        <v>2.2121482753559223E-2</v>
      </c>
      <c r="S433" s="491">
        <f t="shared" si="8"/>
        <v>3.6775714342752661E-4</v>
      </c>
    </row>
    <row r="434" spans="5:19" ht="11.25" customHeight="1" x14ac:dyDescent="0.2">
      <c r="E434" s="483"/>
      <c r="F434" s="483"/>
      <c r="G434" s="482"/>
      <c r="J434" s="482"/>
      <c r="K434" s="482"/>
      <c r="M434" s="497">
        <f>_xll.qlCalendarAdvance(Calendar,M433,"1M","f",,Trigger)</f>
        <v>55358</v>
      </c>
      <c r="N434" s="488">
        <f>_xll.qlCalendarAdvance(Calendar,M434,"3M","mf",,Trigger)</f>
        <v>55450</v>
      </c>
      <c r="O434" s="490" t="str">
        <f>_xll.qlMakeDatedOIS(,M434,N434,OvernightIndex,0,,,,EvaluationDate)</f>
        <v>obj_006e3#0001</v>
      </c>
      <c r="P434" s="490" t="b">
        <f>_xll.qlInstrumentSetPricingEngine(O434,OisEngine)</f>
        <v>1</v>
      </c>
      <c r="Q434" s="489">
        <f>_xll.qlIndexFixing("euribor3m",_xll.qlInterestRateIndexFixingDate("Euribor3M",M434),TRUE,AllTriggers)</f>
        <v>2.2479907855452442E-2</v>
      </c>
      <c r="R434" s="489">
        <f>_xll.qlOvernightIndexedSwapFairRate(O434,AllTriggers)</f>
        <v>2.2121482753559227E-2</v>
      </c>
      <c r="S434" s="491">
        <f t="shared" si="8"/>
        <v>3.5842510189321511E-4</v>
      </c>
    </row>
    <row r="435" spans="5:19" ht="11.25" customHeight="1" x14ac:dyDescent="0.2">
      <c r="E435" s="483"/>
      <c r="F435" s="483"/>
      <c r="G435" s="482"/>
      <c r="J435" s="482"/>
      <c r="K435" s="482"/>
      <c r="M435" s="497">
        <f>_xll.qlCalendarAdvance(Calendar,M434,"1M","f",,Trigger)</f>
        <v>55389</v>
      </c>
      <c r="N435" s="488">
        <f>_xll.qlCalendarAdvance(Calendar,M435,"3M","mf",,Trigger)</f>
        <v>55481</v>
      </c>
      <c r="O435" s="490" t="str">
        <f>_xll.qlMakeDatedOIS(,M435,N435,OvernightIndex,0,,,,EvaluationDate)</f>
        <v>obj_006e4#0001</v>
      </c>
      <c r="P435" s="490" t="b">
        <f>_xll.qlInstrumentSetPricingEngine(O435,OisEngine)</f>
        <v>1</v>
      </c>
      <c r="Q435" s="489">
        <f>_xll.qlIndexFixing("euribor3m",_xll.qlInterestRateIndexFixingDate("Euribor3M",M435),TRUE,AllTriggers)</f>
        <v>2.247052106220801E-2</v>
      </c>
      <c r="R435" s="489">
        <f>_xll.qlOvernightIndexedSwapFairRate(O435,AllTriggers)</f>
        <v>2.2121482753559223E-2</v>
      </c>
      <c r="S435" s="491">
        <f t="shared" si="8"/>
        <v>3.4903830864878652E-4</v>
      </c>
    </row>
    <row r="436" spans="5:19" ht="11.25" customHeight="1" x14ac:dyDescent="0.2">
      <c r="E436" s="483"/>
      <c r="F436" s="483"/>
      <c r="G436" s="482"/>
      <c r="J436" s="482"/>
      <c r="K436" s="482"/>
      <c r="M436" s="497">
        <f>_xll.qlCalendarAdvance(Calendar,M435,"1M","f",,Trigger)</f>
        <v>55421</v>
      </c>
      <c r="N436" s="488">
        <f>_xll.qlCalendarAdvance(Calendar,M436,"3M","mf",,Trigger)</f>
        <v>55514</v>
      </c>
      <c r="O436" s="490" t="str">
        <f>_xll.qlMakeDatedOIS(,M436,N436,OvernightIndex,0,,,,EvaluationDate)</f>
        <v>obj_006e6#0001</v>
      </c>
      <c r="P436" s="490" t="b">
        <f>_xll.qlInstrumentSetPricingEngine(O436,OisEngine)</f>
        <v>1</v>
      </c>
      <c r="Q436" s="489">
        <f>_xll.qlIndexFixing("euribor3m",_xll.qlInterestRateIndexFixingDate("Euribor3M",M436),TRUE,AllTriggers)</f>
        <v>2.2461010641736737E-2</v>
      </c>
      <c r="R436" s="489">
        <f>_xll.qlOvernightIndexedSwapFairRate(O436,AllTriggers)</f>
        <v>2.2122161156916384E-2</v>
      </c>
      <c r="S436" s="491">
        <f t="shared" si="8"/>
        <v>3.3884948482035271E-4</v>
      </c>
    </row>
    <row r="437" spans="5:19" ht="11.25" customHeight="1" x14ac:dyDescent="0.2">
      <c r="E437" s="483"/>
      <c r="F437" s="483"/>
      <c r="G437" s="482"/>
      <c r="J437" s="482"/>
      <c r="K437" s="482"/>
      <c r="M437" s="497">
        <f>_xll.qlCalendarAdvance(Calendar,M436,"1M","f",,Trigger)</f>
        <v>55451</v>
      </c>
      <c r="N437" s="488">
        <f>_xll.qlCalendarAdvance(Calendar,M437,"3M","mf",,Trigger)</f>
        <v>55543</v>
      </c>
      <c r="O437" s="490" t="str">
        <f>_xll.qlMakeDatedOIS(,M437,N437,OvernightIndex,0,,,,EvaluationDate)</f>
        <v>obj_006e8#0001</v>
      </c>
      <c r="P437" s="490" t="b">
        <f>_xll.qlInstrumentSetPricingEngine(O437,OisEngine)</f>
        <v>1</v>
      </c>
      <c r="Q437" s="489">
        <f>_xll.qlIndexFixing("euribor3m",_xll.qlInterestRateIndexFixingDate("Euribor3M",M437),TRUE,AllTriggers)</f>
        <v>2.2450724845811437E-2</v>
      </c>
      <c r="R437" s="489">
        <f>_xll.qlOvernightIndexedSwapFairRate(O437,AllTriggers)</f>
        <v>2.2121482753559223E-2</v>
      </c>
      <c r="S437" s="491">
        <f t="shared" si="8"/>
        <v>3.2924209225221324E-4</v>
      </c>
    </row>
    <row r="438" spans="5:19" ht="11.25" customHeight="1" x14ac:dyDescent="0.2">
      <c r="E438" s="483"/>
      <c r="F438" s="483"/>
      <c r="G438" s="482"/>
      <c r="J438" s="482"/>
      <c r="K438" s="482"/>
      <c r="M438" s="497">
        <f>_xll.qlCalendarAdvance(Calendar,M437,"1M","f",,Trigger)</f>
        <v>55484</v>
      </c>
      <c r="N438" s="488">
        <f>_xll.qlCalendarAdvance(Calendar,M438,"3M","mf",,Trigger)</f>
        <v>55576</v>
      </c>
      <c r="O438" s="490" t="str">
        <f>_xll.qlMakeDatedOIS(,M438,N438,OvernightIndex,0,,,,EvaluationDate)</f>
        <v>obj_006e9#0001</v>
      </c>
      <c r="P438" s="490" t="b">
        <f>_xll.qlInstrumentSetPricingEngine(O438,OisEngine)</f>
        <v>1</v>
      </c>
      <c r="Q438" s="489">
        <f>_xll.qlIndexFixing("euribor3m",_xll.qlInterestRateIndexFixingDate("Euribor3M",M438),TRUE,AllTriggers)</f>
        <v>2.2439632147216112E-2</v>
      </c>
      <c r="R438" s="489">
        <f>_xll.qlOvernightIndexedSwapFairRate(O438,AllTriggers)</f>
        <v>2.2121482753559227E-2</v>
      </c>
      <c r="S438" s="491">
        <f t="shared" si="8"/>
        <v>3.1814939365688508E-4</v>
      </c>
    </row>
    <row r="439" spans="5:19" ht="11.25" customHeight="1" x14ac:dyDescent="0.2">
      <c r="E439" s="483"/>
      <c r="F439" s="483"/>
      <c r="G439" s="482"/>
      <c r="J439" s="482"/>
      <c r="K439" s="482"/>
      <c r="M439" s="497">
        <f>_xll.qlCalendarAdvance(Calendar,M438,"1M","f",,Trigger)</f>
        <v>55514</v>
      </c>
      <c r="N439" s="488">
        <f>_xll.qlCalendarAdvance(Calendar,M439,"3M","mf",,Trigger)</f>
        <v>55605</v>
      </c>
      <c r="O439" s="490" t="str">
        <f>_xll.qlMakeDatedOIS(,M439,N439,OvernightIndex,0,,,,EvaluationDate)</f>
        <v>obj_006eb#0001</v>
      </c>
      <c r="P439" s="490" t="b">
        <f>_xll.qlInstrumentSetPricingEngine(O439,OisEngine)</f>
        <v>1</v>
      </c>
      <c r="Q439" s="489">
        <f>_xll.qlIndexFixing("euribor3m",_xll.qlInterestRateIndexFixingDate("Euribor3M",M439),TRUE,AllTriggers)</f>
        <v>2.2428694286726086E-2</v>
      </c>
      <c r="R439" s="489">
        <f>_xll.qlOvernightIndexedSwapFairRate(O439,AllTriggers)</f>
        <v>2.2120804377927055E-2</v>
      </c>
      <c r="S439" s="491">
        <f t="shared" si="8"/>
        <v>3.0788990879903125E-4</v>
      </c>
    </row>
    <row r="440" spans="5:19" ht="11.25" customHeight="1" x14ac:dyDescent="0.2">
      <c r="E440" s="483"/>
      <c r="F440" s="483"/>
      <c r="G440" s="482"/>
      <c r="J440" s="482"/>
      <c r="K440" s="482"/>
      <c r="M440" s="497">
        <f>_xll.qlCalendarAdvance(Calendar,M439,"1M","f",,Trigger)</f>
        <v>55547</v>
      </c>
      <c r="N440" s="488">
        <f>_xll.qlCalendarAdvance(Calendar,M440,"3M","mf",,Trigger)</f>
        <v>55638</v>
      </c>
      <c r="O440" s="490" t="str">
        <f>_xll.qlMakeDatedOIS(,M440,N440,OvernightIndex,0,,,,EvaluationDate)</f>
        <v>obj_006ed#0001</v>
      </c>
      <c r="P440" s="490" t="b">
        <f>_xll.qlInstrumentSetPricingEngine(O440,OisEngine)</f>
        <v>1</v>
      </c>
      <c r="Q440" s="489">
        <f>_xll.qlIndexFixing("euribor3m",_xll.qlInterestRateIndexFixingDate("Euribor3M",M440),TRUE,AllTriggers)</f>
        <v>2.241687075070331E-2</v>
      </c>
      <c r="R440" s="489">
        <f>_xll.qlOvernightIndexedSwapFairRate(O440,AllTriggers)</f>
        <v>2.2120804377927052E-2</v>
      </c>
      <c r="S440" s="491">
        <f t="shared" si="8"/>
        <v>2.9606637277625886E-4</v>
      </c>
    </row>
    <row r="441" spans="5:19" ht="11.25" customHeight="1" x14ac:dyDescent="0.2">
      <c r="E441" s="483"/>
      <c r="F441" s="483"/>
      <c r="G441" s="482"/>
      <c r="J441" s="482"/>
      <c r="K441" s="482"/>
      <c r="M441" s="497">
        <f>_xll.qlCalendarAdvance(Calendar,M440,"1M","f",,Trigger)</f>
        <v>55578</v>
      </c>
      <c r="N441" s="488">
        <f>_xll.qlCalendarAdvance(Calendar,M441,"3M","mf",,Trigger)</f>
        <v>55668</v>
      </c>
      <c r="O441" s="490" t="str">
        <f>_xll.qlMakeDatedOIS(,M441,N441,OvernightIndex,0,,,,EvaluationDate)</f>
        <v>obj_006ef#0001</v>
      </c>
      <c r="P441" s="490" t="b">
        <f>_xll.qlInstrumentSetPricingEngine(O441,OisEngine)</f>
        <v>1</v>
      </c>
      <c r="Q441" s="489">
        <f>_xll.qlIndexFixing("euribor3m",_xll.qlInterestRateIndexFixingDate("Euribor3M",M441),TRUE,AllTriggers)</f>
        <v>2.2405917553448031E-2</v>
      </c>
      <c r="R441" s="489">
        <f>_xll.qlOvernightIndexedSwapFairRate(O441,AllTriggers)</f>
        <v>2.2120126030019449E-2</v>
      </c>
      <c r="S441" s="491">
        <f t="shared" si="8"/>
        <v>2.8579152342858224E-4</v>
      </c>
    </row>
    <row r="442" spans="5:19" ht="11.25" customHeight="1" x14ac:dyDescent="0.2">
      <c r="E442" s="483"/>
      <c r="F442" s="483"/>
      <c r="G442" s="482"/>
      <c r="J442" s="482"/>
      <c r="K442" s="482"/>
      <c r="M442" s="497">
        <f>_xll.qlCalendarAdvance(Calendar,M441,"1M","f",,Trigger)</f>
        <v>55607</v>
      </c>
      <c r="N442" s="488">
        <f>_xll.qlCalendarAdvance(Calendar,M442,"3M","mf",,Trigger)</f>
        <v>55698</v>
      </c>
      <c r="O442" s="490" t="str">
        <f>_xll.qlMakeDatedOIS(,M442,N442,OvernightIndex,0,,,,EvaluationDate)</f>
        <v>obj_006f1#0001</v>
      </c>
      <c r="P442" s="490" t="b">
        <f>_xll.qlInstrumentSetPricingEngine(O442,OisEngine)</f>
        <v>1</v>
      </c>
      <c r="Q442" s="489">
        <f>_xll.qlIndexFixing("euribor3m",_xll.qlInterestRateIndexFixingDate("Euribor3M",M442),TRUE,AllTriggers)</f>
        <v>2.2394383871048272E-2</v>
      </c>
      <c r="R442" s="489">
        <f>_xll.qlOvernightIndexedSwapFairRate(O442,AllTriggers)</f>
        <v>2.2120804377927055E-2</v>
      </c>
      <c r="S442" s="491">
        <f t="shared" si="8"/>
        <v>2.7357949312121696E-4</v>
      </c>
    </row>
    <row r="443" spans="5:19" ht="11.25" customHeight="1" x14ac:dyDescent="0.2">
      <c r="E443" s="483"/>
      <c r="F443" s="483"/>
      <c r="G443" s="482"/>
      <c r="J443" s="482"/>
      <c r="K443" s="482"/>
      <c r="M443" s="497">
        <f>_xll.qlCalendarAdvance(Calendar,M442,"1M","f",,Trigger)</f>
        <v>55638</v>
      </c>
      <c r="N443" s="488">
        <f>_xll.qlCalendarAdvance(Calendar,M443,"3M","mf",,Trigger)</f>
        <v>55729</v>
      </c>
      <c r="O443" s="490" t="str">
        <f>_xll.qlMakeDatedOIS(,M443,N443,OvernightIndex,0,,,,EvaluationDate)</f>
        <v>obj_006f3#0001</v>
      </c>
      <c r="P443" s="490" t="b">
        <f>_xll.qlInstrumentSetPricingEngine(O443,OisEngine)</f>
        <v>1</v>
      </c>
      <c r="Q443" s="489">
        <f>_xll.qlIndexFixing("euribor3m",_xll.qlInterestRateIndexFixingDate("Euribor3M",M443),TRUE,AllTriggers)</f>
        <v>2.2382265387564756E-2</v>
      </c>
      <c r="R443" s="489">
        <f>_xll.qlOvernightIndexedSwapFairRate(O443,AllTriggers)</f>
        <v>2.2120804377927933E-2</v>
      </c>
      <c r="S443" s="491">
        <f t="shared" si="8"/>
        <v>2.6146100963682362E-4</v>
      </c>
    </row>
    <row r="444" spans="5:19" ht="11.25" customHeight="1" x14ac:dyDescent="0.2">
      <c r="E444" s="483"/>
      <c r="F444" s="483"/>
      <c r="G444" s="482"/>
      <c r="J444" s="482"/>
      <c r="K444" s="482"/>
      <c r="M444" s="497">
        <f>_xll.qlCalendarAdvance(Calendar,M443,"1M","f",,Trigger)</f>
        <v>55668</v>
      </c>
      <c r="N444" s="488">
        <f>_xll.qlCalendarAdvance(Calendar,M444,"3M","mf",,Trigger)</f>
        <v>55760</v>
      </c>
      <c r="O444" s="490" t="str">
        <f>_xll.qlMakeDatedOIS(,M444,N444,OvernightIndex,0,,,,EvaluationDate)</f>
        <v>obj_006f5#0001</v>
      </c>
      <c r="P444" s="490" t="b">
        <f>_xll.qlInstrumentSetPricingEngine(O444,OisEngine)</f>
        <v>1</v>
      </c>
      <c r="Q444" s="489">
        <f>_xll.qlIndexFixing("euribor3m",_xll.qlInterestRateIndexFixingDate("Euribor3M",M444),TRUE,AllTriggers)</f>
        <v>2.2370700758391374E-2</v>
      </c>
      <c r="R444" s="489">
        <f>_xll.qlOvernightIndexedSwapFairRate(O444,AllTriggers)</f>
        <v>2.2121482753558359E-2</v>
      </c>
      <c r="S444" s="491">
        <f t="shared" si="8"/>
        <v>2.492180048330149E-4</v>
      </c>
    </row>
    <row r="445" spans="5:19" ht="11.25" customHeight="1" x14ac:dyDescent="0.2">
      <c r="E445" s="483"/>
      <c r="F445" s="483"/>
      <c r="G445" s="482"/>
      <c r="J445" s="482"/>
      <c r="K445" s="482"/>
      <c r="M445" s="497">
        <f>_xll.qlCalendarAdvance(Calendar,M444,"1M","f",,Trigger)</f>
        <v>55701</v>
      </c>
      <c r="N445" s="488">
        <f>_xll.qlCalendarAdvance(Calendar,M445,"3M","mf",,Trigger)</f>
        <v>55793</v>
      </c>
      <c r="O445" s="490" t="str">
        <f>_xll.qlMakeDatedOIS(,M445,N445,OvernightIndex,0,,,,EvaluationDate)</f>
        <v>obj_006f7#0001</v>
      </c>
      <c r="P445" s="490" t="b">
        <f>_xll.qlInstrumentSetPricingEngine(O445,OisEngine)</f>
        <v>1</v>
      </c>
      <c r="Q445" s="489">
        <f>_xll.qlIndexFixing("euribor3m",_xll.qlInterestRateIndexFixingDate("Euribor3M",M445),TRUE,AllTriggers)</f>
        <v>2.2357068097742325E-2</v>
      </c>
      <c r="R445" s="489">
        <f>_xll.qlOvernightIndexedSwapFairRate(O445,AllTriggers)</f>
        <v>2.2121482753559227E-2</v>
      </c>
      <c r="S445" s="491">
        <f t="shared" si="8"/>
        <v>2.3558534418309865E-4</v>
      </c>
    </row>
    <row r="446" spans="5:19" ht="11.25" customHeight="1" x14ac:dyDescent="0.2">
      <c r="E446" s="483"/>
      <c r="F446" s="483"/>
      <c r="G446" s="482"/>
      <c r="J446" s="482"/>
      <c r="K446" s="482"/>
      <c r="M446" s="497">
        <f>_xll.qlCalendarAdvance(Calendar,M445,"1M","f",,Trigger)</f>
        <v>55732</v>
      </c>
      <c r="N446" s="488">
        <f>_xll.qlCalendarAdvance(Calendar,M446,"3M","mf",,Trigger)</f>
        <v>55824</v>
      </c>
      <c r="O446" s="490" t="str">
        <f>_xll.qlMakeDatedOIS(,M446,N446,OvernightIndex,0,,,,EvaluationDate)</f>
        <v>obj_006f8#0001</v>
      </c>
      <c r="P446" s="490" t="b">
        <f>_xll.qlInstrumentSetPricingEngine(O446,OisEngine)</f>
        <v>1</v>
      </c>
      <c r="Q446" s="489">
        <f>_xll.qlIndexFixing("euribor3m",_xll.qlInterestRateIndexFixingDate("Euribor3M",M446),TRUE,AllTriggers)</f>
        <v>2.234390981578091E-2</v>
      </c>
      <c r="R446" s="489">
        <f>_xll.qlOvernightIndexedSwapFairRate(O446,AllTriggers)</f>
        <v>2.2121482753559223E-2</v>
      </c>
      <c r="S446" s="491">
        <f t="shared" si="8"/>
        <v>2.2242706222168687E-4</v>
      </c>
    </row>
    <row r="447" spans="5:19" ht="11.25" customHeight="1" x14ac:dyDescent="0.2">
      <c r="E447" s="483"/>
      <c r="F447" s="483"/>
      <c r="G447" s="482"/>
      <c r="J447" s="482"/>
      <c r="K447" s="482"/>
      <c r="M447" s="497">
        <f>_xll.qlCalendarAdvance(Calendar,M446,"1M","f",,Trigger)</f>
        <v>55764</v>
      </c>
      <c r="N447" s="488">
        <f>_xll.qlCalendarAdvance(Calendar,M447,"3M","mf",,Trigger)</f>
        <v>55855</v>
      </c>
      <c r="O447" s="490" t="str">
        <f>_xll.qlMakeDatedOIS(,M447,N447,OvernightIndex,0,,,,EvaluationDate)</f>
        <v>obj_006fa#0001</v>
      </c>
      <c r="P447" s="490" t="b">
        <f>_xll.qlInstrumentSetPricingEngine(O447,OisEngine)</f>
        <v>1</v>
      </c>
      <c r="Q447" s="489">
        <f>_xll.qlIndexFixing("euribor3m",_xll.qlInterestRateIndexFixingDate("Euribor3M",M447),TRUE,AllTriggers)</f>
        <v>2.2329501648876631E-2</v>
      </c>
      <c r="R447" s="489">
        <f>_xll.qlOvernightIndexedSwapFairRate(O447,AllTriggers)</f>
        <v>2.2120804377927052E-2</v>
      </c>
      <c r="S447" s="491">
        <f t="shared" si="8"/>
        <v>2.0869727094957949E-4</v>
      </c>
    </row>
    <row r="448" spans="5:19" ht="11.25" customHeight="1" x14ac:dyDescent="0.2">
      <c r="E448" s="483"/>
      <c r="F448" s="483"/>
      <c r="G448" s="482"/>
      <c r="J448" s="482"/>
      <c r="K448" s="482"/>
      <c r="M448" s="497">
        <f>_xll.qlCalendarAdvance(Calendar,M447,"1M","f",,Trigger)</f>
        <v>55794</v>
      </c>
      <c r="N448" s="488">
        <f>_xll.qlCalendarAdvance(Calendar,M448,"3M","mf",,Trigger)</f>
        <v>55886</v>
      </c>
      <c r="O448" s="490" t="str">
        <f>_xll.qlMakeDatedOIS(,M448,N448,OvernightIndex,0,,,,EvaluationDate)</f>
        <v>obj_006fc#0001</v>
      </c>
      <c r="P448" s="490" t="b">
        <f>_xll.qlInstrumentSetPricingEngine(O448,OisEngine)</f>
        <v>1</v>
      </c>
      <c r="Q448" s="489">
        <f>_xll.qlIndexFixing("euribor3m",_xll.qlInterestRateIndexFixingDate("Euribor3M",M448),TRUE,AllTriggers)</f>
        <v>2.2316570721632373E-2</v>
      </c>
      <c r="R448" s="489">
        <f>_xll.qlOvernightIndexedSwapFairRate(O448,AllTriggers)</f>
        <v>2.2121482753558359E-2</v>
      </c>
      <c r="S448" s="491">
        <f t="shared" si="8"/>
        <v>1.9508796807401335E-4</v>
      </c>
    </row>
    <row r="449" spans="5:19" ht="11.25" customHeight="1" x14ac:dyDescent="0.2">
      <c r="E449" s="483"/>
      <c r="F449" s="483"/>
      <c r="G449" s="482"/>
      <c r="J449" s="482"/>
      <c r="K449" s="482"/>
      <c r="M449" s="497">
        <f>_xll.qlCalendarAdvance(Calendar,M448,"1M","f",,Trigger)</f>
        <v>55827</v>
      </c>
      <c r="N449" s="488">
        <f>_xll.qlCalendarAdvance(Calendar,M449,"3M","mf",,Trigger)</f>
        <v>55919</v>
      </c>
      <c r="O449" s="490" t="str">
        <f>_xll.qlMakeDatedOIS(,M449,N449,OvernightIndex,0,,,,EvaluationDate)</f>
        <v>obj_006fe#0001</v>
      </c>
      <c r="P449" s="490" t="b">
        <f>_xll.qlInstrumentSetPricingEngine(O449,OisEngine)</f>
        <v>1</v>
      </c>
      <c r="Q449" s="489">
        <f>_xll.qlIndexFixing("euribor3m",_xll.qlInterestRateIndexFixingDate("Euribor3M",M449),TRUE,AllTriggers)</f>
        <v>2.2301463321888135E-2</v>
      </c>
      <c r="R449" s="489">
        <f>_xll.qlOvernightIndexedSwapFairRate(O449,AllTriggers)</f>
        <v>2.2121482753558356E-2</v>
      </c>
      <c r="S449" s="491">
        <f t="shared" si="8"/>
        <v>1.799805683297788E-4</v>
      </c>
    </row>
    <row r="450" spans="5:19" ht="11.25" customHeight="1" x14ac:dyDescent="0.2">
      <c r="E450" s="483"/>
      <c r="F450" s="483"/>
      <c r="G450" s="482"/>
      <c r="J450" s="482"/>
      <c r="K450" s="482"/>
      <c r="M450" s="497">
        <f>_xll.qlCalendarAdvance(Calendar,M449,"1M","f",,Trigger)</f>
        <v>55857</v>
      </c>
      <c r="N450" s="488">
        <f>_xll.qlCalendarAdvance(Calendar,M450,"3M","mf",,Trigger)</f>
        <v>55947</v>
      </c>
      <c r="O450" s="490" t="str">
        <f>_xll.qlMakeDatedOIS(,M450,N450,OvernightIndex,0,,,,EvaluationDate)</f>
        <v>obj_006ff#0001</v>
      </c>
      <c r="P450" s="490" t="b">
        <f>_xll.qlInstrumentSetPricingEngine(O450,OisEngine)</f>
        <v>1</v>
      </c>
      <c r="Q450" s="489">
        <f>_xll.qlIndexFixing("euribor3m",_xll.qlInterestRateIndexFixingDate("Euribor3M",M450),TRUE,AllTriggers)</f>
        <v>2.2286496467446071E-2</v>
      </c>
      <c r="R450" s="489">
        <f>_xll.qlOvernightIndexedSwapFairRate(O450,AllTriggers)</f>
        <v>2.2120126030019449E-2</v>
      </c>
      <c r="S450" s="491">
        <f t="shared" si="8"/>
        <v>1.6637043742662172E-4</v>
      </c>
    </row>
    <row r="451" spans="5:19" ht="11.25" customHeight="1" x14ac:dyDescent="0.2">
      <c r="E451" s="483"/>
      <c r="F451" s="483"/>
      <c r="G451" s="482"/>
      <c r="J451" s="482"/>
      <c r="K451" s="482"/>
      <c r="M451" s="497">
        <f>_xll.qlCalendarAdvance(Calendar,M450,"1M","f",,Trigger)</f>
        <v>55890</v>
      </c>
      <c r="N451" s="488">
        <f>_xll.qlCalendarAdvance(Calendar,M451,"3M","mf",,Trigger)</f>
        <v>55982</v>
      </c>
      <c r="O451" s="490" t="str">
        <f>_xll.qlMakeDatedOIS(,M451,N451,OvernightIndex,0,,,,EvaluationDate)</f>
        <v>obj_00700#0001</v>
      </c>
      <c r="P451" s="490" t="b">
        <f>_xll.qlInstrumentSetPricingEngine(O451,OisEngine)</f>
        <v>1</v>
      </c>
      <c r="Q451" s="489">
        <f>_xll.qlIndexFixing("euribor3m",_xll.qlInterestRateIndexFixingDate("Euribor3M",M451),TRUE,AllTriggers)</f>
        <v>2.227154941773352E-2</v>
      </c>
      <c r="R451" s="489">
        <f>_xll.qlOvernightIndexedSwapFairRate(O451,AllTriggers)</f>
        <v>2.2121482753560094E-2</v>
      </c>
      <c r="S451" s="491">
        <f t="shared" ref="S451:S514" si="9">Q451-R451</f>
        <v>1.5006666417342537E-4</v>
      </c>
    </row>
    <row r="452" spans="5:19" ht="11.25" customHeight="1" x14ac:dyDescent="0.2">
      <c r="E452" s="483"/>
      <c r="F452" s="483"/>
      <c r="G452" s="482"/>
      <c r="J452" s="482"/>
      <c r="K452" s="482"/>
      <c r="M452" s="497">
        <f>_xll.qlCalendarAdvance(Calendar,M451,"1M","f",,Trigger)</f>
        <v>55921</v>
      </c>
      <c r="N452" s="488">
        <f>_xll.qlCalendarAdvance(Calendar,M452,"3M","mf",,Trigger)</f>
        <v>56010</v>
      </c>
      <c r="O452" s="490" t="str">
        <f>_xll.qlMakeDatedOIS(,M452,N452,OvernightIndex,0,,,,EvaluationDate)</f>
        <v>obj_00702#0001</v>
      </c>
      <c r="P452" s="490" t="b">
        <f>_xll.qlInstrumentSetPricingEngine(O452,OisEngine)</f>
        <v>1</v>
      </c>
      <c r="Q452" s="489">
        <f>_xll.qlIndexFixing("euribor3m",_xll.qlInterestRateIndexFixingDate("Euribor3M",M452),TRUE,AllTriggers)</f>
        <v>2.225500620973803E-2</v>
      </c>
      <c r="R452" s="489">
        <f>_xll.qlOvernightIndexedSwapFairRate(O452,AllTriggers)</f>
        <v>2.2119447709834168E-2</v>
      </c>
      <c r="S452" s="491">
        <f t="shared" si="9"/>
        <v>1.3555849990386226E-4</v>
      </c>
    </row>
    <row r="453" spans="5:19" ht="11.25" customHeight="1" x14ac:dyDescent="0.2">
      <c r="E453" s="483"/>
      <c r="F453" s="483"/>
      <c r="G453" s="482"/>
      <c r="J453" s="482"/>
      <c r="K453" s="482"/>
      <c r="M453" s="497">
        <f>_xll.qlCalendarAdvance(Calendar,M452,"1M","f",,Trigger)</f>
        <v>55949</v>
      </c>
      <c r="N453" s="488">
        <f>_xll.qlCalendarAdvance(Calendar,M453,"3M","mf",,Trigger)</f>
        <v>56041</v>
      </c>
      <c r="O453" s="490" t="str">
        <f>_xll.qlMakeDatedOIS(,M453,N453,OvernightIndex,0,,,,EvaluationDate)</f>
        <v>obj_00704#0001</v>
      </c>
      <c r="P453" s="490" t="b">
        <f>_xll.qlInstrumentSetPricingEngine(O453,OisEngine)</f>
        <v>1</v>
      </c>
      <c r="Q453" s="489">
        <f>_xll.qlIndexFixing("euribor3m",_xll.qlInterestRateIndexFixingDate("Euribor3M",M453),TRUE,AllTriggers)</f>
        <v>2.2242258396495455E-2</v>
      </c>
      <c r="R453" s="489">
        <f>_xll.qlOvernightIndexedSwapFairRate(O453,AllTriggers)</f>
        <v>2.2121482753559223E-2</v>
      </c>
      <c r="S453" s="491">
        <f t="shared" si="9"/>
        <v>1.2077564293623208E-4</v>
      </c>
    </row>
    <row r="454" spans="5:19" ht="11.25" customHeight="1" x14ac:dyDescent="0.2">
      <c r="E454" s="483"/>
      <c r="F454" s="483"/>
      <c r="G454" s="482"/>
      <c r="J454" s="482"/>
      <c r="K454" s="482"/>
      <c r="M454" s="497">
        <f>_xll.qlCalendarAdvance(Calendar,M453,"1M","f",,Trigger)</f>
        <v>55982</v>
      </c>
      <c r="N454" s="488">
        <f>_xll.qlCalendarAdvance(Calendar,M454,"3M","mf",,Trigger)</f>
        <v>56073</v>
      </c>
      <c r="O454" s="490" t="str">
        <f>_xll.qlMakeDatedOIS(,M454,N454,OvernightIndex,0,,,,EvaluationDate)</f>
        <v>obj_00705#0001</v>
      </c>
      <c r="P454" s="490" t="b">
        <f>_xll.qlInstrumentSetPricingEngine(O454,OisEngine)</f>
        <v>1</v>
      </c>
      <c r="Q454" s="489">
        <f>_xll.qlIndexFixing("euribor3m",_xll.qlInterestRateIndexFixingDate("Euribor3M",M454),TRUE,AllTriggers)</f>
        <v>2.2224914125180111E-2</v>
      </c>
      <c r="R454" s="489">
        <f>_xll.qlOvernightIndexedSwapFairRate(O454,AllTriggers)</f>
        <v>2.2120804377926177E-2</v>
      </c>
      <c r="S454" s="491">
        <f t="shared" si="9"/>
        <v>1.0410974725393388E-4</v>
      </c>
    </row>
    <row r="455" spans="5:19" ht="11.25" customHeight="1" x14ac:dyDescent="0.2">
      <c r="E455" s="483"/>
      <c r="F455" s="483"/>
      <c r="G455" s="482"/>
      <c r="J455" s="482"/>
      <c r="K455" s="482"/>
      <c r="M455" s="497">
        <f>_xll.qlCalendarAdvance(Calendar,M454,"1M","f",,Trigger)</f>
        <v>56012</v>
      </c>
      <c r="N455" s="488">
        <f>_xll.qlCalendarAdvance(Calendar,M455,"3M","mf",,Trigger)</f>
        <v>56104</v>
      </c>
      <c r="O455" s="490" t="str">
        <f>_xll.qlMakeDatedOIS(,M455,N455,OvernightIndex,0,,,,EvaluationDate)</f>
        <v>obj_00706#0001</v>
      </c>
      <c r="P455" s="490" t="b">
        <f>_xll.qlInstrumentSetPricingEngine(O455,OisEngine)</f>
        <v>1</v>
      </c>
      <c r="Q455" s="489">
        <f>_xll.qlIndexFixing("euribor3m",_xll.qlInterestRateIndexFixingDate("Euribor3M",M455),TRUE,AllTriggers)</f>
        <v>2.2209618626089864E-2</v>
      </c>
      <c r="R455" s="489">
        <f>_xll.qlOvernightIndexedSwapFairRate(O455,AllTriggers)</f>
        <v>2.2121482753558356E-2</v>
      </c>
      <c r="S455" s="491">
        <f t="shared" si="9"/>
        <v>8.8135872531508452E-5</v>
      </c>
    </row>
    <row r="456" spans="5:19" ht="11.25" customHeight="1" x14ac:dyDescent="0.2">
      <c r="E456" s="483"/>
      <c r="F456" s="483"/>
      <c r="G456" s="482"/>
      <c r="J456" s="482"/>
      <c r="K456" s="482"/>
      <c r="M456" s="497">
        <f>_xll.qlCalendarAdvance(Calendar,M455,"1M","f",,Trigger)</f>
        <v>56044</v>
      </c>
      <c r="N456" s="488">
        <f>_xll.qlCalendarAdvance(Calendar,M456,"3M","mf",,Trigger)</f>
        <v>56136</v>
      </c>
      <c r="O456" s="490" t="str">
        <f>_xll.qlMakeDatedOIS(,M456,N456,OvernightIndex,0,,,,EvaluationDate)</f>
        <v>obj_00708#0001</v>
      </c>
      <c r="P456" s="490" t="b">
        <f>_xll.qlInstrumentSetPricingEngine(O456,OisEngine)</f>
        <v>1</v>
      </c>
      <c r="Q456" s="489">
        <f>_xll.qlIndexFixing("euribor3m",_xll.qlInterestRateIndexFixingDate("Euribor3M",M456),TRUE,AllTriggers)</f>
        <v>2.2192500639049841E-2</v>
      </c>
      <c r="R456" s="489">
        <f>_xll.qlOvernightIndexedSwapFairRate(O456,AllTriggers)</f>
        <v>2.2121482753558356E-2</v>
      </c>
      <c r="S456" s="491">
        <f t="shared" si="9"/>
        <v>7.10178854914853E-5</v>
      </c>
    </row>
    <row r="457" spans="5:19" ht="11.25" customHeight="1" x14ac:dyDescent="0.2">
      <c r="E457" s="483"/>
      <c r="F457" s="483"/>
      <c r="G457" s="482"/>
      <c r="J457" s="482"/>
      <c r="K457" s="482"/>
      <c r="M457" s="497">
        <f>_xll.qlCalendarAdvance(Calendar,M456,"1M","f",,Trigger)</f>
        <v>56074</v>
      </c>
      <c r="N457" s="488">
        <f>_xll.qlCalendarAdvance(Calendar,M457,"3M","mf",,Trigger)</f>
        <v>56166</v>
      </c>
      <c r="O457" s="490" t="str">
        <f>_xll.qlMakeDatedOIS(,M457,N457,OvernightIndex,0,,,,EvaluationDate)</f>
        <v>obj_0070a#0001</v>
      </c>
      <c r="P457" s="490" t="b">
        <f>_xll.qlInstrumentSetPricingEngine(O457,OisEngine)</f>
        <v>1</v>
      </c>
      <c r="Q457" s="489">
        <f>_xll.qlIndexFixing("euribor3m",_xll.qlInterestRateIndexFixingDate("Euribor3M",M457),TRUE,AllTriggers)</f>
        <v>2.2176122714592336E-2</v>
      </c>
      <c r="R457" s="489">
        <f>_xll.qlOvernightIndexedSwapFairRate(O457,AllTriggers)</f>
        <v>2.2121482753558356E-2</v>
      </c>
      <c r="S457" s="491">
        <f t="shared" si="9"/>
        <v>5.463996103398025E-5</v>
      </c>
    </row>
    <row r="458" spans="5:19" ht="11.25" customHeight="1" x14ac:dyDescent="0.2">
      <c r="E458" s="483"/>
      <c r="F458" s="483"/>
      <c r="G458" s="482"/>
      <c r="J458" s="482"/>
      <c r="K458" s="482"/>
      <c r="M458" s="497">
        <f>_xll.qlCalendarAdvance(Calendar,M457,"1M","f",,Trigger)</f>
        <v>56107</v>
      </c>
      <c r="N458" s="488">
        <f>_xll.qlCalendarAdvance(Calendar,M458,"3M","mf",,Trigger)</f>
        <v>56199</v>
      </c>
      <c r="O458" s="490" t="str">
        <f>_xll.qlMakeDatedOIS(,M458,N458,OvernightIndex,0,,,,EvaluationDate)</f>
        <v>obj_0070b#0001</v>
      </c>
      <c r="P458" s="490" t="b">
        <f>_xll.qlInstrumentSetPricingEngine(O458,OisEngine)</f>
        <v>1</v>
      </c>
      <c r="Q458" s="489">
        <f>_xll.qlIndexFixing("euribor3m",_xll.qlInterestRateIndexFixingDate("Euribor3M",M458),TRUE,AllTriggers)</f>
        <v>2.2157738358282865E-2</v>
      </c>
      <c r="R458" s="489">
        <f>_xll.qlOvernightIndexedSwapFairRate(O458,AllTriggers)</f>
        <v>2.2121482753559223E-2</v>
      </c>
      <c r="S458" s="491">
        <f t="shared" si="9"/>
        <v>3.6255604723641616E-5</v>
      </c>
    </row>
    <row r="459" spans="5:19" ht="11.25" customHeight="1" x14ac:dyDescent="0.2">
      <c r="E459" s="483"/>
      <c r="F459" s="483"/>
      <c r="G459" s="482"/>
      <c r="J459" s="482"/>
      <c r="K459" s="482"/>
      <c r="M459" s="497">
        <f>_xll.qlCalendarAdvance(Calendar,M458,"1M","f",,Trigger)</f>
        <v>56138</v>
      </c>
      <c r="N459" s="488">
        <f>_xll.qlCalendarAdvance(Calendar,M459,"3M","mf",,Trigger)</f>
        <v>56229</v>
      </c>
      <c r="O459" s="490" t="str">
        <f>_xll.qlMakeDatedOIS(,M459,N459,OvernightIndex,0,,,,EvaluationDate)</f>
        <v>obj_0070d#0001</v>
      </c>
      <c r="P459" s="490" t="b">
        <f>_xll.qlInstrumentSetPricingEngine(O459,OisEngine)</f>
        <v>1</v>
      </c>
      <c r="Q459" s="489">
        <f>_xll.qlIndexFixing("euribor3m",_xll.qlInterestRateIndexFixingDate("Euribor3M",M459),TRUE,AllTriggers)</f>
        <v>2.2139726513548948E-2</v>
      </c>
      <c r="R459" s="489">
        <f>_xll.qlOvernightIndexedSwapFairRate(O459,AllTriggers)</f>
        <v>2.2120804377927055E-2</v>
      </c>
      <c r="S459" s="491">
        <f t="shared" si="9"/>
        <v>1.8922135621893266E-5</v>
      </c>
    </row>
    <row r="460" spans="5:19" ht="11.25" customHeight="1" x14ac:dyDescent="0.2">
      <c r="E460" s="483"/>
      <c r="F460" s="483"/>
      <c r="G460" s="482"/>
      <c r="J460" s="482"/>
      <c r="K460" s="482"/>
      <c r="M460" s="497">
        <f>_xll.qlCalendarAdvance(Calendar,M459,"1M","f",,Trigger)</f>
        <v>56170</v>
      </c>
      <c r="N460" s="488">
        <f>_xll.qlCalendarAdvance(Calendar,M460,"3M","mf",,Trigger)</f>
        <v>56262</v>
      </c>
      <c r="O460" s="490" t="str">
        <f>_xll.qlMakeDatedOIS(,M460,N460,OvernightIndex,0,,,,EvaluationDate)</f>
        <v>obj_0070e#0001</v>
      </c>
      <c r="P460" s="490" t="b">
        <f>_xll.qlInstrumentSetPricingEngine(O460,OisEngine)</f>
        <v>1</v>
      </c>
      <c r="Q460" s="489">
        <f>_xll.qlIndexFixing("euribor3m",_xll.qlInterestRateIndexFixingDate("Euribor3M",M460),TRUE,AllTriggers)</f>
        <v>2.2121568564474121E-2</v>
      </c>
      <c r="R460" s="489">
        <f>_xll.qlOvernightIndexedSwapFairRate(O460,AllTriggers)</f>
        <v>2.2121482753560094E-2</v>
      </c>
      <c r="S460" s="491">
        <f t="shared" si="9"/>
        <v>8.5810914027262264E-8</v>
      </c>
    </row>
    <row r="461" spans="5:19" ht="11.25" customHeight="1" x14ac:dyDescent="0.2">
      <c r="E461" s="483"/>
      <c r="F461" s="483"/>
      <c r="G461" s="482"/>
      <c r="J461" s="482"/>
      <c r="K461" s="482"/>
      <c r="M461" s="497">
        <f>_xll.qlCalendarAdvance(Calendar,M460,"1M","f",,Trigger)</f>
        <v>56201</v>
      </c>
      <c r="N461" s="488">
        <f>_xll.qlCalendarAdvance(Calendar,M461,"3M","mf",,Trigger)</f>
        <v>56293</v>
      </c>
      <c r="O461" s="490" t="str">
        <f>_xll.qlMakeDatedOIS(,M461,N461,OvernightIndex,0,,,,EvaluationDate)</f>
        <v>obj_00710#0001</v>
      </c>
      <c r="P461" s="490" t="b">
        <f>_xll.qlInstrumentSetPricingEngine(O461,OisEngine)</f>
        <v>1</v>
      </c>
      <c r="Q461" s="489">
        <f>_xll.qlIndexFixing("euribor3m",_xll.qlInterestRateIndexFixingDate("Euribor3M",M461),TRUE,AllTriggers)</f>
        <v>2.2103254050222874E-2</v>
      </c>
      <c r="R461" s="489">
        <f>_xll.qlOvernightIndexedSwapFairRate(O461,AllTriggers)</f>
        <v>2.2121482753559223E-2</v>
      </c>
      <c r="S461" s="491">
        <f t="shared" si="9"/>
        <v>-1.8228703336349572E-5</v>
      </c>
    </row>
    <row r="462" spans="5:19" ht="11.25" customHeight="1" x14ac:dyDescent="0.2">
      <c r="E462" s="483"/>
      <c r="F462" s="483"/>
      <c r="G462" s="482"/>
      <c r="J462" s="482"/>
      <c r="K462" s="482"/>
      <c r="M462" s="497">
        <f>_xll.qlCalendarAdvance(Calendar,M461,"1M","f",,Trigger)</f>
        <v>56233</v>
      </c>
      <c r="N462" s="488">
        <f>_xll.qlCalendarAdvance(Calendar,M462,"3M","mf",,Trigger)</f>
        <v>56324</v>
      </c>
      <c r="O462" s="490" t="str">
        <f>_xll.qlMakeDatedOIS(,M462,N462,OvernightIndex,0,,,,EvaluationDate)</f>
        <v>obj_00712#0001</v>
      </c>
      <c r="P462" s="490" t="b">
        <f>_xll.qlInstrumentSetPricingEngine(O462,OisEngine)</f>
        <v>1</v>
      </c>
      <c r="Q462" s="489">
        <f>_xll.qlIndexFixing("euribor3m",_xll.qlInterestRateIndexFixingDate("Euribor3M",M462),TRUE,AllTriggers)</f>
        <v>2.208362167501832E-2</v>
      </c>
      <c r="R462" s="489">
        <f>_xll.qlOvernightIndexedSwapFairRate(O462,AllTriggers)</f>
        <v>2.2120804377927933E-2</v>
      </c>
      <c r="S462" s="491">
        <f t="shared" si="9"/>
        <v>-3.7182702909612647E-5</v>
      </c>
    </row>
    <row r="463" spans="5:19" ht="11.25" customHeight="1" x14ac:dyDescent="0.2">
      <c r="E463" s="483"/>
      <c r="F463" s="483"/>
      <c r="G463" s="482"/>
      <c r="J463" s="482"/>
      <c r="K463" s="482"/>
      <c r="M463" s="497">
        <f>_xll.qlCalendarAdvance(Calendar,M462,"1M","f",,Trigger)</f>
        <v>56264</v>
      </c>
      <c r="N463" s="488">
        <f>_xll.qlCalendarAdvance(Calendar,M463,"3M","mf",,Trigger)</f>
        <v>56354</v>
      </c>
      <c r="O463" s="490" t="str">
        <f>_xll.qlMakeDatedOIS(,M463,N463,OvernightIndex,0,,,,EvaluationDate)</f>
        <v>obj_00714#0001</v>
      </c>
      <c r="P463" s="490" t="b">
        <f>_xll.qlInstrumentSetPricingEngine(O463,OisEngine)</f>
        <v>1</v>
      </c>
      <c r="Q463" s="489">
        <f>_xll.qlIndexFixing("euribor3m",_xll.qlInterestRateIndexFixingDate("Euribor3M",M463),TRUE,AllTriggers)</f>
        <v>2.206425817495461E-2</v>
      </c>
      <c r="R463" s="489">
        <f>_xll.qlOvernightIndexedSwapFairRate(O463,AllTriggers)</f>
        <v>2.2120126030019449E-2</v>
      </c>
      <c r="S463" s="491">
        <f t="shared" si="9"/>
        <v>-5.5867855064839489E-5</v>
      </c>
    </row>
    <row r="464" spans="5:19" ht="11.25" customHeight="1" x14ac:dyDescent="0.2">
      <c r="E464" s="483"/>
      <c r="F464" s="483"/>
      <c r="G464" s="482"/>
      <c r="J464" s="482"/>
      <c r="K464" s="482"/>
      <c r="M464" s="497">
        <f>_xll.qlCalendarAdvance(Calendar,M463,"1M","f",,Trigger)</f>
        <v>56296</v>
      </c>
      <c r="N464" s="488">
        <f>_xll.qlCalendarAdvance(Calendar,M464,"3M","mf",,Trigger)</f>
        <v>56387</v>
      </c>
      <c r="O464" s="490" t="str">
        <f>_xll.qlMakeDatedOIS(,M464,N464,OvernightIndex,0,,,,EvaluationDate)</f>
        <v>obj_00715#0001</v>
      </c>
      <c r="P464" s="490" t="b">
        <f>_xll.qlInstrumentSetPricingEngine(O464,OisEngine)</f>
        <v>1</v>
      </c>
      <c r="Q464" s="489">
        <f>_xll.qlIndexFixing("euribor3m",_xll.qlInterestRateIndexFixingDate("Euribor3M",M464),TRUE,AllTriggers)</f>
        <v>2.2044650524956577E-2</v>
      </c>
      <c r="R464" s="489">
        <f>_xll.qlOvernightIndexedSwapFairRate(O464,AllTriggers)</f>
        <v>2.2120804377927052E-2</v>
      </c>
      <c r="S464" s="491">
        <f t="shared" si="9"/>
        <v>-7.6153852970474445E-5</v>
      </c>
    </row>
    <row r="465" spans="5:19" ht="11.25" customHeight="1" x14ac:dyDescent="0.2">
      <c r="E465" s="483"/>
      <c r="F465" s="483"/>
      <c r="G465" s="482"/>
      <c r="J465" s="482"/>
      <c r="K465" s="482"/>
      <c r="M465" s="497">
        <f>_xll.qlCalendarAdvance(Calendar,M464,"1M","f",,Trigger)</f>
        <v>56324</v>
      </c>
      <c r="N465" s="488">
        <f>_xll.qlCalendarAdvance(Calendar,M465,"3M","mf",,Trigger)</f>
        <v>56416</v>
      </c>
      <c r="O465" s="490" t="str">
        <f>_xll.qlMakeDatedOIS(,M465,N465,OvernightIndex,0,,,,EvaluationDate)</f>
        <v>obj_00717#0001</v>
      </c>
      <c r="P465" s="490" t="b">
        <f>_xll.qlInstrumentSetPricingEngine(O465,OisEngine)</f>
        <v>1</v>
      </c>
      <c r="Q465" s="489">
        <f>_xll.qlIndexFixing("euribor3m",_xll.qlInterestRateIndexFixingDate("Euribor3M",M465),TRUE,AllTriggers)</f>
        <v>2.2027228302295351E-2</v>
      </c>
      <c r="R465" s="489">
        <f>_xll.qlOvernightIndexedSwapFairRate(O465,AllTriggers)</f>
        <v>2.2121482753558359E-2</v>
      </c>
      <c r="S465" s="491">
        <f t="shared" si="9"/>
        <v>-9.4254451263008077E-5</v>
      </c>
    </row>
    <row r="466" spans="5:19" ht="11.25" customHeight="1" x14ac:dyDescent="0.2">
      <c r="E466" s="483"/>
      <c r="F466" s="483"/>
      <c r="G466" s="482"/>
      <c r="J466" s="482"/>
      <c r="K466" s="482"/>
      <c r="M466" s="497">
        <f>_xll.qlCalendarAdvance(Calendar,M465,"1M","f",,Trigger)</f>
        <v>56355</v>
      </c>
      <c r="N466" s="488">
        <f>_xll.qlCalendarAdvance(Calendar,M466,"3M","mf",,Trigger)</f>
        <v>56446</v>
      </c>
      <c r="O466" s="490" t="str">
        <f>_xll.qlMakeDatedOIS(,M466,N466,OvernightIndex,0,,,,EvaluationDate)</f>
        <v>obj_00718#0001</v>
      </c>
      <c r="P466" s="490" t="b">
        <f>_xll.qlInstrumentSetPricingEngine(O466,OisEngine)</f>
        <v>1</v>
      </c>
      <c r="Q466" s="489">
        <f>_xll.qlIndexFixing("euribor3m",_xll.qlInterestRateIndexFixingDate("Euribor3M",M466),TRUE,AllTriggers)</f>
        <v>2.2006877614998897E-2</v>
      </c>
      <c r="R466" s="489">
        <f>_xll.qlOvernightIndexedSwapFairRate(O466,AllTriggers)</f>
        <v>2.2120804377926174E-2</v>
      </c>
      <c r="S466" s="491">
        <f t="shared" si="9"/>
        <v>-1.1392676292727721E-4</v>
      </c>
    </row>
    <row r="467" spans="5:19" ht="11.25" customHeight="1" x14ac:dyDescent="0.2">
      <c r="E467" s="483"/>
      <c r="F467" s="483"/>
      <c r="G467" s="482"/>
      <c r="J467" s="482"/>
      <c r="K467" s="482"/>
      <c r="M467" s="497">
        <f>_xll.qlCalendarAdvance(Calendar,M466,"1M","f",,Trigger)</f>
        <v>56387</v>
      </c>
      <c r="N467" s="488">
        <f>_xll.qlCalendarAdvance(Calendar,M467,"3M","mf",,Trigger)</f>
        <v>56479</v>
      </c>
      <c r="O467" s="490" t="str">
        <f>_xll.qlMakeDatedOIS(,M467,N467,OvernightIndex,0,,,,EvaluationDate)</f>
        <v>obj_0071a#0001</v>
      </c>
      <c r="P467" s="490" t="b">
        <f>_xll.qlInstrumentSetPricingEngine(O467,OisEngine)</f>
        <v>1</v>
      </c>
      <c r="Q467" s="489">
        <f>_xll.qlIndexFixing("euribor3m",_xll.qlInterestRateIndexFixingDate("Euribor3M",M467),TRUE,AllTriggers)</f>
        <v>2.1986210714541203E-2</v>
      </c>
      <c r="R467" s="489">
        <f>_xll.qlOvernightIndexedSwapFairRate(O467,AllTriggers)</f>
        <v>2.2121482753559227E-2</v>
      </c>
      <c r="S467" s="491">
        <f t="shared" si="9"/>
        <v>-1.352720390180237E-4</v>
      </c>
    </row>
    <row r="468" spans="5:19" ht="11.25" customHeight="1" x14ac:dyDescent="0.2">
      <c r="E468" s="483"/>
      <c r="F468" s="483"/>
      <c r="G468" s="482"/>
      <c r="J468" s="482"/>
      <c r="K468" s="482"/>
      <c r="M468" s="497">
        <f>_xll.qlCalendarAdvance(Calendar,M467,"1M","f",,Trigger)</f>
        <v>56418</v>
      </c>
      <c r="N468" s="488">
        <f>_xll.qlCalendarAdvance(Calendar,M468,"3M","mf",,Trigger)</f>
        <v>56510</v>
      </c>
      <c r="O468" s="490" t="str">
        <f>_xll.qlMakeDatedOIS(,M468,N468,OvernightIndex,0,,,,EvaluationDate)</f>
        <v>obj_0071b#0001</v>
      </c>
      <c r="P468" s="490" t="b">
        <f>_xll.qlInstrumentSetPricingEngine(O468,OisEngine)</f>
        <v>1</v>
      </c>
      <c r="Q468" s="489">
        <f>_xll.qlIndexFixing("euribor3m",_xll.qlInterestRateIndexFixingDate("Euribor3M",M468),TRUE,AllTriggers)</f>
        <v>2.1965511343285903E-2</v>
      </c>
      <c r="R468" s="489">
        <f>_xll.qlOvernightIndexedSwapFairRate(O468,AllTriggers)</f>
        <v>2.2022378148951183E-2</v>
      </c>
      <c r="S468" s="491">
        <f t="shared" si="9"/>
        <v>-5.6866805665280185E-5</v>
      </c>
    </row>
    <row r="469" spans="5:19" ht="11.25" customHeight="1" x14ac:dyDescent="0.2">
      <c r="E469" s="483"/>
      <c r="F469" s="483"/>
      <c r="G469" s="482"/>
      <c r="J469" s="482"/>
      <c r="K469" s="482"/>
      <c r="M469" s="497">
        <f>_xll.qlCalendarAdvance(Calendar,M468,"1M","f",,Trigger)</f>
        <v>56450</v>
      </c>
      <c r="N469" s="488">
        <f>_xll.qlCalendarAdvance(Calendar,M469,"3M","mf",,Trigger)</f>
        <v>56542</v>
      </c>
      <c r="O469" s="490" t="str">
        <f>_xll.qlMakeDatedOIS(,M469,N469,OvernightIndex,0,,,,EvaluationDate)</f>
        <v>obj_0071d#0001</v>
      </c>
      <c r="P469" s="490" t="b">
        <f>_xll.qlInstrumentSetPricingEngine(O469,OisEngine)</f>
        <v>1</v>
      </c>
      <c r="Q469" s="489">
        <f>_xll.qlIndexFixing("euribor3m",_xll.qlInterestRateIndexFixingDate("Euribor3M",M469),TRUE,AllTriggers)</f>
        <v>2.1943849849086677E-2</v>
      </c>
      <c r="R469" s="489">
        <f>_xll.qlOvernightIndexedSwapFairRate(O469,AllTriggers)</f>
        <v>2.1625984688750148E-2</v>
      </c>
      <c r="S469" s="491">
        <f t="shared" si="9"/>
        <v>3.1786516033652928E-4</v>
      </c>
    </row>
    <row r="470" spans="5:19" ht="11.25" customHeight="1" x14ac:dyDescent="0.2">
      <c r="E470" s="483"/>
      <c r="F470" s="483"/>
      <c r="G470" s="482"/>
      <c r="J470" s="482"/>
      <c r="K470" s="482"/>
      <c r="M470" s="497">
        <f>_xll.qlCalendarAdvance(Calendar,M469,"1M","f",,Trigger)</f>
        <v>56481</v>
      </c>
      <c r="N470" s="488">
        <f>_xll.qlCalendarAdvance(Calendar,M470,"3M","mf",,Trigger)</f>
        <v>56573</v>
      </c>
      <c r="O470" s="490" t="str">
        <f>_xll.qlMakeDatedOIS(,M470,N470,OvernightIndex,0,,,,EvaluationDate)</f>
        <v>obj_0071e#0001</v>
      </c>
      <c r="P470" s="490" t="b">
        <f>_xll.qlInstrumentSetPricingEngine(O470,OisEngine)</f>
        <v>1</v>
      </c>
      <c r="Q470" s="489">
        <f>_xll.qlIndexFixing("euribor3m",_xll.qlInterestRateIndexFixingDate("Euribor3M",M470),TRUE,AllTriggers)</f>
        <v>2.1922751631327727E-2</v>
      </c>
      <c r="R470" s="489">
        <f>_xll.qlOvernightIndexedSwapFairRate(O470,AllTriggers)</f>
        <v>2.1242016602144358E-2</v>
      </c>
      <c r="S470" s="491">
        <f t="shared" si="9"/>
        <v>6.8073502918336928E-4</v>
      </c>
    </row>
    <row r="471" spans="5:19" ht="11.25" customHeight="1" x14ac:dyDescent="0.2">
      <c r="E471" s="483"/>
      <c r="F471" s="483"/>
      <c r="G471" s="482"/>
      <c r="J471" s="482"/>
      <c r="K471" s="482"/>
      <c r="M471" s="497">
        <f>_xll.qlCalendarAdvance(Calendar,M470,"1M","f",,Trigger)</f>
        <v>56513</v>
      </c>
      <c r="N471" s="488">
        <f>_xll.qlCalendarAdvance(Calendar,M471,"3M","mf",,Trigger)</f>
        <v>56604</v>
      </c>
      <c r="O471" s="490" t="str">
        <f>_xll.qlMakeDatedOIS(,M471,N471,OvernightIndex,0,,,,EvaluationDate)</f>
        <v>obj_00720#0001</v>
      </c>
      <c r="P471" s="490" t="b">
        <f>_xll.qlInstrumentSetPricingEngine(O471,OisEngine)</f>
        <v>1</v>
      </c>
      <c r="Q471" s="489">
        <f>_xll.qlIndexFixing("euribor3m",_xll.qlInterestRateIndexFixingDate("Euribor3M",M471),TRUE,AllTriggers)</f>
        <v>2.1900717131186812E-2</v>
      </c>
      <c r="R471" s="489">
        <f>_xll.qlOvernightIndexedSwapFairRate(O471,AllTriggers)</f>
        <v>2.0981320133046193E-2</v>
      </c>
      <c r="S471" s="491">
        <f t="shared" si="9"/>
        <v>9.1939699814061818E-4</v>
      </c>
    </row>
    <row r="472" spans="5:19" ht="11.25" customHeight="1" x14ac:dyDescent="0.2">
      <c r="E472" s="483"/>
      <c r="F472" s="483"/>
      <c r="G472" s="482"/>
      <c r="J472" s="482"/>
      <c r="K472" s="482"/>
      <c r="M472" s="497">
        <f>_xll.qlCalendarAdvance(Calendar,M471,"1M","f",,Trigger)</f>
        <v>56543</v>
      </c>
      <c r="N472" s="488">
        <f>_xll.qlCalendarAdvance(Calendar,M472,"3M","mf",,Trigger)</f>
        <v>56635</v>
      </c>
      <c r="O472" s="490" t="str">
        <f>_xll.qlMakeDatedOIS(,M472,N472,OvernightIndex,0,,,,EvaluationDate)</f>
        <v>obj_00722#0001</v>
      </c>
      <c r="P472" s="490" t="b">
        <f>_xll.qlInstrumentSetPricingEngine(O472,OisEngine)</f>
        <v>1</v>
      </c>
      <c r="Q472" s="489">
        <f>_xll.qlIndexFixing("euribor3m",_xll.qlInterestRateIndexFixingDate("Euribor3M",M472),TRUE,AllTriggers)</f>
        <v>2.1880872019637867E-2</v>
      </c>
      <c r="R472" s="489">
        <f>_xll.qlOvernightIndexedSwapFairRate(O472,AllTriggers)</f>
        <v>2.0981930477665368E-2</v>
      </c>
      <c r="S472" s="491">
        <f t="shared" si="9"/>
        <v>8.9894154197249845E-4</v>
      </c>
    </row>
    <row r="473" spans="5:19" ht="11.25" customHeight="1" x14ac:dyDescent="0.2">
      <c r="E473" s="483"/>
      <c r="F473" s="483"/>
      <c r="G473" s="482"/>
      <c r="J473" s="482"/>
      <c r="K473" s="482"/>
      <c r="M473" s="497">
        <f>_xll.qlCalendarAdvance(Calendar,M472,"1M","f",,Trigger)</f>
        <v>56576</v>
      </c>
      <c r="N473" s="488">
        <f>_xll.qlCalendarAdvance(Calendar,M473,"3M","mf",,Trigger)</f>
        <v>56668</v>
      </c>
      <c r="O473" s="490" t="str">
        <f>_xll.qlMakeDatedOIS(,M473,N473,OvernightIndex,0,,,,EvaluationDate)</f>
        <v>obj_00724#0001</v>
      </c>
      <c r="P473" s="490" t="b">
        <f>_xll.qlInstrumentSetPricingEngine(O473,OisEngine)</f>
        <v>1</v>
      </c>
      <c r="Q473" s="489">
        <f>_xll.qlIndexFixing("euribor3m",_xll.qlInterestRateIndexFixingDate("Euribor3M",M473),TRUE,AllTriggers)</f>
        <v>2.1858886480354833E-2</v>
      </c>
      <c r="R473" s="489">
        <f>_xll.qlOvernightIndexedSwapFairRate(O473,AllTriggers)</f>
        <v>2.0981930477665372E-2</v>
      </c>
      <c r="S473" s="491">
        <f t="shared" si="9"/>
        <v>8.7695600268946142E-4</v>
      </c>
    </row>
    <row r="474" spans="5:19" ht="11.25" customHeight="1" x14ac:dyDescent="0.2">
      <c r="E474" s="483"/>
      <c r="F474" s="483"/>
      <c r="G474" s="482"/>
      <c r="J474" s="482"/>
      <c r="K474" s="482"/>
      <c r="M474" s="497">
        <f>_xll.qlCalendarAdvance(Calendar,M473,"1M","f",,Trigger)</f>
        <v>56606</v>
      </c>
      <c r="N474" s="488">
        <f>_xll.qlCalendarAdvance(Calendar,M474,"3M","mf",,Trigger)</f>
        <v>56696</v>
      </c>
      <c r="O474" s="490" t="str">
        <f>_xll.qlMakeDatedOIS(,M474,N474,OvernightIndex,0,,,,EvaluationDate)</f>
        <v>obj_00725#0001</v>
      </c>
      <c r="P474" s="490" t="b">
        <f>_xll.qlInstrumentSetPricingEngine(O474,OisEngine)</f>
        <v>1</v>
      </c>
      <c r="Q474" s="489">
        <f>_xll.qlIndexFixing("euribor3m",_xll.qlInterestRateIndexFixingDate("Euribor3M",M474),TRUE,AllTriggers)</f>
        <v>2.1838418316401764E-2</v>
      </c>
      <c r="R474" s="489">
        <f>_xll.qlOvernightIndexedSwapFairRate(O474,AllTriggers)</f>
        <v>2.0980709812087994E-2</v>
      </c>
      <c r="S474" s="491">
        <f t="shared" si="9"/>
        <v>8.5770850431376999E-4</v>
      </c>
    </row>
    <row r="475" spans="5:19" ht="11.25" customHeight="1" x14ac:dyDescent="0.2">
      <c r="E475" s="483"/>
      <c r="F475" s="483"/>
      <c r="G475" s="482"/>
      <c r="J475" s="482"/>
      <c r="K475" s="482"/>
      <c r="M475" s="497">
        <f>_xll.qlCalendarAdvance(Calendar,M474,"1M","f",,Trigger)</f>
        <v>56639</v>
      </c>
      <c r="N475" s="488">
        <f>_xll.qlCalendarAdvance(Calendar,M475,"3M","mf",,Trigger)</f>
        <v>56730</v>
      </c>
      <c r="O475" s="490" t="str">
        <f>_xll.qlMakeDatedOIS(,M475,N475,OvernightIndex,0,,,,EvaluationDate)</f>
        <v>obj_00727#0001</v>
      </c>
      <c r="P475" s="490" t="b">
        <f>_xll.qlInstrumentSetPricingEngine(O475,OisEngine)</f>
        <v>1</v>
      </c>
      <c r="Q475" s="489">
        <f>_xll.qlIndexFixing("euribor3m",_xll.qlInterestRateIndexFixingDate("Euribor3M",M475),TRUE,AllTriggers)</f>
        <v>2.1817176286723115E-2</v>
      </c>
      <c r="R475" s="489">
        <f>_xll.qlOvernightIndexedSwapFairRate(O475,AllTriggers)</f>
        <v>2.0981320133045312E-2</v>
      </c>
      <c r="S475" s="491">
        <f t="shared" si="9"/>
        <v>8.3585615367780253E-4</v>
      </c>
    </row>
    <row r="476" spans="5:19" ht="11.25" customHeight="1" x14ac:dyDescent="0.2">
      <c r="E476" s="483"/>
      <c r="F476" s="483"/>
      <c r="G476" s="482"/>
      <c r="J476" s="482"/>
      <c r="K476" s="482"/>
      <c r="M476" s="497">
        <f>_xll.qlCalendarAdvance(Calendar,M475,"1M","f",,Trigger)</f>
        <v>56670</v>
      </c>
      <c r="N476" s="488">
        <f>_xll.qlCalendarAdvance(Calendar,M476,"3M","mf",,Trigger)</f>
        <v>56759</v>
      </c>
      <c r="O476" s="490" t="str">
        <f>_xll.qlMakeDatedOIS(,M476,N476,OvernightIndex,0,,,,EvaluationDate)</f>
        <v>obj_00729#0001</v>
      </c>
      <c r="P476" s="490" t="b">
        <f>_xll.qlInstrumentSetPricingEngine(O476,OisEngine)</f>
        <v>1</v>
      </c>
      <c r="Q476" s="489">
        <f>_xll.qlIndexFixing("euribor3m",_xll.qlInterestRateIndexFixingDate("Euribor3M",M476),TRUE,AllTriggers)</f>
        <v>2.1796428234349123E-2</v>
      </c>
      <c r="R476" s="489">
        <f>_xll.qlOvernightIndexedSwapFairRate(O476,AllTriggers)</f>
        <v>2.0980099514791666E-2</v>
      </c>
      <c r="S476" s="491">
        <f t="shared" si="9"/>
        <v>8.1632871955745687E-4</v>
      </c>
    </row>
    <row r="477" spans="5:19" ht="11.25" customHeight="1" x14ac:dyDescent="0.2">
      <c r="E477" s="483"/>
      <c r="F477" s="483"/>
      <c r="G477" s="482"/>
      <c r="J477" s="482"/>
      <c r="K477" s="482"/>
      <c r="M477" s="497">
        <f>_xll.qlCalendarAdvance(Calendar,M476,"1M","f",,Trigger)</f>
        <v>56698</v>
      </c>
      <c r="N477" s="488">
        <f>_xll.qlCalendarAdvance(Calendar,M477,"3M","mf",,Trigger)</f>
        <v>56790</v>
      </c>
      <c r="O477" s="490" t="str">
        <f>_xll.qlMakeDatedOIS(,M477,N477,OvernightIndex,0,,,,EvaluationDate)</f>
        <v>obj_0072b#0001</v>
      </c>
      <c r="P477" s="490" t="b">
        <f>_xll.qlInstrumentSetPricingEngine(O477,OisEngine)</f>
        <v>1</v>
      </c>
      <c r="Q477" s="489">
        <f>_xll.qlIndexFixing("euribor3m",_xll.qlInterestRateIndexFixingDate("Euribor3M",M477),TRUE,AllTriggers)</f>
        <v>2.1779477362392739E-2</v>
      </c>
      <c r="R477" s="489">
        <f>_xll.qlOvernightIndexedSwapFairRate(O477,AllTriggers)</f>
        <v>2.0981930477664498E-2</v>
      </c>
      <c r="S477" s="491">
        <f t="shared" si="9"/>
        <v>7.9754688472824173E-4</v>
      </c>
    </row>
    <row r="478" spans="5:19" ht="11.25" customHeight="1" x14ac:dyDescent="0.2">
      <c r="E478" s="483"/>
      <c r="F478" s="483"/>
      <c r="G478" s="482"/>
      <c r="J478" s="482"/>
      <c r="K478" s="482"/>
      <c r="M478" s="497">
        <f>_xll.qlCalendarAdvance(Calendar,M477,"1M","f",,Trigger)</f>
        <v>56730</v>
      </c>
      <c r="N478" s="488">
        <f>_xll.qlCalendarAdvance(Calendar,M478,"3M","mf",,Trigger)</f>
        <v>56821</v>
      </c>
      <c r="O478" s="490" t="str">
        <f>_xll.qlMakeDatedOIS(,M478,N478,OvernightIndex,0,,,,EvaluationDate)</f>
        <v>obj_0072c#0001</v>
      </c>
      <c r="P478" s="490" t="b">
        <f>_xll.qlInstrumentSetPricingEngine(O478,OisEngine)</f>
        <v>1</v>
      </c>
      <c r="Q478" s="489">
        <f>_xll.qlIndexFixing("euribor3m",_xll.qlInterestRateIndexFixingDate("Euribor3M",M478),TRUE,AllTriggers)</f>
        <v>2.175879464057532E-2</v>
      </c>
      <c r="R478" s="489">
        <f>_xll.qlOvernightIndexedSwapFairRate(O478,AllTriggers)</f>
        <v>2.0981320133046193E-2</v>
      </c>
      <c r="S478" s="491">
        <f t="shared" si="9"/>
        <v>7.7747450752912659E-4</v>
      </c>
    </row>
    <row r="479" spans="5:19" ht="11.25" customHeight="1" x14ac:dyDescent="0.2">
      <c r="E479" s="483"/>
      <c r="F479" s="483"/>
      <c r="G479" s="482"/>
      <c r="J479" s="482"/>
      <c r="K479" s="482"/>
      <c r="M479" s="497">
        <f>_xll.qlCalendarAdvance(Calendar,M478,"1M","f",,Trigger)</f>
        <v>56760</v>
      </c>
      <c r="N479" s="488">
        <f>_xll.qlCalendarAdvance(Calendar,M479,"3M","mf",,Trigger)</f>
        <v>56852</v>
      </c>
      <c r="O479" s="490" t="str">
        <f>_xll.qlMakeDatedOIS(,M479,N479,OvernightIndex,0,,,,EvaluationDate)</f>
        <v>obj_0072e#0001</v>
      </c>
      <c r="P479" s="490" t="b">
        <f>_xll.qlInstrumentSetPricingEngine(O479,OisEngine)</f>
        <v>1</v>
      </c>
      <c r="Q479" s="489">
        <f>_xll.qlIndexFixing("euribor3m",_xll.qlInterestRateIndexFixingDate("Euribor3M",M479),TRUE,AllTriggers)</f>
        <v>2.1740250454944366E-2</v>
      </c>
      <c r="R479" s="489">
        <f>_xll.qlOvernightIndexedSwapFairRate(O479,AllTriggers)</f>
        <v>2.0981930477664501E-2</v>
      </c>
      <c r="S479" s="491">
        <f t="shared" si="9"/>
        <v>7.5831997727986503E-4</v>
      </c>
    </row>
    <row r="480" spans="5:19" ht="11.25" customHeight="1" x14ac:dyDescent="0.2">
      <c r="E480" s="483"/>
      <c r="F480" s="483"/>
      <c r="G480" s="482"/>
      <c r="J480" s="482"/>
      <c r="K480" s="482"/>
      <c r="M480" s="497">
        <f>_xll.qlCalendarAdvance(Calendar,M479,"1M","f",,Trigger)</f>
        <v>56793</v>
      </c>
      <c r="N480" s="488">
        <f>_xll.qlCalendarAdvance(Calendar,M480,"3M","mf",,Trigger)</f>
        <v>56885</v>
      </c>
      <c r="O480" s="490" t="str">
        <f>_xll.qlMakeDatedOIS(,M480,N480,OvernightIndex,0,,,,EvaluationDate)</f>
        <v>obj_00730#0001</v>
      </c>
      <c r="P480" s="490" t="b">
        <f>_xll.qlInstrumentSetPricingEngine(O480,OisEngine)</f>
        <v>1</v>
      </c>
      <c r="Q480" s="489">
        <f>_xll.qlIndexFixing("euribor3m",_xll.qlInterestRateIndexFixingDate("Euribor3M",M480),TRUE,AllTriggers)</f>
        <v>2.1719681738714993E-2</v>
      </c>
      <c r="R480" s="489">
        <f>_xll.qlOvernightIndexedSwapFairRate(O480,AllTriggers)</f>
        <v>2.0981930477664498E-2</v>
      </c>
      <c r="S480" s="491">
        <f t="shared" si="9"/>
        <v>7.3775126105049549E-4</v>
      </c>
    </row>
    <row r="481" spans="5:19" ht="11.25" customHeight="1" x14ac:dyDescent="0.2">
      <c r="E481" s="483"/>
      <c r="F481" s="483"/>
      <c r="G481" s="482"/>
      <c r="J481" s="482"/>
      <c r="K481" s="482"/>
      <c r="M481" s="497">
        <f>_xll.qlCalendarAdvance(Calendar,M480,"1M","f",,Trigger)</f>
        <v>56823</v>
      </c>
      <c r="N481" s="488">
        <f>_xll.qlCalendarAdvance(Calendar,M481,"3M","mf",,Trigger)</f>
        <v>56915</v>
      </c>
      <c r="O481" s="490" t="str">
        <f>_xll.qlMakeDatedOIS(,M481,N481,OvernightIndex,0,,,,EvaluationDate)</f>
        <v>obj_00731#0001</v>
      </c>
      <c r="P481" s="490" t="b">
        <f>_xll.qlInstrumentSetPricingEngine(O481,OisEngine)</f>
        <v>1</v>
      </c>
      <c r="Q481" s="489">
        <f>_xll.qlIndexFixing("euribor3m",_xll.qlInterestRateIndexFixingDate("Euribor3M",M481),TRUE,AllTriggers)</f>
        <v>2.1701169865330362E-2</v>
      </c>
      <c r="R481" s="489">
        <f>_xll.qlOvernightIndexedSwapFairRate(O481,AllTriggers)</f>
        <v>2.0981930477665372E-2</v>
      </c>
      <c r="S481" s="491">
        <f t="shared" si="9"/>
        <v>7.1923938766499038E-4</v>
      </c>
    </row>
    <row r="482" spans="5:19" ht="11.25" customHeight="1" x14ac:dyDescent="0.2">
      <c r="E482" s="483"/>
      <c r="F482" s="483"/>
      <c r="G482" s="482"/>
      <c r="J482" s="482"/>
      <c r="K482" s="482"/>
      <c r="M482" s="497">
        <f>_xll.qlCalendarAdvance(Calendar,M481,"1M","f",,Trigger)</f>
        <v>56856</v>
      </c>
      <c r="N482" s="488">
        <f>_xll.qlCalendarAdvance(Calendar,M482,"3M","mf",,Trigger)</f>
        <v>56948</v>
      </c>
      <c r="O482" s="490" t="str">
        <f>_xll.qlMakeDatedOIS(,M482,N482,OvernightIndex,0,,,,EvaluationDate)</f>
        <v>obj_00733#0001</v>
      </c>
      <c r="P482" s="490" t="b">
        <f>_xll.qlInstrumentSetPricingEngine(O482,OisEngine)</f>
        <v>1</v>
      </c>
      <c r="Q482" s="489">
        <f>_xll.qlIndexFixing("euribor3m",_xll.qlInterestRateIndexFixingDate("Euribor3M",M482),TRUE,AllTriggers)</f>
        <v>2.1681012457023495E-2</v>
      </c>
      <c r="R482" s="489">
        <f>_xll.qlOvernightIndexedSwapFairRate(O482,AllTriggers)</f>
        <v>2.0981930477664498E-2</v>
      </c>
      <c r="S482" s="491">
        <f t="shared" si="9"/>
        <v>6.9908197935899738E-4</v>
      </c>
    </row>
    <row r="483" spans="5:19" ht="11.25" customHeight="1" x14ac:dyDescent="0.2">
      <c r="E483" s="483"/>
      <c r="F483" s="483"/>
      <c r="G483" s="482"/>
      <c r="J483" s="482"/>
      <c r="K483" s="482"/>
      <c r="M483" s="497">
        <f>_xll.qlCalendarAdvance(Calendar,M482,"1M","f",,Trigger)</f>
        <v>56887</v>
      </c>
      <c r="N483" s="488">
        <f>_xll.qlCalendarAdvance(Calendar,M483,"3M","mf",,Trigger)</f>
        <v>56978</v>
      </c>
      <c r="O483" s="490" t="str">
        <f>_xll.qlMakeDatedOIS(,M483,N483,OvernightIndex,0,,,,EvaluationDate)</f>
        <v>obj_00735#0001</v>
      </c>
      <c r="P483" s="490" t="b">
        <f>_xll.qlInstrumentSetPricingEngine(O483,OisEngine)</f>
        <v>1</v>
      </c>
      <c r="Q483" s="489">
        <f>_xll.qlIndexFixing("euribor3m",_xll.qlInterestRateIndexFixingDate("Euribor3M",M483),TRUE,AllTriggers)</f>
        <v>2.1662272962081609E-2</v>
      </c>
      <c r="R483" s="489">
        <f>_xll.qlOvernightIndexedSwapFairRate(O483,AllTriggers)</f>
        <v>2.0981320133045316E-2</v>
      </c>
      <c r="S483" s="491">
        <f t="shared" si="9"/>
        <v>6.8095282903629303E-4</v>
      </c>
    </row>
    <row r="484" spans="5:19" ht="11.25" customHeight="1" x14ac:dyDescent="0.2">
      <c r="E484" s="483"/>
      <c r="F484" s="483"/>
      <c r="G484" s="482"/>
      <c r="J484" s="482"/>
      <c r="K484" s="482"/>
      <c r="M484" s="497">
        <f>_xll.qlCalendarAdvance(Calendar,M483,"1M","f",,Trigger)</f>
        <v>56919</v>
      </c>
      <c r="N484" s="488">
        <f>_xll.qlCalendarAdvance(Calendar,M484,"3M","mf",,Trigger)</f>
        <v>57011</v>
      </c>
      <c r="O484" s="490" t="str">
        <f>_xll.qlMakeDatedOIS(,M484,N484,OvernightIndex,0,,,,EvaluationDate)</f>
        <v>obj_00737#0001</v>
      </c>
      <c r="P484" s="490" t="b">
        <f>_xll.qlInstrumentSetPricingEngine(O484,OisEngine)</f>
        <v>1</v>
      </c>
      <c r="Q484" s="489">
        <f>_xll.qlIndexFixing("euribor3m",_xll.qlInterestRateIndexFixingDate("Euribor3M",M484),TRUE,AllTriggers)</f>
        <v>2.1643128381973444E-2</v>
      </c>
      <c r="R484" s="489">
        <f>_xll.qlOvernightIndexedSwapFairRate(O484,AllTriggers)</f>
        <v>2.0981930477664494E-2</v>
      </c>
      <c r="S484" s="491">
        <f t="shared" si="9"/>
        <v>6.6119790430894942E-4</v>
      </c>
    </row>
    <row r="485" spans="5:19" ht="11.25" customHeight="1" x14ac:dyDescent="0.2">
      <c r="E485" s="483"/>
      <c r="F485" s="483"/>
      <c r="G485" s="482"/>
      <c r="J485" s="482"/>
      <c r="K485" s="482"/>
      <c r="M485" s="497">
        <f>_xll.qlCalendarAdvance(Calendar,M484,"1M","f",,Trigger)</f>
        <v>56949</v>
      </c>
      <c r="N485" s="488">
        <f>_xll.qlCalendarAdvance(Calendar,M485,"3M","mf",,Trigger)</f>
        <v>57040</v>
      </c>
      <c r="O485" s="490" t="str">
        <f>_xll.qlMakeDatedOIS(,M485,N485,OvernightIndex,0,,,,EvaluationDate)</f>
        <v>obj_00739#0001</v>
      </c>
      <c r="P485" s="490" t="b">
        <f>_xll.qlInstrumentSetPricingEngine(O485,OisEngine)</f>
        <v>1</v>
      </c>
      <c r="Q485" s="489">
        <f>_xll.qlIndexFixing("euribor3m",_xll.qlInterestRateIndexFixingDate("Euribor3M",M485),TRUE,AllTriggers)</f>
        <v>2.162500908615065E-2</v>
      </c>
      <c r="R485" s="489">
        <f>_xll.qlOvernightIndexedSwapFairRate(O485,AllTriggers)</f>
        <v>2.0981320133045312E-2</v>
      </c>
      <c r="S485" s="491">
        <f t="shared" si="9"/>
        <v>6.4368895310533761E-4</v>
      </c>
    </row>
    <row r="486" spans="5:19" ht="11.25" customHeight="1" x14ac:dyDescent="0.2">
      <c r="E486" s="483"/>
      <c r="F486" s="483"/>
      <c r="G486" s="482"/>
      <c r="J486" s="482"/>
      <c r="K486" s="482"/>
      <c r="M486" s="497">
        <f>_xll.qlCalendarAdvance(Calendar,M485,"1M","f",,Trigger)</f>
        <v>56982</v>
      </c>
      <c r="N486" s="488">
        <f>_xll.qlCalendarAdvance(Calendar,M486,"3M","mf",,Trigger)</f>
        <v>57074</v>
      </c>
      <c r="O486" s="490" t="str">
        <f>_xll.qlMakeDatedOIS(,M486,N486,OvernightIndex,0,,,,EvaluationDate)</f>
        <v>obj_0073b#0001</v>
      </c>
      <c r="P486" s="490" t="b">
        <f>_xll.qlInstrumentSetPricingEngine(O486,OisEngine)</f>
        <v>1</v>
      </c>
      <c r="Q486" s="489">
        <f>_xll.qlIndexFixing("euribor3m",_xll.qlInterestRateIndexFixingDate("Euribor3M",M486),TRUE,AllTriggers)</f>
        <v>2.1606029490892537E-2</v>
      </c>
      <c r="R486" s="489">
        <f>_xll.qlOvernightIndexedSwapFairRate(O486,AllTriggers)</f>
        <v>2.0981930477664498E-2</v>
      </c>
      <c r="S486" s="491">
        <f t="shared" si="9"/>
        <v>6.2409901322803968E-4</v>
      </c>
    </row>
    <row r="487" spans="5:19" ht="11.25" customHeight="1" x14ac:dyDescent="0.2">
      <c r="E487" s="483"/>
      <c r="F487" s="483"/>
      <c r="G487" s="482"/>
      <c r="J487" s="482"/>
      <c r="K487" s="482"/>
      <c r="M487" s="497">
        <f>_xll.qlCalendarAdvance(Calendar,M486,"1M","f",,Trigger)</f>
        <v>57013</v>
      </c>
      <c r="N487" s="488">
        <f>_xll.qlCalendarAdvance(Calendar,M487,"3M","mf",,Trigger)</f>
        <v>57103</v>
      </c>
      <c r="O487" s="490" t="str">
        <f>_xll.qlMakeDatedOIS(,M487,N487,OvernightIndex,0,,,,EvaluationDate)</f>
        <v>obj_0073d#0001</v>
      </c>
      <c r="P487" s="490" t="b">
        <f>_xll.qlInstrumentSetPricingEngine(O487,OisEngine)</f>
        <v>1</v>
      </c>
      <c r="Q487" s="489">
        <f>_xll.qlIndexFixing("euribor3m",_xll.qlInterestRateIndexFixingDate("Euribor3M",M487),TRUE,AllTriggers)</f>
        <v>2.1587344107669715E-2</v>
      </c>
      <c r="R487" s="489">
        <f>_xll.qlOvernightIndexedSwapFairRate(O487,AllTriggers)</f>
        <v>2.0980709812088879E-2</v>
      </c>
      <c r="S487" s="491">
        <f t="shared" si="9"/>
        <v>6.0663429558083584E-4</v>
      </c>
    </row>
    <row r="488" spans="5:19" ht="11.25" customHeight="1" x14ac:dyDescent="0.2">
      <c r="E488" s="483"/>
      <c r="F488" s="483"/>
      <c r="G488" s="482"/>
      <c r="J488" s="482"/>
      <c r="K488" s="482"/>
      <c r="M488" s="497">
        <f>_xll.qlCalendarAdvance(Calendar,M487,"1M","f",,Trigger)</f>
        <v>57042</v>
      </c>
      <c r="N488" s="488">
        <f>_xll.qlCalendarAdvance(Calendar,M488,"3M","mf",,Trigger)</f>
        <v>57136</v>
      </c>
      <c r="O488" s="490" t="str">
        <f>_xll.qlMakeDatedOIS(,M488,N488,OvernightIndex,0,,,,EvaluationDate)</f>
        <v>obj_0073e#0001</v>
      </c>
      <c r="P488" s="490" t="b">
        <f>_xll.qlInstrumentSetPricingEngine(O488,OisEngine)</f>
        <v>1</v>
      </c>
      <c r="Q488" s="489">
        <f>_xll.qlIndexFixing("euribor3m",_xll.qlInterestRateIndexFixingDate("Euribor3M",M488),TRUE,AllTriggers)</f>
        <v>2.1572149764713878E-2</v>
      </c>
      <c r="R488" s="489">
        <f>_xll.qlOvernightIndexedSwapFairRate(O488,AllTriggers)</f>
        <v>2.0983151237891757E-2</v>
      </c>
      <c r="S488" s="491">
        <f t="shared" si="9"/>
        <v>5.8899852682212095E-4</v>
      </c>
    </row>
    <row r="489" spans="5:19" ht="11.25" customHeight="1" x14ac:dyDescent="0.2">
      <c r="E489" s="483"/>
      <c r="F489" s="483"/>
      <c r="G489" s="482"/>
      <c r="J489" s="482"/>
      <c r="K489" s="482"/>
      <c r="M489" s="497">
        <f>_xll.qlCalendarAdvance(Calendar,M488,"1M","f",,Trigger)</f>
        <v>57074</v>
      </c>
      <c r="N489" s="488">
        <f>_xll.qlCalendarAdvance(Calendar,M489,"3M","mf",,Trigger)</f>
        <v>57165</v>
      </c>
      <c r="O489" s="490" t="str">
        <f>_xll.qlMakeDatedOIS(,M489,N489,OvernightIndex,0,,,,EvaluationDate)</f>
        <v>obj_0073f#0001</v>
      </c>
      <c r="P489" s="490" t="b">
        <f>_xll.qlInstrumentSetPricingEngine(O489,OisEngine)</f>
        <v>1</v>
      </c>
      <c r="Q489" s="489">
        <f>_xll.qlIndexFixing("euribor3m",_xll.qlInterestRateIndexFixingDate("Euribor3M",M489),TRUE,AllTriggers)</f>
        <v>2.1552900524301154E-2</v>
      </c>
      <c r="R489" s="489">
        <f>_xll.qlOvernightIndexedSwapFairRate(O489,AllTriggers)</f>
        <v>2.0981320133045312E-2</v>
      </c>
      <c r="S489" s="491">
        <f t="shared" si="9"/>
        <v>5.7158039125584231E-4</v>
      </c>
    </row>
    <row r="490" spans="5:19" ht="11.25" customHeight="1" x14ac:dyDescent="0.2">
      <c r="E490" s="483"/>
      <c r="F490" s="483"/>
      <c r="G490" s="482"/>
      <c r="J490" s="482"/>
      <c r="K490" s="482"/>
      <c r="M490" s="497">
        <f>_xll.qlCalendarAdvance(Calendar,M489,"1M","f",,Trigger)</f>
        <v>57104</v>
      </c>
      <c r="N490" s="488">
        <f>_xll.qlCalendarAdvance(Calendar,M490,"3M","mf",,Trigger)</f>
        <v>57196</v>
      </c>
      <c r="O490" s="490" t="str">
        <f>_xll.qlMakeDatedOIS(,M490,N490,OvernightIndex,0,,,,EvaluationDate)</f>
        <v>obj_00741#0001</v>
      </c>
      <c r="P490" s="490" t="b">
        <f>_xll.qlInstrumentSetPricingEngine(O490,OisEngine)</f>
        <v>1</v>
      </c>
      <c r="Q490" s="489">
        <f>_xll.qlIndexFixing("euribor3m",_xll.qlInterestRateIndexFixingDate("Euribor3M",M490),TRUE,AllTriggers)</f>
        <v>2.153641961361542E-2</v>
      </c>
      <c r="R490" s="489">
        <f>_xll.qlOvernightIndexedSwapFairRate(O490,AllTriggers)</f>
        <v>2.0981930477664498E-2</v>
      </c>
      <c r="S490" s="491">
        <f t="shared" si="9"/>
        <v>5.5448913595092242E-4</v>
      </c>
    </row>
    <row r="491" spans="5:19" ht="11.25" customHeight="1" x14ac:dyDescent="0.2">
      <c r="E491" s="483"/>
      <c r="F491" s="483"/>
      <c r="G491" s="482"/>
      <c r="J491" s="482"/>
      <c r="K491" s="482"/>
      <c r="M491" s="497">
        <f>_xll.qlCalendarAdvance(Calendar,M490,"1M","f",,Trigger)</f>
        <v>57136</v>
      </c>
      <c r="N491" s="488">
        <f>_xll.qlCalendarAdvance(Calendar,M491,"3M","mf",,Trigger)</f>
        <v>57228</v>
      </c>
      <c r="O491" s="490" t="str">
        <f>_xll.qlMakeDatedOIS(,M491,N491,OvernightIndex,0,,,,EvaluationDate)</f>
        <v>obj_00743#0001</v>
      </c>
      <c r="P491" s="490" t="b">
        <f>_xll.qlInstrumentSetPricingEngine(O491,OisEngine)</f>
        <v>1</v>
      </c>
      <c r="Q491" s="489">
        <f>_xll.qlIndexFixing("euribor3m",_xll.qlInterestRateIndexFixingDate("Euribor3M",M491),TRUE,AllTriggers)</f>
        <v>2.1518648702847271E-2</v>
      </c>
      <c r="R491" s="489">
        <f>_xll.qlOvernightIndexedSwapFairRate(O491,AllTriggers)</f>
        <v>2.0981930477664498E-2</v>
      </c>
      <c r="S491" s="491">
        <f t="shared" si="9"/>
        <v>5.3671822518277373E-4</v>
      </c>
    </row>
    <row r="492" spans="5:19" ht="11.25" customHeight="1" x14ac:dyDescent="0.2">
      <c r="E492" s="483"/>
      <c r="F492" s="483"/>
      <c r="G492" s="482"/>
      <c r="J492" s="482"/>
      <c r="K492" s="482"/>
      <c r="M492" s="497">
        <f>_xll.qlCalendarAdvance(Calendar,M491,"1M","f",,Trigger)</f>
        <v>57166</v>
      </c>
      <c r="N492" s="488">
        <f>_xll.qlCalendarAdvance(Calendar,M492,"3M","mf",,Trigger)</f>
        <v>57258</v>
      </c>
      <c r="O492" s="490" t="str">
        <f>_xll.qlMakeDatedOIS(,M492,N492,OvernightIndex,0,,,,EvaluationDate)</f>
        <v>obj_00744#0001</v>
      </c>
      <c r="P492" s="490" t="b">
        <f>_xll.qlInstrumentSetPricingEngine(O492,OisEngine)</f>
        <v>1</v>
      </c>
      <c r="Q492" s="489">
        <f>_xll.qlIndexFixing("euribor3m",_xll.qlInterestRateIndexFixingDate("Euribor3M",M492),TRUE,AllTriggers)</f>
        <v>2.1502172437716773E-2</v>
      </c>
      <c r="R492" s="489">
        <f>_xll.qlOvernightIndexedSwapFairRate(O492,AllTriggers)</f>
        <v>2.098193047766363E-2</v>
      </c>
      <c r="S492" s="491">
        <f t="shared" si="9"/>
        <v>5.202419600531423E-4</v>
      </c>
    </row>
    <row r="493" spans="5:19" ht="11.25" customHeight="1" x14ac:dyDescent="0.2">
      <c r="E493" s="483"/>
      <c r="F493" s="483"/>
      <c r="G493" s="482"/>
      <c r="J493" s="482"/>
      <c r="K493" s="482"/>
      <c r="M493" s="497">
        <f>_xll.qlCalendarAdvance(Calendar,M492,"1M","f",,Trigger)</f>
        <v>57199</v>
      </c>
      <c r="N493" s="488">
        <f>_xll.qlCalendarAdvance(Calendar,M493,"3M","mf",,Trigger)</f>
        <v>57291</v>
      </c>
      <c r="O493" s="490" t="str">
        <f>_xll.qlMakeDatedOIS(,M493,N493,OvernightIndex,0,,,,EvaluationDate)</f>
        <v>obj_00745#0001</v>
      </c>
      <c r="P493" s="490" t="b">
        <f>_xll.qlInstrumentSetPricingEngine(O493,OisEngine)</f>
        <v>1</v>
      </c>
      <c r="Q493" s="489">
        <f>_xll.qlIndexFixing("euribor3m",_xll.qlInterestRateIndexFixingDate("Euribor3M",M493),TRUE,AllTriggers)</f>
        <v>2.1484254167305001E-2</v>
      </c>
      <c r="R493" s="489">
        <f>_xll.qlOvernightIndexedSwapFairRate(O493,AllTriggers)</f>
        <v>2.0981930477664501E-2</v>
      </c>
      <c r="S493" s="491">
        <f t="shared" si="9"/>
        <v>5.0232368964049992E-4</v>
      </c>
    </row>
    <row r="494" spans="5:19" ht="11.25" customHeight="1" x14ac:dyDescent="0.2">
      <c r="E494" s="483"/>
      <c r="F494" s="483"/>
      <c r="G494" s="482"/>
      <c r="J494" s="482"/>
      <c r="K494" s="482"/>
      <c r="M494" s="497">
        <f>_xll.qlCalendarAdvance(Calendar,M493,"1M","f",,Trigger)</f>
        <v>57230</v>
      </c>
      <c r="N494" s="488">
        <f>_xll.qlCalendarAdvance(Calendar,M494,"3M","mf",,Trigger)</f>
        <v>57321</v>
      </c>
      <c r="O494" s="490" t="str">
        <f>_xll.qlMakeDatedOIS(,M494,N494,OvernightIndex,0,,,,EvaluationDate)</f>
        <v>obj_00747#0001</v>
      </c>
      <c r="P494" s="490" t="b">
        <f>_xll.qlInstrumentSetPricingEngine(O494,OisEngine)</f>
        <v>1</v>
      </c>
      <c r="Q494" s="489">
        <f>_xll.qlIndexFixing("euribor3m",_xll.qlInterestRateIndexFixingDate("Euribor3M",M494),TRUE,AllTriggers)</f>
        <v>2.1467244466409751E-2</v>
      </c>
      <c r="R494" s="489">
        <f>_xll.qlOvernightIndexedSwapFairRate(O494,AllTriggers)</f>
        <v>2.0981320133045312E-2</v>
      </c>
      <c r="S494" s="491">
        <f t="shared" si="9"/>
        <v>4.8592433336443891E-4</v>
      </c>
    </row>
    <row r="495" spans="5:19" ht="11.25" customHeight="1" x14ac:dyDescent="0.2">
      <c r="E495" s="483"/>
      <c r="F495" s="483"/>
      <c r="G495" s="482"/>
      <c r="J495" s="482"/>
      <c r="K495" s="482"/>
      <c r="M495" s="497">
        <f>_xll.qlCalendarAdvance(Calendar,M494,"1M","f",,Trigger)</f>
        <v>57262</v>
      </c>
      <c r="N495" s="488">
        <f>_xll.qlCalendarAdvance(Calendar,M495,"3M","mf",,Trigger)</f>
        <v>57354</v>
      </c>
      <c r="O495" s="490" t="str">
        <f>_xll.qlMakeDatedOIS(,M495,N495,OvernightIndex,0,,,,EvaluationDate)</f>
        <v>obj_00749#0001</v>
      </c>
      <c r="P495" s="490" t="b">
        <f>_xll.qlInstrumentSetPricingEngine(O495,OisEngine)</f>
        <v>1</v>
      </c>
      <c r="Q495" s="489">
        <f>_xll.qlIndexFixing("euribor3m",_xll.qlInterestRateIndexFixingDate("Euribor3M",M495),TRUE,AllTriggers)</f>
        <v>2.1450644720651415E-2</v>
      </c>
      <c r="R495" s="489">
        <f>_xll.qlOvernightIndexedSwapFairRate(O495,AllTriggers)</f>
        <v>2.0981930477664498E-2</v>
      </c>
      <c r="S495" s="491">
        <f t="shared" si="9"/>
        <v>4.6871424298691733E-4</v>
      </c>
    </row>
    <row r="496" spans="5:19" ht="11.25" customHeight="1" x14ac:dyDescent="0.2">
      <c r="E496" s="483"/>
      <c r="F496" s="483"/>
      <c r="G496" s="482"/>
      <c r="J496" s="482"/>
      <c r="K496" s="482"/>
      <c r="M496" s="497">
        <f>_xll.qlCalendarAdvance(Calendar,M495,"1M","f",,Trigger)</f>
        <v>57293</v>
      </c>
      <c r="N496" s="488">
        <f>_xll.qlCalendarAdvance(Calendar,M496,"3M","mf",,Trigger)</f>
        <v>57385</v>
      </c>
      <c r="O496" s="490" t="str">
        <f>_xll.qlMakeDatedOIS(,M496,N496,OvernightIndex,0,,,,EvaluationDate)</f>
        <v>obj_0074b#0001</v>
      </c>
      <c r="P496" s="490" t="b">
        <f>_xll.qlInstrumentSetPricingEngine(O496,OisEngine)</f>
        <v>1</v>
      </c>
      <c r="Q496" s="489">
        <f>_xll.qlIndexFixing("euribor3m",_xll.qlInterestRateIndexFixingDate("Euribor3M",M496),TRUE,AllTriggers)</f>
        <v>2.1434394935006519E-2</v>
      </c>
      <c r="R496" s="489">
        <f>_xll.qlOvernightIndexedSwapFairRate(O496,AllTriggers)</f>
        <v>2.0981930477664498E-2</v>
      </c>
      <c r="S496" s="491">
        <f t="shared" si="9"/>
        <v>4.5246445734202154E-4</v>
      </c>
    </row>
    <row r="497" spans="5:19" ht="11.25" customHeight="1" x14ac:dyDescent="0.2">
      <c r="E497" s="483"/>
      <c r="F497" s="483"/>
      <c r="G497" s="482"/>
      <c r="J497" s="482"/>
      <c r="K497" s="482"/>
      <c r="M497" s="497">
        <f>_xll.qlCalendarAdvance(Calendar,M496,"1M","f",,Trigger)</f>
        <v>57325</v>
      </c>
      <c r="N497" s="488">
        <f>_xll.qlCalendarAdvance(Calendar,M497,"3M","mf",,Trigger)</f>
        <v>57416</v>
      </c>
      <c r="O497" s="490" t="str">
        <f>_xll.qlMakeDatedOIS(,M497,N497,OvernightIndex,0,,,,EvaluationDate)</f>
        <v>obj_0074d#0001</v>
      </c>
      <c r="P497" s="490" t="b">
        <f>_xll.qlInstrumentSetPricingEngine(O497,OisEngine)</f>
        <v>1</v>
      </c>
      <c r="Q497" s="489">
        <f>_xll.qlIndexFixing("euribor3m",_xll.qlInterestRateIndexFixingDate("Euribor3M",M497),TRUE,AllTriggers)</f>
        <v>2.1417440296771239E-2</v>
      </c>
      <c r="R497" s="489">
        <f>_xll.qlOvernightIndexedSwapFairRate(O497,AllTriggers)</f>
        <v>2.098132013304619E-2</v>
      </c>
      <c r="S497" s="491">
        <f t="shared" si="9"/>
        <v>4.3612016372504905E-4</v>
      </c>
    </row>
    <row r="498" spans="5:19" ht="11.25" customHeight="1" x14ac:dyDescent="0.2">
      <c r="E498" s="483"/>
      <c r="F498" s="483"/>
      <c r="G498" s="482"/>
      <c r="J498" s="482"/>
      <c r="K498" s="482"/>
      <c r="M498" s="497">
        <f>_xll.qlCalendarAdvance(Calendar,M497,"1M","f",,Trigger)</f>
        <v>57356</v>
      </c>
      <c r="N498" s="488">
        <f>_xll.qlCalendarAdvance(Calendar,M498,"3M","mf",,Trigger)</f>
        <v>57446</v>
      </c>
      <c r="O498" s="490" t="str">
        <f>_xll.qlMakeDatedOIS(,M498,N498,OvernightIndex,0,,,,EvaluationDate)</f>
        <v>obj_0074f#0001</v>
      </c>
      <c r="P498" s="490" t="b">
        <f>_xll.qlInstrumentSetPricingEngine(O498,OisEngine)</f>
        <v>1</v>
      </c>
      <c r="Q498" s="489">
        <f>_xll.qlIndexFixing("euribor3m",_xll.qlInterestRateIndexFixingDate("Euribor3M",M498),TRUE,AllTriggers)</f>
        <v>2.1401192573065053E-2</v>
      </c>
      <c r="R498" s="489">
        <f>_xll.qlOvernightIndexedSwapFairRate(O498,AllTriggers)</f>
        <v>2.0980709812088879E-2</v>
      </c>
      <c r="S498" s="491">
        <f t="shared" si="9"/>
        <v>4.2048276097617424E-4</v>
      </c>
    </row>
    <row r="499" spans="5:19" ht="11.25" customHeight="1" x14ac:dyDescent="0.2">
      <c r="E499" s="483"/>
      <c r="F499" s="483"/>
      <c r="G499" s="482"/>
      <c r="J499" s="482"/>
      <c r="K499" s="482"/>
      <c r="M499" s="497">
        <f>_xll.qlCalendarAdvance(Calendar,M498,"1M","f",,Trigger)</f>
        <v>57388</v>
      </c>
      <c r="N499" s="488">
        <f>_xll.qlCalendarAdvance(Calendar,M499,"3M","mf",,Trigger)</f>
        <v>57479</v>
      </c>
      <c r="O499" s="490" t="str">
        <f>_xll.qlMakeDatedOIS(,M499,N499,OvernightIndex,0,,,,EvaluationDate)</f>
        <v>obj_00751#0001</v>
      </c>
      <c r="P499" s="490" t="b">
        <f>_xll.qlInstrumentSetPricingEngine(O499,OisEngine)</f>
        <v>1</v>
      </c>
      <c r="Q499" s="489">
        <f>_xll.qlIndexFixing("euribor3m",_xll.qlInterestRateIndexFixingDate("Euribor3M",M499),TRUE,AllTriggers)</f>
        <v>2.1385396637422435E-2</v>
      </c>
      <c r="R499" s="489">
        <f>_xll.qlOvernightIndexedSwapFairRate(O499,AllTriggers)</f>
        <v>2.0981320133045316E-2</v>
      </c>
      <c r="S499" s="491">
        <f t="shared" si="9"/>
        <v>4.0407650437711967E-4</v>
      </c>
    </row>
    <row r="500" spans="5:19" ht="11.25" customHeight="1" x14ac:dyDescent="0.2">
      <c r="E500" s="483"/>
      <c r="F500" s="483"/>
      <c r="G500" s="482"/>
      <c r="J500" s="482"/>
      <c r="K500" s="482"/>
      <c r="M500" s="497">
        <f>_xll.qlCalendarAdvance(Calendar,M499,"1M","f",,Trigger)</f>
        <v>57416</v>
      </c>
      <c r="N500" s="488">
        <f>_xll.qlCalendarAdvance(Calendar,M500,"3M","mf",,Trigger)</f>
        <v>57508</v>
      </c>
      <c r="O500" s="490" t="str">
        <f>_xll.qlMakeDatedOIS(,M500,N500,OvernightIndex,0,,,,EvaluationDate)</f>
        <v>obj_00753#0001</v>
      </c>
      <c r="P500" s="490" t="b">
        <f>_xll.qlInstrumentSetPricingEngine(O500,OisEngine)</f>
        <v>1</v>
      </c>
      <c r="Q500" s="489">
        <f>_xll.qlIndexFixing("euribor3m",_xll.qlInterestRateIndexFixingDate("Euribor3M",M500),TRUE,AllTriggers)</f>
        <v>2.1371793298392852E-2</v>
      </c>
      <c r="R500" s="489">
        <f>_xll.qlOvernightIndexedSwapFairRate(O500,AllTriggers)</f>
        <v>2.0981930477664498E-2</v>
      </c>
      <c r="S500" s="491">
        <f t="shared" si="9"/>
        <v>3.8986282072835457E-4</v>
      </c>
    </row>
    <row r="501" spans="5:19" ht="11.25" customHeight="1" x14ac:dyDescent="0.2">
      <c r="E501" s="483"/>
      <c r="F501" s="483"/>
      <c r="G501" s="482"/>
      <c r="J501" s="482"/>
      <c r="K501" s="482"/>
      <c r="M501" s="497">
        <f>_xll.qlCalendarAdvance(Calendar,M500,"1M","f",,Trigger)</f>
        <v>57447</v>
      </c>
      <c r="N501" s="488">
        <f>_xll.qlCalendarAdvance(Calendar,M501,"3M","mf",,Trigger)</f>
        <v>57538</v>
      </c>
      <c r="O501" s="490" t="str">
        <f>_xll.qlMakeDatedOIS(,M501,N501,OvernightIndex,0,,,,EvaluationDate)</f>
        <v>obj_00754#0001</v>
      </c>
      <c r="P501" s="490" t="b">
        <f>_xll.qlInstrumentSetPricingEngine(O501,OisEngine)</f>
        <v>1</v>
      </c>
      <c r="Q501" s="489">
        <f>_xll.qlIndexFixing("euribor3m",_xll.qlInterestRateIndexFixingDate("Euribor3M",M501),TRUE,AllTriggers)</f>
        <v>2.1356099299459322E-2</v>
      </c>
      <c r="R501" s="489">
        <f>_xll.qlOvernightIndexedSwapFairRate(O501,AllTriggers)</f>
        <v>2.0981320133045312E-2</v>
      </c>
      <c r="S501" s="491">
        <f t="shared" si="9"/>
        <v>3.7477916641400974E-4</v>
      </c>
    </row>
    <row r="502" spans="5:19" ht="11.25" customHeight="1" x14ac:dyDescent="0.2">
      <c r="E502" s="483"/>
      <c r="F502" s="483"/>
      <c r="G502" s="482"/>
      <c r="J502" s="482"/>
      <c r="K502" s="482"/>
      <c r="M502" s="497">
        <f>_xll.qlCalendarAdvance(Calendar,M501,"1M","f",,Trigger)</f>
        <v>57479</v>
      </c>
      <c r="N502" s="488">
        <f>_xll.qlCalendarAdvance(Calendar,M502,"3M","mf",,Trigger)</f>
        <v>57571</v>
      </c>
      <c r="O502" s="490" t="str">
        <f>_xll.qlMakeDatedOIS(,M502,N502,OvernightIndex,0,,,,EvaluationDate)</f>
        <v>obj_00756#0001</v>
      </c>
      <c r="P502" s="490" t="b">
        <f>_xll.qlInstrumentSetPricingEngine(O502,OisEngine)</f>
        <v>1</v>
      </c>
      <c r="Q502" s="489">
        <f>_xll.qlIndexFixing("euribor3m",_xll.qlInterestRateIndexFixingDate("Euribor3M",M502),TRUE,AllTriggers)</f>
        <v>2.1340887895761874E-2</v>
      </c>
      <c r="R502" s="489">
        <f>_xll.qlOvernightIndexedSwapFairRate(O502,AllTriggers)</f>
        <v>2.098193047766363E-2</v>
      </c>
      <c r="S502" s="491">
        <f t="shared" si="9"/>
        <v>3.5895741809824355E-4</v>
      </c>
    </row>
    <row r="503" spans="5:19" ht="11.25" customHeight="1" x14ac:dyDescent="0.2">
      <c r="E503" s="483"/>
      <c r="F503" s="483"/>
      <c r="G503" s="482"/>
      <c r="J503" s="482"/>
      <c r="K503" s="482"/>
      <c r="M503" s="497">
        <f>_xll.qlCalendarAdvance(Calendar,M502,"1M","f",,Trigger)</f>
        <v>57510</v>
      </c>
      <c r="N503" s="488">
        <f>_xll.qlCalendarAdvance(Calendar,M503,"3M","mf",,Trigger)</f>
        <v>57602</v>
      </c>
      <c r="O503" s="490" t="str">
        <f>_xll.qlMakeDatedOIS(,M503,N503,OvernightIndex,0,,,,EvaluationDate)</f>
        <v>obj_00758#0001</v>
      </c>
      <c r="P503" s="490" t="b">
        <f>_xll.qlInstrumentSetPricingEngine(O503,OisEngine)</f>
        <v>1</v>
      </c>
      <c r="Q503" s="489">
        <f>_xll.qlIndexFixing("euribor3m",_xll.qlInterestRateIndexFixingDate("Euribor3M",M503),TRUE,AllTriggers)</f>
        <v>2.1325968647248752E-2</v>
      </c>
      <c r="R503" s="489">
        <f>_xll.qlOvernightIndexedSwapFairRate(O503,AllTriggers)</f>
        <v>2.0981930477664498E-2</v>
      </c>
      <c r="S503" s="491">
        <f t="shared" si="9"/>
        <v>3.4403816958425426E-4</v>
      </c>
    </row>
    <row r="504" spans="5:19" ht="11.25" customHeight="1" x14ac:dyDescent="0.2">
      <c r="E504" s="483"/>
      <c r="F504" s="483"/>
      <c r="G504" s="482"/>
      <c r="J504" s="482"/>
      <c r="K504" s="482"/>
      <c r="M504" s="497">
        <f>_xll.qlCalendarAdvance(Calendar,M503,"1M","f",,Trigger)</f>
        <v>57542</v>
      </c>
      <c r="N504" s="488">
        <f>_xll.qlCalendarAdvance(Calendar,M504,"3M","mf",,Trigger)</f>
        <v>57634</v>
      </c>
      <c r="O504" s="490" t="str">
        <f>_xll.qlMakeDatedOIS(,M504,N504,OvernightIndex,0,,,,EvaluationDate)</f>
        <v>obj_0075a#0001</v>
      </c>
      <c r="P504" s="490" t="b">
        <f>_xll.qlInstrumentSetPricingEngine(O504,OisEngine)</f>
        <v>1</v>
      </c>
      <c r="Q504" s="489">
        <f>_xll.qlIndexFixing("euribor3m",_xll.qlInterestRateIndexFixingDate("Euribor3M",M504),TRUE,AllTriggers)</f>
        <v>2.1310767496219515E-2</v>
      </c>
      <c r="R504" s="489">
        <f>_xll.qlOvernightIndexedSwapFairRate(O504,AllTriggers)</f>
        <v>2.0981930477664501E-2</v>
      </c>
      <c r="S504" s="491">
        <f t="shared" si="9"/>
        <v>3.2883701855501365E-4</v>
      </c>
    </row>
    <row r="505" spans="5:19" ht="11.25" customHeight="1" x14ac:dyDescent="0.2">
      <c r="E505" s="483"/>
      <c r="F505" s="483"/>
      <c r="G505" s="482"/>
      <c r="J505" s="482"/>
      <c r="K505" s="482"/>
      <c r="M505" s="497">
        <f>_xll.qlCalendarAdvance(Calendar,M504,"1M","f",,Trigger)</f>
        <v>57573</v>
      </c>
      <c r="N505" s="488">
        <f>_xll.qlCalendarAdvance(Calendar,M505,"3M","mf",,Trigger)</f>
        <v>57665</v>
      </c>
      <c r="O505" s="490" t="str">
        <f>_xll.qlMakeDatedOIS(,M505,N505,OvernightIndex,0,,,,EvaluationDate)</f>
        <v>obj_0075c#0001</v>
      </c>
      <c r="P505" s="490" t="b">
        <f>_xll.qlInstrumentSetPricingEngine(O505,OisEngine)</f>
        <v>1</v>
      </c>
      <c r="Q505" s="489">
        <f>_xll.qlIndexFixing("euribor3m",_xll.qlInterestRateIndexFixingDate("Euribor3M",M505),TRUE,AllTriggers)</f>
        <v>2.1296234512421387E-2</v>
      </c>
      <c r="R505" s="489">
        <f>_xll.qlOvernightIndexedSwapFairRate(O505,AllTriggers)</f>
        <v>2.0981930477664498E-2</v>
      </c>
      <c r="S505" s="491">
        <f t="shared" si="9"/>
        <v>3.143040347568897E-4</v>
      </c>
    </row>
    <row r="506" spans="5:19" ht="11.25" customHeight="1" x14ac:dyDescent="0.2">
      <c r="E506" s="483"/>
      <c r="F506" s="483"/>
      <c r="G506" s="482"/>
      <c r="J506" s="482"/>
      <c r="K506" s="482"/>
      <c r="M506" s="497">
        <f>_xll.qlCalendarAdvance(Calendar,M505,"1M","f",,Trigger)</f>
        <v>57605</v>
      </c>
      <c r="N506" s="488">
        <f>_xll.qlCalendarAdvance(Calendar,M506,"3M","mf",,Trigger)</f>
        <v>57696</v>
      </c>
      <c r="O506" s="490" t="str">
        <f>_xll.qlMakeDatedOIS(,M506,N506,OvernightIndex,0,,,,EvaluationDate)</f>
        <v>obj_0075e#0001</v>
      </c>
      <c r="P506" s="490" t="b">
        <f>_xll.qlInstrumentSetPricingEngine(O506,OisEngine)</f>
        <v>1</v>
      </c>
      <c r="Q506" s="489">
        <f>_xll.qlIndexFixing("euribor3m",_xll.qlInterestRateIndexFixingDate("Euribor3M",M506),TRUE,AllTriggers)</f>
        <v>2.1281032413876154E-2</v>
      </c>
      <c r="R506" s="489">
        <f>_xll.qlOvernightIndexedSwapFairRate(O506,AllTriggers)</f>
        <v>2.0981320133046193E-2</v>
      </c>
      <c r="S506" s="491">
        <f t="shared" si="9"/>
        <v>2.9971228082996057E-4</v>
      </c>
    </row>
    <row r="507" spans="5:19" ht="11.25" customHeight="1" x14ac:dyDescent="0.2">
      <c r="E507" s="483"/>
      <c r="F507" s="483"/>
      <c r="G507" s="482"/>
      <c r="J507" s="482"/>
      <c r="K507" s="482"/>
      <c r="M507" s="497">
        <f>_xll.qlCalendarAdvance(Calendar,M506,"1M","f",,Trigger)</f>
        <v>57635</v>
      </c>
      <c r="N507" s="488">
        <f>_xll.qlCalendarAdvance(Calendar,M507,"3M","mf",,Trigger)</f>
        <v>57727</v>
      </c>
      <c r="O507" s="490" t="str">
        <f>_xll.qlMakeDatedOIS(,M507,N507,OvernightIndex,0,,,,EvaluationDate)</f>
        <v>obj_00760#0001</v>
      </c>
      <c r="P507" s="490" t="b">
        <f>_xll.qlInstrumentSetPricingEngine(O507,OisEngine)</f>
        <v>1</v>
      </c>
      <c r="Q507" s="489">
        <f>_xll.qlIndexFixing("euribor3m",_xll.qlInterestRateIndexFixingDate("Euribor3M",M507),TRUE,AllTriggers)</f>
        <v>2.1267738733417127E-2</v>
      </c>
      <c r="R507" s="489">
        <f>_xll.qlOvernightIndexedSwapFairRate(O507,AllTriggers)</f>
        <v>2.0981930477664498E-2</v>
      </c>
      <c r="S507" s="491">
        <f t="shared" si="9"/>
        <v>2.8580825575262939E-4</v>
      </c>
    </row>
    <row r="508" spans="5:19" ht="11.25" customHeight="1" x14ac:dyDescent="0.2">
      <c r="E508" s="483"/>
      <c r="F508" s="483"/>
      <c r="G508" s="482"/>
      <c r="J508" s="482"/>
      <c r="K508" s="482"/>
      <c r="M508" s="497">
        <f>_xll.qlCalendarAdvance(Calendar,M507,"1M","f",,Trigger)</f>
        <v>57668</v>
      </c>
      <c r="N508" s="488">
        <f>_xll.qlCalendarAdvance(Calendar,M508,"3M","mf",,Trigger)</f>
        <v>57760</v>
      </c>
      <c r="O508" s="490" t="str">
        <f>_xll.qlMakeDatedOIS(,M508,N508,OvernightIndex,0,,,,EvaluationDate)</f>
        <v>obj_00762#0001</v>
      </c>
      <c r="P508" s="490" t="b">
        <f>_xll.qlInstrumentSetPricingEngine(O508,OisEngine)</f>
        <v>1</v>
      </c>
      <c r="Q508" s="489">
        <f>_xll.qlIndexFixing("euribor3m",_xll.qlInterestRateIndexFixingDate("Euribor3M",M508),TRUE,AllTriggers)</f>
        <v>2.1252881634764915E-2</v>
      </c>
      <c r="R508" s="489">
        <f>_xll.qlOvernightIndexedSwapFairRate(O508,AllTriggers)</f>
        <v>2.0981930477664498E-2</v>
      </c>
      <c r="S508" s="491">
        <f t="shared" si="9"/>
        <v>2.7095115710041792E-4</v>
      </c>
    </row>
    <row r="509" spans="5:19" ht="11.25" customHeight="1" x14ac:dyDescent="0.2">
      <c r="E509" s="483"/>
      <c r="F509" s="483"/>
      <c r="G509" s="482"/>
      <c r="J509" s="482"/>
      <c r="K509" s="482"/>
      <c r="M509" s="497">
        <f>_xll.qlCalendarAdvance(Calendar,M508,"1M","f",,Trigger)</f>
        <v>57698</v>
      </c>
      <c r="N509" s="488">
        <f>_xll.qlCalendarAdvance(Calendar,M509,"3M","mf",,Trigger)</f>
        <v>57788</v>
      </c>
      <c r="O509" s="490" t="str">
        <f>_xll.qlMakeDatedOIS(,M509,N509,OvernightIndex,0,,,,EvaluationDate)</f>
        <v>obj_00763#0001</v>
      </c>
      <c r="P509" s="490" t="b">
        <f>_xll.qlInstrumentSetPricingEngine(O509,OisEngine)</f>
        <v>1</v>
      </c>
      <c r="Q509" s="489">
        <f>_xll.qlIndexFixing("euribor3m",_xll.qlInterestRateIndexFixingDate("Euribor3M",M509),TRUE,AllTriggers)</f>
        <v>2.1238749343732266E-2</v>
      </c>
      <c r="R509" s="489">
        <f>_xll.qlOvernightIndexedSwapFairRate(O509,AllTriggers)</f>
        <v>2.0980709812087994E-2</v>
      </c>
      <c r="S509" s="491">
        <f t="shared" si="9"/>
        <v>2.5803953164427185E-4</v>
      </c>
    </row>
    <row r="510" spans="5:19" ht="11.25" customHeight="1" x14ac:dyDescent="0.2">
      <c r="E510" s="483"/>
      <c r="F510" s="483"/>
      <c r="G510" s="482"/>
      <c r="J510" s="482"/>
      <c r="K510" s="482"/>
      <c r="M510" s="497">
        <f>_xll.qlCalendarAdvance(Calendar,M509,"1M","f",,Trigger)</f>
        <v>57731</v>
      </c>
      <c r="N510" s="488">
        <f>_xll.qlCalendarAdvance(Calendar,M510,"3M","mf",,Trigger)</f>
        <v>57822</v>
      </c>
      <c r="O510" s="490" t="str">
        <f>_xll.qlMakeDatedOIS(,M510,N510,OvernightIndex,0,,,,EvaluationDate)</f>
        <v>obj_00765#0001</v>
      </c>
      <c r="P510" s="490" t="b">
        <f>_xll.qlInstrumentSetPricingEngine(O510,OisEngine)</f>
        <v>1</v>
      </c>
      <c r="Q510" s="489">
        <f>_xll.qlIndexFixing("euribor3m",_xll.qlInterestRateIndexFixingDate("Euribor3M",M510),TRUE,AllTriggers)</f>
        <v>2.1224707327228639E-2</v>
      </c>
      <c r="R510" s="489">
        <f>_xll.qlOvernightIndexedSwapFairRate(O510,AllTriggers)</f>
        <v>2.0981320133046193E-2</v>
      </c>
      <c r="S510" s="491">
        <f t="shared" si="9"/>
        <v>2.4338719418244559E-4</v>
      </c>
    </row>
    <row r="511" spans="5:19" ht="11.25" customHeight="1" x14ac:dyDescent="0.2">
      <c r="E511" s="483"/>
      <c r="F511" s="483"/>
      <c r="G511" s="482"/>
      <c r="J511" s="482"/>
      <c r="K511" s="482"/>
      <c r="M511" s="497">
        <f>_xll.qlCalendarAdvance(Calendar,M510,"1M","f",,Trigger)</f>
        <v>57762</v>
      </c>
      <c r="N511" s="488">
        <f>_xll.qlCalendarAdvance(Calendar,M511,"3M","mf",,Trigger)</f>
        <v>57851</v>
      </c>
      <c r="O511" s="490" t="str">
        <f>_xll.qlMakeDatedOIS(,M511,N511,OvernightIndex,0,,,,EvaluationDate)</f>
        <v>obj_00767#0001</v>
      </c>
      <c r="P511" s="490" t="b">
        <f>_xll.qlInstrumentSetPricingEngine(O511,OisEngine)</f>
        <v>1</v>
      </c>
      <c r="Q511" s="489">
        <f>_xll.qlIndexFixing("euribor3m",_xll.qlInterestRateIndexFixingDate("Euribor3M",M511),TRUE,AllTriggers)</f>
        <v>2.1210508823300667E-2</v>
      </c>
      <c r="R511" s="489">
        <f>_xll.qlOvernightIndexedSwapFairRate(O511,AllTriggers)</f>
        <v>2.0980099514792568E-2</v>
      </c>
      <c r="S511" s="491">
        <f t="shared" si="9"/>
        <v>2.304093085080984E-4</v>
      </c>
    </row>
    <row r="512" spans="5:19" ht="11.25" customHeight="1" x14ac:dyDescent="0.2">
      <c r="E512" s="483"/>
      <c r="F512" s="483"/>
      <c r="G512" s="482"/>
      <c r="J512" s="482"/>
      <c r="K512" s="482"/>
      <c r="M512" s="497">
        <f>_xll.qlCalendarAdvance(Calendar,M511,"1M","f",,Trigger)</f>
        <v>57790</v>
      </c>
      <c r="N512" s="488">
        <f>_xll.qlCalendarAdvance(Calendar,M512,"3M","mf",,Trigger)</f>
        <v>57882</v>
      </c>
      <c r="O512" s="490" t="str">
        <f>_xll.qlMakeDatedOIS(,M512,N512,OvernightIndex,0,,,,EvaluationDate)</f>
        <v>obj_00768#0001</v>
      </c>
      <c r="P512" s="490" t="b">
        <f>_xll.qlInstrumentSetPricingEngine(O512,OisEngine)</f>
        <v>1</v>
      </c>
      <c r="Q512" s="489">
        <f>_xll.qlIndexFixing("euribor3m",_xll.qlInterestRateIndexFixingDate("Euribor3M",M512),TRUE,AllTriggers)</f>
        <v>2.1199825290971752E-2</v>
      </c>
      <c r="R512" s="489">
        <f>_xll.qlOvernightIndexedSwapFairRate(O512,AllTriggers)</f>
        <v>2.0981930477664498E-2</v>
      </c>
      <c r="S512" s="491">
        <f t="shared" si="9"/>
        <v>2.178948133072546E-4</v>
      </c>
    </row>
    <row r="513" spans="5:19" ht="11.25" customHeight="1" x14ac:dyDescent="0.2">
      <c r="E513" s="483"/>
      <c r="F513" s="483"/>
      <c r="G513" s="482"/>
      <c r="J513" s="482"/>
      <c r="K513" s="482"/>
      <c r="M513" s="497">
        <f>_xll.qlCalendarAdvance(Calendar,M512,"1M","f",,Trigger)</f>
        <v>57822</v>
      </c>
      <c r="N513" s="488">
        <f>_xll.qlCalendarAdvance(Calendar,M513,"3M","mf",,Trigger)</f>
        <v>57913</v>
      </c>
      <c r="O513" s="490" t="str">
        <f>_xll.qlMakeDatedOIS(,M513,N513,OvernightIndex,0,,,,EvaluationDate)</f>
        <v>obj_00769#0001</v>
      </c>
      <c r="P513" s="490" t="b">
        <f>_xll.qlInstrumentSetPricingEngine(O513,OisEngine)</f>
        <v>1</v>
      </c>
      <c r="Q513" s="489">
        <f>_xll.qlIndexFixing("euribor3m",_xll.qlInterestRateIndexFixingDate("Euribor3M",M513),TRUE,AllTriggers)</f>
        <v>2.1185980629987958E-2</v>
      </c>
      <c r="R513" s="489">
        <f>_xll.qlOvernightIndexedSwapFairRate(O513,AllTriggers)</f>
        <v>2.0981320133045312E-2</v>
      </c>
      <c r="S513" s="491">
        <f t="shared" si="9"/>
        <v>2.0466049694264563E-4</v>
      </c>
    </row>
    <row r="514" spans="5:19" ht="11.25" customHeight="1" x14ac:dyDescent="0.2">
      <c r="E514" s="483"/>
      <c r="F514" s="483"/>
      <c r="G514" s="482"/>
      <c r="J514" s="482"/>
      <c r="K514" s="482"/>
      <c r="M514" s="497">
        <f>_xll.qlCalendarAdvance(Calendar,M513,"1M","f",,Trigger)</f>
        <v>57852</v>
      </c>
      <c r="N514" s="488">
        <f>_xll.qlCalendarAdvance(Calendar,M514,"3M","mf",,Trigger)</f>
        <v>57944</v>
      </c>
      <c r="O514" s="490" t="str">
        <f>_xll.qlMakeDatedOIS(,M514,N514,OvernightIndex,0,,,,EvaluationDate)</f>
        <v>obj_0076b#0001</v>
      </c>
      <c r="P514" s="490" t="b">
        <f>_xll.qlInstrumentSetPricingEngine(O514,OisEngine)</f>
        <v>1</v>
      </c>
      <c r="Q514" s="489">
        <f>_xll.qlIndexFixing("euribor3m",_xll.qlInterestRateIndexFixingDate("Euribor3M",M514),TRUE,AllTriggers)</f>
        <v>2.1173990274690687E-2</v>
      </c>
      <c r="R514" s="489">
        <f>_xll.qlOvernightIndexedSwapFairRate(O514,AllTriggers)</f>
        <v>2.0981930477664498E-2</v>
      </c>
      <c r="S514" s="491">
        <f t="shared" si="9"/>
        <v>1.9205979702618947E-4</v>
      </c>
    </row>
    <row r="515" spans="5:19" ht="11.25" customHeight="1" x14ac:dyDescent="0.2">
      <c r="E515" s="483"/>
      <c r="F515" s="483"/>
      <c r="G515" s="482"/>
      <c r="J515" s="482"/>
      <c r="K515" s="482"/>
      <c r="M515" s="497">
        <f>_xll.qlCalendarAdvance(Calendar,M514,"1M","f",,Trigger)</f>
        <v>57885</v>
      </c>
      <c r="N515" s="488">
        <f>_xll.qlCalendarAdvance(Calendar,M515,"3M","mf",,Trigger)</f>
        <v>57977</v>
      </c>
      <c r="O515" s="490" t="str">
        <f>_xll.qlMakeDatedOIS(,M515,N515,OvernightIndex,0,,,,EvaluationDate)</f>
        <v>obj_0076d#0001</v>
      </c>
      <c r="P515" s="490" t="b">
        <f>_xll.qlInstrumentSetPricingEngine(O515,OisEngine)</f>
        <v>1</v>
      </c>
      <c r="Q515" s="489">
        <f>_xll.qlIndexFixing("euribor3m",_xll.qlInterestRateIndexFixingDate("Euribor3M",M515),TRUE,AllTriggers)</f>
        <v>2.1160549366201004E-2</v>
      </c>
      <c r="R515" s="489">
        <f>_xll.qlOvernightIndexedSwapFairRate(O515,AllTriggers)</f>
        <v>2.0981930477664498E-2</v>
      </c>
      <c r="S515" s="491">
        <f t="shared" ref="S515:S578" si="10">Q515-R515</f>
        <v>1.786188885365067E-4</v>
      </c>
    </row>
    <row r="516" spans="5:19" ht="11.25" customHeight="1" x14ac:dyDescent="0.2">
      <c r="E516" s="483"/>
      <c r="F516" s="483"/>
      <c r="G516" s="482"/>
      <c r="J516" s="482"/>
      <c r="K516" s="482"/>
      <c r="M516" s="497">
        <f>_xll.qlCalendarAdvance(Calendar,M515,"1M","f",,Trigger)</f>
        <v>57915</v>
      </c>
      <c r="N516" s="488">
        <f>_xll.qlCalendarAdvance(Calendar,M516,"3M","mf",,Trigger)</f>
        <v>58007</v>
      </c>
      <c r="O516" s="490" t="str">
        <f>_xll.qlMakeDatedOIS(,M516,N516,OvernightIndex,0,,,,EvaluationDate)</f>
        <v>obj_0076f#0001</v>
      </c>
      <c r="P516" s="490" t="b">
        <f>_xll.qlInstrumentSetPricingEngine(O516,OisEngine)</f>
        <v>1</v>
      </c>
      <c r="Q516" s="489">
        <f>_xll.qlIndexFixing("euribor3m",_xll.qlInterestRateIndexFixingDate("Euribor3M",M516),TRUE,AllTriggers)</f>
        <v>2.1148517238335655E-2</v>
      </c>
      <c r="R516" s="489">
        <f>_xll.qlOvernightIndexedSwapFairRate(O516,AllTriggers)</f>
        <v>2.0981930477664498E-2</v>
      </c>
      <c r="S516" s="491">
        <f t="shared" si="10"/>
        <v>1.6658676067115782E-4</v>
      </c>
    </row>
    <row r="517" spans="5:19" ht="11.25" customHeight="1" x14ac:dyDescent="0.2">
      <c r="E517" s="483"/>
      <c r="F517" s="483"/>
      <c r="G517" s="482"/>
      <c r="J517" s="482"/>
      <c r="K517" s="482"/>
      <c r="M517" s="497">
        <f>_xll.qlCalendarAdvance(Calendar,M516,"1M","f",,Trigger)</f>
        <v>57948</v>
      </c>
      <c r="N517" s="488">
        <f>_xll.qlCalendarAdvance(Calendar,M517,"3M","mf",,Trigger)</f>
        <v>58040</v>
      </c>
      <c r="O517" s="490" t="str">
        <f>_xll.qlMakeDatedOIS(,M517,N517,OvernightIndex,0,,,,EvaluationDate)</f>
        <v>obj_00771#0001</v>
      </c>
      <c r="P517" s="490" t="b">
        <f>_xll.qlInstrumentSetPricingEngine(O517,OisEngine)</f>
        <v>1</v>
      </c>
      <c r="Q517" s="489">
        <f>_xll.qlIndexFixing("euribor3m",_xll.qlInterestRateIndexFixingDate("Euribor3M",M517),TRUE,AllTriggers)</f>
        <v>2.1135487463507869E-2</v>
      </c>
      <c r="R517" s="489">
        <f>_xll.qlOvernightIndexedSwapFairRate(O517,AllTriggers)</f>
        <v>2.0981930477664498E-2</v>
      </c>
      <c r="S517" s="491">
        <f t="shared" si="10"/>
        <v>1.5355698584337135E-4</v>
      </c>
    </row>
    <row r="518" spans="5:19" ht="11.25" customHeight="1" x14ac:dyDescent="0.2">
      <c r="E518" s="483"/>
      <c r="F518" s="483"/>
      <c r="G518" s="482"/>
      <c r="J518" s="482"/>
      <c r="K518" s="482"/>
      <c r="M518" s="497">
        <f>_xll.qlCalendarAdvance(Calendar,M517,"1M","f",,Trigger)</f>
        <v>57979</v>
      </c>
      <c r="N518" s="488">
        <f>_xll.qlCalendarAdvance(Calendar,M518,"3M","mf",,Trigger)</f>
        <v>58071</v>
      </c>
      <c r="O518" s="490" t="str">
        <f>_xll.qlMakeDatedOIS(,M518,N518,OvernightIndex,0,,,,EvaluationDate)</f>
        <v>obj_00773#0001</v>
      </c>
      <c r="P518" s="490" t="b">
        <f>_xll.qlInstrumentSetPricingEngine(O518,OisEngine)</f>
        <v>1</v>
      </c>
      <c r="Q518" s="489">
        <f>_xll.qlIndexFixing("euribor3m",_xll.qlInterestRateIndexFixingDate("Euribor3M",M518),TRUE,AllTriggers)</f>
        <v>2.1123443542639422E-2</v>
      </c>
      <c r="R518" s="489">
        <f>_xll.qlOvernightIndexedSwapFairRate(O518,AllTriggers)</f>
        <v>2.0981930477664494E-2</v>
      </c>
      <c r="S518" s="491">
        <f t="shared" si="10"/>
        <v>1.4151306497492758E-4</v>
      </c>
    </row>
    <row r="519" spans="5:19" ht="11.25" customHeight="1" x14ac:dyDescent="0.2">
      <c r="E519" s="483"/>
      <c r="F519" s="483"/>
      <c r="G519" s="482"/>
      <c r="J519" s="482"/>
      <c r="K519" s="482"/>
      <c r="M519" s="497">
        <f>_xll.qlCalendarAdvance(Calendar,M518,"1M","f",,Trigger)</f>
        <v>58011</v>
      </c>
      <c r="N519" s="488">
        <f>_xll.qlCalendarAdvance(Calendar,M519,"3M","mf",,Trigger)</f>
        <v>58103</v>
      </c>
      <c r="O519" s="490" t="str">
        <f>_xll.qlMakeDatedOIS(,M519,N519,OvernightIndex,0,,,,EvaluationDate)</f>
        <v>obj_00775#0001</v>
      </c>
      <c r="P519" s="490" t="b">
        <f>_xll.qlInstrumentSetPricingEngine(O519,OisEngine)</f>
        <v>1</v>
      </c>
      <c r="Q519" s="489">
        <f>_xll.qlIndexFixing("euribor3m",_xll.qlInterestRateIndexFixingDate("Euribor3M",M519),TRUE,AllTriggers)</f>
        <v>2.1111210440982551E-2</v>
      </c>
      <c r="R519" s="489">
        <f>_xll.qlOvernightIndexedSwapFairRate(O519,AllTriggers)</f>
        <v>2.0981930477664498E-2</v>
      </c>
      <c r="S519" s="491">
        <f t="shared" si="10"/>
        <v>1.292799633180533E-4</v>
      </c>
    </row>
    <row r="520" spans="5:19" ht="11.25" customHeight="1" x14ac:dyDescent="0.2">
      <c r="E520" s="483"/>
      <c r="F520" s="483"/>
      <c r="G520" s="482"/>
      <c r="J520" s="482"/>
      <c r="K520" s="482"/>
      <c r="M520" s="497">
        <f>_xll.qlCalendarAdvance(Calendar,M519,"1M","f",,Trigger)</f>
        <v>58042</v>
      </c>
      <c r="N520" s="488">
        <f>_xll.qlCalendarAdvance(Calendar,M520,"3M","mf",,Trigger)</f>
        <v>58134</v>
      </c>
      <c r="O520" s="490" t="str">
        <f>_xll.qlMakeDatedOIS(,M520,N520,OvernightIndex,0,,,,EvaluationDate)</f>
        <v>obj_00777#0001</v>
      </c>
      <c r="P520" s="490" t="b">
        <f>_xll.qlInstrumentSetPricingEngine(O520,OisEngine)</f>
        <v>1</v>
      </c>
      <c r="Q520" s="489">
        <f>_xll.qlIndexFixing("euribor3m",_xll.qlInterestRateIndexFixingDate("Euribor3M",M520),TRUE,AllTriggers)</f>
        <v>2.1099552725626892E-2</v>
      </c>
      <c r="R520" s="489">
        <f>_xll.qlOvernightIndexedSwapFairRate(O520,AllTriggers)</f>
        <v>2.098193047766363E-2</v>
      </c>
      <c r="S520" s="491">
        <f t="shared" si="10"/>
        <v>1.1762224796326229E-4</v>
      </c>
    </row>
    <row r="521" spans="5:19" ht="11.25" customHeight="1" x14ac:dyDescent="0.2">
      <c r="E521" s="483"/>
      <c r="F521" s="483"/>
      <c r="G521" s="482"/>
      <c r="J521" s="482"/>
      <c r="K521" s="482"/>
      <c r="M521" s="497">
        <f>_xll.qlCalendarAdvance(Calendar,M520,"1M","f",,Trigger)</f>
        <v>58074</v>
      </c>
      <c r="N521" s="488">
        <f>_xll.qlCalendarAdvance(Calendar,M521,"3M","mf",,Trigger)</f>
        <v>58161</v>
      </c>
      <c r="O521" s="490" t="str">
        <f>_xll.qlMakeDatedOIS(,M521,N521,OvernightIndex,0,,,,EvaluationDate)</f>
        <v>obj_00779#0001</v>
      </c>
      <c r="P521" s="490" t="b">
        <f>_xll.qlInstrumentSetPricingEngine(O521,OisEngine)</f>
        <v>1</v>
      </c>
      <c r="Q521" s="489">
        <f>_xll.qlIndexFixing("euribor3m",_xll.qlInterestRateIndexFixingDate("Euribor3M",M521),TRUE,AllTriggers)</f>
        <v>2.1085545614056154E-2</v>
      </c>
      <c r="R521" s="489">
        <f>_xll.qlOvernightIndexedSwapFairRate(O521,AllTriggers)</f>
        <v>2.0978878991178312E-2</v>
      </c>
      <c r="S521" s="491">
        <f t="shared" si="10"/>
        <v>1.0666662287784137E-4</v>
      </c>
    </row>
    <row r="522" spans="5:19" ht="11.25" customHeight="1" x14ac:dyDescent="0.2">
      <c r="E522" s="483"/>
      <c r="F522" s="483"/>
      <c r="G522" s="482"/>
      <c r="J522" s="482"/>
      <c r="K522" s="482"/>
      <c r="M522" s="497">
        <f>_xll.qlCalendarAdvance(Calendar,M521,"1M","f",,Trigger)</f>
        <v>58105</v>
      </c>
      <c r="N522" s="488">
        <f>_xll.qlCalendarAdvance(Calendar,M522,"3M","mf",,Trigger)</f>
        <v>58195</v>
      </c>
      <c r="O522" s="490" t="str">
        <f>_xll.qlMakeDatedOIS(,M522,N522,OvernightIndex,0,,,,EvaluationDate)</f>
        <v>obj_0077a#0001</v>
      </c>
      <c r="P522" s="490" t="b">
        <f>_xll.qlInstrumentSetPricingEngine(O522,OisEngine)</f>
        <v>1</v>
      </c>
      <c r="Q522" s="489">
        <f>_xll.qlIndexFixing("euribor3m",_xll.qlInterestRateIndexFixingDate("Euribor3M",M522),TRUE,AllTriggers)</f>
        <v>2.1075572680461008E-2</v>
      </c>
      <c r="R522" s="489">
        <f>_xll.qlOvernightIndexedSwapFairRate(O522,AllTriggers)</f>
        <v>2.0980709812088882E-2</v>
      </c>
      <c r="S522" s="491">
        <f t="shared" si="10"/>
        <v>9.486286837212532E-5</v>
      </c>
    </row>
    <row r="523" spans="5:19" ht="11.25" customHeight="1" x14ac:dyDescent="0.2">
      <c r="E523" s="483"/>
      <c r="F523" s="483"/>
      <c r="G523" s="482"/>
      <c r="J523" s="482"/>
      <c r="K523" s="482"/>
      <c r="M523" s="497">
        <f>_xll.qlCalendarAdvance(Calendar,M522,"1M","f",,Trigger)</f>
        <v>58134</v>
      </c>
      <c r="N523" s="488">
        <f>_xll.qlCalendarAdvance(Calendar,M523,"3M","mf",,Trigger)</f>
        <v>58223</v>
      </c>
      <c r="O523" s="490" t="str">
        <f>_xll.qlMakeDatedOIS(,M523,N523,OvernightIndex,0,,,,EvaluationDate)</f>
        <v>obj_0077c#0001</v>
      </c>
      <c r="P523" s="490" t="b">
        <f>_xll.qlInstrumentSetPricingEngine(O523,OisEngine)</f>
        <v>1</v>
      </c>
      <c r="Q523" s="489">
        <f>_xll.qlIndexFixing("euribor3m",_xll.qlInterestRateIndexFixingDate("Euribor3M",M523),TRUE,AllTriggers)</f>
        <v>2.1065635142605874E-2</v>
      </c>
      <c r="R523" s="489">
        <f>_xll.qlOvernightIndexedSwapFairRate(O523,AllTriggers)</f>
        <v>2.0980099514793467E-2</v>
      </c>
      <c r="S523" s="491">
        <f t="shared" si="10"/>
        <v>8.5535627812407394E-5</v>
      </c>
    </row>
    <row r="524" spans="5:19" ht="11.25" customHeight="1" x14ac:dyDescent="0.2">
      <c r="E524" s="483"/>
      <c r="F524" s="483"/>
      <c r="G524" s="482"/>
      <c r="J524" s="482"/>
      <c r="K524" s="482"/>
      <c r="M524" s="497">
        <f>_xll.qlCalendarAdvance(Calendar,M523,"1M","f",,Trigger)</f>
        <v>58166</v>
      </c>
      <c r="N524" s="488">
        <f>_xll.qlCalendarAdvance(Calendar,M524,"3M","mf",,Trigger)</f>
        <v>58257</v>
      </c>
      <c r="O524" s="490" t="str">
        <f>_xll.qlMakeDatedOIS(,M524,N524,OvernightIndex,0,,,,EvaluationDate)</f>
        <v>obj_0077e#0001</v>
      </c>
      <c r="P524" s="490" t="b">
        <f>_xll.qlInstrumentSetPricingEngine(O524,OisEngine)</f>
        <v>1</v>
      </c>
      <c r="Q524" s="489">
        <f>_xll.qlIndexFixing("euribor3m",_xll.qlInterestRateIndexFixingDate("Euribor3M",M524),TRUE,AllTriggers)</f>
        <v>2.1054380351581449E-2</v>
      </c>
      <c r="R524" s="489">
        <f>_xll.qlOvernightIndexedSwapFairRate(O524,AllTriggers)</f>
        <v>2.0981320133045312E-2</v>
      </c>
      <c r="S524" s="491">
        <f t="shared" si="10"/>
        <v>7.3060218536136895E-5</v>
      </c>
    </row>
    <row r="525" spans="5:19" ht="11.25" customHeight="1" x14ac:dyDescent="0.2">
      <c r="E525" s="483"/>
      <c r="F525" s="483"/>
      <c r="G525" s="482"/>
      <c r="J525" s="482"/>
      <c r="K525" s="482"/>
      <c r="M525" s="497">
        <f>_xll.qlCalendarAdvance(Calendar,M524,"1M","f",,Trigger)</f>
        <v>58197</v>
      </c>
      <c r="N525" s="488">
        <f>_xll.qlCalendarAdvance(Calendar,M525,"3M","mf",,Trigger)</f>
        <v>58291</v>
      </c>
      <c r="O525" s="490" t="str">
        <f>_xll.qlMakeDatedOIS(,M525,N525,OvernightIndex,0,,,,EvaluationDate)</f>
        <v>obj_00780#0001</v>
      </c>
      <c r="P525" s="490" t="b">
        <f>_xll.qlInstrumentSetPricingEngine(O525,OisEngine)</f>
        <v>1</v>
      </c>
      <c r="Q525" s="489">
        <f>_xll.qlIndexFixing("euribor3m",_xll.qlInterestRateIndexFixingDate("Euribor3M",M525),TRUE,AllTriggers)</f>
        <v>2.1045003426180341E-2</v>
      </c>
      <c r="R525" s="489">
        <f>_xll.qlOvernightIndexedSwapFairRate(O525,AllTriggers)</f>
        <v>2.0983151237891753E-2</v>
      </c>
      <c r="S525" s="491">
        <f t="shared" si="10"/>
        <v>6.185218828858724E-5</v>
      </c>
    </row>
    <row r="526" spans="5:19" ht="11.25" customHeight="1" x14ac:dyDescent="0.2">
      <c r="E526" s="483"/>
      <c r="F526" s="483"/>
      <c r="G526" s="482"/>
      <c r="J526" s="482"/>
      <c r="K526" s="482"/>
      <c r="M526" s="497">
        <f>_xll.qlCalendarAdvance(Calendar,M525,"1M","f",,Trigger)</f>
        <v>58228</v>
      </c>
      <c r="N526" s="488">
        <f>_xll.qlCalendarAdvance(Calendar,M526,"3M","mf",,Trigger)</f>
        <v>58320</v>
      </c>
      <c r="O526" s="490" t="str">
        <f>_xll.qlMakeDatedOIS(,M526,N526,OvernightIndex,0,,,,EvaluationDate)</f>
        <v>obj_00782#0001</v>
      </c>
      <c r="P526" s="490" t="b">
        <f>_xll.qlInstrumentSetPricingEngine(O526,OisEngine)</f>
        <v>1</v>
      </c>
      <c r="Q526" s="489">
        <f>_xll.qlIndexFixing("euribor3m",_xll.qlInterestRateIndexFixingDate("Euribor3M",M526),TRUE,AllTriggers)</f>
        <v>2.1033597112531461E-2</v>
      </c>
      <c r="R526" s="489">
        <f>_xll.qlOvernightIndexedSwapFairRate(O526,AllTriggers)</f>
        <v>2.0981930477664501E-2</v>
      </c>
      <c r="S526" s="491">
        <f t="shared" si="10"/>
        <v>5.166663486695991E-5</v>
      </c>
    </row>
    <row r="527" spans="5:19" ht="11.25" customHeight="1" x14ac:dyDescent="0.2">
      <c r="E527" s="483"/>
      <c r="F527" s="483"/>
      <c r="G527" s="482"/>
      <c r="J527" s="482"/>
      <c r="K527" s="482"/>
      <c r="M527" s="497">
        <f>_xll.qlCalendarAdvance(Calendar,M526,"1M","f",,Trigger)</f>
        <v>58258</v>
      </c>
      <c r="N527" s="488">
        <f>_xll.qlCalendarAdvance(Calendar,M527,"3M","mf",,Trigger)</f>
        <v>58350</v>
      </c>
      <c r="O527" s="490" t="str">
        <f>_xll.qlMakeDatedOIS(,M527,N527,OvernightIndex,0,,,,EvaluationDate)</f>
        <v>obj_00784#0001</v>
      </c>
      <c r="P527" s="490" t="b">
        <f>_xll.qlInstrumentSetPricingEngine(O527,OisEngine)</f>
        <v>1</v>
      </c>
      <c r="Q527" s="489">
        <f>_xll.qlIndexFixing("euribor3m",_xll.qlInterestRateIndexFixingDate("Euribor3M",M527),TRUE,AllTriggers)</f>
        <v>2.1023599787898976E-2</v>
      </c>
      <c r="R527" s="489">
        <f>_xll.qlOvernightIndexedSwapFairRate(O527,AllTriggers)</f>
        <v>2.0981930477664498E-2</v>
      </c>
      <c r="S527" s="491">
        <f t="shared" si="10"/>
        <v>4.1669310234478119E-5</v>
      </c>
    </row>
    <row r="528" spans="5:19" ht="11.25" customHeight="1" x14ac:dyDescent="0.2">
      <c r="E528" s="483"/>
      <c r="F528" s="483"/>
      <c r="G528" s="482"/>
      <c r="J528" s="482"/>
      <c r="K528" s="482"/>
      <c r="M528" s="497">
        <f>_xll.qlCalendarAdvance(Calendar,M527,"1M","f",,Trigger)</f>
        <v>58291</v>
      </c>
      <c r="N528" s="488">
        <f>_xll.qlCalendarAdvance(Calendar,M528,"3M","mf",,Trigger)</f>
        <v>58383</v>
      </c>
      <c r="O528" s="490" t="str">
        <f>_xll.qlMakeDatedOIS(,M528,N528,OvernightIndex,0,,,,EvaluationDate)</f>
        <v>obj_00785#0001</v>
      </c>
      <c r="P528" s="490" t="b">
        <f>_xll.qlInstrumentSetPricingEngine(O528,OisEngine)</f>
        <v>1</v>
      </c>
      <c r="Q528" s="489">
        <f>_xll.qlIndexFixing("euribor3m",_xll.qlInterestRateIndexFixingDate("Euribor3M",M528),TRUE,AllTriggers)</f>
        <v>2.1012808277060126E-2</v>
      </c>
      <c r="R528" s="489">
        <f>_xll.qlOvernightIndexedSwapFairRate(O528,AllTriggers)</f>
        <v>2.0981930477664494E-2</v>
      </c>
      <c r="S528" s="491">
        <f t="shared" si="10"/>
        <v>3.0877799395631622E-5</v>
      </c>
    </row>
    <row r="529" spans="5:19" ht="11.25" customHeight="1" x14ac:dyDescent="0.2">
      <c r="E529" s="483"/>
      <c r="F529" s="483"/>
      <c r="G529" s="482"/>
      <c r="J529" s="482"/>
      <c r="K529" s="482"/>
      <c r="M529" s="497">
        <f>_xll.qlCalendarAdvance(Calendar,M528,"1M","f",,Trigger)</f>
        <v>58322</v>
      </c>
      <c r="N529" s="488">
        <f>_xll.qlCalendarAdvance(Calendar,M529,"3M","mf",,Trigger)</f>
        <v>58413</v>
      </c>
      <c r="O529" s="490" t="str">
        <f>_xll.qlMakeDatedOIS(,M529,N529,OvernightIndex,0,,,,EvaluationDate)</f>
        <v>obj_00787#0001</v>
      </c>
      <c r="P529" s="490" t="b">
        <f>_xll.qlInstrumentSetPricingEngine(O529,OisEngine)</f>
        <v>1</v>
      </c>
      <c r="Q529" s="489">
        <f>_xll.qlIndexFixing("euribor3m",_xll.qlInterestRateIndexFixingDate("Euribor3M",M529),TRUE,AllTriggers)</f>
        <v>2.1002412706898111E-2</v>
      </c>
      <c r="R529" s="489">
        <f>_xll.qlOvernightIndexedSwapFairRate(O529,AllTriggers)</f>
        <v>2.098132013304619E-2</v>
      </c>
      <c r="S529" s="491">
        <f t="shared" si="10"/>
        <v>2.1092573851921176E-5</v>
      </c>
    </row>
    <row r="530" spans="5:19" ht="11.25" customHeight="1" x14ac:dyDescent="0.2">
      <c r="E530" s="483"/>
      <c r="F530" s="483"/>
      <c r="G530" s="482"/>
      <c r="J530" s="482"/>
      <c r="K530" s="482"/>
      <c r="M530" s="497">
        <f>_xll.qlCalendarAdvance(Calendar,M529,"1M","f",,Trigger)</f>
        <v>58354</v>
      </c>
      <c r="N530" s="488">
        <f>_xll.qlCalendarAdvance(Calendar,M530,"3M","mf",,Trigger)</f>
        <v>58446</v>
      </c>
      <c r="O530" s="490" t="str">
        <f>_xll.qlMakeDatedOIS(,M530,N530,OvernightIndex,0,,,,EvaluationDate)</f>
        <v>obj_00788#0001</v>
      </c>
      <c r="P530" s="490" t="b">
        <f>_xll.qlInstrumentSetPricingEngine(O530,OisEngine)</f>
        <v>1</v>
      </c>
      <c r="Q530" s="489">
        <f>_xll.qlIndexFixing("euribor3m",_xll.qlInterestRateIndexFixingDate("Euribor3M",M530),TRUE,AllTriggers)</f>
        <v>2.0992804248341421E-2</v>
      </c>
      <c r="R530" s="489">
        <f>_xll.qlOvernightIndexedSwapFairRate(O530,AllTriggers)</f>
        <v>2.098193047766363E-2</v>
      </c>
      <c r="S530" s="491">
        <f t="shared" si="10"/>
        <v>1.0873770677790467E-5</v>
      </c>
    </row>
    <row r="531" spans="5:19" ht="11.25" customHeight="1" x14ac:dyDescent="0.2">
      <c r="E531" s="483"/>
      <c r="F531" s="483"/>
      <c r="G531" s="482"/>
      <c r="J531" s="482"/>
      <c r="K531" s="482"/>
      <c r="M531" s="497">
        <f>_xll.qlCalendarAdvance(Calendar,M530,"1M","f",,Trigger)</f>
        <v>58385</v>
      </c>
      <c r="N531" s="488">
        <f>_xll.qlCalendarAdvance(Calendar,M531,"3M","mf",,Trigger)</f>
        <v>58477</v>
      </c>
      <c r="O531" s="490" t="str">
        <f>_xll.qlMakeDatedOIS(,M531,N531,OvernightIndex,0,,,,EvaluationDate)</f>
        <v>obj_0078a#0001</v>
      </c>
      <c r="P531" s="490" t="b">
        <f>_xll.qlInstrumentSetPricingEngine(O531,OisEngine)</f>
        <v>1</v>
      </c>
      <c r="Q531" s="489">
        <f>_xll.qlIndexFixing("euribor3m",_xll.qlInterestRateIndexFixingDate("Euribor3M",M531),TRUE,AllTriggers)</f>
        <v>2.0983249091070789E-2</v>
      </c>
      <c r="R531" s="489">
        <f>_xll.qlOvernightIndexedSwapFairRate(O531,AllTriggers)</f>
        <v>2.0981930477664494E-2</v>
      </c>
      <c r="S531" s="491">
        <f t="shared" si="10"/>
        <v>1.3186134062946608E-6</v>
      </c>
    </row>
    <row r="532" spans="5:19" ht="11.25" customHeight="1" x14ac:dyDescent="0.2">
      <c r="E532" s="483"/>
      <c r="F532" s="483"/>
      <c r="G532" s="482"/>
      <c r="J532" s="482"/>
      <c r="K532" s="482"/>
      <c r="M532" s="497">
        <f>_xll.qlCalendarAdvance(Calendar,M531,"1M","f",,Trigger)</f>
        <v>58417</v>
      </c>
      <c r="N532" s="488">
        <f>_xll.qlCalendarAdvance(Calendar,M532,"3M","mf",,Trigger)</f>
        <v>58508</v>
      </c>
      <c r="O532" s="490" t="str">
        <f>_xll.qlMakeDatedOIS(,M532,N532,OvernightIndex,0,,,,EvaluationDate)</f>
        <v>obj_0078c#0001</v>
      </c>
      <c r="P532" s="490" t="b">
        <f>_xll.qlInstrumentSetPricingEngine(O532,OisEngine)</f>
        <v>1</v>
      </c>
      <c r="Q532" s="489">
        <f>_xll.qlIndexFixing("euribor3m",_xll.qlInterestRateIndexFixingDate("Euribor3M",M532),TRUE,AllTriggers)</f>
        <v>2.0973123082761936E-2</v>
      </c>
      <c r="R532" s="489">
        <f>_xll.qlOvernightIndexedSwapFairRate(O532,AllTriggers)</f>
        <v>2.098132013304619E-2</v>
      </c>
      <c r="S532" s="491">
        <f t="shared" si="10"/>
        <v>-8.1970502842539095E-6</v>
      </c>
    </row>
    <row r="533" spans="5:19" ht="11.25" customHeight="1" x14ac:dyDescent="0.2">
      <c r="E533" s="483"/>
      <c r="F533" s="483"/>
      <c r="G533" s="482"/>
      <c r="J533" s="482"/>
      <c r="K533" s="482"/>
      <c r="M533" s="497">
        <f>_xll.qlCalendarAdvance(Calendar,M532,"1M","f",,Trigger)</f>
        <v>58448</v>
      </c>
      <c r="N533" s="488">
        <f>_xll.qlCalendarAdvance(Calendar,M533,"3M","mf",,Trigger)</f>
        <v>58539</v>
      </c>
      <c r="O533" s="490" t="str">
        <f>_xll.qlMakeDatedOIS(,M533,N533,OvernightIndex,0,,,,EvaluationDate)</f>
        <v>obj_0078d#0001</v>
      </c>
      <c r="P533" s="490" t="b">
        <f>_xll.qlInstrumentSetPricingEngine(O533,OisEngine)</f>
        <v>1</v>
      </c>
      <c r="Q533" s="489">
        <f>_xll.qlIndexFixing("euribor3m",_xll.qlInterestRateIndexFixingDate("Euribor3M",M533),TRUE,AllTriggers)</f>
        <v>2.0963951558136459E-2</v>
      </c>
      <c r="R533" s="489">
        <f>_xll.qlOvernightIndexedSwapFairRate(O533,AllTriggers)</f>
        <v>2.0981320133046193E-2</v>
      </c>
      <c r="S533" s="491">
        <f t="shared" si="10"/>
        <v>-1.7368574909734646E-5</v>
      </c>
    </row>
    <row r="534" spans="5:19" ht="11.25" customHeight="1" x14ac:dyDescent="0.2">
      <c r="E534" s="483"/>
      <c r="F534" s="483"/>
      <c r="G534" s="482"/>
      <c r="J534" s="482"/>
      <c r="K534" s="482"/>
      <c r="M534" s="497">
        <f>_xll.qlCalendarAdvance(Calendar,M533,"1M","f",,Trigger)</f>
        <v>58480</v>
      </c>
      <c r="N534" s="488">
        <f>_xll.qlCalendarAdvance(Calendar,M534,"3M","mf",,Trigger)</f>
        <v>58571</v>
      </c>
      <c r="O534" s="490" t="str">
        <f>_xll.qlMakeDatedOIS(,M534,N534,OvernightIndex,0,,,,EvaluationDate)</f>
        <v>obj_0078f#0001</v>
      </c>
      <c r="P534" s="490" t="b">
        <f>_xll.qlInstrumentSetPricingEngine(O534,OisEngine)</f>
        <v>1</v>
      </c>
      <c r="Q534" s="489">
        <f>_xll.qlIndexFixing("euribor3m",_xll.qlInterestRateIndexFixingDate("Euribor3M",M534),TRUE,AllTriggers)</f>
        <v>2.0954683474710467E-2</v>
      </c>
      <c r="R534" s="489">
        <f>_xll.qlOvernightIndexedSwapFairRate(O534,AllTriggers)</f>
        <v>2.0981320133045316E-2</v>
      </c>
      <c r="S534" s="491">
        <f t="shared" si="10"/>
        <v>-2.6636658334848462E-5</v>
      </c>
    </row>
    <row r="535" spans="5:19" ht="11.25" customHeight="1" x14ac:dyDescent="0.2">
      <c r="E535" s="483"/>
      <c r="F535" s="483"/>
      <c r="G535" s="482"/>
      <c r="J535" s="482"/>
      <c r="K535" s="482"/>
      <c r="M535" s="497">
        <f>_xll.qlCalendarAdvance(Calendar,M534,"1M","f",,Trigger)</f>
        <v>58509</v>
      </c>
      <c r="N535" s="488">
        <f>_xll.qlCalendarAdvance(Calendar,M535,"3M","mf",,Trigger)</f>
        <v>58601</v>
      </c>
      <c r="O535" s="490" t="str">
        <f>_xll.qlMakeDatedOIS(,M535,N535,OvernightIndex,0,,,,EvaluationDate)</f>
        <v>obj_00791#0001</v>
      </c>
      <c r="P535" s="490" t="b">
        <f>_xll.qlInstrumentSetPricingEngine(O535,OisEngine)</f>
        <v>1</v>
      </c>
      <c r="Q535" s="489">
        <f>_xll.qlIndexFixing("euribor3m",_xll.qlInterestRateIndexFixingDate("Euribor3M",M535),TRUE,AllTriggers)</f>
        <v>2.0946928630624619E-2</v>
      </c>
      <c r="R535" s="489">
        <f>_xll.qlOvernightIndexedSwapFairRate(O535,AllTriggers)</f>
        <v>2.0981930477664498E-2</v>
      </c>
      <c r="S535" s="491">
        <f t="shared" si="10"/>
        <v>-3.5001847039878992E-5</v>
      </c>
    </row>
    <row r="536" spans="5:19" ht="11.25" customHeight="1" x14ac:dyDescent="0.2">
      <c r="E536" s="483"/>
      <c r="F536" s="483"/>
      <c r="G536" s="482"/>
      <c r="J536" s="482"/>
      <c r="K536" s="482"/>
      <c r="M536" s="497">
        <f>_xll.qlCalendarAdvance(Calendar,M535,"1M","f",,Trigger)</f>
        <v>58540</v>
      </c>
      <c r="N536" s="488">
        <f>_xll.qlCalendarAdvance(Calendar,M536,"3M","mf",,Trigger)</f>
        <v>58631</v>
      </c>
      <c r="O536" s="490" t="str">
        <f>_xll.qlMakeDatedOIS(,M536,N536,OvernightIndex,0,,,,EvaluationDate)</f>
        <v>obj_00793#0001</v>
      </c>
      <c r="P536" s="490" t="b">
        <f>_xll.qlInstrumentSetPricingEngine(O536,OisEngine)</f>
        <v>1</v>
      </c>
      <c r="Q536" s="489">
        <f>_xll.qlIndexFixing("euribor3m",_xll.qlInterestRateIndexFixingDate("Euribor3M",M536),TRUE,AllTriggers)</f>
        <v>2.0937851507131611E-2</v>
      </c>
      <c r="R536" s="489">
        <f>_xll.qlOvernightIndexedSwapFairRate(O536,AllTriggers)</f>
        <v>2.0981320133046193E-2</v>
      </c>
      <c r="S536" s="491">
        <f t="shared" si="10"/>
        <v>-4.3468625914581949E-5</v>
      </c>
    </row>
    <row r="537" spans="5:19" ht="11.25" customHeight="1" x14ac:dyDescent="0.2">
      <c r="E537" s="483"/>
      <c r="F537" s="483"/>
      <c r="G537" s="482"/>
      <c r="J537" s="482"/>
      <c r="K537" s="482"/>
      <c r="M537" s="497">
        <f>_xll.qlCalendarAdvance(Calendar,M536,"1M","f",,Trigger)</f>
        <v>58571</v>
      </c>
      <c r="N537" s="488">
        <f>_xll.qlCalendarAdvance(Calendar,M537,"3M","mf",,Trigger)</f>
        <v>58663</v>
      </c>
      <c r="O537" s="490" t="str">
        <f>_xll.qlMakeDatedOIS(,M537,N537,OvernightIndex,0,,,,EvaluationDate)</f>
        <v>obj_00795#0001</v>
      </c>
      <c r="P537" s="490" t="b">
        <f>_xll.qlInstrumentSetPricingEngine(O537,OisEngine)</f>
        <v>1</v>
      </c>
      <c r="Q537" s="489">
        <f>_xll.qlIndexFixing("euribor3m",_xll.qlInterestRateIndexFixingDate("Euribor3M",M537),TRUE,AllTriggers)</f>
        <v>2.0929908483260953E-2</v>
      </c>
      <c r="R537" s="489">
        <f>_xll.qlOvernightIndexedSwapFairRate(O537,AllTriggers)</f>
        <v>2.0981930477665368E-2</v>
      </c>
      <c r="S537" s="491">
        <f t="shared" si="10"/>
        <v>-5.2021994404415767E-5</v>
      </c>
    </row>
    <row r="538" spans="5:19" ht="11.25" customHeight="1" x14ac:dyDescent="0.2">
      <c r="E538" s="483"/>
      <c r="F538" s="483"/>
      <c r="G538" s="482"/>
      <c r="J538" s="482"/>
      <c r="K538" s="482"/>
      <c r="M538" s="497">
        <f>_xll.qlCalendarAdvance(Calendar,M537,"1M","f",,Trigger)</f>
        <v>58602</v>
      </c>
      <c r="N538" s="488">
        <f>_xll.qlCalendarAdvance(Calendar,M538,"3M","mf",,Trigger)</f>
        <v>58694</v>
      </c>
      <c r="O538" s="490" t="str">
        <f>_xll.qlMakeDatedOIS(,M538,N538,OvernightIndex,0,,,,EvaluationDate)</f>
        <v>obj_00797#0001</v>
      </c>
      <c r="P538" s="490" t="b">
        <f>_xll.qlInstrumentSetPricingEngine(O538,OisEngine)</f>
        <v>1</v>
      </c>
      <c r="Q538" s="489">
        <f>_xll.qlIndexFixing("euribor3m",_xll.qlInterestRateIndexFixingDate("Euribor3M",M538),TRUE,AllTriggers)</f>
        <v>2.0921683425904881E-2</v>
      </c>
      <c r="R538" s="489">
        <f>_xll.qlOvernightIndexedSwapFairRate(O538,AllTriggers)</f>
        <v>2.0981930477665368E-2</v>
      </c>
      <c r="S538" s="491">
        <f t="shared" si="10"/>
        <v>-6.0247051760487641E-5</v>
      </c>
    </row>
    <row r="539" spans="5:19" ht="11.25" customHeight="1" x14ac:dyDescent="0.2">
      <c r="E539" s="483"/>
      <c r="F539" s="483"/>
      <c r="G539" s="482"/>
      <c r="J539" s="482"/>
      <c r="K539" s="482"/>
      <c r="M539" s="497">
        <f>_xll.qlCalendarAdvance(Calendar,M538,"1M","f",,Trigger)</f>
        <v>58634</v>
      </c>
      <c r="N539" s="488">
        <f>_xll.qlCalendarAdvance(Calendar,M539,"3M","mf",,Trigger)</f>
        <v>58726</v>
      </c>
      <c r="O539" s="490" t="str">
        <f>_xll.qlMakeDatedOIS(,M539,N539,OvernightIndex,0,,,,EvaluationDate)</f>
        <v>obj_00799#0001</v>
      </c>
      <c r="P539" s="490" t="b">
        <f>_xll.qlInstrumentSetPricingEngine(O539,OisEngine)</f>
        <v>1</v>
      </c>
      <c r="Q539" s="489">
        <f>_xll.qlIndexFixing("euribor3m",_xll.qlInterestRateIndexFixingDate("Euribor3M",M539),TRUE,AllTriggers)</f>
        <v>2.0913392346249875E-2</v>
      </c>
      <c r="R539" s="489">
        <f>_xll.qlOvernightIndexedSwapFairRate(O539,AllTriggers)</f>
        <v>2.0981930477664505E-2</v>
      </c>
      <c r="S539" s="491">
        <f t="shared" si="10"/>
        <v>-6.8538131414629111E-5</v>
      </c>
    </row>
    <row r="540" spans="5:19" ht="11.25" customHeight="1" x14ac:dyDescent="0.2">
      <c r="E540" s="483"/>
      <c r="F540" s="483"/>
      <c r="G540" s="482"/>
      <c r="J540" s="482"/>
      <c r="K540" s="482"/>
      <c r="M540" s="497">
        <f>_xll.qlCalendarAdvance(Calendar,M539,"1M","f",,Trigger)</f>
        <v>58665</v>
      </c>
      <c r="N540" s="488">
        <f>_xll.qlCalendarAdvance(Calendar,M540,"3M","mf",,Trigger)</f>
        <v>58757</v>
      </c>
      <c r="O540" s="490" t="str">
        <f>_xll.qlMakeDatedOIS(,M540,N540,OvernightIndex,0,,,,EvaluationDate)</f>
        <v>obj_0079a#0001</v>
      </c>
      <c r="P540" s="490" t="b">
        <f>_xll.qlInstrumentSetPricingEngine(O540,OisEngine)</f>
        <v>1</v>
      </c>
      <c r="Q540" s="489">
        <f>_xll.qlIndexFixing("euribor3m",_xll.qlInterestRateIndexFixingDate("Euribor3M",M540),TRUE,AllTriggers)</f>
        <v>2.0905553435577994E-2</v>
      </c>
      <c r="R540" s="489">
        <f>_xll.qlOvernightIndexedSwapFairRate(O540,AllTriggers)</f>
        <v>2.0981930477664498E-2</v>
      </c>
      <c r="S540" s="491">
        <f t="shared" si="10"/>
        <v>-7.6377042086503422E-5</v>
      </c>
    </row>
    <row r="541" spans="5:19" ht="11.25" customHeight="1" x14ac:dyDescent="0.2">
      <c r="E541" s="483"/>
      <c r="F541" s="483"/>
      <c r="G541" s="482"/>
      <c r="J541" s="482"/>
      <c r="K541" s="482"/>
      <c r="M541" s="497">
        <f>_xll.qlCalendarAdvance(Calendar,M540,"1M","f",,Trigger)</f>
        <v>58697</v>
      </c>
      <c r="N541" s="488">
        <f>_xll.qlCalendarAdvance(Calendar,M541,"3M","mf",,Trigger)</f>
        <v>58788</v>
      </c>
      <c r="O541" s="490" t="str">
        <f>_xll.qlMakeDatedOIS(,M541,N541,OvernightIndex,0,,,,EvaluationDate)</f>
        <v>obj_0079c#0001</v>
      </c>
      <c r="P541" s="490" t="b">
        <f>_xll.qlInstrumentSetPricingEngine(O541,OisEngine)</f>
        <v>1</v>
      </c>
      <c r="Q541" s="489">
        <f>_xll.qlIndexFixing("euribor3m",_xll.qlInterestRateIndexFixingDate("Euribor3M",M541),TRUE,AllTriggers)</f>
        <v>2.0897175748827178E-2</v>
      </c>
      <c r="R541" s="489">
        <f>_xll.qlOvernightIndexedSwapFairRate(O541,AllTriggers)</f>
        <v>2.0981320133046193E-2</v>
      </c>
      <c r="S541" s="491">
        <f t="shared" si="10"/>
        <v>-8.4144384219015517E-5</v>
      </c>
    </row>
    <row r="542" spans="5:19" ht="11.25" customHeight="1" x14ac:dyDescent="0.2">
      <c r="E542" s="483"/>
      <c r="F542" s="483"/>
      <c r="G542" s="482"/>
      <c r="J542" s="482"/>
      <c r="K542" s="482"/>
      <c r="M542" s="497">
        <f>_xll.qlCalendarAdvance(Calendar,M541,"1M","f",,Trigger)</f>
        <v>58727</v>
      </c>
      <c r="N542" s="488">
        <f>_xll.qlCalendarAdvance(Calendar,M542,"3M","mf",,Trigger)</f>
        <v>58819</v>
      </c>
      <c r="O542" s="490" t="str">
        <f>_xll.qlMakeDatedOIS(,M542,N542,OvernightIndex,0,,,,EvaluationDate)</f>
        <v>obj_0079d#0001</v>
      </c>
      <c r="P542" s="490" t="b">
        <f>_xll.qlInstrumentSetPricingEngine(O542,OisEngine)</f>
        <v>1</v>
      </c>
      <c r="Q542" s="489">
        <f>_xll.qlIndexFixing("euribor3m",_xll.qlInterestRateIndexFixingDate("Euribor3M",M542),TRUE,AllTriggers)</f>
        <v>2.0890445633976077E-2</v>
      </c>
      <c r="R542" s="489">
        <f>_xll.qlOvernightIndexedSwapFairRate(O542,AllTriggers)</f>
        <v>2.0981930477664498E-2</v>
      </c>
      <c r="S542" s="491">
        <f t="shared" si="10"/>
        <v>-9.1484843688420525E-5</v>
      </c>
    </row>
    <row r="543" spans="5:19" ht="11.25" customHeight="1" x14ac:dyDescent="0.2">
      <c r="E543" s="483"/>
      <c r="F543" s="483"/>
      <c r="G543" s="482"/>
      <c r="J543" s="482"/>
      <c r="K543" s="482"/>
      <c r="M543" s="497">
        <f>_xll.qlCalendarAdvance(Calendar,M542,"1M","f",,Trigger)</f>
        <v>58760</v>
      </c>
      <c r="N543" s="488">
        <f>_xll.qlCalendarAdvance(Calendar,M543,"3M","mf",,Trigger)</f>
        <v>58852</v>
      </c>
      <c r="O543" s="490" t="str">
        <f>_xll.qlMakeDatedOIS(,M543,N543,OvernightIndex,0,,,,EvaluationDate)</f>
        <v>obj_0079f#0001</v>
      </c>
      <c r="P543" s="490" t="b">
        <f>_xll.qlInstrumentSetPricingEngine(O543,OisEngine)</f>
        <v>1</v>
      </c>
      <c r="Q543" s="489">
        <f>_xll.qlIndexFixing("euribor3m",_xll.qlInterestRateIndexFixingDate("Euribor3M",M543),TRUE,AllTriggers)</f>
        <v>2.0882714304600244E-2</v>
      </c>
      <c r="R543" s="489">
        <f>_xll.qlOvernightIndexedSwapFairRate(O543,AllTriggers)</f>
        <v>2.0981930477664494E-2</v>
      </c>
      <c r="S543" s="491">
        <f t="shared" si="10"/>
        <v>-9.9216173064249624E-5</v>
      </c>
    </row>
    <row r="544" spans="5:19" ht="11.25" customHeight="1" x14ac:dyDescent="0.2">
      <c r="E544" s="483"/>
      <c r="F544" s="483"/>
      <c r="G544" s="482"/>
      <c r="J544" s="482"/>
      <c r="K544" s="482"/>
      <c r="M544" s="497">
        <f>_xll.qlCalendarAdvance(Calendar,M543,"1M","f",,Trigger)</f>
        <v>58790</v>
      </c>
      <c r="N544" s="488">
        <f>_xll.qlCalendarAdvance(Calendar,M544,"3M","mf",,Trigger)</f>
        <v>58880</v>
      </c>
      <c r="O544" s="490" t="str">
        <f>_xll.qlMakeDatedOIS(,M544,N544,OvernightIndex,0,,,,EvaluationDate)</f>
        <v>obj_007a1#0001</v>
      </c>
      <c r="P544" s="490" t="b">
        <f>_xll.qlInstrumentSetPricingEngine(O544,OisEngine)</f>
        <v>1</v>
      </c>
      <c r="Q544" s="489">
        <f>_xll.qlIndexFixing("euribor3m",_xll.qlInterestRateIndexFixingDate("Euribor3M",M544),TRUE,AllTriggers)</f>
        <v>2.0874886459653297E-2</v>
      </c>
      <c r="R544" s="489">
        <f>_xll.qlOvernightIndexedSwapFairRate(O544,AllTriggers)</f>
        <v>2.0980709812088882E-2</v>
      </c>
      <c r="S544" s="491">
        <f t="shared" si="10"/>
        <v>-1.058233524355856E-4</v>
      </c>
    </row>
    <row r="545" spans="5:19" ht="11.25" customHeight="1" x14ac:dyDescent="0.2">
      <c r="E545" s="483"/>
      <c r="F545" s="483"/>
      <c r="G545" s="482"/>
      <c r="J545" s="482"/>
      <c r="K545" s="482"/>
      <c r="M545" s="497">
        <f>_xll.qlCalendarAdvance(Calendar,M544,"1M","f",,Trigger)</f>
        <v>58823</v>
      </c>
      <c r="N545" s="488">
        <f>_xll.qlCalendarAdvance(Calendar,M545,"3M","mf",,Trigger)</f>
        <v>58914</v>
      </c>
      <c r="O545" s="490" t="str">
        <f>_xll.qlMakeDatedOIS(,M545,N545,OvernightIndex,0,,,,EvaluationDate)</f>
        <v>obj_007a3#0001</v>
      </c>
      <c r="P545" s="490" t="b">
        <f>_xll.qlInstrumentSetPricingEngine(O545,OisEngine)</f>
        <v>1</v>
      </c>
      <c r="Q545" s="489">
        <f>_xll.qlIndexFixing("euribor3m",_xll.qlInterestRateIndexFixingDate("Euribor3M",M545),TRUE,AllTriggers)</f>
        <v>2.0868056402664703E-2</v>
      </c>
      <c r="R545" s="489">
        <f>_xll.qlOvernightIndexedSwapFairRate(O545,AllTriggers)</f>
        <v>2.0981320133046193E-2</v>
      </c>
      <c r="S545" s="491">
        <f t="shared" si="10"/>
        <v>-1.1326373038149026E-4</v>
      </c>
    </row>
    <row r="546" spans="5:19" ht="11.25" customHeight="1" x14ac:dyDescent="0.2">
      <c r="E546" s="483"/>
      <c r="F546" s="483"/>
      <c r="G546" s="482"/>
      <c r="J546" s="482"/>
      <c r="K546" s="482"/>
      <c r="M546" s="497">
        <f>_xll.qlCalendarAdvance(Calendar,M545,"1M","f",,Trigger)</f>
        <v>58854</v>
      </c>
      <c r="N546" s="488">
        <f>_xll.qlCalendarAdvance(Calendar,M546,"3M","mf",,Trigger)</f>
        <v>58943</v>
      </c>
      <c r="O546" s="490" t="str">
        <f>_xll.qlMakeDatedOIS(,M546,N546,OvernightIndex,0,,,,EvaluationDate)</f>
        <v>obj_007a5#0001</v>
      </c>
      <c r="P546" s="490" t="b">
        <f>_xll.qlInstrumentSetPricingEngine(O546,OisEngine)</f>
        <v>1</v>
      </c>
      <c r="Q546" s="489">
        <f>_xll.qlIndexFixing("euribor3m",_xll.qlInterestRateIndexFixingDate("Euribor3M",M546),TRUE,AllTriggers)</f>
        <v>2.0860376143486743E-2</v>
      </c>
      <c r="R546" s="489">
        <f>_xll.qlOvernightIndexedSwapFairRate(O546,AllTriggers)</f>
        <v>2.0980099514792565E-2</v>
      </c>
      <c r="S546" s="491">
        <f t="shared" si="10"/>
        <v>-1.1972337130582156E-4</v>
      </c>
    </row>
    <row r="547" spans="5:19" ht="11.25" customHeight="1" x14ac:dyDescent="0.2">
      <c r="E547" s="483"/>
      <c r="F547" s="483"/>
      <c r="G547" s="482"/>
      <c r="J547" s="482"/>
      <c r="K547" s="482"/>
      <c r="M547" s="497">
        <f>_xll.qlCalendarAdvance(Calendar,M546,"1M","f",,Trigger)</f>
        <v>58882</v>
      </c>
      <c r="N547" s="488">
        <f>_xll.qlCalendarAdvance(Calendar,M547,"3M","mf",,Trigger)</f>
        <v>58974</v>
      </c>
      <c r="O547" s="490" t="str">
        <f>_xll.qlMakeDatedOIS(,M547,N547,OvernightIndex,0,,,,EvaluationDate)</f>
        <v>obj_007a7#0001</v>
      </c>
      <c r="P547" s="490" t="b">
        <f>_xll.qlInstrumentSetPricingEngine(O547,OisEngine)</f>
        <v>1</v>
      </c>
      <c r="Q547" s="489">
        <f>_xll.qlIndexFixing("euribor3m",_xll.qlInterestRateIndexFixingDate("Euribor3M",M547),TRUE,AllTriggers)</f>
        <v>2.0856001195326077E-2</v>
      </c>
      <c r="R547" s="489">
        <f>_xll.qlOvernightIndexedSwapFairRate(O547,AllTriggers)</f>
        <v>2.0981930477665368E-2</v>
      </c>
      <c r="S547" s="491">
        <f t="shared" si="10"/>
        <v>-1.2592928233929115E-4</v>
      </c>
    </row>
    <row r="548" spans="5:19" ht="11.25" customHeight="1" x14ac:dyDescent="0.2">
      <c r="E548" s="483"/>
      <c r="F548" s="483"/>
      <c r="G548" s="482"/>
      <c r="J548" s="482"/>
      <c r="K548" s="482"/>
      <c r="M548" s="497">
        <f>_xll.qlCalendarAdvance(Calendar,M547,"1M","f",,Trigger)</f>
        <v>58914</v>
      </c>
      <c r="N548" s="488">
        <f>_xll.qlCalendarAdvance(Calendar,M548,"3M","mf",,Trigger)</f>
        <v>59005</v>
      </c>
      <c r="O548" s="490" t="str">
        <f>_xll.qlMakeDatedOIS(,M548,N548,OvernightIndex,0,,,,EvaluationDate)</f>
        <v>obj_007a8#0001</v>
      </c>
      <c r="P548" s="490" t="b">
        <f>_xll.qlInstrumentSetPricingEngine(O548,OisEngine)</f>
        <v>1</v>
      </c>
      <c r="Q548" s="489">
        <f>_xll.qlIndexFixing("euribor3m",_xll.qlInterestRateIndexFixingDate("Euribor3M",M548),TRUE,AllTriggers)</f>
        <v>2.0848977766904246E-2</v>
      </c>
      <c r="R548" s="489">
        <f>_xll.qlOvernightIndexedSwapFairRate(O548,AllTriggers)</f>
        <v>2.0981320133046193E-2</v>
      </c>
      <c r="S548" s="491">
        <f t="shared" si="10"/>
        <v>-1.3234236614194719E-4</v>
      </c>
    </row>
    <row r="549" spans="5:19" ht="11.25" customHeight="1" x14ac:dyDescent="0.2">
      <c r="E549" s="483"/>
      <c r="F549" s="483"/>
      <c r="G549" s="482"/>
      <c r="J549" s="482"/>
      <c r="K549" s="482"/>
      <c r="M549" s="497">
        <f>_xll.qlCalendarAdvance(Calendar,M548,"1M","f",,Trigger)</f>
        <v>58944</v>
      </c>
      <c r="N549" s="488">
        <f>_xll.qlCalendarAdvance(Calendar,M549,"3M","mf",,Trigger)</f>
        <v>59036</v>
      </c>
      <c r="O549" s="490" t="str">
        <f>_xll.qlMakeDatedOIS(,M549,N549,OvernightIndex,0,,,,EvaluationDate)</f>
        <v>obj_007aa#0001</v>
      </c>
      <c r="P549" s="490" t="b">
        <f>_xll.qlInstrumentSetPricingEngine(O549,OisEngine)</f>
        <v>1</v>
      </c>
      <c r="Q549" s="489">
        <f>_xll.qlIndexFixing("euribor3m",_xll.qlInterestRateIndexFixingDate("Euribor3M",M549),TRUE,AllTriggers)</f>
        <v>2.0843553425048934E-2</v>
      </c>
      <c r="R549" s="489">
        <f>_xll.qlOvernightIndexedSwapFairRate(O549,AllTriggers)</f>
        <v>2.0981930477665368E-2</v>
      </c>
      <c r="S549" s="491">
        <f t="shared" si="10"/>
        <v>-1.3837705261643407E-4</v>
      </c>
    </row>
    <row r="550" spans="5:19" ht="11.25" customHeight="1" x14ac:dyDescent="0.2">
      <c r="E550" s="483"/>
      <c r="F550" s="483"/>
      <c r="G550" s="482"/>
      <c r="J550" s="482"/>
      <c r="K550" s="482"/>
      <c r="M550" s="497">
        <f>_xll.qlCalendarAdvance(Calendar,M549,"1M","f",,Trigger)</f>
        <v>58977</v>
      </c>
      <c r="N550" s="488">
        <f>_xll.qlCalendarAdvance(Calendar,M550,"3M","mf",,Trigger)</f>
        <v>59069</v>
      </c>
      <c r="O550" s="490" t="str">
        <f>_xll.qlMakeDatedOIS(,M550,N550,OvernightIndex,0,,,,EvaluationDate)</f>
        <v>obj_007ab#0001</v>
      </c>
      <c r="P550" s="490" t="b">
        <f>_xll.qlInstrumentSetPricingEngine(O550,OisEngine)</f>
        <v>1</v>
      </c>
      <c r="Q550" s="489">
        <f>_xll.qlIndexFixing("euribor3m",_xll.qlInterestRateIndexFixingDate("Euribor3M",M550),TRUE,AllTriggers)</f>
        <v>2.083723790761904E-2</v>
      </c>
      <c r="R550" s="489">
        <f>_xll.qlOvernightIndexedSwapFairRate(O550,AllTriggers)</f>
        <v>2.0981930477664498E-2</v>
      </c>
      <c r="S550" s="491">
        <f t="shared" si="10"/>
        <v>-1.446925700454571E-4</v>
      </c>
    </row>
    <row r="551" spans="5:19" ht="11.25" customHeight="1" x14ac:dyDescent="0.2">
      <c r="E551" s="483"/>
      <c r="F551" s="483"/>
      <c r="G551" s="482"/>
      <c r="J551" s="482"/>
      <c r="K551" s="482"/>
      <c r="M551" s="497">
        <f>_xll.qlCalendarAdvance(Calendar,M550,"1M","f",,Trigger)</f>
        <v>59007</v>
      </c>
      <c r="N551" s="488">
        <f>_xll.qlCalendarAdvance(Calendar,M551,"3M","mf",,Trigger)</f>
        <v>59099</v>
      </c>
      <c r="O551" s="490" t="str">
        <f>_xll.qlMakeDatedOIS(,M551,N551,OvernightIndex,0,,,,EvaluationDate)</f>
        <v>obj_007ad#0001</v>
      </c>
      <c r="P551" s="490" t="b">
        <f>_xll.qlInstrumentSetPricingEngine(O551,OisEngine)</f>
        <v>1</v>
      </c>
      <c r="Q551" s="489">
        <f>_xll.qlIndexFixing("euribor3m",_xll.qlInterestRateIndexFixingDate("Euribor3M",M551),TRUE,AllTriggers)</f>
        <v>2.0831683361893061E-2</v>
      </c>
      <c r="R551" s="489">
        <f>_xll.qlOvernightIndexedSwapFairRate(O551,AllTriggers)</f>
        <v>2.0981930477664498E-2</v>
      </c>
      <c r="S551" s="491">
        <f t="shared" si="10"/>
        <v>-1.5024711577143676E-4</v>
      </c>
    </row>
    <row r="552" spans="5:19" ht="11.25" customHeight="1" x14ac:dyDescent="0.2">
      <c r="E552" s="483"/>
      <c r="F552" s="483"/>
      <c r="G552" s="482"/>
      <c r="J552" s="482"/>
      <c r="K552" s="482"/>
      <c r="M552" s="497">
        <f>_xll.qlCalendarAdvance(Calendar,M551,"1M","f",,Trigger)</f>
        <v>59040</v>
      </c>
      <c r="N552" s="488">
        <f>_xll.qlCalendarAdvance(Calendar,M552,"3M","mf",,Trigger)</f>
        <v>59132</v>
      </c>
      <c r="O552" s="490" t="str">
        <f>_xll.qlMakeDatedOIS(,M552,N552,OvernightIndex,0,,,,EvaluationDate)</f>
        <v>obj_007af#0001</v>
      </c>
      <c r="P552" s="490" t="b">
        <f>_xll.qlInstrumentSetPricingEngine(O552,OisEngine)</f>
        <v>1</v>
      </c>
      <c r="Q552" s="489">
        <f>_xll.qlIndexFixing("euribor3m",_xll.qlInterestRateIndexFixingDate("Euribor3M",M552),TRUE,AllTriggers)</f>
        <v>2.0825778877796623E-2</v>
      </c>
      <c r="R552" s="489">
        <f>_xll.qlOvernightIndexedSwapFairRate(O552,AllTriggers)</f>
        <v>2.0981930477664498E-2</v>
      </c>
      <c r="S552" s="491">
        <f t="shared" si="10"/>
        <v>-1.5615159986787433E-4</v>
      </c>
    </row>
    <row r="553" spans="5:19" ht="11.25" customHeight="1" x14ac:dyDescent="0.2">
      <c r="E553" s="483"/>
      <c r="F553" s="483"/>
      <c r="G553" s="482"/>
      <c r="J553" s="482"/>
      <c r="K553" s="482"/>
      <c r="M553" s="497">
        <f>_xll.qlCalendarAdvance(Calendar,M552,"1M","f",,Trigger)</f>
        <v>59071</v>
      </c>
      <c r="N553" s="488">
        <f>_xll.qlCalendarAdvance(Calendar,M553,"3M","mf",,Trigger)</f>
        <v>59162</v>
      </c>
      <c r="O553" s="490" t="str">
        <f>_xll.qlMakeDatedOIS(,M553,N553,OvernightIndex,0,,,,EvaluationDate)</f>
        <v>obj_007b1#0001</v>
      </c>
      <c r="P553" s="490" t="b">
        <f>_xll.qlInstrumentSetPricingEngine(O553,OisEngine)</f>
        <v>1</v>
      </c>
      <c r="Q553" s="489">
        <f>_xll.qlIndexFixing("euribor3m",_xll.qlInterestRateIndexFixingDate("Euribor3M",M553),TRUE,AllTriggers)</f>
        <v>2.0819910651127062E-2</v>
      </c>
      <c r="R553" s="489">
        <f>_xll.qlOvernightIndexedSwapFairRate(O553,AllTriggers)</f>
        <v>2.0981320133045312E-2</v>
      </c>
      <c r="S553" s="491">
        <f t="shared" si="10"/>
        <v>-1.6140948191824961E-4</v>
      </c>
    </row>
    <row r="554" spans="5:19" ht="11.25" customHeight="1" x14ac:dyDescent="0.2">
      <c r="E554" s="483"/>
      <c r="F554" s="483"/>
      <c r="G554" s="482"/>
      <c r="J554" s="482"/>
      <c r="K554" s="482"/>
      <c r="M554" s="497">
        <f>_xll.qlCalendarAdvance(Calendar,M553,"1M","f",,Trigger)</f>
        <v>59103</v>
      </c>
      <c r="N554" s="488">
        <f>_xll.qlCalendarAdvance(Calendar,M554,"3M","mf",,Trigger)</f>
        <v>59195</v>
      </c>
      <c r="O554" s="490" t="str">
        <f>_xll.qlMakeDatedOIS(,M554,N554,OvernightIndex,0,,,,EvaluationDate)</f>
        <v>obj_007b2#0001</v>
      </c>
      <c r="P554" s="490" t="b">
        <f>_xll.qlInstrumentSetPricingEngine(O554,OisEngine)</f>
        <v>1</v>
      </c>
      <c r="Q554" s="489">
        <f>_xll.qlIndexFixing("euribor3m",_xll.qlInterestRateIndexFixingDate("Euribor3M",M554),TRUE,AllTriggers)</f>
        <v>2.0815104542808535E-2</v>
      </c>
      <c r="R554" s="489">
        <f>_xll.qlOvernightIndexedSwapFairRate(O554,AllTriggers)</f>
        <v>2.0981930477665368E-2</v>
      </c>
      <c r="S554" s="491">
        <f t="shared" si="10"/>
        <v>-1.6682593485683322E-4</v>
      </c>
    </row>
    <row r="555" spans="5:19" ht="11.25" customHeight="1" x14ac:dyDescent="0.2">
      <c r="E555" s="483"/>
      <c r="F555" s="483"/>
      <c r="G555" s="482"/>
      <c r="J555" s="482"/>
      <c r="K555" s="482"/>
      <c r="M555" s="497">
        <f>_xll.qlCalendarAdvance(Calendar,M554,"1M","f",,Trigger)</f>
        <v>59134</v>
      </c>
      <c r="N555" s="488">
        <f>_xll.qlCalendarAdvance(Calendar,M555,"3M","mf",,Trigger)</f>
        <v>59226</v>
      </c>
      <c r="O555" s="490" t="str">
        <f>_xll.qlMakeDatedOIS(,M555,N555,OvernightIndex,0,,,,EvaluationDate)</f>
        <v>obj_007b4#0001</v>
      </c>
      <c r="P555" s="490" t="b">
        <f>_xll.qlInstrumentSetPricingEngine(O555,OisEngine)</f>
        <v>1</v>
      </c>
      <c r="Q555" s="489">
        <f>_xll.qlIndexFixing("euribor3m",_xll.qlInterestRateIndexFixingDate("Euribor3M",M555),TRUE,AllTriggers)</f>
        <v>2.0810140147832563E-2</v>
      </c>
      <c r="R555" s="489">
        <f>_xll.qlOvernightIndexedSwapFairRate(O555,AllTriggers)</f>
        <v>2.0981930477665372E-2</v>
      </c>
      <c r="S555" s="491">
        <f t="shared" si="10"/>
        <v>-1.7179032983280842E-4</v>
      </c>
    </row>
    <row r="556" spans="5:19" ht="11.25" customHeight="1" x14ac:dyDescent="0.2">
      <c r="E556" s="483"/>
      <c r="F556" s="483"/>
      <c r="G556" s="482"/>
      <c r="J556" s="482"/>
      <c r="K556" s="482"/>
      <c r="M556" s="497">
        <f>_xll.qlCalendarAdvance(Calendar,M555,"1M","f",,Trigger)</f>
        <v>59167</v>
      </c>
      <c r="N556" s="488">
        <f>_xll.qlCalendarAdvance(Calendar,M556,"3M","mf",,Trigger)</f>
        <v>59258</v>
      </c>
      <c r="O556" s="490" t="str">
        <f>_xll.qlMakeDatedOIS(,M556,N556,OvernightIndex,0,,,,EvaluationDate)</f>
        <v>obj_007b6#0001</v>
      </c>
      <c r="P556" s="490" t="b">
        <f>_xll.qlInstrumentSetPricingEngine(O556,OisEngine)</f>
        <v>1</v>
      </c>
      <c r="Q556" s="489">
        <f>_xll.qlIndexFixing("euribor3m",_xll.qlInterestRateIndexFixingDate("Euribor3M",M556),TRUE,AllTriggers)</f>
        <v>2.0804537926505006E-2</v>
      </c>
      <c r="R556" s="489">
        <f>_xll.qlOvernightIndexedSwapFairRate(O556,AllTriggers)</f>
        <v>2.0981320133045312E-2</v>
      </c>
      <c r="S556" s="491">
        <f t="shared" si="10"/>
        <v>-1.7678220654030602E-4</v>
      </c>
    </row>
    <row r="557" spans="5:19" ht="11.25" customHeight="1" x14ac:dyDescent="0.2">
      <c r="E557" s="483"/>
      <c r="F557" s="483"/>
      <c r="G557" s="482"/>
      <c r="J557" s="482"/>
      <c r="K557" s="482"/>
      <c r="M557" s="497">
        <f>_xll.qlCalendarAdvance(Calendar,M556,"1M","f",,Trigger)</f>
        <v>59198</v>
      </c>
      <c r="N557" s="488">
        <f>_xll.qlCalendarAdvance(Calendar,M557,"3M","mf",,Trigger)</f>
        <v>59288</v>
      </c>
      <c r="O557" s="490" t="str">
        <f>_xll.qlMakeDatedOIS(,M557,N557,OvernightIndex,0,,,,EvaluationDate)</f>
        <v>obj_007b8#0001</v>
      </c>
      <c r="P557" s="490" t="b">
        <f>_xll.qlInstrumentSetPricingEngine(O557,OisEngine)</f>
        <v>1</v>
      </c>
      <c r="Q557" s="489">
        <f>_xll.qlIndexFixing("euribor3m",_xll.qlInterestRateIndexFixingDate("Euribor3M",M557),TRUE,AllTriggers)</f>
        <v>2.0799433936260492E-2</v>
      </c>
      <c r="R557" s="489">
        <f>_xll.qlOvernightIndexedSwapFairRate(O557,AllTriggers)</f>
        <v>2.0980709812088882E-2</v>
      </c>
      <c r="S557" s="491">
        <f t="shared" si="10"/>
        <v>-1.8127587582839055E-4</v>
      </c>
    </row>
    <row r="558" spans="5:19" ht="11.25" customHeight="1" x14ac:dyDescent="0.2">
      <c r="E558" s="483"/>
      <c r="F558" s="483"/>
      <c r="G558" s="482"/>
      <c r="J558" s="482"/>
      <c r="K558" s="482"/>
      <c r="M558" s="497">
        <f>_xll.qlCalendarAdvance(Calendar,M557,"1M","f",,Trigger)</f>
        <v>59229</v>
      </c>
      <c r="N558" s="488">
        <f>_xll.qlCalendarAdvance(Calendar,M558,"3M","mf",,Trigger)</f>
        <v>59320</v>
      </c>
      <c r="O558" s="490" t="str">
        <f>_xll.qlMakeDatedOIS(,M558,N558,OvernightIndex,0,,,,EvaluationDate)</f>
        <v>obj_007b9#0001</v>
      </c>
      <c r="P558" s="490" t="b">
        <f>_xll.qlInstrumentSetPricingEngine(O558,OisEngine)</f>
        <v>1</v>
      </c>
      <c r="Q558" s="489">
        <f>_xll.qlIndexFixing("euribor3m",_xll.qlInterestRateIndexFixingDate("Euribor3M",M558),TRUE,AllTriggers)</f>
        <v>2.0795578002083263E-2</v>
      </c>
      <c r="R558" s="489">
        <f>_xll.qlOvernightIndexedSwapFairRate(O558,AllTriggers)</f>
        <v>2.0981320133045309E-2</v>
      </c>
      <c r="S558" s="491">
        <f t="shared" si="10"/>
        <v>-1.8574213096204592E-4</v>
      </c>
    </row>
    <row r="559" spans="5:19" ht="11.25" customHeight="1" x14ac:dyDescent="0.2">
      <c r="E559" s="483"/>
      <c r="F559" s="483"/>
      <c r="G559" s="482"/>
      <c r="J559" s="482"/>
      <c r="K559" s="482"/>
      <c r="M559" s="497">
        <f>_xll.qlCalendarAdvance(Calendar,M558,"1M","f",,Trigger)</f>
        <v>59258</v>
      </c>
      <c r="N559" s="488">
        <f>_xll.qlCalendarAdvance(Calendar,M559,"3M","mf",,Trigger)</f>
        <v>59350</v>
      </c>
      <c r="O559" s="490" t="str">
        <f>_xll.qlMakeDatedOIS(,M559,N559,OvernightIndex,0,,,,EvaluationDate)</f>
        <v>obj_007bb#0001</v>
      </c>
      <c r="P559" s="490" t="b">
        <f>_xll.qlInstrumentSetPricingEngine(O559,OisEngine)</f>
        <v>1</v>
      </c>
      <c r="Q559" s="489">
        <f>_xll.qlIndexFixing("euribor3m",_xll.qlInterestRateIndexFixingDate("Euribor3M",M559),TRUE,AllTriggers)</f>
        <v>2.079218249239425E-2</v>
      </c>
      <c r="R559" s="489">
        <f>_xll.qlOvernightIndexedSwapFairRate(O559,AllTriggers)</f>
        <v>2.0981930477664498E-2</v>
      </c>
      <c r="S559" s="491">
        <f t="shared" si="10"/>
        <v>-1.8974798527024786E-4</v>
      </c>
    </row>
    <row r="560" spans="5:19" ht="11.25" customHeight="1" x14ac:dyDescent="0.2">
      <c r="E560" s="483"/>
      <c r="F560" s="483"/>
      <c r="G560" s="482"/>
      <c r="J560" s="482"/>
      <c r="K560" s="482"/>
      <c r="M560" s="497">
        <f>_xll.qlCalendarAdvance(Calendar,M559,"1M","f",,Trigger)</f>
        <v>59289</v>
      </c>
      <c r="N560" s="488">
        <f>_xll.qlCalendarAdvance(Calendar,M560,"3M","mf",,Trigger)</f>
        <v>59380</v>
      </c>
      <c r="O560" s="490" t="str">
        <f>_xll.qlMakeDatedOIS(,M560,N560,OvernightIndex,0,,,,EvaluationDate)</f>
        <v>obj_007bd#0001</v>
      </c>
      <c r="P560" s="490" t="b">
        <f>_xll.qlInstrumentSetPricingEngine(O560,OisEngine)</f>
        <v>1</v>
      </c>
      <c r="Q560" s="489">
        <f>_xll.qlIndexFixing("euribor3m",_xll.qlInterestRateIndexFixingDate("Euribor3M",M560),TRUE,AllTriggers)</f>
        <v>2.0789243108601304E-2</v>
      </c>
      <c r="R560" s="489">
        <f>_xll.qlOvernightIndexedSwapFairRate(O560,AllTriggers)</f>
        <v>2.0981320133046193E-2</v>
      </c>
      <c r="S560" s="491">
        <f t="shared" si="10"/>
        <v>-1.9207702444488939E-4</v>
      </c>
    </row>
    <row r="561" spans="5:19" ht="11.25" customHeight="1" x14ac:dyDescent="0.2">
      <c r="E561" s="483"/>
      <c r="F561" s="483"/>
      <c r="G561" s="482"/>
      <c r="J561" s="482"/>
      <c r="K561" s="482"/>
      <c r="M561" s="497">
        <f>_xll.qlCalendarAdvance(Calendar,M560,"1M","f",,Trigger)</f>
        <v>59320</v>
      </c>
      <c r="N561" s="488">
        <f>_xll.qlCalendarAdvance(Calendar,M561,"3M","mf",,Trigger)</f>
        <v>59412</v>
      </c>
      <c r="O561" s="490" t="str">
        <f>_xll.qlMakeDatedOIS(,M561,N561,OvernightIndex,0,,,,EvaluationDate)</f>
        <v>obj_007be#0001</v>
      </c>
      <c r="P561" s="490" t="b">
        <f>_xll.qlInstrumentSetPricingEngine(O561,OisEngine)</f>
        <v>1</v>
      </c>
      <c r="Q561" s="489">
        <f>_xll.qlIndexFixing("euribor3m",_xll.qlInterestRateIndexFixingDate("Euribor3M",M561),TRUE,AllTriggers)</f>
        <v>2.0784343610348168E-2</v>
      </c>
      <c r="R561" s="489">
        <f>_xll.qlOvernightIndexedSwapFairRate(O561,AllTriggers)</f>
        <v>2.0981930477664494E-2</v>
      </c>
      <c r="S561" s="491">
        <f t="shared" si="10"/>
        <v>-1.9758686731632599E-4</v>
      </c>
    </row>
    <row r="562" spans="5:19" ht="11.25" customHeight="1" x14ac:dyDescent="0.2">
      <c r="E562" s="483"/>
      <c r="F562" s="483"/>
      <c r="G562" s="482"/>
      <c r="J562" s="482"/>
      <c r="K562" s="482"/>
      <c r="M562" s="497">
        <f>_xll.qlCalendarAdvance(Calendar,M561,"1M","f",,Trigger)</f>
        <v>59351</v>
      </c>
      <c r="N562" s="488">
        <f>_xll.qlCalendarAdvance(Calendar,M562,"3M","mf",,Trigger)</f>
        <v>59443</v>
      </c>
      <c r="O562" s="490" t="str">
        <f>_xll.qlMakeDatedOIS(,M562,N562,OvernightIndex,0,,,,EvaluationDate)</f>
        <v>obj_007c0#0001</v>
      </c>
      <c r="P562" s="490" t="b">
        <f>_xll.qlInstrumentSetPricingEngine(O562,OisEngine)</f>
        <v>1</v>
      </c>
      <c r="Q562" s="489">
        <f>_xll.qlIndexFixing("euribor3m",_xll.qlInterestRateIndexFixingDate("Euribor3M",M562),TRUE,AllTriggers)</f>
        <v>2.0780709153682977E-2</v>
      </c>
      <c r="R562" s="489">
        <f>_xll.qlOvernightIndexedSwapFairRate(O562,AllTriggers)</f>
        <v>2.0981930477664498E-2</v>
      </c>
      <c r="S562" s="491">
        <f t="shared" si="10"/>
        <v>-2.0122132398152012E-4</v>
      </c>
    </row>
    <row r="563" spans="5:19" ht="11.25" customHeight="1" x14ac:dyDescent="0.2">
      <c r="E563" s="483"/>
      <c r="F563" s="483"/>
      <c r="G563" s="482"/>
      <c r="J563" s="482"/>
      <c r="K563" s="482"/>
      <c r="M563" s="497">
        <f>_xll.qlCalendarAdvance(Calendar,M562,"1M","f",,Trigger)</f>
        <v>59383</v>
      </c>
      <c r="N563" s="488">
        <f>_xll.qlCalendarAdvance(Calendar,M563,"3M","mf",,Trigger)</f>
        <v>59475</v>
      </c>
      <c r="O563" s="490" t="str">
        <f>_xll.qlMakeDatedOIS(,M563,N563,OvernightIndex,0,,,,EvaluationDate)</f>
        <v>obj_007c2#0001</v>
      </c>
      <c r="P563" s="490" t="b">
        <f>_xll.qlInstrumentSetPricingEngine(O563,OisEngine)</f>
        <v>1</v>
      </c>
      <c r="Q563" s="489">
        <f>_xll.qlIndexFixing("euribor3m",_xll.qlInterestRateIndexFixingDate("Euribor3M",M563),TRUE,AllTriggers)</f>
        <v>2.0777156737194179E-2</v>
      </c>
      <c r="R563" s="489">
        <f>_xll.qlOvernightIndexedSwapFairRate(O563,AllTriggers)</f>
        <v>2.098193047766363E-2</v>
      </c>
      <c r="S563" s="491">
        <f t="shared" si="10"/>
        <v>-2.0477374046945149E-4</v>
      </c>
    </row>
    <row r="564" spans="5:19" ht="11.25" customHeight="1" x14ac:dyDescent="0.2">
      <c r="E564" s="483"/>
      <c r="F564" s="483"/>
      <c r="G564" s="482"/>
      <c r="J564" s="482"/>
      <c r="K564" s="482"/>
      <c r="M564" s="497">
        <f>_xll.qlCalendarAdvance(Calendar,M563,"1M","f",,Trigger)</f>
        <v>59414</v>
      </c>
      <c r="N564" s="488">
        <f>_xll.qlCalendarAdvance(Calendar,M564,"3M","mf",,Trigger)</f>
        <v>59505</v>
      </c>
      <c r="O564" s="490" t="str">
        <f>_xll.qlMakeDatedOIS(,M564,N564,OvernightIndex,0,,,,EvaluationDate)</f>
        <v>obj_007c4#0001</v>
      </c>
      <c r="P564" s="490" t="b">
        <f>_xll.qlInstrumentSetPricingEngine(O564,OisEngine)</f>
        <v>1</v>
      </c>
      <c r="Q564" s="489">
        <f>_xll.qlIndexFixing("euribor3m",_xll.qlInterestRateIndexFixingDate("Euribor3M",M564),TRUE,AllTriggers)</f>
        <v>2.077335944847971E-2</v>
      </c>
      <c r="R564" s="489">
        <f>_xll.qlOvernightIndexedSwapFairRate(O564,AllTriggers)</f>
        <v>2.0981320133046193E-2</v>
      </c>
      <c r="S564" s="491">
        <f t="shared" si="10"/>
        <v>-2.0796068456648345E-4</v>
      </c>
    </row>
    <row r="565" spans="5:19" ht="11.25" customHeight="1" x14ac:dyDescent="0.2">
      <c r="E565" s="483"/>
      <c r="F565" s="483"/>
      <c r="G565" s="482"/>
      <c r="J565" s="482"/>
      <c r="K565" s="482"/>
      <c r="M565" s="497">
        <f>_xll.qlCalendarAdvance(Calendar,M564,"1M","f",,Trigger)</f>
        <v>59446</v>
      </c>
      <c r="N565" s="488">
        <f>_xll.qlCalendarAdvance(Calendar,M565,"3M","mf",,Trigger)</f>
        <v>59538</v>
      </c>
      <c r="O565" s="490" t="str">
        <f>_xll.qlMakeDatedOIS(,M565,N565,OvernightIndex,0,,,,EvaluationDate)</f>
        <v>obj_007c6#0001</v>
      </c>
      <c r="P565" s="490" t="b">
        <f>_xll.qlInstrumentSetPricingEngine(O565,OisEngine)</f>
        <v>1</v>
      </c>
      <c r="Q565" s="489">
        <f>_xll.qlIndexFixing("euribor3m",_xll.qlInterestRateIndexFixingDate("Euribor3M",M565),TRUE,AllTriggers)</f>
        <v>2.0770754529778661E-2</v>
      </c>
      <c r="R565" s="489">
        <f>_xll.qlOvernightIndexedSwapFairRate(O565,AllTriggers)</f>
        <v>2.0981930477664498E-2</v>
      </c>
      <c r="S565" s="491">
        <f t="shared" si="10"/>
        <v>-2.1117594788583674E-4</v>
      </c>
    </row>
    <row r="566" spans="5:19" ht="11.25" customHeight="1" x14ac:dyDescent="0.2">
      <c r="E566" s="483"/>
      <c r="F566" s="483"/>
      <c r="G566" s="482"/>
      <c r="J566" s="482"/>
      <c r="K566" s="482"/>
      <c r="M566" s="497">
        <f>_xll.qlCalendarAdvance(Calendar,M565,"1M","f",,Trigger)</f>
        <v>59477</v>
      </c>
      <c r="N566" s="488">
        <f>_xll.qlCalendarAdvance(Calendar,M566,"3M","mf",,Trigger)</f>
        <v>59569</v>
      </c>
      <c r="O566" s="490" t="str">
        <f>_xll.qlMakeDatedOIS(,M566,N566,OvernightIndex,0,,,,EvaluationDate)</f>
        <v>obj_007c8#0001</v>
      </c>
      <c r="P566" s="490" t="b">
        <f>_xll.qlInstrumentSetPricingEngine(O566,OisEngine)</f>
        <v>1</v>
      </c>
      <c r="Q566" s="489">
        <f>_xll.qlIndexFixing("euribor3m",_xll.qlInterestRateIndexFixingDate("Euribor3M",M566),TRUE,AllTriggers)</f>
        <v>2.0767892282913925E-2</v>
      </c>
      <c r="R566" s="489">
        <f>_xll.qlOvernightIndexedSwapFairRate(O566,AllTriggers)</f>
        <v>2.0981930477664501E-2</v>
      </c>
      <c r="S566" s="491">
        <f t="shared" si="10"/>
        <v>-2.140381947505765E-4</v>
      </c>
    </row>
    <row r="567" spans="5:19" ht="11.25" customHeight="1" x14ac:dyDescent="0.2">
      <c r="E567" s="483"/>
      <c r="F567" s="483"/>
      <c r="G567" s="482"/>
      <c r="J567" s="482"/>
      <c r="K567" s="482"/>
      <c r="M567" s="497">
        <f>_xll.qlCalendarAdvance(Calendar,M566,"1M","f",,Trigger)</f>
        <v>59509</v>
      </c>
      <c r="N567" s="488">
        <f>_xll.qlCalendarAdvance(Calendar,M567,"3M","mf",,Trigger)</f>
        <v>59600</v>
      </c>
      <c r="O567" s="490" t="str">
        <f>_xll.qlMakeDatedOIS(,M567,N567,OvernightIndex,0,,,,EvaluationDate)</f>
        <v>obj_007ca#0001</v>
      </c>
      <c r="P567" s="490" t="b">
        <f>_xll.qlInstrumentSetPricingEngine(O567,OisEngine)</f>
        <v>1</v>
      </c>
      <c r="Q567" s="489">
        <f>_xll.qlIndexFixing("euribor3m",_xll.qlInterestRateIndexFixingDate("Euribor3M",M567),TRUE,AllTriggers)</f>
        <v>2.0764579160963758E-2</v>
      </c>
      <c r="R567" s="489">
        <f>_xll.qlOvernightIndexedSwapFairRate(O567,AllTriggers)</f>
        <v>2.0981320133046197E-2</v>
      </c>
      <c r="S567" s="491">
        <f t="shared" si="10"/>
        <v>-2.1674097208243884E-4</v>
      </c>
    </row>
    <row r="568" spans="5:19" ht="11.25" customHeight="1" x14ac:dyDescent="0.2">
      <c r="E568" s="483"/>
      <c r="F568" s="483"/>
      <c r="G568" s="482"/>
      <c r="J568" s="482"/>
      <c r="K568" s="482"/>
      <c r="M568" s="497">
        <f>_xll.qlCalendarAdvance(Calendar,M567,"1M","f",,Trigger)</f>
        <v>59540</v>
      </c>
      <c r="N568" s="488">
        <f>_xll.qlCalendarAdvance(Calendar,M568,"3M","mf",,Trigger)</f>
        <v>59630</v>
      </c>
      <c r="O568" s="490" t="str">
        <f>_xll.qlMakeDatedOIS(,M568,N568,OvernightIndex,0,,,,EvaluationDate)</f>
        <v>obj_007cc#0001</v>
      </c>
      <c r="P568" s="490" t="b">
        <f>_xll.qlInstrumentSetPricingEngine(O568,OisEngine)</f>
        <v>1</v>
      </c>
      <c r="Q568" s="489">
        <f>_xll.qlIndexFixing("euribor3m",_xll.qlInterestRateIndexFixingDate("Euribor3M",M568),TRUE,AllTriggers)</f>
        <v>2.0761539434210441E-2</v>
      </c>
      <c r="R568" s="489">
        <f>_xll.qlOvernightIndexedSwapFairRate(O568,AllTriggers)</f>
        <v>2.0980709812087994E-2</v>
      </c>
      <c r="S568" s="491">
        <f t="shared" si="10"/>
        <v>-2.1917037787755334E-4</v>
      </c>
    </row>
    <row r="569" spans="5:19" ht="11.25" customHeight="1" x14ac:dyDescent="0.2">
      <c r="E569" s="483"/>
      <c r="F569" s="483"/>
      <c r="G569" s="482"/>
      <c r="J569" s="482"/>
      <c r="K569" s="482"/>
      <c r="M569" s="497">
        <f>_xll.qlCalendarAdvance(Calendar,M568,"1M","f",,Trigger)</f>
        <v>59572</v>
      </c>
      <c r="N569" s="488">
        <f>_xll.qlCalendarAdvance(Calendar,M569,"3M","mf",,Trigger)</f>
        <v>59663</v>
      </c>
      <c r="O569" s="490" t="str">
        <f>_xll.qlMakeDatedOIS(,M569,N569,OvernightIndex,0,,,,EvaluationDate)</f>
        <v>obj_007ce#0001</v>
      </c>
      <c r="P569" s="490" t="b">
        <f>_xll.qlInstrumentSetPricingEngine(O569,OisEngine)</f>
        <v>1</v>
      </c>
      <c r="Q569" s="489">
        <f>_xll.qlIndexFixing("euribor3m",_xll.qlInterestRateIndexFixingDate("Euribor3M",M569),TRUE,AllTriggers)</f>
        <v>2.075974032491279E-2</v>
      </c>
      <c r="R569" s="489">
        <f>_xll.qlOvernightIndexedSwapFairRate(O569,AllTriggers)</f>
        <v>2.098132013304619E-2</v>
      </c>
      <c r="S569" s="491">
        <f t="shared" si="10"/>
        <v>-2.215798081334E-4</v>
      </c>
    </row>
    <row r="570" spans="5:19" ht="11.25" customHeight="1" x14ac:dyDescent="0.2">
      <c r="E570" s="483"/>
      <c r="F570" s="483"/>
      <c r="G570" s="482"/>
      <c r="J570" s="482"/>
      <c r="K570" s="482"/>
      <c r="M570" s="497">
        <f>_xll.qlCalendarAdvance(Calendar,M569,"1M","f",,Trigger)</f>
        <v>59600</v>
      </c>
      <c r="N570" s="488">
        <f>_xll.qlCalendarAdvance(Calendar,M570,"3M","mf",,Trigger)</f>
        <v>59692</v>
      </c>
      <c r="O570" s="490" t="str">
        <f>_xll.qlMakeDatedOIS(,M570,N570,OvernightIndex,0,,,,EvaluationDate)</f>
        <v>obj_007cf#0001</v>
      </c>
      <c r="P570" s="490" t="b">
        <f>_xll.qlInstrumentSetPricingEngine(O570,OisEngine)</f>
        <v>1</v>
      </c>
      <c r="Q570" s="489">
        <f>_xll.qlIndexFixing("euribor3m",_xll.qlInterestRateIndexFixingDate("Euribor3M",M570),TRUE,AllTriggers)</f>
        <v>2.0758408012480564E-2</v>
      </c>
      <c r="R570" s="489">
        <f>_xll.qlOvernightIndexedSwapFairRate(O570,AllTriggers)</f>
        <v>2.098193047766363E-2</v>
      </c>
      <c r="S570" s="491">
        <f t="shared" si="10"/>
        <v>-2.2352246518306598E-4</v>
      </c>
    </row>
    <row r="571" spans="5:19" ht="11.25" customHeight="1" x14ac:dyDescent="0.2">
      <c r="E571" s="483"/>
      <c r="F571" s="483"/>
      <c r="G571" s="482"/>
      <c r="J571" s="482"/>
      <c r="K571" s="482"/>
      <c r="M571" s="497">
        <f>_xll.qlCalendarAdvance(Calendar,M570,"1M","f",,Trigger)</f>
        <v>59631</v>
      </c>
      <c r="N571" s="488">
        <f>_xll.qlCalendarAdvance(Calendar,M571,"3M","mf",,Trigger)</f>
        <v>59722</v>
      </c>
      <c r="O571" s="490" t="str">
        <f>_xll.qlMakeDatedOIS(,M571,N571,OvernightIndex,0,,,,EvaluationDate)</f>
        <v>obj_007d1#0001</v>
      </c>
      <c r="P571" s="490" t="b">
        <f>_xll.qlInstrumentSetPricingEngine(O571,OisEngine)</f>
        <v>1</v>
      </c>
      <c r="Q571" s="489">
        <f>_xll.qlIndexFixing("euribor3m",_xll.qlInterestRateIndexFixingDate("Euribor3M",M571),TRUE,AllTriggers)</f>
        <v>2.0755920183756413E-2</v>
      </c>
      <c r="R571" s="489">
        <f>_xll.qlOvernightIndexedSwapFairRate(O571,AllTriggers)</f>
        <v>2.098132013304619E-2</v>
      </c>
      <c r="S571" s="491">
        <f t="shared" si="10"/>
        <v>-2.2539994928977639E-4</v>
      </c>
    </row>
    <row r="572" spans="5:19" ht="11.25" customHeight="1" x14ac:dyDescent="0.2">
      <c r="E572" s="483"/>
      <c r="F572" s="483"/>
      <c r="G572" s="482"/>
      <c r="J572" s="482"/>
      <c r="K572" s="482"/>
      <c r="M572" s="497">
        <f>_xll.qlCalendarAdvance(Calendar,M571,"1M","f",,Trigger)</f>
        <v>59663</v>
      </c>
      <c r="N572" s="488">
        <f>_xll.qlCalendarAdvance(Calendar,M572,"3M","mf",,Trigger)</f>
        <v>59755</v>
      </c>
      <c r="O572" s="490" t="str">
        <f>_xll.qlMakeDatedOIS(,M572,N572,OvernightIndex,0,,,,EvaluationDate)</f>
        <v>obj_007d3#0001</v>
      </c>
      <c r="P572" s="490" t="b">
        <f>_xll.qlInstrumentSetPricingEngine(O572,OisEngine)</f>
        <v>1</v>
      </c>
      <c r="Q572" s="489">
        <f>_xll.qlIndexFixing("euribor3m",_xll.qlInterestRateIndexFixingDate("Euribor3M",M572),TRUE,AllTriggers)</f>
        <v>2.0754708516212972E-2</v>
      </c>
      <c r="R572" s="489">
        <f>_xll.qlOvernightIndexedSwapFairRate(O572,AllTriggers)</f>
        <v>2.0981930477663627E-2</v>
      </c>
      <c r="S572" s="491">
        <f t="shared" si="10"/>
        <v>-2.2722196145065487E-4</v>
      </c>
    </row>
    <row r="573" spans="5:19" ht="11.25" customHeight="1" x14ac:dyDescent="0.2">
      <c r="E573" s="483"/>
      <c r="F573" s="483"/>
      <c r="G573" s="482"/>
      <c r="J573" s="482"/>
      <c r="K573" s="482"/>
      <c r="M573" s="497">
        <f>_xll.qlCalendarAdvance(Calendar,M572,"1M","f",,Trigger)</f>
        <v>59694</v>
      </c>
      <c r="N573" s="488">
        <f>_xll.qlCalendarAdvance(Calendar,M573,"3M","mf",,Trigger)</f>
        <v>59786</v>
      </c>
      <c r="O573" s="490" t="str">
        <f>_xll.qlMakeDatedOIS(,M573,N573,OvernightIndex,0,,,,EvaluationDate)</f>
        <v>obj_007d4#0001</v>
      </c>
      <c r="P573" s="490" t="b">
        <f>_xll.qlInstrumentSetPricingEngine(O573,OisEngine)</f>
        <v>1</v>
      </c>
      <c r="Q573" s="489">
        <f>_xll.qlIndexFixing("euribor3m",_xll.qlInterestRateIndexFixingDate("Euribor3M",M573),TRUE,AllTriggers)</f>
        <v>2.075317617120644E-2</v>
      </c>
      <c r="R573" s="489">
        <f>_xll.qlOvernightIndexedSwapFairRate(O573,AllTriggers)</f>
        <v>2.0981930477664494E-2</v>
      </c>
      <c r="S573" s="491">
        <f t="shared" si="10"/>
        <v>-2.2875430645805453E-4</v>
      </c>
    </row>
    <row r="574" spans="5:19" ht="11.25" customHeight="1" x14ac:dyDescent="0.2">
      <c r="E574" s="483"/>
      <c r="F574" s="483"/>
      <c r="G574" s="482"/>
      <c r="J574" s="482"/>
      <c r="K574" s="482"/>
      <c r="M574" s="497">
        <f>_xll.qlCalendarAdvance(Calendar,M573,"1M","f",,Trigger)</f>
        <v>59726</v>
      </c>
      <c r="N574" s="488">
        <f>_xll.qlCalendarAdvance(Calendar,M574,"3M","mf",,Trigger)</f>
        <v>59818</v>
      </c>
      <c r="O574" s="490" t="str">
        <f>_xll.qlMakeDatedOIS(,M574,N574,OvernightIndex,0,,,,EvaluationDate)</f>
        <v>obj_007d5#0001</v>
      </c>
      <c r="P574" s="490" t="b">
        <f>_xll.qlInstrumentSetPricingEngine(O574,OisEngine)</f>
        <v>1</v>
      </c>
      <c r="Q574" s="489">
        <f>_xll.qlIndexFixing("euribor3m",_xll.qlInterestRateIndexFixingDate("Euribor3M",M574),TRUE,AllTriggers)</f>
        <v>2.0751793672249386E-2</v>
      </c>
      <c r="R574" s="489">
        <f>_xll.qlOvernightIndexedSwapFairRate(O574,AllTriggers)</f>
        <v>2.0981930477665372E-2</v>
      </c>
      <c r="S574" s="491">
        <f t="shared" si="10"/>
        <v>-2.3013680541598622E-4</v>
      </c>
    </row>
    <row r="575" spans="5:19" ht="11.25" customHeight="1" x14ac:dyDescent="0.2">
      <c r="E575" s="483"/>
      <c r="F575" s="483"/>
      <c r="G575" s="482"/>
      <c r="J575" s="482"/>
      <c r="K575" s="482"/>
      <c r="M575" s="497">
        <f>_xll.qlCalendarAdvance(Calendar,M574,"1M","f",,Trigger)</f>
        <v>59757</v>
      </c>
      <c r="N575" s="488">
        <f>_xll.qlCalendarAdvance(Calendar,M575,"3M","mf",,Trigger)</f>
        <v>59849</v>
      </c>
      <c r="O575" s="490" t="str">
        <f>_xll.qlMakeDatedOIS(,M575,N575,OvernightIndex,0,,,,EvaluationDate)</f>
        <v>obj_007d7#0001</v>
      </c>
      <c r="P575" s="490" t="b">
        <f>_xll.qlInstrumentSetPricingEngine(O575,OisEngine)</f>
        <v>1</v>
      </c>
      <c r="Q575" s="489">
        <f>_xll.qlIndexFixing("euribor3m",_xll.qlInterestRateIndexFixingDate("Euribor3M",M575),TRUE,AllTriggers)</f>
        <v>2.0750647425326788E-2</v>
      </c>
      <c r="R575" s="489">
        <f>_xll.qlOvernightIndexedSwapFairRate(O575,AllTriggers)</f>
        <v>2.0981930477664501E-2</v>
      </c>
      <c r="S575" s="491">
        <f t="shared" si="10"/>
        <v>-2.3128305233771282E-4</v>
      </c>
    </row>
    <row r="576" spans="5:19" ht="11.25" customHeight="1" x14ac:dyDescent="0.2">
      <c r="E576" s="483"/>
      <c r="F576" s="483"/>
      <c r="G576" s="482"/>
      <c r="J576" s="482"/>
      <c r="K576" s="482"/>
      <c r="M576" s="497">
        <f>_xll.qlCalendarAdvance(Calendar,M575,"1M","f",,Trigger)</f>
        <v>59789</v>
      </c>
      <c r="N576" s="488">
        <f>_xll.qlCalendarAdvance(Calendar,M576,"3M","mf",,Trigger)</f>
        <v>59880</v>
      </c>
      <c r="O576" s="490" t="str">
        <f>_xll.qlMakeDatedOIS(,M576,N576,OvernightIndex,0,,,,EvaluationDate)</f>
        <v>obj_007d9#0001</v>
      </c>
      <c r="P576" s="490" t="b">
        <f>_xll.qlInstrumentSetPricingEngine(O576,OisEngine)</f>
        <v>1</v>
      </c>
      <c r="Q576" s="489">
        <f>_xll.qlIndexFixing("euribor3m",_xll.qlInterestRateIndexFixingDate("Euribor3M",M576),TRUE,AllTriggers)</f>
        <v>2.0749078869590692E-2</v>
      </c>
      <c r="R576" s="489">
        <f>_xll.qlOvernightIndexedSwapFairRate(O576,AllTriggers)</f>
        <v>2.0981320133044441E-2</v>
      </c>
      <c r="S576" s="491">
        <f t="shared" si="10"/>
        <v>-2.3224126345374949E-4</v>
      </c>
    </row>
    <row r="577" spans="5:19" ht="11.25" customHeight="1" x14ac:dyDescent="0.2">
      <c r="E577" s="483"/>
      <c r="F577" s="483"/>
      <c r="G577" s="482"/>
      <c r="J577" s="482"/>
      <c r="K577" s="482"/>
      <c r="M577" s="497">
        <f>_xll.qlCalendarAdvance(Calendar,M576,"1M","f",,Trigger)</f>
        <v>59819</v>
      </c>
      <c r="N577" s="488">
        <f>_xll.qlCalendarAdvance(Calendar,M577,"3M","mf",,Trigger)</f>
        <v>59911</v>
      </c>
      <c r="O577" s="490" t="str">
        <f>_xll.qlMakeDatedOIS(,M577,N577,OvernightIndex,0,,,,EvaluationDate)</f>
        <v>obj_007da#0001</v>
      </c>
      <c r="P577" s="490" t="b">
        <f>_xll.qlInstrumentSetPricingEngine(O577,OisEngine)</f>
        <v>1</v>
      </c>
      <c r="Q577" s="489">
        <f>_xll.qlIndexFixing("euribor3m",_xll.qlInterestRateIndexFixingDate("Euribor3M",M577),TRUE,AllTriggers)</f>
        <v>2.0748924884860871E-2</v>
      </c>
      <c r="R577" s="489">
        <f>_xll.qlOvernightIndexedSwapFairRate(O577,AllTriggers)</f>
        <v>2.0981930477664491E-2</v>
      </c>
      <c r="S577" s="491">
        <f t="shared" si="10"/>
        <v>-2.330055928036201E-4</v>
      </c>
    </row>
    <row r="578" spans="5:19" ht="11.25" customHeight="1" x14ac:dyDescent="0.2">
      <c r="M578" s="497">
        <f>_xll.qlCalendarAdvance(Calendar,M577,"1M","f",,Trigger)</f>
        <v>59852</v>
      </c>
      <c r="N578" s="488">
        <f>_xll.qlCalendarAdvance(Calendar,M578,"3M","mf",,Trigger)</f>
        <v>59944</v>
      </c>
      <c r="O578" s="490" t="str">
        <f>_xll.qlMakeDatedOIS(,M578,N578,OvernightIndex,0,,,,EvaluationDate)</f>
        <v>obj_007dc#0001</v>
      </c>
      <c r="P578" s="490" t="b">
        <f>_xll.qlInstrumentSetPricingEngine(O578,OisEngine)</f>
        <v>1</v>
      </c>
      <c r="Q578" s="489">
        <f>_xll.qlIndexFixing("euribor3m",_xll.qlInterestRateIndexFixingDate("Euribor3M",M578),TRUE,AllTriggers)</f>
        <v>2.0748317934732453E-2</v>
      </c>
      <c r="R578" s="489">
        <f>_xll.qlOvernightIndexedSwapFairRate(O578,AllTriggers)</f>
        <v>2.0981930477664498E-2</v>
      </c>
      <c r="S578" s="491">
        <f t="shared" si="10"/>
        <v>-2.3361254293204417E-4</v>
      </c>
    </row>
    <row r="579" spans="5:19" ht="11.25" customHeight="1" x14ac:dyDescent="0.2">
      <c r="M579" s="497">
        <f>_xll.qlCalendarAdvance(Calendar,M578,"1M","f",,Trigger)</f>
        <v>59882</v>
      </c>
      <c r="N579" s="488">
        <f>_xll.qlCalendarAdvance(Calendar,M579,"3M","mf",,Trigger)</f>
        <v>59973</v>
      </c>
      <c r="O579" s="490" t="str">
        <f>_xll.qlMakeDatedOIS(,M579,N579,OvernightIndex,0,,,,EvaluationDate)</f>
        <v>obj_007de#0001</v>
      </c>
      <c r="P579" s="490" t="b">
        <f>_xll.qlInstrumentSetPricingEngine(O579,OisEngine)</f>
        <v>1</v>
      </c>
      <c r="Q579" s="489">
        <f>_xll.qlIndexFixing("euribor3m",_xll.qlInterestRateIndexFixingDate("Euribor3M",M579),TRUE,AllTriggers)</f>
        <v>2.0747359279759285E-2</v>
      </c>
      <c r="R579" s="489">
        <f>_xll.qlOvernightIndexedSwapFairRate(O579,AllTriggers)</f>
        <v>2.0981320133045312E-2</v>
      </c>
      <c r="S579" s="491">
        <f t="shared" ref="S579:S581" si="11">Q579-R579</f>
        <v>-2.3396085328602698E-4</v>
      </c>
    </row>
    <row r="580" spans="5:19" ht="11.25" customHeight="1" x14ac:dyDescent="0.2">
      <c r="M580" s="497">
        <f>_xll.qlCalendarAdvance(Calendar,M579,"1M","f",,Trigger)</f>
        <v>59915</v>
      </c>
      <c r="N580" s="488">
        <f>_xll.qlCalendarAdvance(Calendar,M580,"3M","mf",,Trigger)</f>
        <v>60006</v>
      </c>
      <c r="O580" s="490" t="str">
        <f>_xll.qlMakeDatedOIS(,M580,N580,OvernightIndex,0,,,,EvaluationDate)</f>
        <v>obj_007e0#0001</v>
      </c>
      <c r="P580" s="490" t="b">
        <f>_xll.qlInstrumentSetPricingEngine(O580,OisEngine)</f>
        <v>1</v>
      </c>
      <c r="Q580" s="489">
        <f>_xll.qlIndexFixing("euribor3m",_xll.qlInterestRateIndexFixingDate("Euribor3M",M580),TRUE,AllTriggers)</f>
        <v>2.0747160085405086E-2</v>
      </c>
      <c r="R580" s="489">
        <f>_xll.qlOvernightIndexedSwapFairRate(O580,AllTriggers)</f>
        <v>2.0981320133044434E-2</v>
      </c>
      <c r="S580" s="491">
        <f t="shared" si="11"/>
        <v>-2.3416004763934795E-4</v>
      </c>
    </row>
    <row r="581" spans="5:19" ht="11.25" customHeight="1" thickBot="1" x14ac:dyDescent="0.25">
      <c r="M581" s="498">
        <f>_xll.qlCalendarAdvance(Calendar,M580,"1M","f",,Trigger)</f>
        <v>59946</v>
      </c>
      <c r="N581" s="493">
        <f>_xll.qlCalendarAdvance(Calendar,M581,"3M","mf",,Trigger)</f>
        <v>60036</v>
      </c>
      <c r="O581" s="490" t="str">
        <f>_xll.qlMakeDatedOIS(,M581,N581,OvernightIndex,0,,,,EvaluationDate)</f>
        <v>obj_007e2#0001</v>
      </c>
      <c r="P581" s="490" t="b">
        <f>_xll.qlInstrumentSetPricingEngine(O581,OisEngine)</f>
        <v>1</v>
      </c>
      <c r="Q581" s="489">
        <f>_xll.qlIndexFixing("euribor3m",_xll.qlInterestRateIndexFixingDate("Euribor3M",M581),TRUE,AllTriggers)</f>
        <v>2.0746569135434711E-2</v>
      </c>
      <c r="R581" s="489">
        <f>_xll.qlOvernightIndexedSwapFairRate(O581,AllTriggers)</f>
        <v>2.0980709812088882E-2</v>
      </c>
      <c r="S581" s="496">
        <f t="shared" si="11"/>
        <v>-2.3414067665417093E-4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workbookViewId="0"/>
  </sheetViews>
  <sheetFormatPr defaultColWidth="9.5" defaultRowHeight="11.25" outlineLevelCol="1" x14ac:dyDescent="0.2"/>
  <cols>
    <col min="1" max="1" width="2.33203125" style="381" bestFit="1" customWidth="1"/>
    <col min="2" max="2" width="1.6640625" style="381" customWidth="1"/>
    <col min="3" max="3" width="3.5" style="381" bestFit="1" customWidth="1"/>
    <col min="4" max="4" width="31.1640625" style="381" bestFit="1" customWidth="1"/>
    <col min="5" max="5" width="22.83203125" style="381" bestFit="1" customWidth="1"/>
    <col min="6" max="6" width="20.33203125" style="381" bestFit="1" customWidth="1"/>
    <col min="7" max="7" width="19" style="381" hidden="1" customWidth="1" outlineLevel="1"/>
    <col min="8" max="8" width="11.6640625" style="381" hidden="1" customWidth="1" outlineLevel="1"/>
    <col min="9" max="9" width="11.5" style="381" customWidth="1" collapsed="1"/>
    <col min="10" max="10" width="10.6640625" style="381" bestFit="1" customWidth="1"/>
    <col min="11" max="11" width="9.5" style="381" bestFit="1" customWidth="1"/>
    <col min="12" max="12" width="10.6640625" style="381" bestFit="1" customWidth="1"/>
    <col min="13" max="13" width="11.6640625" style="381" bestFit="1" customWidth="1"/>
    <col min="14" max="14" width="10.1640625" style="381" customWidth="1"/>
    <col min="15" max="15" width="12.83203125" style="381" bestFit="1" customWidth="1"/>
    <col min="16" max="16" width="12.83203125" style="381" hidden="1" customWidth="1" outlineLevel="1"/>
    <col min="17" max="17" width="7" style="381" customWidth="1" collapsed="1"/>
    <col min="18" max="18" width="13.1640625" style="381" customWidth="1"/>
    <col min="19" max="19" width="6.6640625" style="381" customWidth="1"/>
    <col min="20" max="21" width="7" style="381" customWidth="1"/>
    <col min="22" max="22" width="3.6640625" style="381" customWidth="1"/>
    <col min="23" max="23" width="10.6640625" style="381" bestFit="1" customWidth="1"/>
    <col min="24" max="24" width="3.1640625" style="381" customWidth="1"/>
    <col min="25" max="25" width="9.5" style="381" bestFit="1" customWidth="1"/>
    <col min="26" max="26" width="12.5" style="381" bestFit="1" customWidth="1"/>
    <col min="27" max="28" width="9.5" style="381" bestFit="1" customWidth="1"/>
    <col min="29" max="29" width="8.33203125" style="381" bestFit="1" customWidth="1"/>
    <col min="30" max="31" width="9.5" style="381"/>
    <col min="32" max="32" width="20.33203125" style="381" bestFit="1" customWidth="1"/>
    <col min="33" max="33" width="12.33203125" style="381" bestFit="1" customWidth="1"/>
    <col min="34" max="35" width="9.5" style="381" bestFit="1" customWidth="1"/>
    <col min="36" max="36" width="12.1640625" style="381" customWidth="1"/>
    <col min="37" max="16384" width="9.5" style="381"/>
  </cols>
  <sheetData>
    <row r="1" spans="1:36" ht="12" thickBot="1" x14ac:dyDescent="0.25"/>
    <row r="2" spans="1:36" ht="19.5" customHeight="1" x14ac:dyDescent="0.2">
      <c r="D2" s="442" t="s">
        <v>147</v>
      </c>
      <c r="E2" s="443" t="s">
        <v>126</v>
      </c>
      <c r="F2" s="443" t="s">
        <v>127</v>
      </c>
      <c r="G2" s="442" t="s">
        <v>189</v>
      </c>
      <c r="H2" s="443"/>
      <c r="I2" s="443" t="s">
        <v>105</v>
      </c>
      <c r="J2" s="443" t="s">
        <v>44</v>
      </c>
      <c r="K2" s="457"/>
      <c r="L2" s="457"/>
      <c r="M2" s="444"/>
      <c r="N2" s="443" t="s">
        <v>185</v>
      </c>
      <c r="P2" s="443" t="s">
        <v>191</v>
      </c>
      <c r="W2" s="513" t="s">
        <v>162</v>
      </c>
      <c r="AA2" s="534" t="s">
        <v>161</v>
      </c>
      <c r="AB2" s="534"/>
      <c r="AC2" s="534"/>
      <c r="AF2" s="442" t="s">
        <v>126</v>
      </c>
      <c r="AG2" s="442"/>
      <c r="AH2" s="443" t="s">
        <v>57</v>
      </c>
      <c r="AI2" s="443" t="s">
        <v>142</v>
      </c>
      <c r="AJ2" s="444" t="s">
        <v>143</v>
      </c>
    </row>
    <row r="3" spans="1:36" x14ac:dyDescent="0.2">
      <c r="D3" s="432" t="str">
        <f>$E$9&amp;"LastFixing"&amp;QuoteSuffix</f>
        <v>Euribor3MLastFixing_Quote</v>
      </c>
      <c r="E3" s="433">
        <f>_xll.qlCalendarAdvance(Calendar,_xll.qlLastFixingQuoteReferenceDate($D$3),_xll.qlInterestRateIndexFixingDays($E$9)&amp;"D","f",,LastFixingsTrigger)</f>
        <v>41891</v>
      </c>
      <c r="F3" s="433">
        <f>_xll.qlInterestRateIndexMaturity($E$9,E3)</f>
        <v>41982</v>
      </c>
      <c r="G3" s="432" t="str">
        <f>_xll.qlMakeDatedOIS(,E3,F3,OvernightIndex,0,,,,EvaluationDate)</f>
        <v>obj_00b1c#0001</v>
      </c>
      <c r="H3" s="433" t="b">
        <f>_xll.qlInstrumentSetPricingEngine(G3,OisEngine)</f>
        <v>1</v>
      </c>
      <c r="I3" s="434">
        <f>_xll.qlQuoteValue($D3,AllTriggers)</f>
        <v>1.0399999999999999E-3</v>
      </c>
      <c r="J3" s="435">
        <f>_xll.qlOvernightIndexedSwapFairRate(G3,_xll.ohTrigger(H3,InterestRatesTrigger))</f>
        <v>-6.9259739637077256E-4</v>
      </c>
      <c r="K3" s="458">
        <f>I3*_xll.qlDayCounterYearFraction(DayCounter3M,E3,F3,,,Trigger)</f>
        <v>2.6288888888888884E-4</v>
      </c>
      <c r="L3" s="458">
        <f>J3*_xll.qlDayCounterYearFraction(DayCounterOIS,E3,F3,,,Trigger)</f>
        <v>-1.7507323074927861E-4</v>
      </c>
      <c r="M3" s="469">
        <f>K3-L3</f>
        <v>4.3796211963816745E-4</v>
      </c>
      <c r="N3" s="469">
        <f>M3</f>
        <v>4.3796211963816745E-4</v>
      </c>
      <c r="P3" s="469" t="b">
        <f>IF(E14="FUT",FALSE,IF(E14="FIX+FUT",TRUE,FALSE))</f>
        <v>0</v>
      </c>
      <c r="R3" s="533" t="s">
        <v>155</v>
      </c>
      <c r="S3" s="449">
        <f t="array" ref="S3:S5">_xll.ohFilter(N10:N14,P10:P14)</f>
        <v>5.165642289839947E-3</v>
      </c>
      <c r="T3" s="450">
        <f t="array" ref="T3:T5">_xll.ohFilter(M10:M14,P10:P14)</f>
        <v>3.1079001688872208E-2</v>
      </c>
      <c r="U3" s="451">
        <f t="array" ref="U3:U5">_xll.ohFilter(L10:L14,P10:P14)</f>
        <v>0.24931506849315069</v>
      </c>
      <c r="V3" s="445"/>
      <c r="W3" s="453">
        <f t="array" ref="W3:W5">MMULT(AA3:AC5,Y3:Y5)</f>
        <v>2.2440687639630266E-4</v>
      </c>
      <c r="X3" s="454"/>
      <c r="Y3" s="434">
        <f t="array" ref="Y3:Y5">_xll.ohFilter(N3:N7,P3:P7)</f>
        <v>4.020875190190205E-4</v>
      </c>
      <c r="AA3" s="449">
        <f t="array" ref="AA3:AC5">MINVERSE(S3:U5)</f>
        <v>784.29160125588533</v>
      </c>
      <c r="AB3" s="450">
        <v>-844.95504002705889</v>
      </c>
      <c r="AC3" s="451">
        <v>61.337476979742142</v>
      </c>
      <c r="AF3" s="462">
        <f>SettlementDate</f>
        <v>41892</v>
      </c>
      <c r="AG3" s="476">
        <f>_xll.qlDayCounterYearFraction(DayCounterON,SettlementDate,AF3,,,Trigger)</f>
        <v>0</v>
      </c>
      <c r="AH3" s="463">
        <f t="shared" ref="AH3:AH66" si="0">$W$13</f>
        <v>1.6127686202411261E-3</v>
      </c>
      <c r="AI3" s="463">
        <f t="shared" ref="AI3:AI66" si="1">$W$10+$W$9*AG3</f>
        <v>1.655514629263102E-3</v>
      </c>
      <c r="AJ3" s="464">
        <f t="shared" ref="AJ3:AJ66" si="2">($W$5+$W$4*AG3+$W$3*AG3^2)</f>
        <v>1.6583758976489544E-3</v>
      </c>
    </row>
    <row r="4" spans="1:36" x14ac:dyDescent="0.2">
      <c r="D4" s="509" t="s">
        <v>202</v>
      </c>
      <c r="E4" s="433">
        <f>SettlementDate</f>
        <v>41892</v>
      </c>
      <c r="F4" s="433">
        <f>_xll.qlInterestRateIndexMaturity($E$9,E4)</f>
        <v>41983</v>
      </c>
      <c r="G4" s="432" t="str">
        <f>_xll.qlMakeDatedOIS(,E4,F4,OvernightIndex,0,,,,EvaluationDate)</f>
        <v>obj_00b22#0001</v>
      </c>
      <c r="H4" s="433" t="b">
        <f>_xll.qlInstrumentSetPricingEngine(G4,OisEngine)</f>
        <v>1</v>
      </c>
      <c r="I4" s="434"/>
      <c r="J4" s="435"/>
      <c r="K4" s="458"/>
      <c r="L4" s="458"/>
      <c r="M4" s="469"/>
      <c r="N4" s="511">
        <f>_xll.qlInterpolationInterpolate($H$13,E4,TRUE,Trigger)</f>
        <v>4.020875190190205E-4</v>
      </c>
      <c r="P4" s="469" t="b">
        <f>IF(E14="FUT",FALSE,IF(E14="FIX+FUT",FALSE,TRUE))</f>
        <v>1</v>
      </c>
      <c r="R4" s="533"/>
      <c r="S4" s="449">
        <v>6.4494113796226557E-3</v>
      </c>
      <c r="T4" s="450">
        <v>3.5860386564083316E-2</v>
      </c>
      <c r="U4" s="451">
        <v>0.24931506849315069</v>
      </c>
      <c r="V4" s="446" t="str">
        <f>SynthDepo!AA10</f>
        <v>x</v>
      </c>
      <c r="W4" s="453">
        <v>-4.0315925418058386E-4</v>
      </c>
      <c r="X4" s="446" t="str">
        <f>SynthDepo!AC10</f>
        <v>=</v>
      </c>
      <c r="Y4" s="434">
        <v>4.0044794607023236E-4</v>
      </c>
      <c r="AA4" s="449">
        <v>-419.72135007849209</v>
      </c>
      <c r="AB4" s="450">
        <v>436.00906788554687</v>
      </c>
      <c r="AC4" s="451">
        <v>-16.468692449355419</v>
      </c>
      <c r="AF4" s="465">
        <f>_xll.qlCalendarAdvance(Calendar,AF3,"1d","mf",,Trigger)</f>
        <v>41893</v>
      </c>
      <c r="AG4" s="476">
        <f>_xll.qlDayCounterYearFraction(DayCounterON,SettlementDate,AF4,,,Trigger)</f>
        <v>2.7397260273972603E-3</v>
      </c>
      <c r="AH4" s="466">
        <f t="shared" si="0"/>
        <v>1.6127686202411261E-3</v>
      </c>
      <c r="AI4" s="466">
        <f t="shared" si="1"/>
        <v>1.6545751565373442E-3</v>
      </c>
      <c r="AJ4" s="436">
        <f t="shared" si="2"/>
        <v>1.6572730361672542E-3</v>
      </c>
    </row>
    <row r="5" spans="1:36" x14ac:dyDescent="0.2">
      <c r="A5" s="448"/>
      <c r="B5" s="448"/>
      <c r="C5" s="381" t="str">
        <f>_xll.qlIMMNextCode(SettlementDate-1,FALSE)</f>
        <v>U4</v>
      </c>
      <c r="D5" s="432" t="str">
        <f>Currency&amp;"FUT3M"&amp;C5&amp;QuoteSuffix</f>
        <v>EURFUT3MU4_Quote</v>
      </c>
      <c r="E5" s="433">
        <f>_xll.qlIMMdate(C5)</f>
        <v>41899</v>
      </c>
      <c r="F5" s="433">
        <f>_xll.qlInterestRateIndexMaturity($E$9,E5)</f>
        <v>41990</v>
      </c>
      <c r="G5" s="432" t="str">
        <f>_xll.qlMakeDatedOIS(,E5,F5,OvernightIndex,0,,,,EvaluationDate)</f>
        <v>obj_00b1d#0003</v>
      </c>
      <c r="H5" s="433" t="b">
        <f>_xll.qlInstrumentSetPricingEngine(G5,OisEngine)</f>
        <v>1</v>
      </c>
      <c r="I5" s="434">
        <f>1-_xll.qlQuoteValue($D5,AllTriggers)/100</f>
        <v>8.7500000000007017E-4</v>
      </c>
      <c r="J5" s="435">
        <f>_xll.qlOvernightIndexedSwapFairRate(G5,_xll.ohTrigger(H5,InterestRatesTrigger))</f>
        <v>-7.0918967676128876E-4</v>
      </c>
      <c r="K5" s="458">
        <f>I5*_xll.qlDayCounterYearFraction(DayCounter3M,E5,F5,,,Trigger)</f>
        <v>2.2118055555557327E-4</v>
      </c>
      <c r="L5" s="458">
        <f>J5*_xll.qlDayCounterYearFraction(DayCounterOIS,E5,F5,,,Trigger)</f>
        <v>-1.7926739051465909E-4</v>
      </c>
      <c r="M5" s="469">
        <f>K5-L5</f>
        <v>4.0044794607023236E-4</v>
      </c>
      <c r="N5" s="469">
        <f>M5</f>
        <v>4.0044794607023236E-4</v>
      </c>
      <c r="P5" s="469" t="b">
        <v>1</v>
      </c>
      <c r="R5" s="533"/>
      <c r="S5" s="449">
        <v>3.9096697573627888E-2</v>
      </c>
      <c r="T5" s="450">
        <v>9.6603490335897907E-2</v>
      </c>
      <c r="U5" s="451">
        <v>0.24657534246575341</v>
      </c>
      <c r="V5" s="448"/>
      <c r="W5" s="453">
        <v>1.6583758976489544E-3</v>
      </c>
      <c r="X5" s="446"/>
      <c r="Y5" s="434">
        <v>3.7874158156459004E-4</v>
      </c>
      <c r="AA5" s="449">
        <v>40.082417582417506</v>
      </c>
      <c r="AB5" s="450">
        <v>-36.844909234411922</v>
      </c>
      <c r="AC5" s="451">
        <v>0.7820748925721287</v>
      </c>
      <c r="AF5" s="465">
        <f>_xll.qlCalendarAdvance(Calendar,AF4,"1d","mf",,Trigger)</f>
        <v>41894</v>
      </c>
      <c r="AG5" s="476">
        <f>_xll.qlDayCounterYearFraction(DayCounterON,SettlementDate,AF5,,,Trigger)</f>
        <v>5.4794520547945206E-3</v>
      </c>
      <c r="AH5" s="466">
        <f t="shared" si="0"/>
        <v>1.6127686202411261E-3</v>
      </c>
      <c r="AI5" s="466">
        <f t="shared" si="1"/>
        <v>1.6536356838115864E-3</v>
      </c>
      <c r="AJ5" s="436">
        <f t="shared" si="2"/>
        <v>1.6561735435258824E-3</v>
      </c>
    </row>
    <row r="6" spans="1:36" x14ac:dyDescent="0.2">
      <c r="A6" s="448"/>
      <c r="B6" s="448"/>
      <c r="C6" s="508" t="str">
        <f>_xll.qlIMMNextCode(E5,TRUE)</f>
        <v>Z4</v>
      </c>
      <c r="D6" s="432" t="str">
        <f>Currency&amp;"FUT3M"&amp;C6&amp;QuoteSuffix</f>
        <v>EURFUT3MZ4_Quote</v>
      </c>
      <c r="E6" s="433">
        <f>_xll.qlIMMdate(C6)</f>
        <v>41990</v>
      </c>
      <c r="F6" s="433">
        <f>_xll.qlInterestRateIndexMaturity($E$9,E6)</f>
        <v>42080</v>
      </c>
      <c r="G6" s="432" t="str">
        <f>_xll.qlMakeDatedOIS(,E6,F6,OvernightIndex,0,,,,EvaluationDate)</f>
        <v>obj_00b1f#0004</v>
      </c>
      <c r="H6" s="433" t="b">
        <f>_xll.qlInstrumentSetPricingEngine(G6,OisEngine)</f>
        <v>1</v>
      </c>
      <c r="I6" s="434">
        <f>1-_xll.qlQuoteValue($D6,AllTriggers)/100</f>
        <v>7.7499999999997016E-4</v>
      </c>
      <c r="J6" s="435">
        <f>_xll.qlOvernightIndexedSwapFairRate(G6,_xll.ohTrigger(H6,InterestRatesTrigger))</f>
        <v>-7.3996632625838998E-4</v>
      </c>
      <c r="K6" s="458">
        <f>I6*_xll.qlDayCounterYearFraction(DayCounter3M,E6,F6,,,Trigger)</f>
        <v>1.9374999999999254E-4</v>
      </c>
      <c r="L6" s="458">
        <f>J6*_xll.qlDayCounterYearFraction(DayCounterOIS,E6,F6,,,Trigger)</f>
        <v>-1.849915815645975E-4</v>
      </c>
      <c r="M6" s="469">
        <f>K6-L6</f>
        <v>3.7874158156459004E-4</v>
      </c>
      <c r="N6" s="469">
        <f>M6</f>
        <v>3.7874158156459004E-4</v>
      </c>
      <c r="P6" s="469" t="b">
        <v>1</v>
      </c>
      <c r="W6" s="455"/>
      <c r="X6" s="514"/>
      <c r="Y6" s="456"/>
      <c r="AF6" s="465">
        <f>_xll.qlCalendarAdvance(Calendar,AF5,"1d","mf",,Trigger)</f>
        <v>41897</v>
      </c>
      <c r="AG6" s="476">
        <f>_xll.qlDayCounterYearFraction(DayCounterON,SettlementDate,AF6,,,Trigger)</f>
        <v>1.3698630136986301E-2</v>
      </c>
      <c r="AH6" s="466">
        <f t="shared" si="0"/>
        <v>1.6127686202411261E-3</v>
      </c>
      <c r="AI6" s="466">
        <f t="shared" si="1"/>
        <v>1.6508172656343133E-3</v>
      </c>
      <c r="AJ6" s="436">
        <f t="shared" si="2"/>
        <v>1.6528952786437402E-3</v>
      </c>
    </row>
    <row r="7" spans="1:36" ht="12" thickBot="1" x14ac:dyDescent="0.25">
      <c r="A7" s="448"/>
      <c r="B7" s="448"/>
      <c r="C7" s="508" t="str">
        <f>_xll.qlIMMNextCode(E6,TRUE)</f>
        <v>H5</v>
      </c>
      <c r="D7" s="437" t="str">
        <f>Currency&amp;"FUT3M"&amp;C7&amp;QuoteSuffix</f>
        <v>EURFUT3MH5_Quote</v>
      </c>
      <c r="E7" s="438">
        <f>_xll.qlIMMdate(C7)</f>
        <v>42081</v>
      </c>
      <c r="F7" s="438">
        <f>_xll.qlInterestRateIndexMaturity($E$9,E7)</f>
        <v>42173</v>
      </c>
      <c r="G7" s="437" t="str">
        <f>_xll.qlMakeDatedOIS(,E7,F7,OvernightIndex,0,,,,EvaluationDate)</f>
        <v>obj_00b1e#0007</v>
      </c>
      <c r="H7" s="438" t="b">
        <f>_xll.qlInstrumentSetPricingEngine(G7,OisEngine)</f>
        <v>1</v>
      </c>
      <c r="I7" s="440">
        <f>1-_xll.qlQuoteValue($D7,AllTriggers)/100</f>
        <v>6.2499999999998668E-4</v>
      </c>
      <c r="J7" s="440">
        <f>_xll.qlOvernightIndexedSwapFairRate(G7,_xll.ohTrigger(H7,InterestRatesTrigger))</f>
        <v>-7.6592347361893807E-4</v>
      </c>
      <c r="K7" s="459">
        <f>I7*_xll.qlDayCounterYearFraction(DayCounter3M,E7,F7,,,Trigger)</f>
        <v>1.5972222222221882E-4</v>
      </c>
      <c r="L7" s="459">
        <f>J7*_xll.qlDayCounterYearFraction(DayCounterOIS,E7,F7,,,Trigger)</f>
        <v>-1.9573599881372861E-4</v>
      </c>
      <c r="M7" s="470">
        <f>K7-L7</f>
        <v>3.5545822103594742E-4</v>
      </c>
      <c r="N7" s="470">
        <f>M7</f>
        <v>3.5545822103594742E-4</v>
      </c>
      <c r="P7" s="470" t="b">
        <f>IF(E14="FUT",TRUE,FALSE)</f>
        <v>0</v>
      </c>
      <c r="W7" s="455"/>
      <c r="X7" s="514"/>
      <c r="Y7" s="456"/>
      <c r="AF7" s="465">
        <f>_xll.qlCalendarAdvance(Calendar,AF6,"1d","mf",,Trigger)</f>
        <v>41898</v>
      </c>
      <c r="AG7" s="476">
        <f>_xll.qlDayCounterYearFraction(DayCounterON,SettlementDate,AF7,,,Trigger)</f>
        <v>1.643835616438356E-2</v>
      </c>
      <c r="AH7" s="466">
        <f t="shared" si="0"/>
        <v>1.6127686202411261E-3</v>
      </c>
      <c r="AI7" s="466">
        <f t="shared" si="1"/>
        <v>1.6498777929085556E-3</v>
      </c>
      <c r="AJ7" s="436">
        <f t="shared" si="2"/>
        <v>1.6518092613636835E-3</v>
      </c>
    </row>
    <row r="8" spans="1:36" ht="18.75" customHeight="1" thickBot="1" x14ac:dyDescent="0.25">
      <c r="W8" s="515" t="s">
        <v>163</v>
      </c>
      <c r="X8" s="514"/>
      <c r="Y8" s="456"/>
      <c r="AF8" s="465">
        <f>_xll.qlCalendarAdvance(Calendar,AF7,"1d","mf",,Trigger)</f>
        <v>41899</v>
      </c>
      <c r="AG8" s="476">
        <f>_xll.qlDayCounterYearFraction(DayCounterON,SettlementDate,AF8,,,Trigger)</f>
        <v>1.9178082191780823E-2</v>
      </c>
      <c r="AH8" s="466">
        <f t="shared" si="0"/>
        <v>1.6127686202411261E-3</v>
      </c>
      <c r="AI8" s="466">
        <f t="shared" si="1"/>
        <v>1.6489383201827978E-3</v>
      </c>
      <c r="AJ8" s="436">
        <f t="shared" si="2"/>
        <v>1.6507266129239557E-3</v>
      </c>
    </row>
    <row r="9" spans="1:36" x14ac:dyDescent="0.2">
      <c r="D9" s="442" t="s">
        <v>186</v>
      </c>
      <c r="E9" s="506" t="s">
        <v>199</v>
      </c>
      <c r="J9" s="442"/>
      <c r="K9" s="443"/>
      <c r="L9" s="443" t="s">
        <v>164</v>
      </c>
      <c r="M9" s="457" t="s">
        <v>165</v>
      </c>
      <c r="N9" s="444" t="s">
        <v>166</v>
      </c>
      <c r="P9" s="444" t="s">
        <v>191</v>
      </c>
      <c r="R9" s="534" t="s">
        <v>156</v>
      </c>
      <c r="S9" s="516"/>
      <c r="T9" s="449">
        <f t="array" ref="T9:T10">_xll.ohFilter(M10:M14,P10:P14)</f>
        <v>3.1079001688872208E-2</v>
      </c>
      <c r="U9" s="451">
        <f t="array" ref="U9:U10">_xll.ohFilter(L10:L14,P10:P14)</f>
        <v>0.24931506849315069</v>
      </c>
      <c r="V9" s="535" t="s">
        <v>55</v>
      </c>
      <c r="W9" s="453">
        <f t="array" ref="W9:W10">MMULT(AA9:AB10,Y9:Y10)</f>
        <v>-3.4290754490157171E-4</v>
      </c>
      <c r="X9" s="535" t="s">
        <v>56</v>
      </c>
      <c r="Y9" s="434">
        <f t="array" ref="Y9:Y10">_xll.ohFilter(N3:N7,P3:P7)</f>
        <v>4.020875190190205E-4</v>
      </c>
      <c r="AA9" s="449">
        <f t="array" ref="AA9:AB10">MINVERSE(T9:U10)</f>
        <v>-209.14442700156988</v>
      </c>
      <c r="AB9" s="451">
        <v>209.14442700156988</v>
      </c>
      <c r="AF9" s="465">
        <f>_xll.qlCalendarAdvance(Calendar,AF8,"1d","mf",,Trigger)</f>
        <v>41900</v>
      </c>
      <c r="AG9" s="476">
        <f>_xll.qlDayCounterYearFraction(DayCounterON,SettlementDate,AF9,,,Trigger)</f>
        <v>2.1917808219178082E-2</v>
      </c>
      <c r="AH9" s="466">
        <f t="shared" si="0"/>
        <v>1.6127686202411261E-3</v>
      </c>
      <c r="AI9" s="466">
        <f t="shared" si="1"/>
        <v>1.6479988474570402E-3</v>
      </c>
      <c r="AJ9" s="436">
        <f t="shared" si="2"/>
        <v>1.6496473333245563E-3</v>
      </c>
    </row>
    <row r="10" spans="1:36" ht="11.25" customHeight="1" x14ac:dyDescent="0.2">
      <c r="D10" s="460" t="s">
        <v>184</v>
      </c>
      <c r="E10" s="507" t="s">
        <v>17</v>
      </c>
      <c r="J10" s="517">
        <f>_xll.qlDayCounterYearFraction(DayCounterON,SettlementDate,E3,,,Trigger)</f>
        <v>-2.7397260273972603E-3</v>
      </c>
      <c r="K10" s="518">
        <f>_xll.qlDayCounterYearFraction(DayCounterON,SettlementDate,F3,,,Trigger)</f>
        <v>0.24657534246575341</v>
      </c>
      <c r="L10" s="518">
        <f>K10-J10</f>
        <v>0.24931506849315066</v>
      </c>
      <c r="M10" s="518">
        <f>(K10^2-J10^2)/2</f>
        <v>3.0395946706699189E-2</v>
      </c>
      <c r="N10" s="519">
        <f>(K10^3-J10^3)/3</f>
        <v>4.9972177736876964E-3</v>
      </c>
      <c r="P10" s="519" t="b">
        <f>P3</f>
        <v>0</v>
      </c>
      <c r="R10" s="534"/>
      <c r="S10" s="516"/>
      <c r="T10" s="449">
        <v>3.5860386564083316E-2</v>
      </c>
      <c r="U10" s="451">
        <v>0.24931506849315069</v>
      </c>
      <c r="V10" s="535"/>
      <c r="W10" s="453">
        <v>1.655514629263102E-3</v>
      </c>
      <c r="X10" s="535"/>
      <c r="Y10" s="434">
        <v>4.0044794607023236E-4</v>
      </c>
      <c r="AA10" s="449">
        <v>30.08241758241758</v>
      </c>
      <c r="AB10" s="451">
        <v>-26.071428571428573</v>
      </c>
      <c r="AF10" s="465">
        <f>_xll.qlCalendarAdvance(Calendar,AF9,"1d","mf",,Trigger)</f>
        <v>41901</v>
      </c>
      <c r="AG10" s="476">
        <f>_xll.qlDayCounterYearFraction(DayCounterON,SettlementDate,AF10,,,Trigger)</f>
        <v>2.4657534246575342E-2</v>
      </c>
      <c r="AH10" s="466">
        <f t="shared" si="0"/>
        <v>1.6127686202411261E-3</v>
      </c>
      <c r="AI10" s="466">
        <f t="shared" si="1"/>
        <v>1.6470593747312824E-3</v>
      </c>
      <c r="AJ10" s="436">
        <f t="shared" si="2"/>
        <v>1.6485714225654856E-3</v>
      </c>
    </row>
    <row r="11" spans="1:36" ht="11.25" customHeight="1" x14ac:dyDescent="0.2">
      <c r="D11" s="460" t="s">
        <v>158</v>
      </c>
      <c r="E11" s="507" t="s">
        <v>17</v>
      </c>
      <c r="J11" s="517">
        <f>_xll.qlDayCounterYearFraction(DayCounterON,SettlementDate,E4,,,Trigger)</f>
        <v>0</v>
      </c>
      <c r="K11" s="518">
        <f>_xll.qlDayCounterYearFraction(DayCounterON,SettlementDate,F4,,,Trigger)</f>
        <v>0.24931506849315069</v>
      </c>
      <c r="L11" s="518">
        <f>K11-J11</f>
        <v>0.24931506849315069</v>
      </c>
      <c r="M11" s="518">
        <f>(K11^2-J11^2)/2</f>
        <v>3.1079001688872208E-2</v>
      </c>
      <c r="N11" s="519">
        <f>(K11^3-J11^3)/3</f>
        <v>5.165642289839947E-3</v>
      </c>
      <c r="P11" s="519" t="b">
        <f>P4</f>
        <v>1</v>
      </c>
      <c r="W11" s="455"/>
      <c r="X11" s="514"/>
      <c r="Y11" s="456"/>
      <c r="AF11" s="465">
        <f>_xll.qlCalendarAdvance(Calendar,AF10,"1d","mf",,Trigger)</f>
        <v>41904</v>
      </c>
      <c r="AG11" s="476">
        <f>_xll.qlDayCounterYearFraction(DayCounterON,SettlementDate,AF11,,,Trigger)</f>
        <v>3.287671232876712E-2</v>
      </c>
      <c r="AH11" s="466">
        <f t="shared" si="0"/>
        <v>1.6127686202411261E-3</v>
      </c>
      <c r="AI11" s="466">
        <f t="shared" si="1"/>
        <v>1.6442409565540091E-3</v>
      </c>
      <c r="AJ11" s="436">
        <f t="shared" si="2"/>
        <v>1.6453639033302463E-3</v>
      </c>
    </row>
    <row r="12" spans="1:36" ht="11.25" customHeight="1" thickBot="1" x14ac:dyDescent="0.25">
      <c r="D12" s="460" t="s">
        <v>159</v>
      </c>
      <c r="E12" s="507" t="s">
        <v>160</v>
      </c>
      <c r="J12" s="517">
        <f>_xll.qlDayCounterYearFraction(DayCounterON,SettlementDate,E5,,,Trigger)</f>
        <v>1.9178082191780823E-2</v>
      </c>
      <c r="K12" s="518">
        <f>_xll.qlDayCounterYearFraction(DayCounterON,SettlementDate,F5,,,Trigger)</f>
        <v>0.26849315068493151</v>
      </c>
      <c r="L12" s="518">
        <f>K12-J12</f>
        <v>0.24931506849315069</v>
      </c>
      <c r="M12" s="518">
        <f>(K12^2-J12^2)/2</f>
        <v>3.5860386564083316E-2</v>
      </c>
      <c r="N12" s="519">
        <f>(K12^3-J12^3)/3</f>
        <v>6.4494113796226557E-3</v>
      </c>
      <c r="P12" s="519" t="b">
        <f>P5</f>
        <v>1</v>
      </c>
      <c r="W12" s="513" t="s">
        <v>47</v>
      </c>
      <c r="X12" s="514"/>
      <c r="Y12" s="456"/>
      <c r="AF12" s="465">
        <f>_xll.qlCalendarAdvance(Calendar,AF11,"1d","mf",,Trigger)</f>
        <v>41905</v>
      </c>
      <c r="AG12" s="476">
        <f>_xll.qlDayCounterYearFraction(DayCounterON,SettlementDate,AF12,,,Trigger)</f>
        <v>3.5616438356164383E-2</v>
      </c>
      <c r="AH12" s="466">
        <f t="shared" si="0"/>
        <v>1.6127686202411261E-3</v>
      </c>
      <c r="AI12" s="466">
        <f t="shared" si="1"/>
        <v>1.6433014838282516E-3</v>
      </c>
      <c r="AJ12" s="436">
        <f t="shared" si="2"/>
        <v>1.6443014679324906E-3</v>
      </c>
    </row>
    <row r="13" spans="1:36" ht="11.25" customHeight="1" thickBot="1" x14ac:dyDescent="0.25">
      <c r="D13" s="460" t="s">
        <v>193</v>
      </c>
      <c r="E13" s="507" t="s">
        <v>192</v>
      </c>
      <c r="G13" s="527" t="s">
        <v>190</v>
      </c>
      <c r="H13" s="512" t="str">
        <f>_xll.qlInterpolation(,E13,E5:E7,M5:M7)</f>
        <v>obj_00b2b#0008</v>
      </c>
      <c r="J13" s="517">
        <f>_xll.qlDayCounterYearFraction(DayCounterON,SettlementDate,E6,,,Trigger)</f>
        <v>0.26849315068493151</v>
      </c>
      <c r="K13" s="518">
        <f>_xll.qlDayCounterYearFraction(DayCounterON,SettlementDate,F6,,,Trigger)</f>
        <v>0.51506849315068493</v>
      </c>
      <c r="L13" s="518">
        <f>K13-J13</f>
        <v>0.24657534246575341</v>
      </c>
      <c r="M13" s="518">
        <f>(K13^2-J13^2)/2</f>
        <v>9.6603490335897907E-2</v>
      </c>
      <c r="N13" s="519">
        <f>(K13^3-J13^3)/3</f>
        <v>3.9096697573627888E-2</v>
      </c>
      <c r="P13" s="519" t="b">
        <f>P6</f>
        <v>1</v>
      </c>
      <c r="R13" s="505" t="s">
        <v>157</v>
      </c>
      <c r="U13" s="452">
        <f t="array" ref="U13">_xll.ohFilter(L10:L14,P10:P14)</f>
        <v>0.24931506849315069</v>
      </c>
      <c r="V13" s="505" t="s">
        <v>55</v>
      </c>
      <c r="W13" s="453">
        <f>MMULT(AA13,Y13)</f>
        <v>1.6127686202411261E-3</v>
      </c>
      <c r="X13" s="505" t="s">
        <v>56</v>
      </c>
      <c r="Y13" s="434">
        <f>_xll.ohFilter(N3:N7,P3:P7)</f>
        <v>4.020875190190205E-4</v>
      </c>
      <c r="AA13" s="452">
        <f>MINVERSE(U13)</f>
        <v>4.0109890109890109</v>
      </c>
      <c r="AF13" s="465">
        <f>_xll.qlCalendarAdvance(Calendar,AF12,"1d","mf",,Trigger)</f>
        <v>41906</v>
      </c>
      <c r="AG13" s="476">
        <f>_xll.qlDayCounterYearFraction(DayCounterON,SettlementDate,AF13,,,Trigger)</f>
        <v>3.8356164383561646E-2</v>
      </c>
      <c r="AH13" s="466">
        <f t="shared" si="0"/>
        <v>1.6127686202411261E-3</v>
      </c>
      <c r="AI13" s="466">
        <f t="shared" si="1"/>
        <v>1.6423620111024938E-3</v>
      </c>
      <c r="AJ13" s="436">
        <f t="shared" si="2"/>
        <v>1.6432424013750637E-3</v>
      </c>
    </row>
    <row r="14" spans="1:36" ht="11.25" customHeight="1" thickBot="1" x14ac:dyDescent="0.25">
      <c r="D14" s="461" t="s">
        <v>197</v>
      </c>
      <c r="E14" s="529" t="s">
        <v>200</v>
      </c>
      <c r="J14" s="520">
        <f>_xll.qlDayCounterYearFraction(DayCounterON,SettlementDate,E7,,,Trigger)</f>
        <v>0.51780821917808217</v>
      </c>
      <c r="K14" s="521">
        <f>_xll.qlDayCounterYearFraction(DayCounterON,SettlementDate,F7,,,Trigger)</f>
        <v>0.76986301369863008</v>
      </c>
      <c r="L14" s="521">
        <f>K14-J14</f>
        <v>0.25205479452054791</v>
      </c>
      <c r="M14" s="521">
        <f>(K14^2-J14^2)/2</f>
        <v>0.16228185400638015</v>
      </c>
      <c r="N14" s="522">
        <f>(K14^3-J14^3)/3</f>
        <v>0.10581729161793269</v>
      </c>
      <c r="P14" s="522" t="b">
        <f>P7</f>
        <v>0</v>
      </c>
      <c r="AF14" s="465">
        <f>_xll.qlCalendarAdvance(Calendar,AF13,"1d","mf",,Trigger)</f>
        <v>41907</v>
      </c>
      <c r="AG14" s="476">
        <f>_xll.qlDayCounterYearFraction(DayCounterON,SettlementDate,AF14,,,Trigger)</f>
        <v>4.1095890410958902E-2</v>
      </c>
      <c r="AH14" s="466">
        <f t="shared" si="0"/>
        <v>1.6127686202411261E-3</v>
      </c>
      <c r="AI14" s="466">
        <f t="shared" si="1"/>
        <v>1.641422538376736E-3</v>
      </c>
      <c r="AJ14" s="436">
        <f t="shared" si="2"/>
        <v>1.6421867036579651E-3</v>
      </c>
    </row>
    <row r="15" spans="1:36" ht="14.25" customHeight="1" thickBot="1" x14ac:dyDescent="0.25">
      <c r="P15" s="447"/>
      <c r="AF15" s="465">
        <f>_xll.qlCalendarAdvance(Calendar,AF14,"1d","mf",,Trigger)</f>
        <v>41908</v>
      </c>
      <c r="AG15" s="476">
        <f>_xll.qlDayCounterYearFraction(DayCounterON,SettlementDate,AF15,,,Trigger)</f>
        <v>4.3835616438356165E-2</v>
      </c>
      <c r="AH15" s="466">
        <f t="shared" si="0"/>
        <v>1.6127686202411261E-3</v>
      </c>
      <c r="AI15" s="466">
        <f t="shared" si="1"/>
        <v>1.6404830656509782E-3</v>
      </c>
      <c r="AJ15" s="436">
        <f t="shared" si="2"/>
        <v>1.6411343747811957E-3</v>
      </c>
    </row>
    <row r="16" spans="1:36" ht="11.25" customHeight="1" thickBot="1" x14ac:dyDescent="0.25">
      <c r="M16" s="523" t="s">
        <v>201</v>
      </c>
      <c r="N16" s="524"/>
      <c r="O16" s="525"/>
      <c r="P16" s="447"/>
      <c r="AF16" s="465">
        <f>_xll.qlCalendarAdvance(Calendar,AF15,"1d","mf",,Trigger)</f>
        <v>41911</v>
      </c>
      <c r="AG16" s="476">
        <f>_xll.qlDayCounterYearFraction(DayCounterON,SettlementDate,AF16,,,Trigger)</f>
        <v>5.2054794520547946E-2</v>
      </c>
      <c r="AH16" s="466">
        <f t="shared" si="0"/>
        <v>1.6127686202411261E-3</v>
      </c>
      <c r="AI16" s="466">
        <f t="shared" si="1"/>
        <v>1.6376646474737051E-3</v>
      </c>
      <c r="AJ16" s="436">
        <f t="shared" si="2"/>
        <v>1.6379976011928591E-3</v>
      </c>
    </row>
    <row r="17" spans="4:36" ht="15.75" customHeight="1" x14ac:dyDescent="0.2">
      <c r="D17" s="442" t="s">
        <v>167</v>
      </c>
      <c r="E17" s="443" t="s">
        <v>126</v>
      </c>
      <c r="F17" s="443" t="s">
        <v>127</v>
      </c>
      <c r="G17" s="457" t="s">
        <v>194</v>
      </c>
      <c r="H17" s="457"/>
      <c r="I17" s="443" t="s">
        <v>44</v>
      </c>
      <c r="J17" s="443"/>
      <c r="K17" s="443"/>
      <c r="L17" s="443"/>
      <c r="M17" s="526" t="s">
        <v>157</v>
      </c>
      <c r="N17" s="444" t="s">
        <v>156</v>
      </c>
      <c r="O17" s="444" t="s">
        <v>155</v>
      </c>
      <c r="P17" s="447"/>
      <c r="AF17" s="465">
        <f>_xll.qlCalendarAdvance(Calendar,AF16,"1d","mf",,Trigger)</f>
        <v>41912</v>
      </c>
      <c r="AG17" s="476">
        <f>_xll.qlDayCounterYearFraction(DayCounterON,SettlementDate,AF17,,,Trigger)</f>
        <v>5.4794520547945202E-2</v>
      </c>
      <c r="AH17" s="466">
        <f t="shared" si="0"/>
        <v>1.6127686202411261E-3</v>
      </c>
      <c r="AI17" s="466">
        <f t="shared" si="1"/>
        <v>1.6367251747479473E-3</v>
      </c>
      <c r="AJ17" s="436">
        <f t="shared" si="2"/>
        <v>1.6369587476774046E-3</v>
      </c>
    </row>
    <row r="18" spans="4:36" ht="11.25" customHeight="1" x14ac:dyDescent="0.2">
      <c r="D18" s="481" t="s">
        <v>65</v>
      </c>
      <c r="E18" s="472">
        <f t="shared" ref="E18:E27" si="3">SettlementDate</f>
        <v>41892</v>
      </c>
      <c r="F18" s="473">
        <f>_xll.qlCalendarAdvance(Calendar,SettlementDate,D18,"Following",,Trigger)</f>
        <v>41893</v>
      </c>
      <c r="G18" s="474" t="str">
        <f>_xll.qlMakeDatedOIS(,E18,F18,OvernightIndex,0,,,,EvaluationDate)</f>
        <v>obj_00b24#0000</v>
      </c>
      <c r="H18" s="502" t="b">
        <f>_xll.qlInstrumentSetPricingEngine(G18,OisEngine)</f>
        <v>1</v>
      </c>
      <c r="I18" s="471">
        <f>_xll.qlOvernightIndexedSwapFairRate(G18,_xll.ohTrigger(InterestRatesTrigger))</f>
        <v>-1.0000000072007964E-4</v>
      </c>
      <c r="J18" s="518">
        <f>_xll.qlDayCounterYearFraction(DayCounterOIS,E18,F18,,,Trigger)</f>
        <v>2.7777777777777779E-3</v>
      </c>
      <c r="K18" s="518">
        <f>_xll.qlDayCounterYearFraction(DayCounter3M,E18,F18,,,Trigger)</f>
        <v>2.7777777777777779E-3</v>
      </c>
      <c r="L18" s="518">
        <f>_xll.qlDayCounterYearFraction(DayCounterON,E18,F18,,,Trigger)</f>
        <v>2.7397260273972603E-3</v>
      </c>
      <c r="M18" s="466">
        <f>($I18*$J18+$W$13*L18)/$K18</f>
        <v>1.4906758986958256E-3</v>
      </c>
      <c r="N18" s="466">
        <f>($I18*$J18+($W$10*L18+$W$9*L18^2/2))/$K18</f>
        <v>1.5323730443321951E-3</v>
      </c>
      <c r="O18" s="464">
        <f>($I18*$J18+($W$5*L18+$W$4*L18^2/2+$W$3*L18^3/3))/$K18</f>
        <v>1.5351142650928177E-3</v>
      </c>
      <c r="P18" s="447"/>
      <c r="AF18" s="465">
        <f>_xll.qlCalendarAdvance(Calendar,AF17,"1d","mf",,Trigger)</f>
        <v>41913</v>
      </c>
      <c r="AG18" s="476">
        <f>_xll.qlDayCounterYearFraction(DayCounterON,SettlementDate,AF18,,,Trigger)</f>
        <v>5.7534246575342465E-2</v>
      </c>
      <c r="AH18" s="466">
        <f t="shared" si="0"/>
        <v>1.6127686202411261E-3</v>
      </c>
      <c r="AI18" s="466">
        <f t="shared" si="1"/>
        <v>1.6357857020221896E-3</v>
      </c>
      <c r="AJ18" s="436">
        <f t="shared" si="2"/>
        <v>1.6359232630022787E-3</v>
      </c>
    </row>
    <row r="19" spans="4:36" ht="11.25" customHeight="1" x14ac:dyDescent="0.2">
      <c r="D19" s="479" t="s">
        <v>66</v>
      </c>
      <c r="E19" s="433">
        <f>SettlementDate</f>
        <v>41892</v>
      </c>
      <c r="F19" s="475">
        <f>_xll.qlCalendarAdvance(Calendar,SettlementDate,D19,"Following",,Trigger)</f>
        <v>41899</v>
      </c>
      <c r="G19" s="476" t="str">
        <f>_xll.qlMakeDatedOIS(,E19,F19,OvernightIndex,0,,,,EvaluationDate)</f>
        <v>obj_00b27#0000</v>
      </c>
      <c r="H19" s="503" t="b">
        <f>_xll.qlInstrumentSetPricingEngine(G19,OisEngine)</f>
        <v>1</v>
      </c>
      <c r="I19" s="435">
        <f>_xll.qlOvernightIndexedSwapFairRate(G19,_xll.ohTrigger(InterestRatesTrigger))</f>
        <v>-5.0000000000898534E-4</v>
      </c>
      <c r="J19" s="518">
        <f>_xll.qlDayCounterYearFraction(DayCounterOIS,E19,F19,,,Trigger)</f>
        <v>1.9444444444444445E-2</v>
      </c>
      <c r="K19" s="518">
        <f>_xll.qlDayCounterYearFraction(DayCounter3M,E19,F19,,,Trigger)</f>
        <v>1.9444444444444445E-2</v>
      </c>
      <c r="L19" s="518">
        <f>_xll.qlDayCounterYearFraction(DayCounterON,E19,F19,,,Trigger)</f>
        <v>1.9178082191780823E-2</v>
      </c>
      <c r="M19" s="466">
        <f>($I19*$J19+$W$13*L19)/$K19</f>
        <v>1.0906758994069202E-3</v>
      </c>
      <c r="N19" s="466">
        <f t="shared" ref="N19:N27" si="4">($I19*$J19+($W$10*L19+$W$9*L19^2/2))/$K19</f>
        <v>1.129593235334198E-3</v>
      </c>
      <c r="O19" s="436">
        <f t="shared" ref="O19:O27" si="5">($I19*$J19+($W$5*L19+$W$4*L19^2/2+$W$3*L19^3/3))/$K19</f>
        <v>1.1318726019303039E-3</v>
      </c>
      <c r="P19" s="447"/>
      <c r="AF19" s="465">
        <f>_xll.qlCalendarAdvance(Calendar,AF18,"1d","mf",,Trigger)</f>
        <v>41914</v>
      </c>
      <c r="AG19" s="476">
        <f>_xll.qlDayCounterYearFraction(DayCounterON,SettlementDate,AF19,,,Trigger)</f>
        <v>6.0273972602739728E-2</v>
      </c>
      <c r="AH19" s="466">
        <f t="shared" si="0"/>
        <v>1.6127686202411261E-3</v>
      </c>
      <c r="AI19" s="466">
        <f t="shared" si="1"/>
        <v>1.634846229296432E-3</v>
      </c>
      <c r="AJ19" s="436">
        <f t="shared" si="2"/>
        <v>1.6348911471674812E-3</v>
      </c>
    </row>
    <row r="20" spans="4:36" ht="11.25" customHeight="1" x14ac:dyDescent="0.2">
      <c r="D20" s="479" t="s">
        <v>67</v>
      </c>
      <c r="E20" s="433">
        <f t="shared" si="3"/>
        <v>41892</v>
      </c>
      <c r="F20" s="475">
        <f>_xll.qlCalendarAdvance(Calendar,SettlementDate,D20,"Following",,Trigger)</f>
        <v>41906</v>
      </c>
      <c r="G20" s="476" t="str">
        <f>_xll.qlMakeDatedOIS(,E20,F20,OvernightIndex,0,,,,EvaluationDate)</f>
        <v>obj_00b29#0000</v>
      </c>
      <c r="H20" s="503" t="b">
        <f>_xll.qlInstrumentSetPricingEngine(G20,OisEngine)</f>
        <v>1</v>
      </c>
      <c r="I20" s="435">
        <f>_xll.qlOvernightIndexedSwapFairRate(G20,_xll.ohTrigger(InterestRatesTrigger))</f>
        <v>-5.1999999432965946E-4</v>
      </c>
      <c r="J20" s="518">
        <f>_xll.qlDayCounterYearFraction(DayCounterOIS,E20,F20,,,Trigger)</f>
        <v>3.888888888888889E-2</v>
      </c>
      <c r="K20" s="518">
        <f>_xll.qlDayCounterYearFraction(DayCounter3M,E20,F20,,,Trigger)</f>
        <v>3.888888888888889E-2</v>
      </c>
      <c r="L20" s="518">
        <f>_xll.qlDayCounterYearFraction(DayCounterON,E20,F20,,,Trigger)</f>
        <v>3.8356164383561646E-2</v>
      </c>
      <c r="M20" s="466">
        <f t="shared" ref="M20:M27" si="6">($I20*$J20+$W$13*L20)/$K20</f>
        <v>1.0706759050862461E-3</v>
      </c>
      <c r="N20" s="466">
        <f t="shared" si="4"/>
        <v>1.1063501296862508E-3</v>
      </c>
      <c r="O20" s="436">
        <f t="shared" si="5"/>
        <v>1.1081410605831908E-3</v>
      </c>
      <c r="P20" s="447"/>
      <c r="AF20" s="465">
        <f>_xll.qlCalendarAdvance(Calendar,AF19,"1d","mf",,Trigger)</f>
        <v>41915</v>
      </c>
      <c r="AG20" s="476">
        <f>_xll.qlDayCounterYearFraction(DayCounterON,SettlementDate,AF20,,,Trigger)</f>
        <v>6.3013698630136991E-2</v>
      </c>
      <c r="AH20" s="466">
        <f t="shared" si="0"/>
        <v>1.6127686202411261E-3</v>
      </c>
      <c r="AI20" s="466">
        <f t="shared" si="1"/>
        <v>1.6339067565706742E-3</v>
      </c>
      <c r="AJ20" s="436">
        <f t="shared" si="2"/>
        <v>1.6338624001730126E-3</v>
      </c>
    </row>
    <row r="21" spans="4:36" ht="11.25" customHeight="1" x14ac:dyDescent="0.2">
      <c r="D21" s="479" t="s">
        <v>68</v>
      </c>
      <c r="E21" s="433">
        <f t="shared" si="3"/>
        <v>41892</v>
      </c>
      <c r="F21" s="475">
        <f>_xll.qlCalendarAdvance(Calendar,SettlementDate,D21,"Following",,Trigger)</f>
        <v>41913</v>
      </c>
      <c r="G21" s="476" t="str">
        <f>_xll.qlMakeDatedOIS(,E21,F21,OvernightIndex,0,,,,EvaluationDate)</f>
        <v>obj_00b26#0000</v>
      </c>
      <c r="H21" s="503" t="b">
        <f>_xll.qlInstrumentSetPricingEngine(G21,OisEngine)</f>
        <v>1</v>
      </c>
      <c r="I21" s="435">
        <f>_xll.qlOvernightIndexedSwapFairRate(G21,_xll.ohTrigger(InterestRatesTrigger))</f>
        <v>-4.899999999980713E-4</v>
      </c>
      <c r="J21" s="518">
        <f>_xll.qlDayCounterYearFraction(DayCounterOIS,E21,F21,,,Trigger)</f>
        <v>5.8333333333333334E-2</v>
      </c>
      <c r="K21" s="518">
        <f>_xll.qlDayCounterYearFraction(DayCounter3M,E21,F21,,,Trigger)</f>
        <v>5.8333333333333334E-2</v>
      </c>
      <c r="L21" s="518">
        <f>_xll.qlDayCounterYearFraction(DayCounterON,E21,F21,,,Trigger)</f>
        <v>5.7534246575342465E-2</v>
      </c>
      <c r="M21" s="466">
        <f t="shared" si="6"/>
        <v>1.1006758994178338E-3</v>
      </c>
      <c r="N21" s="466">
        <f t="shared" si="4"/>
        <v>1.1331070126905656E-3</v>
      </c>
      <c r="O21" s="436">
        <f t="shared" si="5"/>
        <v>1.1344637785215808E-3</v>
      </c>
      <c r="P21" s="447"/>
      <c r="AF21" s="465">
        <f>_xll.qlCalendarAdvance(Calendar,AF20,"1d","mf",,Trigger)</f>
        <v>41918</v>
      </c>
      <c r="AG21" s="476">
        <f>_xll.qlDayCounterYearFraction(DayCounterON,SettlementDate,AF21,,,Trigger)</f>
        <v>7.1232876712328766E-2</v>
      </c>
      <c r="AH21" s="466">
        <f t="shared" si="0"/>
        <v>1.6127686202411261E-3</v>
      </c>
      <c r="AI21" s="466">
        <f t="shared" si="1"/>
        <v>1.6310883383934009E-3</v>
      </c>
      <c r="AJ21" s="436">
        <f t="shared" si="2"/>
        <v>1.630796372231579E-3</v>
      </c>
    </row>
    <row r="22" spans="4:36" ht="11.25" customHeight="1" x14ac:dyDescent="0.2">
      <c r="D22" s="479" t="s">
        <v>61</v>
      </c>
      <c r="E22" s="433">
        <f t="shared" si="3"/>
        <v>41892</v>
      </c>
      <c r="F22" s="475">
        <f>_xll.qlCalendarAdvance(Calendar,SettlementDate,D22,"mf",TRUE,Trigger)</f>
        <v>41922</v>
      </c>
      <c r="G22" s="476" t="str">
        <f>_xll.qlMakeDatedOIS(,E22,F22,OvernightIndex,0,,,,EvaluationDate)</f>
        <v>obj_00b23#0000</v>
      </c>
      <c r="H22" s="503" t="b">
        <f>_xll.qlInstrumentSetPricingEngine(G22,OisEngine)</f>
        <v>1</v>
      </c>
      <c r="I22" s="435">
        <f>_xll.qlOvernightIndexedSwapFairRate(G22,_xll.ohTrigger(InterestRatesTrigger))</f>
        <v>-7.0666556794352086E-4</v>
      </c>
      <c r="J22" s="518">
        <f>_xll.qlDayCounterYearFraction(DayCounterOIS,E22,F22,,,Trigger)</f>
        <v>8.3333333333333329E-2</v>
      </c>
      <c r="K22" s="518">
        <f>_xll.qlDayCounterYearFraction(DayCounter3M,E22,F22,,,Trigger)</f>
        <v>8.3333333333333329E-2</v>
      </c>
      <c r="L22" s="518">
        <f>_xll.qlDayCounterYearFraction(DayCounterON,E22,F22,,,Trigger)</f>
        <v>8.2191780821917804E-2</v>
      </c>
      <c r="M22" s="466">
        <f t="shared" si="6"/>
        <v>8.8401033147238444E-4</v>
      </c>
      <c r="N22" s="466">
        <f t="shared" si="4"/>
        <v>9.1227173018147895E-4</v>
      </c>
      <c r="O22" s="436">
        <f t="shared" si="5"/>
        <v>9.1315002838882194E-4</v>
      </c>
      <c r="P22" s="447"/>
      <c r="AF22" s="465">
        <f>_xll.qlCalendarAdvance(Calendar,AF21,"1d","mf",,Trigger)</f>
        <v>41919</v>
      </c>
      <c r="AG22" s="476">
        <f>_xll.qlDayCounterYearFraction(DayCounterON,SettlementDate,AF22,,,Trigger)</f>
        <v>7.3972602739726029E-2</v>
      </c>
      <c r="AH22" s="466">
        <f t="shared" si="0"/>
        <v>1.6127686202411261E-3</v>
      </c>
      <c r="AI22" s="466">
        <f t="shared" si="1"/>
        <v>1.6301488656676434E-3</v>
      </c>
      <c r="AJ22" s="436">
        <f t="shared" si="2"/>
        <v>1.6297811005984253E-3</v>
      </c>
    </row>
    <row r="23" spans="4:36" ht="11.25" customHeight="1" x14ac:dyDescent="0.2">
      <c r="D23" s="479" t="s">
        <v>69</v>
      </c>
      <c r="E23" s="433">
        <f t="shared" si="3"/>
        <v>41892</v>
      </c>
      <c r="F23" s="475">
        <f>_xll.qlCalendarAdvance(Calendar,SettlementDate,D23,"mf",TRUE,Trigger)</f>
        <v>41953</v>
      </c>
      <c r="G23" s="476" t="str">
        <f>_xll.qlMakeDatedOIS(,E23,F23,OvernightIndex,0,,,,EvaluationDate)</f>
        <v>obj_00b28#0000</v>
      </c>
      <c r="H23" s="503" t="b">
        <f>_xll.qlInstrumentSetPricingEngine(G23,OisEngine)</f>
        <v>1</v>
      </c>
      <c r="I23" s="435">
        <f>_xll.qlOvernightIndexedSwapFairRate(G23,_xll.ohTrigger(InterestRatesTrigger))</f>
        <v>-6.8293175779351697E-4</v>
      </c>
      <c r="J23" s="518">
        <f>_xll.qlDayCounterYearFraction(DayCounterOIS,E23,F23,,,Trigger)</f>
        <v>0.16944444444444445</v>
      </c>
      <c r="K23" s="518">
        <f>_xll.qlDayCounterYearFraction(DayCounter3M,E23,F23,,,Trigger)</f>
        <v>0.16944444444444445</v>
      </c>
      <c r="L23" s="518">
        <f>_xll.qlDayCounterYearFraction(DayCounterON,E23,F23,,,Trigger)</f>
        <v>0.16712328767123288</v>
      </c>
      <c r="M23" s="466">
        <f t="shared" si="6"/>
        <v>9.0774414162238834E-4</v>
      </c>
      <c r="N23" s="466">
        <f t="shared" si="4"/>
        <v>9.2164319016784435E-4</v>
      </c>
      <c r="O23" s="436">
        <f t="shared" si="5"/>
        <v>9.2156012287206743E-4</v>
      </c>
      <c r="P23" s="447"/>
      <c r="AF23" s="465">
        <f>_xll.qlCalendarAdvance(Calendar,AF22,"1d","mf",,Trigger)</f>
        <v>41920</v>
      </c>
      <c r="AG23" s="476">
        <f>_xll.qlDayCounterYearFraction(DayCounterON,SettlementDate,AF23,,,Trigger)</f>
        <v>7.6712328767123292E-2</v>
      </c>
      <c r="AH23" s="466">
        <f t="shared" si="0"/>
        <v>1.6127686202411261E-3</v>
      </c>
      <c r="AI23" s="466">
        <f t="shared" si="1"/>
        <v>1.6292093929418856E-3</v>
      </c>
      <c r="AJ23" s="436">
        <f t="shared" si="2"/>
        <v>1.6287691978056002E-3</v>
      </c>
    </row>
    <row r="24" spans="4:36" ht="11.25" customHeight="1" thickBot="1" x14ac:dyDescent="0.25">
      <c r="D24" s="480" t="s">
        <v>62</v>
      </c>
      <c r="E24" s="438">
        <f t="shared" si="3"/>
        <v>41892</v>
      </c>
      <c r="F24" s="477">
        <f>_xll.qlCalendarAdvance(Calendar,SettlementDate,D24,"mf",TRUE,Trigger)</f>
        <v>41983</v>
      </c>
      <c r="G24" s="478" t="str">
        <f>_xll.qlMakeDatedOIS(,E24,F24,OvernightIndex,0,,,,EvaluationDate)</f>
        <v>obj_00b21#0000</v>
      </c>
      <c r="H24" s="504" t="b">
        <f>_xll.qlInstrumentSetPricingEngine(G24,OisEngine)</f>
        <v>1</v>
      </c>
      <c r="I24" s="440">
        <f>_xll.qlOvernightIndexedSwapFairRate(G24,_xll.ohTrigger(InterestRatesTrigger))</f>
        <v>-7.0303535509186332E-4</v>
      </c>
      <c r="J24" s="521">
        <f>_xll.qlDayCounterYearFraction(DayCounterOIS,E24,F24,,,Trigger)</f>
        <v>0.25277777777777777</v>
      </c>
      <c r="K24" s="521">
        <f>_xll.qlDayCounterYearFraction(DayCounter3M,E24,F24,,,Trigger)</f>
        <v>0.25277777777777777</v>
      </c>
      <c r="L24" s="521">
        <f>_xll.qlDayCounterYearFraction(DayCounterON,E24,F24,,,Trigger)</f>
        <v>0.24931506849315069</v>
      </c>
      <c r="M24" s="468">
        <f t="shared" si="6"/>
        <v>8.8764054432404198E-4</v>
      </c>
      <c r="N24" s="468">
        <f t="shared" si="4"/>
        <v>8.8764054432404111E-4</v>
      </c>
      <c r="O24" s="441">
        <f t="shared" si="5"/>
        <v>8.8764054432404046E-4</v>
      </c>
      <c r="P24" s="447"/>
      <c r="AF24" s="465">
        <f>_xll.qlCalendarAdvance(Calendar,AF23,"1d","mf",,Trigger)</f>
        <v>41921</v>
      </c>
      <c r="AG24" s="476">
        <f>_xll.qlDayCounterYearFraction(DayCounterON,SettlementDate,AF24,,,Trigger)</f>
        <v>7.9452054794520555E-2</v>
      </c>
      <c r="AH24" s="466">
        <f t="shared" si="0"/>
        <v>1.6127686202411261E-3</v>
      </c>
      <c r="AI24" s="466">
        <f t="shared" si="1"/>
        <v>1.6282699202161278E-3</v>
      </c>
      <c r="AJ24" s="436">
        <f t="shared" si="2"/>
        <v>1.6277606638531038E-3</v>
      </c>
    </row>
    <row r="25" spans="4:36" x14ac:dyDescent="0.2">
      <c r="P25" s="447"/>
      <c r="AF25" s="465">
        <f>_xll.qlCalendarAdvance(Calendar,AF24,"1d","mf",,Trigger)</f>
        <v>41922</v>
      </c>
      <c r="AG25" s="476">
        <f>_xll.qlDayCounterYearFraction(DayCounterON,SettlementDate,AF25,,,Trigger)</f>
        <v>8.2191780821917804E-2</v>
      </c>
      <c r="AH25" s="466">
        <f t="shared" si="0"/>
        <v>1.6127686202411261E-3</v>
      </c>
      <c r="AI25" s="466">
        <f t="shared" si="1"/>
        <v>1.62733044749037E-3</v>
      </c>
      <c r="AJ25" s="436">
        <f t="shared" si="2"/>
        <v>1.6267554987409363E-3</v>
      </c>
    </row>
    <row r="26" spans="4:36" x14ac:dyDescent="0.2">
      <c r="P26" s="447"/>
      <c r="AF26" s="465">
        <f>_xll.qlCalendarAdvance(Calendar,AF25,"1d","mf",,Trigger)</f>
        <v>41925</v>
      </c>
      <c r="AG26" s="476">
        <f>_xll.qlDayCounterYearFraction(DayCounterON,SettlementDate,AF26,,,Trigger)</f>
        <v>9.0410958904109592E-2</v>
      </c>
      <c r="AH26" s="466">
        <f t="shared" si="0"/>
        <v>1.6127686202411261E-3</v>
      </c>
      <c r="AI26" s="466">
        <f t="shared" si="1"/>
        <v>1.6245120293130969E-3</v>
      </c>
      <c r="AJ26" s="436">
        <f t="shared" si="2"/>
        <v>1.6237602164464056E-3</v>
      </c>
    </row>
    <row r="27" spans="4:36" x14ac:dyDescent="0.2">
      <c r="P27" s="447"/>
      <c r="AF27" s="465">
        <f>_xll.qlCalendarAdvance(Calendar,AF26,"1d","mf",,Trigger)</f>
        <v>41926</v>
      </c>
      <c r="AG27" s="476">
        <f>_xll.qlDayCounterYearFraction(DayCounterON,SettlementDate,AF27,,,Trigger)</f>
        <v>9.3150684931506855E-2</v>
      </c>
      <c r="AH27" s="466">
        <f t="shared" si="0"/>
        <v>1.6127686202411261E-3</v>
      </c>
      <c r="AI27" s="466">
        <f t="shared" si="1"/>
        <v>1.6235725565873391E-3</v>
      </c>
      <c r="AJ27" s="436">
        <f t="shared" si="2"/>
        <v>1.622768526695553E-3</v>
      </c>
    </row>
    <row r="28" spans="4:36" x14ac:dyDescent="0.2">
      <c r="AF28" s="465">
        <f>_xll.qlCalendarAdvance(Calendar,AF27,"1d","mf",,Trigger)</f>
        <v>41927</v>
      </c>
      <c r="AG28" s="476">
        <f>_xll.qlDayCounterYearFraction(DayCounterON,SettlementDate,AF28,,,Trigger)</f>
        <v>9.5890410958904104E-2</v>
      </c>
      <c r="AH28" s="466">
        <f t="shared" si="0"/>
        <v>1.6127686202411261E-3</v>
      </c>
      <c r="AI28" s="466">
        <f t="shared" si="1"/>
        <v>1.6226330838615814E-3</v>
      </c>
      <c r="AJ28" s="436">
        <f t="shared" si="2"/>
        <v>1.6217802057850287E-3</v>
      </c>
    </row>
    <row r="29" spans="4:36" ht="12" thickBot="1" x14ac:dyDescent="0.25">
      <c r="AF29" s="465">
        <f>_xll.qlCalendarAdvance(Calendar,AF28,"1d","mf",,Trigger)</f>
        <v>41928</v>
      </c>
      <c r="AG29" s="476">
        <f>_xll.qlDayCounterYearFraction(DayCounterON,SettlementDate,AF29,,,Trigger)</f>
        <v>9.8630136986301367E-2</v>
      </c>
      <c r="AH29" s="466">
        <f t="shared" si="0"/>
        <v>1.6127686202411261E-3</v>
      </c>
      <c r="AI29" s="466">
        <f t="shared" si="1"/>
        <v>1.6216936111358236E-3</v>
      </c>
      <c r="AJ29" s="436">
        <f t="shared" si="2"/>
        <v>1.6207952537148334E-3</v>
      </c>
    </row>
    <row r="30" spans="4:36" ht="12.75" customHeight="1" x14ac:dyDescent="0.2">
      <c r="D30" s="526" t="s">
        <v>198</v>
      </c>
      <c r="AF30" s="465">
        <f>_xll.qlCalendarAdvance(Calendar,AF29,"1d","mf",,Trigger)</f>
        <v>41929</v>
      </c>
      <c r="AG30" s="476">
        <f>_xll.qlDayCounterYearFraction(DayCounterON,SettlementDate,AF30,,,Trigger)</f>
        <v>0.10136986301369863</v>
      </c>
      <c r="AH30" s="466">
        <f t="shared" si="0"/>
        <v>1.6127686202411261E-3</v>
      </c>
      <c r="AI30" s="466">
        <f t="shared" si="1"/>
        <v>1.620754138410066E-3</v>
      </c>
      <c r="AJ30" s="436">
        <f t="shared" si="2"/>
        <v>1.6198136704849669E-3</v>
      </c>
    </row>
    <row r="31" spans="4:36" x14ac:dyDescent="0.2">
      <c r="D31" s="530" t="s">
        <v>155</v>
      </c>
      <c r="AF31" s="465">
        <f>_xll.qlCalendarAdvance(Calendar,AF30,"1d","mf",,Trigger)</f>
        <v>41932</v>
      </c>
      <c r="AG31" s="476">
        <f>_xll.qlDayCounterYearFraction(DayCounterON,SettlementDate,AF31,,,Trigger)</f>
        <v>0.1095890410958904</v>
      </c>
      <c r="AH31" s="466">
        <f t="shared" si="0"/>
        <v>1.6127686202411261E-3</v>
      </c>
      <c r="AI31" s="466">
        <f t="shared" si="1"/>
        <v>1.6179357202327927E-3</v>
      </c>
      <c r="AJ31" s="436">
        <f t="shared" si="2"/>
        <v>1.6168891338373393E-3</v>
      </c>
    </row>
    <row r="32" spans="4:36" x14ac:dyDescent="0.2">
      <c r="D32" s="466">
        <f t="shared" ref="D32:D41" si="7">IF($D$31="FLAT",M18,IF($D$31="linear",N18,O18))</f>
        <v>1.5351142650928177E-3</v>
      </c>
      <c r="AF32" s="465">
        <f>_xll.qlCalendarAdvance(Calendar,AF31,"1d","mf",,Trigger)</f>
        <v>41933</v>
      </c>
      <c r="AG32" s="476">
        <f>_xll.qlDayCounterYearFraction(DayCounterON,SettlementDate,AF32,,,Trigger)</f>
        <v>0.11232876712328767</v>
      </c>
      <c r="AH32" s="466">
        <f t="shared" si="0"/>
        <v>1.6127686202411261E-3</v>
      </c>
      <c r="AI32" s="466">
        <f t="shared" si="1"/>
        <v>1.6169962475070349E-3</v>
      </c>
      <c r="AJ32" s="436">
        <f t="shared" si="2"/>
        <v>1.6159210259687872E-3</v>
      </c>
    </row>
    <row r="33" spans="4:36" x14ac:dyDescent="0.2">
      <c r="D33" s="466">
        <f t="shared" si="7"/>
        <v>1.1318726019303039E-3</v>
      </c>
      <c r="AF33" s="465">
        <f>_xll.qlCalendarAdvance(Calendar,AF32,"1d","mf",,Trigger)</f>
        <v>41934</v>
      </c>
      <c r="AG33" s="476">
        <f>_xll.qlDayCounterYearFraction(DayCounterON,SettlementDate,AF33,,,Trigger)</f>
        <v>0.11506849315068493</v>
      </c>
      <c r="AH33" s="466">
        <f t="shared" si="0"/>
        <v>1.6127686202411261E-3</v>
      </c>
      <c r="AI33" s="466">
        <f t="shared" si="1"/>
        <v>1.6160567747812774E-3</v>
      </c>
      <c r="AJ33" s="436">
        <f t="shared" si="2"/>
        <v>1.6149562869405643E-3</v>
      </c>
    </row>
    <row r="34" spans="4:36" x14ac:dyDescent="0.2">
      <c r="D34" s="466">
        <f t="shared" si="7"/>
        <v>1.1081410605831908E-3</v>
      </c>
      <c r="AF34" s="465">
        <f>_xll.qlCalendarAdvance(Calendar,AF33,"1d","mf",,Trigger)</f>
        <v>41935</v>
      </c>
      <c r="AG34" s="476">
        <f>_xll.qlDayCounterYearFraction(DayCounterON,SettlementDate,AF34,,,Trigger)</f>
        <v>0.11780821917808219</v>
      </c>
      <c r="AH34" s="466">
        <f t="shared" si="0"/>
        <v>1.6127686202411261E-3</v>
      </c>
      <c r="AI34" s="466">
        <f t="shared" si="1"/>
        <v>1.6151173020555196E-3</v>
      </c>
      <c r="AJ34" s="436">
        <f t="shared" si="2"/>
        <v>1.61399491675267E-3</v>
      </c>
    </row>
    <row r="35" spans="4:36" x14ac:dyDescent="0.2">
      <c r="D35" s="466">
        <f t="shared" si="7"/>
        <v>1.1344637785215808E-3</v>
      </c>
      <c r="AF35" s="465">
        <f>_xll.qlCalendarAdvance(Calendar,AF34,"1d","mf",,Trigger)</f>
        <v>41936</v>
      </c>
      <c r="AG35" s="476">
        <f>_xll.qlDayCounterYearFraction(DayCounterON,SettlementDate,AF35,,,Trigger)</f>
        <v>0.12054794520547946</v>
      </c>
      <c r="AH35" s="466">
        <f t="shared" si="0"/>
        <v>1.6127686202411261E-3</v>
      </c>
      <c r="AI35" s="466">
        <f t="shared" si="1"/>
        <v>1.6141778293297618E-3</v>
      </c>
      <c r="AJ35" s="436">
        <f t="shared" si="2"/>
        <v>1.6130369154051041E-3</v>
      </c>
    </row>
    <row r="36" spans="4:36" x14ac:dyDescent="0.2">
      <c r="D36" s="466">
        <f t="shared" si="7"/>
        <v>9.1315002838882194E-4</v>
      </c>
      <c r="AF36" s="465">
        <f>_xll.qlCalendarAdvance(Calendar,AF35,"1d","mf",,Trigger)</f>
        <v>41939</v>
      </c>
      <c r="AG36" s="476">
        <f>_xll.qlDayCounterYearFraction(DayCounterON,SettlementDate,AF36,,,Trigger)</f>
        <v>0.12876712328767123</v>
      </c>
      <c r="AH36" s="466">
        <f t="shared" si="0"/>
        <v>1.6127686202411261E-3</v>
      </c>
      <c r="AI36" s="466">
        <f t="shared" si="1"/>
        <v>1.6113594111524887E-3</v>
      </c>
      <c r="AJ36" s="436">
        <f t="shared" si="2"/>
        <v>1.6101831244043796E-3</v>
      </c>
    </row>
    <row r="37" spans="4:36" x14ac:dyDescent="0.2">
      <c r="D37" s="466">
        <f t="shared" si="7"/>
        <v>9.2156012287206743E-4</v>
      </c>
      <c r="AF37" s="465">
        <f>_xll.qlCalendarAdvance(Calendar,AF36,"1d","mf",,Trigger)</f>
        <v>41940</v>
      </c>
      <c r="AG37" s="476">
        <f>_xll.qlDayCounterYearFraction(DayCounterON,SettlementDate,AF37,,,Trigger)</f>
        <v>0.13150684931506848</v>
      </c>
      <c r="AH37" s="466">
        <f t="shared" si="0"/>
        <v>1.6127686202411261E-3</v>
      </c>
      <c r="AI37" s="466">
        <f t="shared" si="1"/>
        <v>1.6104199384267309E-3</v>
      </c>
      <c r="AJ37" s="436">
        <f t="shared" si="2"/>
        <v>1.6092385984181287E-3</v>
      </c>
    </row>
    <row r="38" spans="4:36" x14ac:dyDescent="0.2">
      <c r="D38" s="536">
        <f t="shared" si="7"/>
        <v>8.8764054432404046E-4</v>
      </c>
      <c r="AF38" s="465">
        <f>_xll.qlCalendarAdvance(Calendar,AF37,"1d","mf",,Trigger)</f>
        <v>41941</v>
      </c>
      <c r="AG38" s="476">
        <f>_xll.qlDayCounterYearFraction(DayCounterON,SettlementDate,AF38,,,Trigger)</f>
        <v>0.13424657534246576</v>
      </c>
      <c r="AH38" s="466">
        <f t="shared" si="0"/>
        <v>1.6127686202411261E-3</v>
      </c>
      <c r="AI38" s="466">
        <f t="shared" si="1"/>
        <v>1.6094804657009732E-3</v>
      </c>
      <c r="AJ38" s="436">
        <f t="shared" si="2"/>
        <v>1.6082974412722068E-3</v>
      </c>
    </row>
    <row r="39" spans="4:36" x14ac:dyDescent="0.2">
      <c r="AF39" s="465">
        <f>_xll.qlCalendarAdvance(Calendar,AF38,"1d","mf",,Trigger)</f>
        <v>41942</v>
      </c>
      <c r="AG39" s="476">
        <f>_xll.qlDayCounterYearFraction(DayCounterON,SettlementDate,AF39,,,Trigger)</f>
        <v>0.13698630136986301</v>
      </c>
      <c r="AH39" s="466">
        <f t="shared" si="0"/>
        <v>1.6127686202411261E-3</v>
      </c>
      <c r="AI39" s="466">
        <f t="shared" si="1"/>
        <v>1.6085409929752154E-3</v>
      </c>
      <c r="AJ39" s="436">
        <f t="shared" si="2"/>
        <v>1.6073596529666133E-3</v>
      </c>
    </row>
    <row r="40" spans="4:36" x14ac:dyDescent="0.2">
      <c r="AF40" s="465">
        <f>_xll.qlCalendarAdvance(Calendar,AF39,"1d","mf",,Trigger)</f>
        <v>41943</v>
      </c>
      <c r="AG40" s="476">
        <f>_xll.qlDayCounterYearFraction(DayCounterON,SettlementDate,AF40,,,Trigger)</f>
        <v>0.13972602739726028</v>
      </c>
      <c r="AH40" s="466">
        <f t="shared" si="0"/>
        <v>1.6127686202411261E-3</v>
      </c>
      <c r="AI40" s="466">
        <f t="shared" si="1"/>
        <v>1.6076015202494576E-3</v>
      </c>
      <c r="AJ40" s="436">
        <f t="shared" si="2"/>
        <v>1.6064252335013485E-3</v>
      </c>
    </row>
    <row r="41" spans="4:36" x14ac:dyDescent="0.2">
      <c r="AF41" s="465">
        <f>_xll.qlCalendarAdvance(Calendar,AF40,"1d","mf",,Trigger)</f>
        <v>41946</v>
      </c>
      <c r="AG41" s="476">
        <f>_xll.qlDayCounterYearFraction(DayCounterON,SettlementDate,AF41,,,Trigger)</f>
        <v>0.14794520547945206</v>
      </c>
      <c r="AH41" s="466">
        <f t="shared" si="0"/>
        <v>1.6127686202411261E-3</v>
      </c>
      <c r="AI41" s="466">
        <f t="shared" si="1"/>
        <v>1.6047831020721845E-3</v>
      </c>
      <c r="AJ41" s="436">
        <f t="shared" si="2"/>
        <v>1.6036421881475268E-3</v>
      </c>
    </row>
    <row r="42" spans="4:36" x14ac:dyDescent="0.2">
      <c r="AF42" s="465">
        <f>_xll.qlCalendarAdvance(Calendar,AF41,"1d","mf",,Trigger)</f>
        <v>41947</v>
      </c>
      <c r="AG42" s="476">
        <f>_xll.qlDayCounterYearFraction(DayCounterON,SettlementDate,AF42,,,Trigger)</f>
        <v>0.15068493150684931</v>
      </c>
      <c r="AH42" s="466">
        <f t="shared" si="0"/>
        <v>1.6127686202411261E-3</v>
      </c>
      <c r="AI42" s="466">
        <f t="shared" si="1"/>
        <v>1.6038436293464267E-3</v>
      </c>
      <c r="AJ42" s="436">
        <f t="shared" si="2"/>
        <v>1.6027212440435769E-3</v>
      </c>
    </row>
    <row r="43" spans="4:36" ht="11.25" customHeight="1" x14ac:dyDescent="0.2">
      <c r="N43" s="528"/>
      <c r="AF43" s="465">
        <f>_xll.qlCalendarAdvance(Calendar,AF42,"1d","mf",,Trigger)</f>
        <v>41948</v>
      </c>
      <c r="AG43" s="476">
        <f>_xll.qlDayCounterYearFraction(DayCounterON,SettlementDate,AF43,,,Trigger)</f>
        <v>0.15342465753424658</v>
      </c>
      <c r="AH43" s="466">
        <f t="shared" si="0"/>
        <v>1.6127686202411261E-3</v>
      </c>
      <c r="AI43" s="466">
        <f t="shared" si="1"/>
        <v>1.6029041566206692E-3</v>
      </c>
      <c r="AJ43" s="436">
        <f t="shared" si="2"/>
        <v>1.6018036687799558E-3</v>
      </c>
    </row>
    <row r="44" spans="4:36" x14ac:dyDescent="0.2">
      <c r="J44" s="447"/>
      <c r="K44" s="447"/>
      <c r="N44" s="528"/>
      <c r="AF44" s="465">
        <f>_xll.qlCalendarAdvance(Calendar,AF43,"1d","mf",,Trigger)</f>
        <v>41949</v>
      </c>
      <c r="AG44" s="476">
        <f>_xll.qlDayCounterYearFraction(DayCounterON,SettlementDate,AF44,,,Trigger)</f>
        <v>0.15616438356164383</v>
      </c>
      <c r="AH44" s="466">
        <f t="shared" si="0"/>
        <v>1.6127686202411261E-3</v>
      </c>
      <c r="AI44" s="466">
        <f t="shared" si="1"/>
        <v>1.6019646838949114E-3</v>
      </c>
      <c r="AJ44" s="436">
        <f t="shared" si="2"/>
        <v>1.6008894623566635E-3</v>
      </c>
    </row>
    <row r="45" spans="4:36" x14ac:dyDescent="0.2">
      <c r="N45" s="528"/>
      <c r="AF45" s="465">
        <f>_xll.qlCalendarAdvance(Calendar,AF44,"1d","mf",,Trigger)</f>
        <v>41950</v>
      </c>
      <c r="AG45" s="476">
        <f>_xll.qlDayCounterYearFraction(DayCounterON,SettlementDate,AF45,,,Trigger)</f>
        <v>0.15890410958904111</v>
      </c>
      <c r="AH45" s="466">
        <f t="shared" si="0"/>
        <v>1.6127686202411261E-3</v>
      </c>
      <c r="AI45" s="466">
        <f t="shared" si="1"/>
        <v>1.6010252111691536E-3</v>
      </c>
      <c r="AJ45" s="436">
        <f t="shared" si="2"/>
        <v>1.5999786247736997E-3</v>
      </c>
    </row>
    <row r="46" spans="4:36" x14ac:dyDescent="0.2">
      <c r="N46" s="528"/>
      <c r="AF46" s="465">
        <f>_xll.qlCalendarAdvance(Calendar,AF45,"1d","mf",,Trigger)</f>
        <v>41953</v>
      </c>
      <c r="AG46" s="476">
        <f>_xll.qlDayCounterYearFraction(DayCounterON,SettlementDate,AF46,,,Trigger)</f>
        <v>0.16712328767123288</v>
      </c>
      <c r="AH46" s="466">
        <f t="shared" si="0"/>
        <v>1.6127686202411261E-3</v>
      </c>
      <c r="AI46" s="466">
        <f t="shared" si="1"/>
        <v>1.5982067929918805E-3</v>
      </c>
      <c r="AJ46" s="436">
        <f t="shared" si="2"/>
        <v>1.597266325066781E-3</v>
      </c>
    </row>
    <row r="47" spans="4:36" x14ac:dyDescent="0.2">
      <c r="N47" s="528"/>
      <c r="AF47" s="465">
        <f>_xll.qlCalendarAdvance(Calendar,AF46,"1d","mf",,Trigger)</f>
        <v>41954</v>
      </c>
      <c r="AG47" s="476">
        <f>_xll.qlDayCounterYearFraction(DayCounterON,SettlementDate,AF47,,,Trigger)</f>
        <v>0.16986301369863013</v>
      </c>
      <c r="AH47" s="466">
        <f t="shared" si="0"/>
        <v>1.6127686202411261E-3</v>
      </c>
      <c r="AI47" s="466">
        <f t="shared" si="1"/>
        <v>1.5972673202661227E-3</v>
      </c>
      <c r="AJ47" s="436">
        <f t="shared" si="2"/>
        <v>1.5963689628451321E-3</v>
      </c>
    </row>
    <row r="48" spans="4:36" x14ac:dyDescent="0.2">
      <c r="AF48" s="465">
        <f>_xll.qlCalendarAdvance(Calendar,AF47,"1d","mf",,Trigger)</f>
        <v>41955</v>
      </c>
      <c r="AG48" s="476">
        <f>_xll.qlDayCounterYearFraction(DayCounterON,SettlementDate,AF48,,,Trigger)</f>
        <v>0.17260273972602741</v>
      </c>
      <c r="AH48" s="466">
        <f t="shared" si="0"/>
        <v>1.6127686202411261E-3</v>
      </c>
      <c r="AI48" s="466">
        <f t="shared" si="1"/>
        <v>1.596327847540365E-3</v>
      </c>
      <c r="AJ48" s="436">
        <f t="shared" si="2"/>
        <v>1.5954749694638121E-3</v>
      </c>
    </row>
    <row r="49" spans="10:36" x14ac:dyDescent="0.2">
      <c r="AF49" s="465">
        <f>_xll.qlCalendarAdvance(Calendar,AF48,"1d","mf",,Trigger)</f>
        <v>41956</v>
      </c>
      <c r="AG49" s="476">
        <f>_xll.qlDayCounterYearFraction(DayCounterON,SettlementDate,AF49,,,Trigger)</f>
        <v>0.17534246575342466</v>
      </c>
      <c r="AH49" s="466">
        <f t="shared" si="0"/>
        <v>1.6127686202411261E-3</v>
      </c>
      <c r="AI49" s="466">
        <f t="shared" si="1"/>
        <v>1.5953883748146072E-3</v>
      </c>
      <c r="AJ49" s="436">
        <f t="shared" si="2"/>
        <v>1.5945843449228206E-3</v>
      </c>
    </row>
    <row r="50" spans="10:36" x14ac:dyDescent="0.2">
      <c r="AF50" s="465">
        <f>_xll.qlCalendarAdvance(Calendar,AF49,"1d","mf",,Trigger)</f>
        <v>41957</v>
      </c>
      <c r="AG50" s="476">
        <f>_xll.qlDayCounterYearFraction(DayCounterON,SettlementDate,AF50,,,Trigger)</f>
        <v>0.17808219178082191</v>
      </c>
      <c r="AH50" s="466">
        <f t="shared" si="0"/>
        <v>1.6127686202411261E-3</v>
      </c>
      <c r="AI50" s="466">
        <f t="shared" si="1"/>
        <v>1.5944489020888494E-3</v>
      </c>
      <c r="AJ50" s="436">
        <f t="shared" si="2"/>
        <v>1.5936970892221579E-3</v>
      </c>
    </row>
    <row r="51" spans="10:36" x14ac:dyDescent="0.2">
      <c r="AF51" s="465">
        <f>_xll.qlCalendarAdvance(Calendar,AF50,"1d","mf",,Trigger)</f>
        <v>41960</v>
      </c>
      <c r="AG51" s="476">
        <f>_xll.qlDayCounterYearFraction(DayCounterON,SettlementDate,AF51,,,Trigger)</f>
        <v>0.18630136986301371</v>
      </c>
      <c r="AH51" s="466">
        <f t="shared" si="0"/>
        <v>1.6127686202411261E-3</v>
      </c>
      <c r="AI51" s="466">
        <f t="shared" si="1"/>
        <v>1.5916304839115763E-3</v>
      </c>
      <c r="AJ51" s="436">
        <f t="shared" si="2"/>
        <v>1.5910555351621419E-3</v>
      </c>
    </row>
    <row r="52" spans="10:36" x14ac:dyDescent="0.2">
      <c r="AF52" s="465">
        <f>_xll.qlCalendarAdvance(Calendar,AF51,"1d","mf",,Trigger)</f>
        <v>41961</v>
      </c>
      <c r="AG52" s="476">
        <f>_xll.qlDayCounterYearFraction(DayCounterON,SettlementDate,AF52,,,Trigger)</f>
        <v>0.18904109589041096</v>
      </c>
      <c r="AH52" s="466">
        <f t="shared" si="0"/>
        <v>1.6127686202411261E-3</v>
      </c>
      <c r="AI52" s="466">
        <f t="shared" si="1"/>
        <v>1.5906910111858185E-3</v>
      </c>
      <c r="AJ52" s="436">
        <f t="shared" si="2"/>
        <v>1.5901817548227941E-3</v>
      </c>
    </row>
    <row r="53" spans="10:36" x14ac:dyDescent="0.2">
      <c r="AF53" s="465">
        <f>_xll.qlCalendarAdvance(Calendar,AF52,"1d","mf",,Trigger)</f>
        <v>41962</v>
      </c>
      <c r="AG53" s="476">
        <f>_xll.qlDayCounterYearFraction(DayCounterON,SettlementDate,AF53,,,Trigger)</f>
        <v>0.19178082191780821</v>
      </c>
      <c r="AH53" s="466">
        <f t="shared" si="0"/>
        <v>1.6127686202411261E-3</v>
      </c>
      <c r="AI53" s="466">
        <f t="shared" si="1"/>
        <v>1.5897515384600608E-3</v>
      </c>
      <c r="AJ53" s="436">
        <f t="shared" si="2"/>
        <v>1.5893113433237752E-3</v>
      </c>
    </row>
    <row r="54" spans="10:36" x14ac:dyDescent="0.2">
      <c r="AF54" s="465">
        <f>_xll.qlCalendarAdvance(Calendar,AF53,"1d","mf",,Trigger)</f>
        <v>41963</v>
      </c>
      <c r="AG54" s="476">
        <f>_xll.qlDayCounterYearFraction(DayCounterON,SettlementDate,AF54,,,Trigger)</f>
        <v>0.19452054794520549</v>
      </c>
      <c r="AH54" s="466">
        <f t="shared" si="0"/>
        <v>1.6127686202411261E-3</v>
      </c>
      <c r="AI54" s="466">
        <f t="shared" si="1"/>
        <v>1.5888120657343032E-3</v>
      </c>
      <c r="AJ54" s="436">
        <f t="shared" si="2"/>
        <v>1.5884443006650845E-3</v>
      </c>
    </row>
    <row r="55" spans="10:36" x14ac:dyDescent="0.2">
      <c r="AF55" s="465">
        <f>_xll.qlCalendarAdvance(Calendar,AF54,"1d","mf",,Trigger)</f>
        <v>41964</v>
      </c>
      <c r="AG55" s="476">
        <f>_xll.qlDayCounterYearFraction(DayCounterON,SettlementDate,AF55,,,Trigger)</f>
        <v>0.19726027397260273</v>
      </c>
      <c r="AH55" s="466">
        <f t="shared" si="0"/>
        <v>1.6127686202411261E-3</v>
      </c>
      <c r="AI55" s="466">
        <f t="shared" si="1"/>
        <v>1.5878725930085454E-3</v>
      </c>
      <c r="AJ55" s="436">
        <f t="shared" si="2"/>
        <v>1.5875806268467229E-3</v>
      </c>
    </row>
    <row r="56" spans="10:36" x14ac:dyDescent="0.2">
      <c r="AF56" s="465">
        <f>_xll.qlCalendarAdvance(Calendar,AF55,"1d","mf",,Trigger)</f>
        <v>41967</v>
      </c>
      <c r="AG56" s="476">
        <f>_xll.qlDayCounterYearFraction(DayCounterON,SettlementDate,AF56,,,Trigger)</f>
        <v>0.20547945205479451</v>
      </c>
      <c r="AH56" s="466">
        <f t="shared" si="0"/>
        <v>1.6127686202411261E-3</v>
      </c>
      <c r="AI56" s="466">
        <f t="shared" si="1"/>
        <v>1.5850541748312721E-3</v>
      </c>
      <c r="AJ56" s="436">
        <f t="shared" si="2"/>
        <v>1.5850098184336098E-3</v>
      </c>
    </row>
    <row r="57" spans="10:36" x14ac:dyDescent="0.2">
      <c r="AF57" s="465">
        <f>_xll.qlCalendarAdvance(Calendar,AF56,"1d","mf",,Trigger)</f>
        <v>41968</v>
      </c>
      <c r="AG57" s="476">
        <f>_xll.qlDayCounterYearFraction(DayCounterON,SettlementDate,AF57,,,Trigger)</f>
        <v>0.20821917808219179</v>
      </c>
      <c r="AH57" s="466">
        <f t="shared" si="0"/>
        <v>1.6127686202411261E-3</v>
      </c>
      <c r="AI57" s="466">
        <f t="shared" si="1"/>
        <v>1.5841147021055145E-3</v>
      </c>
      <c r="AJ57" s="436">
        <f t="shared" si="2"/>
        <v>1.5841596199765631E-3</v>
      </c>
    </row>
    <row r="58" spans="10:36" x14ac:dyDescent="0.2">
      <c r="AF58" s="465">
        <f>_xll.qlCalendarAdvance(Calendar,AF57,"1d","mf",,Trigger)</f>
        <v>41969</v>
      </c>
      <c r="AG58" s="476">
        <f>_xll.qlDayCounterYearFraction(DayCounterON,SettlementDate,AF58,,,Trigger)</f>
        <v>0.21095890410958903</v>
      </c>
      <c r="AH58" s="466">
        <f t="shared" si="0"/>
        <v>1.6127686202411261E-3</v>
      </c>
      <c r="AI58" s="466">
        <f t="shared" si="1"/>
        <v>1.5831752293797568E-3</v>
      </c>
      <c r="AJ58" s="436">
        <f t="shared" si="2"/>
        <v>1.5833127903598448E-3</v>
      </c>
    </row>
    <row r="59" spans="10:36" x14ac:dyDescent="0.2">
      <c r="AF59" s="465">
        <f>_xll.qlCalendarAdvance(Calendar,AF58,"1d","mf",,Trigger)</f>
        <v>41970</v>
      </c>
      <c r="AG59" s="476">
        <f>_xll.qlDayCounterYearFraction(DayCounterON,SettlementDate,AF59,,,Trigger)</f>
        <v>0.21369863013698631</v>
      </c>
      <c r="AH59" s="466">
        <f t="shared" si="0"/>
        <v>1.6127686202411261E-3</v>
      </c>
      <c r="AI59" s="466">
        <f t="shared" si="1"/>
        <v>1.582235756653999E-3</v>
      </c>
      <c r="AJ59" s="436">
        <f t="shared" si="2"/>
        <v>1.5824693295834553E-3</v>
      </c>
    </row>
    <row r="60" spans="10:36" x14ac:dyDescent="0.2">
      <c r="AF60" s="465">
        <f>_xll.qlCalendarAdvance(Calendar,AF59,"1d","mf",,Trigger)</f>
        <v>41971</v>
      </c>
      <c r="AG60" s="476">
        <f>_xll.qlDayCounterYearFraction(DayCounterON,SettlementDate,AF60,,,Trigger)</f>
        <v>0.21643835616438356</v>
      </c>
      <c r="AH60" s="466">
        <f t="shared" si="0"/>
        <v>1.6127686202411261E-3</v>
      </c>
      <c r="AI60" s="466">
        <f t="shared" si="1"/>
        <v>1.5812962839282412E-3</v>
      </c>
      <c r="AJ60" s="436">
        <f t="shared" si="2"/>
        <v>1.5816292376473946E-3</v>
      </c>
    </row>
    <row r="61" spans="10:36" x14ac:dyDescent="0.2">
      <c r="AF61" s="465">
        <f>_xll.qlCalendarAdvance(Calendar,AF60,"1d","mf",,Trigger)</f>
        <v>41974</v>
      </c>
      <c r="AG61" s="476">
        <f>_xll.qlDayCounterYearFraction(DayCounterON,SettlementDate,AF61,,,Trigger)</f>
        <v>0.22465753424657534</v>
      </c>
      <c r="AH61" s="466">
        <f t="shared" si="0"/>
        <v>1.6127686202411261E-3</v>
      </c>
      <c r="AI61" s="466">
        <f t="shared" si="1"/>
        <v>1.5784778657509681E-3</v>
      </c>
      <c r="AJ61" s="436">
        <f t="shared" si="2"/>
        <v>1.5791291748811847E-3</v>
      </c>
    </row>
    <row r="62" spans="10:36" x14ac:dyDescent="0.2">
      <c r="AF62" s="465">
        <f>_xll.qlCalendarAdvance(Calendar,AF61,"1d","mf",,Trigger)</f>
        <v>41975</v>
      </c>
      <c r="AG62" s="476">
        <f>_xll.qlDayCounterYearFraction(DayCounterON,SettlementDate,AF62,,,Trigger)</f>
        <v>0.22739726027397261</v>
      </c>
      <c r="AH62" s="466">
        <f t="shared" si="0"/>
        <v>1.6127686202411261E-3</v>
      </c>
      <c r="AI62" s="466">
        <f t="shared" si="1"/>
        <v>1.5775383930252103E-3</v>
      </c>
      <c r="AJ62" s="436">
        <f t="shared" si="2"/>
        <v>1.5783025583064386E-3</v>
      </c>
    </row>
    <row r="63" spans="10:36" x14ac:dyDescent="0.2">
      <c r="J63" s="447"/>
      <c r="AF63" s="465">
        <f>_xll.qlCalendarAdvance(Calendar,AF62,"1d","mf",,Trigger)</f>
        <v>41976</v>
      </c>
      <c r="AG63" s="476">
        <f>_xll.qlDayCounterYearFraction(DayCounterON,SettlementDate,AF63,,,Trigger)</f>
        <v>0.23013698630136986</v>
      </c>
      <c r="AH63" s="466">
        <f t="shared" si="0"/>
        <v>1.6127686202411261E-3</v>
      </c>
      <c r="AI63" s="466">
        <f t="shared" si="1"/>
        <v>1.5765989202994525E-3</v>
      </c>
      <c r="AJ63" s="436">
        <f t="shared" si="2"/>
        <v>1.5774793105720213E-3</v>
      </c>
    </row>
    <row r="64" spans="10:36" x14ac:dyDescent="0.2">
      <c r="J64" s="447"/>
      <c r="AF64" s="465">
        <f>_xll.qlCalendarAdvance(Calendar,AF63,"1d","mf",,Trigger)</f>
        <v>41977</v>
      </c>
      <c r="AG64" s="476">
        <f>_xll.qlDayCounterYearFraction(DayCounterON,SettlementDate,AF64,,,Trigger)</f>
        <v>0.23287671232876711</v>
      </c>
      <c r="AH64" s="466">
        <f t="shared" si="0"/>
        <v>1.6127686202411261E-3</v>
      </c>
      <c r="AI64" s="466">
        <f t="shared" si="1"/>
        <v>1.5756594475736948E-3</v>
      </c>
      <c r="AJ64" s="436">
        <f t="shared" si="2"/>
        <v>1.576659431677933E-3</v>
      </c>
    </row>
    <row r="65" spans="10:36" x14ac:dyDescent="0.2">
      <c r="J65" s="447"/>
      <c r="AF65" s="465">
        <f>_xll.qlCalendarAdvance(Calendar,AF64,"1d","mf",,Trigger)</f>
        <v>41978</v>
      </c>
      <c r="AG65" s="476">
        <f>_xll.qlDayCounterYearFraction(DayCounterON,SettlementDate,AF65,,,Trigger)</f>
        <v>0.23561643835616439</v>
      </c>
      <c r="AH65" s="466">
        <f t="shared" si="0"/>
        <v>1.6127686202411261E-3</v>
      </c>
      <c r="AI65" s="466">
        <f t="shared" si="1"/>
        <v>1.5747199748479372E-3</v>
      </c>
      <c r="AJ65" s="436">
        <f t="shared" si="2"/>
        <v>1.5758429216241733E-3</v>
      </c>
    </row>
    <row r="66" spans="10:36" x14ac:dyDescent="0.2">
      <c r="J66" s="447"/>
      <c r="AF66" s="465">
        <f>_xll.qlCalendarAdvance(Calendar,AF65,"1d","mf",,Trigger)</f>
        <v>41981</v>
      </c>
      <c r="AG66" s="476">
        <f>_xll.qlDayCounterYearFraction(DayCounterON,SettlementDate,AF66,,,Trigger)</f>
        <v>0.24383561643835616</v>
      </c>
      <c r="AH66" s="466">
        <f t="shared" si="0"/>
        <v>1.6127686202411261E-3</v>
      </c>
      <c r="AI66" s="466">
        <f t="shared" si="1"/>
        <v>1.5719015566706639E-3</v>
      </c>
      <c r="AJ66" s="436">
        <f t="shared" si="2"/>
        <v>1.5734136045048664E-3</v>
      </c>
    </row>
    <row r="67" spans="10:36" x14ac:dyDescent="0.2">
      <c r="J67" s="447"/>
      <c r="AF67" s="465">
        <f>_xll.qlCalendarAdvance(Calendar,AF66,"1d","mf",,Trigger)</f>
        <v>41982</v>
      </c>
      <c r="AG67" s="476">
        <f>_xll.qlDayCounterYearFraction(DayCounterON,SettlementDate,AF67,,,Trigger)</f>
        <v>0.24657534246575341</v>
      </c>
      <c r="AH67" s="466">
        <f t="shared" ref="AH67:AH130" si="8">$W$13</f>
        <v>1.6127686202411261E-3</v>
      </c>
      <c r="AI67" s="466">
        <f t="shared" ref="AI67:AI130" si="9">$W$10+$W$9*AG67</f>
        <v>1.5709620839449061E-3</v>
      </c>
      <c r="AJ67" s="436">
        <f t="shared" ref="AJ67:AJ130" si="10">($W$5+$W$4*AG67+$W$3*AG67^2)</f>
        <v>1.5726105698124211E-3</v>
      </c>
    </row>
    <row r="68" spans="10:36" x14ac:dyDescent="0.2">
      <c r="J68" s="447"/>
      <c r="AF68" s="465">
        <f>_xll.qlCalendarAdvance(Calendar,AF67,"1d","mf",,Trigger)</f>
        <v>41983</v>
      </c>
      <c r="AG68" s="476">
        <f>_xll.qlDayCounterYearFraction(DayCounterON,SettlementDate,AF68,,,Trigger)</f>
        <v>0.24931506849315069</v>
      </c>
      <c r="AH68" s="466">
        <f t="shared" si="8"/>
        <v>1.6127686202411261E-3</v>
      </c>
      <c r="AI68" s="466">
        <f t="shared" si="9"/>
        <v>1.5700226112191486E-3</v>
      </c>
      <c r="AJ68" s="436">
        <f t="shared" si="10"/>
        <v>1.5718109039603051E-3</v>
      </c>
    </row>
    <row r="69" spans="10:36" x14ac:dyDescent="0.2">
      <c r="J69" s="447"/>
      <c r="K69" s="447"/>
      <c r="AF69" s="465">
        <f>_xll.qlCalendarAdvance(Calendar,AF68,"1d","mf",,Trigger)</f>
        <v>41984</v>
      </c>
      <c r="AG69" s="476">
        <f>_xll.qlDayCounterYearFraction(DayCounterON,SettlementDate,AF69,,,Trigger)</f>
        <v>0.25205479452054796</v>
      </c>
      <c r="AH69" s="466">
        <f t="shared" si="8"/>
        <v>1.6127686202411261E-3</v>
      </c>
      <c r="AI69" s="466">
        <f t="shared" si="9"/>
        <v>1.5690831384933908E-3</v>
      </c>
      <c r="AJ69" s="436">
        <f t="shared" si="10"/>
        <v>1.5710146069485176E-3</v>
      </c>
    </row>
    <row r="70" spans="10:36" x14ac:dyDescent="0.2">
      <c r="J70" s="447"/>
      <c r="K70" s="447"/>
      <c r="AF70" s="465">
        <f>_xll.qlCalendarAdvance(Calendar,AF69,"1d","mf",,Trigger)</f>
        <v>41985</v>
      </c>
      <c r="AG70" s="476">
        <f>_xll.qlDayCounterYearFraction(DayCounterON,SettlementDate,AF70,,,Trigger)</f>
        <v>0.25479452054794521</v>
      </c>
      <c r="AH70" s="466">
        <f t="shared" si="8"/>
        <v>1.6127686202411261E-3</v>
      </c>
      <c r="AI70" s="466">
        <f t="shared" si="9"/>
        <v>1.568143665767633E-3</v>
      </c>
      <c r="AJ70" s="436">
        <f t="shared" si="10"/>
        <v>1.5702216787770588E-3</v>
      </c>
    </row>
    <row r="71" spans="10:36" x14ac:dyDescent="0.2">
      <c r="J71" s="447"/>
      <c r="K71" s="447"/>
      <c r="AF71" s="465">
        <f>_xll.qlCalendarAdvance(Calendar,AF70,"1d","mf",,Trigger)</f>
        <v>41988</v>
      </c>
      <c r="AG71" s="476">
        <f>_xll.qlDayCounterYearFraction(DayCounterON,SettlementDate,AF71,,,Trigger)</f>
        <v>0.26301369863013696</v>
      </c>
      <c r="AH71" s="466">
        <f t="shared" si="8"/>
        <v>1.6127686202411261E-3</v>
      </c>
      <c r="AI71" s="466">
        <f t="shared" si="9"/>
        <v>1.5653252475903599E-3</v>
      </c>
      <c r="AJ71" s="436">
        <f t="shared" si="10"/>
        <v>1.5678631073046548E-3</v>
      </c>
    </row>
    <row r="72" spans="10:36" x14ac:dyDescent="0.2">
      <c r="J72" s="447"/>
      <c r="K72" s="447"/>
      <c r="AF72" s="465">
        <f>_xll.qlCalendarAdvance(Calendar,AF71,"1d","mf",,Trigger)</f>
        <v>41989</v>
      </c>
      <c r="AG72" s="476">
        <f>_xll.qlDayCounterYearFraction(DayCounterON,SettlementDate,AF72,,,Trigger)</f>
        <v>0.26575342465753427</v>
      </c>
      <c r="AH72" s="466">
        <f t="shared" si="8"/>
        <v>1.6127686202411261E-3</v>
      </c>
      <c r="AI72" s="466">
        <f t="shared" si="9"/>
        <v>1.5643857748646021E-3</v>
      </c>
      <c r="AJ72" s="436">
        <f t="shared" si="10"/>
        <v>1.5670836544945106E-3</v>
      </c>
    </row>
    <row r="73" spans="10:36" x14ac:dyDescent="0.2">
      <c r="J73" s="447"/>
      <c r="K73" s="447"/>
      <c r="AF73" s="465">
        <f>_xll.qlCalendarAdvance(Calendar,AF72,"1d","mf",,Trigger)</f>
        <v>41990</v>
      </c>
      <c r="AG73" s="476">
        <f>_xll.qlDayCounterYearFraction(DayCounterON,SettlementDate,AF73,,,Trigger)</f>
        <v>0.26849315068493151</v>
      </c>
      <c r="AH73" s="466">
        <f t="shared" si="8"/>
        <v>1.6127686202411261E-3</v>
      </c>
      <c r="AI73" s="466">
        <f t="shared" si="9"/>
        <v>1.5634463021388443E-3</v>
      </c>
      <c r="AJ73" s="436">
        <f t="shared" si="10"/>
        <v>1.5663075705246955E-3</v>
      </c>
    </row>
    <row r="74" spans="10:36" x14ac:dyDescent="0.2">
      <c r="J74" s="447"/>
      <c r="K74" s="447"/>
      <c r="AF74" s="465">
        <f>_xll.qlCalendarAdvance(Calendar,AF73,"1d","mf",,Trigger)</f>
        <v>41991</v>
      </c>
      <c r="AG74" s="476">
        <f>_xll.qlDayCounterYearFraction(DayCounterON,SettlementDate,AF74,,,Trigger)</f>
        <v>0.27123287671232876</v>
      </c>
      <c r="AH74" s="466">
        <f t="shared" si="8"/>
        <v>1.6127686202411261E-3</v>
      </c>
      <c r="AI74" s="466">
        <f t="shared" si="9"/>
        <v>1.5625068294130866E-3</v>
      </c>
      <c r="AJ74" s="436">
        <f t="shared" si="10"/>
        <v>1.565534855395209E-3</v>
      </c>
    </row>
    <row r="75" spans="10:36" x14ac:dyDescent="0.2">
      <c r="J75" s="447"/>
      <c r="K75" s="447"/>
      <c r="AF75" s="465">
        <f>_xll.qlCalendarAdvance(Calendar,AF74,"1d","mf",,Trigger)</f>
        <v>41992</v>
      </c>
      <c r="AG75" s="476">
        <f>_xll.qlDayCounterYearFraction(DayCounterON,SettlementDate,AF75,,,Trigger)</f>
        <v>0.27397260273972601</v>
      </c>
      <c r="AH75" s="466">
        <f t="shared" si="8"/>
        <v>1.6127686202411261E-3</v>
      </c>
      <c r="AI75" s="466">
        <f t="shared" si="9"/>
        <v>1.561567356687329E-3</v>
      </c>
      <c r="AJ75" s="436">
        <f t="shared" si="10"/>
        <v>1.564765509106051E-3</v>
      </c>
    </row>
    <row r="76" spans="10:36" x14ac:dyDescent="0.2">
      <c r="J76" s="447"/>
      <c r="K76" s="447"/>
      <c r="AF76" s="465">
        <f>_xll.qlCalendarAdvance(Calendar,AF75,"1d","mf",,Trigger)</f>
        <v>41995</v>
      </c>
      <c r="AG76" s="476">
        <f>_xll.qlDayCounterYearFraction(DayCounterON,SettlementDate,AF76,,,Trigger)</f>
        <v>0.28219178082191781</v>
      </c>
      <c r="AH76" s="466">
        <f t="shared" si="8"/>
        <v>1.6127686202411261E-3</v>
      </c>
      <c r="AI76" s="466">
        <f t="shared" si="9"/>
        <v>1.5587489385100557E-3</v>
      </c>
      <c r="AJ76" s="436">
        <f t="shared" si="10"/>
        <v>1.56247768328055E-3</v>
      </c>
    </row>
    <row r="77" spans="10:36" x14ac:dyDescent="0.2">
      <c r="J77" s="447"/>
      <c r="K77" s="447"/>
      <c r="AF77" s="465">
        <f>_xll.qlCalendarAdvance(Calendar,AF76,"1d","mf",,Trigger)</f>
        <v>41996</v>
      </c>
      <c r="AG77" s="476">
        <f>_xll.qlDayCounterYearFraction(DayCounterON,SettlementDate,AF77,,,Trigger)</f>
        <v>0.28493150684931506</v>
      </c>
      <c r="AH77" s="466">
        <f t="shared" si="8"/>
        <v>1.6127686202411261E-3</v>
      </c>
      <c r="AI77" s="466">
        <f t="shared" si="9"/>
        <v>1.5578094657842979E-3</v>
      </c>
      <c r="AJ77" s="436">
        <f t="shared" si="10"/>
        <v>1.5617218123527071E-3</v>
      </c>
    </row>
    <row r="78" spans="10:36" x14ac:dyDescent="0.2">
      <c r="J78" s="447"/>
      <c r="K78" s="447"/>
      <c r="AF78" s="465">
        <f>_xll.qlCalendarAdvance(Calendar,AF77,"1d","mf",,Trigger)</f>
        <v>41997</v>
      </c>
      <c r="AG78" s="476">
        <f>_xll.qlDayCounterYearFraction(DayCounterON,SettlementDate,AF78,,,Trigger)</f>
        <v>0.28767123287671231</v>
      </c>
      <c r="AH78" s="466">
        <f t="shared" si="8"/>
        <v>1.6127686202411261E-3</v>
      </c>
      <c r="AI78" s="466">
        <f t="shared" si="9"/>
        <v>1.5568699930585404E-3</v>
      </c>
      <c r="AJ78" s="436">
        <f t="shared" si="10"/>
        <v>1.5609693102651928E-3</v>
      </c>
    </row>
    <row r="79" spans="10:36" x14ac:dyDescent="0.2">
      <c r="J79" s="447"/>
      <c r="K79" s="447"/>
      <c r="AF79" s="465">
        <f>_xll.qlCalendarAdvance(Calendar,AF78,"1d","mf",,Trigger)</f>
        <v>42002</v>
      </c>
      <c r="AG79" s="476">
        <f>_xll.qlDayCounterYearFraction(DayCounterON,SettlementDate,AF79,,,Trigger)</f>
        <v>0.30136986301369861</v>
      </c>
      <c r="AH79" s="466">
        <f t="shared" si="8"/>
        <v>1.6127686202411261E-3</v>
      </c>
      <c r="AI79" s="466">
        <f t="shared" si="9"/>
        <v>1.5521726294297517E-3</v>
      </c>
      <c r="AJ79" s="436">
        <f t="shared" si="10"/>
        <v>1.5572573324325522E-3</v>
      </c>
    </row>
    <row r="80" spans="10:36" x14ac:dyDescent="0.2">
      <c r="J80" s="447"/>
      <c r="K80" s="447"/>
      <c r="AF80" s="465">
        <f>_xll.qlCalendarAdvance(Calendar,AF79,"1d","mf",,Trigger)</f>
        <v>42003</v>
      </c>
      <c r="AG80" s="476">
        <f>_xll.qlDayCounterYearFraction(DayCounterON,SettlementDate,AF80,,,Trigger)</f>
        <v>0.30410958904109592</v>
      </c>
      <c r="AH80" s="466">
        <f t="shared" si="8"/>
        <v>1.6127686202411261E-3</v>
      </c>
      <c r="AI80" s="466">
        <f t="shared" si="9"/>
        <v>1.5512331567039939E-3</v>
      </c>
      <c r="AJ80" s="436">
        <f t="shared" si="10"/>
        <v>1.5565250433870104E-3</v>
      </c>
    </row>
    <row r="81" spans="10:36" x14ac:dyDescent="0.2">
      <c r="J81" s="447"/>
      <c r="K81" s="447"/>
      <c r="AF81" s="465">
        <f>_xll.qlCalendarAdvance(Calendar,AF80,"1d","mf",,Trigger)</f>
        <v>42004</v>
      </c>
      <c r="AG81" s="476">
        <f>_xll.qlDayCounterYearFraction(DayCounterON,SettlementDate,AF81,,,Trigger)</f>
        <v>0.30684931506849317</v>
      </c>
      <c r="AH81" s="466">
        <f t="shared" si="8"/>
        <v>1.6127686202411261E-3</v>
      </c>
      <c r="AI81" s="466">
        <f t="shared" si="9"/>
        <v>1.5502936839782361E-3</v>
      </c>
      <c r="AJ81" s="436">
        <f t="shared" si="10"/>
        <v>1.5557961231817971E-3</v>
      </c>
    </row>
    <row r="82" spans="10:36" x14ac:dyDescent="0.2">
      <c r="J82" s="447"/>
      <c r="K82" s="447"/>
      <c r="AF82" s="465">
        <f>_xll.qlCalendarAdvance(Calendar,AF81,"1d","mf",,Trigger)</f>
        <v>42006</v>
      </c>
      <c r="AG82" s="476">
        <f>_xll.qlDayCounterYearFraction(DayCounterON,SettlementDate,AF82,,,Trigger)</f>
        <v>0.31232876712328766</v>
      </c>
      <c r="AH82" s="466">
        <f t="shared" si="8"/>
        <v>1.6127686202411261E-3</v>
      </c>
      <c r="AI82" s="466">
        <f t="shared" si="9"/>
        <v>1.5484147385267206E-3</v>
      </c>
      <c r="AJ82" s="436">
        <f t="shared" si="10"/>
        <v>1.5543483892923567E-3</v>
      </c>
    </row>
    <row r="83" spans="10:36" x14ac:dyDescent="0.2">
      <c r="J83" s="447"/>
      <c r="K83" s="447"/>
      <c r="AF83" s="465">
        <f>_xll.qlCalendarAdvance(Calendar,AF82,"1d","mf",,Trigger)</f>
        <v>42009</v>
      </c>
      <c r="AG83" s="476">
        <f>_xll.qlDayCounterYearFraction(DayCounterON,SettlementDate,AF83,,,Trigger)</f>
        <v>0.32054794520547947</v>
      </c>
      <c r="AH83" s="466">
        <f t="shared" si="8"/>
        <v>1.6127686202411261E-3</v>
      </c>
      <c r="AI83" s="466">
        <f t="shared" si="9"/>
        <v>1.5455963203494475E-3</v>
      </c>
      <c r="AJ83" s="436">
        <f t="shared" si="10"/>
        <v>1.5522020547606614E-3</v>
      </c>
    </row>
    <row r="84" spans="10:36" x14ac:dyDescent="0.2">
      <c r="J84" s="447"/>
      <c r="K84" s="447"/>
      <c r="AF84" s="465">
        <f>_xll.qlCalendarAdvance(Calendar,AF83,"1d","mf",,Trigger)</f>
        <v>42010</v>
      </c>
      <c r="AG84" s="476">
        <f>_xll.qlDayCounterYearFraction(DayCounterON,SettlementDate,AF84,,,Trigger)</f>
        <v>0.32328767123287672</v>
      </c>
      <c r="AH84" s="466">
        <f t="shared" si="8"/>
        <v>1.6127686202411261E-3</v>
      </c>
      <c r="AI84" s="466">
        <f t="shared" si="9"/>
        <v>1.5446568476236897E-3</v>
      </c>
      <c r="AJ84" s="436">
        <f t="shared" si="10"/>
        <v>1.5514933475974204E-3</v>
      </c>
    </row>
    <row r="85" spans="10:36" x14ac:dyDescent="0.2">
      <c r="J85" s="447"/>
      <c r="K85" s="447"/>
      <c r="AF85" s="465">
        <f>_xll.qlCalendarAdvance(Calendar,AF84,"1d","mf",,Trigger)</f>
        <v>42011</v>
      </c>
      <c r="AG85" s="476">
        <f>_xll.qlDayCounterYearFraction(DayCounterON,SettlementDate,AF85,,,Trigger)</f>
        <v>0.32602739726027397</v>
      </c>
      <c r="AH85" s="466">
        <f t="shared" si="8"/>
        <v>1.6127686202411261E-3</v>
      </c>
      <c r="AI85" s="466">
        <f t="shared" si="9"/>
        <v>1.5437173748979319E-3</v>
      </c>
      <c r="AJ85" s="436">
        <f t="shared" si="10"/>
        <v>1.5507880092745082E-3</v>
      </c>
    </row>
    <row r="86" spans="10:36" x14ac:dyDescent="0.2">
      <c r="J86" s="447"/>
      <c r="K86" s="447"/>
      <c r="AF86" s="465">
        <f>_xll.qlCalendarAdvance(Calendar,AF85,"1d","mf",,Trigger)</f>
        <v>42012</v>
      </c>
      <c r="AG86" s="476">
        <f>_xll.qlDayCounterYearFraction(DayCounterON,SettlementDate,AF86,,,Trigger)</f>
        <v>0.32876712328767121</v>
      </c>
      <c r="AH86" s="466">
        <f t="shared" si="8"/>
        <v>1.6127686202411261E-3</v>
      </c>
      <c r="AI86" s="466">
        <f t="shared" si="9"/>
        <v>1.5427779021721744E-3</v>
      </c>
      <c r="AJ86" s="436">
        <f t="shared" si="10"/>
        <v>1.5500860397919245E-3</v>
      </c>
    </row>
    <row r="87" spans="10:36" x14ac:dyDescent="0.2">
      <c r="J87" s="447"/>
      <c r="K87" s="447"/>
      <c r="AF87" s="465">
        <f>_xll.qlCalendarAdvance(Calendar,AF86,"1d","mf",,Trigger)</f>
        <v>42013</v>
      </c>
      <c r="AG87" s="476">
        <f>_xll.qlDayCounterYearFraction(DayCounterON,SettlementDate,AF87,,,Trigger)</f>
        <v>0.33150684931506852</v>
      </c>
      <c r="AH87" s="466">
        <f t="shared" si="8"/>
        <v>1.6127686202411261E-3</v>
      </c>
      <c r="AI87" s="466">
        <f t="shared" si="9"/>
        <v>1.5418384294464166E-3</v>
      </c>
      <c r="AJ87" s="436">
        <f t="shared" si="10"/>
        <v>1.5493874391496697E-3</v>
      </c>
    </row>
    <row r="88" spans="10:36" x14ac:dyDescent="0.2">
      <c r="J88" s="447"/>
      <c r="K88" s="447"/>
      <c r="AF88" s="465">
        <f>_xll.qlCalendarAdvance(Calendar,AF87,"1d","mf",,Trigger)</f>
        <v>42016</v>
      </c>
      <c r="AG88" s="476">
        <f>_xll.qlDayCounterYearFraction(DayCounterON,SettlementDate,AF88,,,Trigger)</f>
        <v>0.33972602739726027</v>
      </c>
      <c r="AH88" s="466">
        <f t="shared" si="8"/>
        <v>1.6127686202411261E-3</v>
      </c>
      <c r="AI88" s="466">
        <f t="shared" si="9"/>
        <v>1.5390200112691435E-3</v>
      </c>
      <c r="AJ88" s="436">
        <f t="shared" si="10"/>
        <v>1.5473118502648774E-3</v>
      </c>
    </row>
    <row r="89" spans="10:36" x14ac:dyDescent="0.2">
      <c r="J89" s="447"/>
      <c r="K89" s="447"/>
      <c r="AF89" s="465">
        <f>_xll.qlCalendarAdvance(Calendar,AF88,"1d","mf",,Trigger)</f>
        <v>42017</v>
      </c>
      <c r="AG89" s="476">
        <f>_xll.qlDayCounterYearFraction(DayCounterON,SettlementDate,AF89,,,Trigger)</f>
        <v>0.34246575342465752</v>
      </c>
      <c r="AH89" s="466">
        <f t="shared" si="8"/>
        <v>1.6127686202411261E-3</v>
      </c>
      <c r="AI89" s="466">
        <f t="shared" si="9"/>
        <v>1.5380805385433857E-3</v>
      </c>
      <c r="AJ89" s="436">
        <f t="shared" si="10"/>
        <v>1.5466267249839374E-3</v>
      </c>
    </row>
    <row r="90" spans="10:36" x14ac:dyDescent="0.2">
      <c r="J90" s="447"/>
      <c r="K90" s="447"/>
      <c r="AF90" s="465">
        <f>_xll.qlCalendarAdvance(Calendar,AF89,"1d","mf",,Trigger)</f>
        <v>42018</v>
      </c>
      <c r="AG90" s="476">
        <f>_xll.qlDayCounterYearFraction(DayCounterON,SettlementDate,AF90,,,Trigger)</f>
        <v>0.34520547945205482</v>
      </c>
      <c r="AH90" s="466">
        <f t="shared" si="8"/>
        <v>1.6127686202411261E-3</v>
      </c>
      <c r="AI90" s="466">
        <f t="shared" si="9"/>
        <v>1.5371410658176279E-3</v>
      </c>
      <c r="AJ90" s="436">
        <f t="shared" si="10"/>
        <v>1.5459449685433259E-3</v>
      </c>
    </row>
    <row r="91" spans="10:36" x14ac:dyDescent="0.2">
      <c r="J91" s="447"/>
      <c r="K91" s="447"/>
      <c r="AF91" s="465">
        <f>_xll.qlCalendarAdvance(Calendar,AF90,"1d","mf",,Trigger)</f>
        <v>42019</v>
      </c>
      <c r="AG91" s="476">
        <f>_xll.qlDayCounterYearFraction(DayCounterON,SettlementDate,AF91,,,Trigger)</f>
        <v>0.34794520547945207</v>
      </c>
      <c r="AH91" s="466">
        <f t="shared" si="8"/>
        <v>1.6127686202411261E-3</v>
      </c>
      <c r="AI91" s="466">
        <f t="shared" si="9"/>
        <v>1.5362015930918702E-3</v>
      </c>
      <c r="AJ91" s="436">
        <f t="shared" si="10"/>
        <v>1.5452665809430435E-3</v>
      </c>
    </row>
    <row r="92" spans="10:36" x14ac:dyDescent="0.2">
      <c r="J92" s="447"/>
      <c r="K92" s="447"/>
      <c r="AF92" s="465">
        <f>_xll.qlCalendarAdvance(Calendar,AF91,"1d","mf",,Trigger)</f>
        <v>42020</v>
      </c>
      <c r="AG92" s="476">
        <f>_xll.qlDayCounterYearFraction(DayCounterON,SettlementDate,AF92,,,Trigger)</f>
        <v>0.35068493150684932</v>
      </c>
      <c r="AH92" s="466">
        <f t="shared" si="8"/>
        <v>1.6127686202411261E-3</v>
      </c>
      <c r="AI92" s="466">
        <f t="shared" si="9"/>
        <v>1.5352621203661124E-3</v>
      </c>
      <c r="AJ92" s="436">
        <f t="shared" si="10"/>
        <v>1.5445915621830895E-3</v>
      </c>
    </row>
    <row r="93" spans="10:36" x14ac:dyDescent="0.2">
      <c r="J93" s="447"/>
      <c r="K93" s="447"/>
      <c r="AF93" s="465">
        <f>_xll.qlCalendarAdvance(Calendar,AF92,"1d","mf",,Trigger)</f>
        <v>42023</v>
      </c>
      <c r="AG93" s="476">
        <f>_xll.qlDayCounterYearFraction(DayCounterON,SettlementDate,AF93,,,Trigger)</f>
        <v>0.35890410958904112</v>
      </c>
      <c r="AH93" s="466">
        <f t="shared" si="8"/>
        <v>1.6127686202411261E-3</v>
      </c>
      <c r="AI93" s="466">
        <f t="shared" si="9"/>
        <v>1.5324437021888393E-3</v>
      </c>
      <c r="AJ93" s="436">
        <f t="shared" si="10"/>
        <v>1.5425867189452001E-3</v>
      </c>
    </row>
    <row r="94" spans="10:36" x14ac:dyDescent="0.2">
      <c r="J94" s="447"/>
      <c r="K94" s="447"/>
      <c r="AF94" s="465">
        <f>_xll.qlCalendarAdvance(Calendar,AF93,"1d","mf",,Trigger)</f>
        <v>42024</v>
      </c>
      <c r="AG94" s="476">
        <f>_xll.qlDayCounterYearFraction(DayCounterON,SettlementDate,AF94,,,Trigger)</f>
        <v>0.36164383561643837</v>
      </c>
      <c r="AH94" s="466">
        <f t="shared" si="8"/>
        <v>1.6127686202411261E-3</v>
      </c>
      <c r="AI94" s="466">
        <f t="shared" si="9"/>
        <v>1.5315042294630815E-3</v>
      </c>
      <c r="AJ94" s="436">
        <f t="shared" si="10"/>
        <v>1.5419251755465612E-3</v>
      </c>
    </row>
    <row r="95" spans="10:36" x14ac:dyDescent="0.2">
      <c r="J95" s="447"/>
      <c r="K95" s="447"/>
      <c r="AF95" s="465">
        <f>_xll.qlCalendarAdvance(Calendar,AF94,"1d","mf",,Trigger)</f>
        <v>42025</v>
      </c>
      <c r="AG95" s="476">
        <f>_xll.qlDayCounterYearFraction(DayCounterON,SettlementDate,AF95,,,Trigger)</f>
        <v>0.36438356164383562</v>
      </c>
      <c r="AH95" s="466">
        <f t="shared" si="8"/>
        <v>1.6127686202411261E-3</v>
      </c>
      <c r="AI95" s="466">
        <f t="shared" si="9"/>
        <v>1.5305647567373237E-3</v>
      </c>
      <c r="AJ95" s="436">
        <f t="shared" si="10"/>
        <v>1.5412670009882507E-3</v>
      </c>
    </row>
    <row r="96" spans="10:36" x14ac:dyDescent="0.2">
      <c r="J96" s="447"/>
      <c r="K96" s="447"/>
      <c r="AF96" s="465">
        <f>_xll.qlCalendarAdvance(Calendar,AF95,"1d","mf",,Trigger)</f>
        <v>42026</v>
      </c>
      <c r="AG96" s="476">
        <f>_xll.qlDayCounterYearFraction(DayCounterON,SettlementDate,AF96,,,Trigger)</f>
        <v>0.36712328767123287</v>
      </c>
      <c r="AH96" s="466">
        <f t="shared" si="8"/>
        <v>1.6127686202411261E-3</v>
      </c>
      <c r="AI96" s="466">
        <f t="shared" si="9"/>
        <v>1.5296252840115662E-3</v>
      </c>
      <c r="AJ96" s="436">
        <f t="shared" si="10"/>
        <v>1.5406121952702692E-3</v>
      </c>
    </row>
    <row r="97" spans="10:36" x14ac:dyDescent="0.2">
      <c r="J97" s="447"/>
      <c r="K97" s="447"/>
      <c r="AF97" s="465">
        <f>_xll.qlCalendarAdvance(Calendar,AF96,"1d","mf",,Trigger)</f>
        <v>42027</v>
      </c>
      <c r="AG97" s="476">
        <f>_xll.qlDayCounterYearFraction(DayCounterON,SettlementDate,AF97,,,Trigger)</f>
        <v>0.36986301369863012</v>
      </c>
      <c r="AH97" s="466">
        <f t="shared" si="8"/>
        <v>1.6127686202411261E-3</v>
      </c>
      <c r="AI97" s="466">
        <f t="shared" si="9"/>
        <v>1.5286858112858084E-3</v>
      </c>
      <c r="AJ97" s="436">
        <f t="shared" si="10"/>
        <v>1.5399607583926164E-3</v>
      </c>
    </row>
    <row r="98" spans="10:36" x14ac:dyDescent="0.2">
      <c r="J98" s="447"/>
      <c r="K98" s="447"/>
      <c r="AF98" s="465">
        <f>_xll.qlCalendarAdvance(Calendar,AF97,"1d","mf",,Trigger)</f>
        <v>42030</v>
      </c>
      <c r="AG98" s="476">
        <f>_xll.qlDayCounterYearFraction(DayCounterON,SettlementDate,AF98,,,Trigger)</f>
        <v>0.37808219178082192</v>
      </c>
      <c r="AH98" s="466">
        <f t="shared" si="8"/>
        <v>1.6127686202411261E-3</v>
      </c>
      <c r="AI98" s="466">
        <f t="shared" si="9"/>
        <v>1.5258673931085351E-3</v>
      </c>
      <c r="AJ98" s="436">
        <f t="shared" si="10"/>
        <v>1.5380266608016298E-3</v>
      </c>
    </row>
    <row r="99" spans="10:36" x14ac:dyDescent="0.2">
      <c r="J99" s="447"/>
      <c r="K99" s="447"/>
      <c r="AF99" s="465">
        <f>_xll.qlCalendarAdvance(Calendar,AF98,"1d","mf",,Trigger)</f>
        <v>42031</v>
      </c>
      <c r="AG99" s="476">
        <f>_xll.qlDayCounterYearFraction(DayCounterON,SettlementDate,AF99,,,Trigger)</f>
        <v>0.38082191780821917</v>
      </c>
      <c r="AH99" s="466">
        <f t="shared" si="8"/>
        <v>1.6127686202411261E-3</v>
      </c>
      <c r="AI99" s="466">
        <f t="shared" si="9"/>
        <v>1.5249279203827775E-3</v>
      </c>
      <c r="AJ99" s="436">
        <f t="shared" si="10"/>
        <v>1.5373886992852918E-3</v>
      </c>
    </row>
    <row r="100" spans="10:36" x14ac:dyDescent="0.2">
      <c r="J100" s="447"/>
      <c r="K100" s="447"/>
      <c r="AF100" s="465">
        <f>_xll.qlCalendarAdvance(Calendar,AF99,"1d","mf",,Trigger)</f>
        <v>42032</v>
      </c>
      <c r="AG100" s="476">
        <f>_xll.qlDayCounterYearFraction(DayCounterON,SettlementDate,AF100,,,Trigger)</f>
        <v>0.38356164383561642</v>
      </c>
      <c r="AH100" s="466">
        <f t="shared" si="8"/>
        <v>1.6127686202411261E-3</v>
      </c>
      <c r="AI100" s="466">
        <f t="shared" si="9"/>
        <v>1.5239884476570197E-3</v>
      </c>
      <c r="AJ100" s="436">
        <f t="shared" si="10"/>
        <v>1.5367541066092824E-3</v>
      </c>
    </row>
    <row r="101" spans="10:36" x14ac:dyDescent="0.2">
      <c r="J101" s="447"/>
      <c r="K101" s="447"/>
      <c r="AF101" s="465">
        <f>_xll.qlCalendarAdvance(Calendar,AF100,"1d","mf",,Trigger)</f>
        <v>42033</v>
      </c>
      <c r="AG101" s="476">
        <f>_xll.qlDayCounterYearFraction(DayCounterON,SettlementDate,AF101,,,Trigger)</f>
        <v>0.38630136986301372</v>
      </c>
      <c r="AH101" s="466">
        <f t="shared" si="8"/>
        <v>1.6127686202411261E-3</v>
      </c>
      <c r="AI101" s="466">
        <f t="shared" si="9"/>
        <v>1.523048974931262E-3</v>
      </c>
      <c r="AJ101" s="436">
        <f t="shared" si="10"/>
        <v>1.5361228827736018E-3</v>
      </c>
    </row>
    <row r="102" spans="10:36" x14ac:dyDescent="0.2">
      <c r="J102" s="447"/>
      <c r="K102" s="447"/>
      <c r="AF102" s="465">
        <f>_xll.qlCalendarAdvance(Calendar,AF101,"1d","mf",,Trigger)</f>
        <v>42034</v>
      </c>
      <c r="AG102" s="476">
        <f>_xll.qlDayCounterYearFraction(DayCounterON,SettlementDate,AF102,,,Trigger)</f>
        <v>0.38904109589041097</v>
      </c>
      <c r="AH102" s="466">
        <f t="shared" si="8"/>
        <v>1.6127686202411261E-3</v>
      </c>
      <c r="AI102" s="466">
        <f t="shared" si="9"/>
        <v>1.5221095022055042E-3</v>
      </c>
      <c r="AJ102" s="436">
        <f t="shared" si="10"/>
        <v>1.5354950277782498E-3</v>
      </c>
    </row>
    <row r="103" spans="10:36" x14ac:dyDescent="0.2">
      <c r="J103" s="447"/>
      <c r="K103" s="447"/>
      <c r="AF103" s="465">
        <f>_xll.qlCalendarAdvance(Calendar,AF102,"1d","mf",,Trigger)</f>
        <v>42037</v>
      </c>
      <c r="AG103" s="476">
        <f>_xll.qlDayCounterYearFraction(DayCounterON,SettlementDate,AF103,,,Trigger)</f>
        <v>0.39726027397260272</v>
      </c>
      <c r="AH103" s="466">
        <f t="shared" si="8"/>
        <v>1.6127686202411261E-3</v>
      </c>
      <c r="AI103" s="466">
        <f t="shared" si="9"/>
        <v>1.5192910840282311E-3</v>
      </c>
      <c r="AJ103" s="436">
        <f t="shared" si="10"/>
        <v>1.5336316758341666E-3</v>
      </c>
    </row>
    <row r="104" spans="10:36" x14ac:dyDescent="0.2">
      <c r="J104" s="447"/>
      <c r="K104" s="447"/>
      <c r="AF104" s="465">
        <f>_xll.qlCalendarAdvance(Calendar,AF103,"1d","mf",,Trigger)</f>
        <v>42038</v>
      </c>
      <c r="AG104" s="476">
        <f>_xll.qlDayCounterYearFraction(DayCounterON,SettlementDate,AF104,,,Trigger)</f>
        <v>0.4</v>
      </c>
      <c r="AH104" s="466">
        <f t="shared" si="8"/>
        <v>1.6127686202411261E-3</v>
      </c>
      <c r="AI104" s="466">
        <f t="shared" si="9"/>
        <v>1.5183516113024733E-3</v>
      </c>
      <c r="AJ104" s="436">
        <f t="shared" si="10"/>
        <v>1.5330172962001293E-3</v>
      </c>
    </row>
    <row r="105" spans="10:36" x14ac:dyDescent="0.2">
      <c r="J105" s="447"/>
      <c r="K105" s="447"/>
      <c r="AF105" s="465">
        <f>_xll.qlCalendarAdvance(Calendar,AF104,"1d","mf",,Trigger)</f>
        <v>42039</v>
      </c>
      <c r="AG105" s="476">
        <f>_xll.qlDayCounterYearFraction(DayCounterON,SettlementDate,AF105,,,Trigger)</f>
        <v>0.40273972602739727</v>
      </c>
      <c r="AH105" s="466">
        <f t="shared" si="8"/>
        <v>1.6127686202411261E-3</v>
      </c>
      <c r="AI105" s="466">
        <f t="shared" si="9"/>
        <v>1.5174121385767155E-3</v>
      </c>
      <c r="AJ105" s="436">
        <f t="shared" si="10"/>
        <v>1.532406285406421E-3</v>
      </c>
    </row>
    <row r="106" spans="10:36" x14ac:dyDescent="0.2">
      <c r="J106" s="447"/>
      <c r="K106" s="447"/>
      <c r="AF106" s="465">
        <f>_xll.qlCalendarAdvance(Calendar,AF105,"1d","mf",,Trigger)</f>
        <v>42040</v>
      </c>
      <c r="AG106" s="476">
        <f>_xll.qlDayCounterYearFraction(DayCounterON,SettlementDate,AF106,,,Trigger)</f>
        <v>0.40547945205479452</v>
      </c>
      <c r="AH106" s="466">
        <f t="shared" si="8"/>
        <v>1.6127686202411261E-3</v>
      </c>
      <c r="AI106" s="466">
        <f t="shared" si="9"/>
        <v>1.5164726658509577E-3</v>
      </c>
      <c r="AJ106" s="436">
        <f t="shared" si="10"/>
        <v>1.5317986434530413E-3</v>
      </c>
    </row>
    <row r="107" spans="10:36" x14ac:dyDescent="0.2">
      <c r="J107" s="447"/>
      <c r="K107" s="447"/>
      <c r="AF107" s="465">
        <f>_xll.qlCalendarAdvance(Calendar,AF106,"1d","mf",,Trigger)</f>
        <v>42041</v>
      </c>
      <c r="AG107" s="476">
        <f>_xll.qlDayCounterYearFraction(DayCounterON,SettlementDate,AF107,,,Trigger)</f>
        <v>0.40821917808219177</v>
      </c>
      <c r="AH107" s="466">
        <f t="shared" si="8"/>
        <v>1.6127686202411261E-3</v>
      </c>
      <c r="AI107" s="466">
        <f t="shared" si="9"/>
        <v>1.5155331931252002E-3</v>
      </c>
      <c r="AJ107" s="436">
        <f t="shared" si="10"/>
        <v>1.5311943703399903E-3</v>
      </c>
    </row>
    <row r="108" spans="10:36" x14ac:dyDescent="0.2">
      <c r="J108" s="447"/>
      <c r="K108" s="447"/>
      <c r="AF108" s="465">
        <f>_xll.qlCalendarAdvance(Calendar,AF107,"1d","mf",,Trigger)</f>
        <v>42044</v>
      </c>
      <c r="AG108" s="476">
        <f>_xll.qlDayCounterYearFraction(DayCounterON,SettlementDate,AF108,,,Trigger)</f>
        <v>0.41643835616438357</v>
      </c>
      <c r="AH108" s="466">
        <f t="shared" si="8"/>
        <v>1.6127686202411261E-3</v>
      </c>
      <c r="AI108" s="466">
        <f t="shared" si="9"/>
        <v>1.5127147749479269E-3</v>
      </c>
      <c r="AJ108" s="436">
        <f t="shared" si="10"/>
        <v>1.5294017640428098E-3</v>
      </c>
    </row>
    <row r="109" spans="10:36" x14ac:dyDescent="0.2">
      <c r="J109" s="447"/>
      <c r="K109" s="447"/>
      <c r="AF109" s="465">
        <f>_xll.qlCalendarAdvance(Calendar,AF108,"1d","mf",,Trigger)</f>
        <v>42045</v>
      </c>
      <c r="AG109" s="476">
        <f>_xll.qlDayCounterYearFraction(DayCounterON,SettlementDate,AF109,,,Trigger)</f>
        <v>0.41917808219178082</v>
      </c>
      <c r="AH109" s="466">
        <f t="shared" si="8"/>
        <v>1.6127686202411261E-3</v>
      </c>
      <c r="AI109" s="466">
        <f t="shared" si="9"/>
        <v>1.5117753022221691E-3</v>
      </c>
      <c r="AJ109" s="436">
        <f t="shared" si="10"/>
        <v>1.5288109662910737E-3</v>
      </c>
    </row>
    <row r="110" spans="10:36" x14ac:dyDescent="0.2">
      <c r="J110" s="447"/>
      <c r="K110" s="447"/>
      <c r="AF110" s="465">
        <f>_xll.qlCalendarAdvance(Calendar,AF109,"1d","mf",,Trigger)</f>
        <v>42046</v>
      </c>
      <c r="AG110" s="476">
        <f>_xll.qlDayCounterYearFraction(DayCounterON,SettlementDate,AF110,,,Trigger)</f>
        <v>0.42191780821917807</v>
      </c>
      <c r="AH110" s="466">
        <f t="shared" si="8"/>
        <v>1.6127686202411261E-3</v>
      </c>
      <c r="AI110" s="466">
        <f t="shared" si="9"/>
        <v>1.5108358294964115E-3</v>
      </c>
      <c r="AJ110" s="436">
        <f t="shared" si="10"/>
        <v>1.5282235373796664E-3</v>
      </c>
    </row>
    <row r="111" spans="10:36" x14ac:dyDescent="0.2">
      <c r="J111" s="447"/>
      <c r="K111" s="447"/>
      <c r="AF111" s="465">
        <f>_xll.qlCalendarAdvance(Calendar,AF110,"1d","mf",,Trigger)</f>
        <v>42047</v>
      </c>
      <c r="AG111" s="476">
        <f>_xll.qlDayCounterYearFraction(DayCounterON,SettlementDate,AF111,,,Trigger)</f>
        <v>0.42465753424657532</v>
      </c>
      <c r="AH111" s="466">
        <f t="shared" si="8"/>
        <v>1.6127686202411261E-3</v>
      </c>
      <c r="AI111" s="466">
        <f t="shared" si="9"/>
        <v>1.5098963567706538E-3</v>
      </c>
      <c r="AJ111" s="436">
        <f t="shared" si="10"/>
        <v>1.5276394773085875E-3</v>
      </c>
    </row>
    <row r="112" spans="10:36" x14ac:dyDescent="0.2">
      <c r="J112" s="447"/>
      <c r="K112" s="447"/>
      <c r="AF112" s="465">
        <f>_xll.qlCalendarAdvance(Calendar,AF111,"1d","mf",,Trigger)</f>
        <v>42048</v>
      </c>
      <c r="AG112" s="476">
        <f>_xll.qlDayCounterYearFraction(DayCounterON,SettlementDate,AF112,,,Trigger)</f>
        <v>0.42739726027397262</v>
      </c>
      <c r="AH112" s="466">
        <f t="shared" si="8"/>
        <v>1.6127686202411261E-3</v>
      </c>
      <c r="AI112" s="466">
        <f t="shared" si="9"/>
        <v>1.508956884044896E-3</v>
      </c>
      <c r="AJ112" s="436">
        <f t="shared" si="10"/>
        <v>1.5270587860778378E-3</v>
      </c>
    </row>
    <row r="113" spans="10:36" x14ac:dyDescent="0.2">
      <c r="J113" s="447"/>
      <c r="K113" s="447"/>
      <c r="AF113" s="465">
        <f>_xll.qlCalendarAdvance(Calendar,AF112,"1d","mf",,Trigger)</f>
        <v>42051</v>
      </c>
      <c r="AG113" s="476">
        <f>_xll.qlDayCounterYearFraction(DayCounterON,SettlementDate,AF113,,,Trigger)</f>
        <v>0.43561643835616437</v>
      </c>
      <c r="AH113" s="466">
        <f t="shared" si="8"/>
        <v>1.6127686202411261E-3</v>
      </c>
      <c r="AI113" s="466">
        <f t="shared" si="9"/>
        <v>1.5061384658676229E-3</v>
      </c>
      <c r="AJ113" s="436">
        <f t="shared" si="10"/>
        <v>1.5253369254275601E-3</v>
      </c>
    </row>
    <row r="114" spans="10:36" x14ac:dyDescent="0.2">
      <c r="J114" s="447"/>
      <c r="K114" s="447"/>
      <c r="AF114" s="465">
        <f>_xll.qlCalendarAdvance(Calendar,AF113,"1d","mf",,Trigger)</f>
        <v>42052</v>
      </c>
      <c r="AG114" s="476">
        <f>_xll.qlDayCounterYearFraction(DayCounterON,SettlementDate,AF114,,,Trigger)</f>
        <v>0.43835616438356162</v>
      </c>
      <c r="AH114" s="466">
        <f t="shared" si="8"/>
        <v>1.6127686202411261E-3</v>
      </c>
      <c r="AI114" s="466">
        <f t="shared" si="9"/>
        <v>1.5051989931418651E-3</v>
      </c>
      <c r="AJ114" s="436">
        <f t="shared" si="10"/>
        <v>1.524769709558125E-3</v>
      </c>
    </row>
    <row r="115" spans="10:36" x14ac:dyDescent="0.2">
      <c r="J115" s="447"/>
      <c r="K115" s="447"/>
      <c r="AF115" s="465">
        <f>_xll.qlCalendarAdvance(Calendar,AF114,"1d","mf",,Trigger)</f>
        <v>42053</v>
      </c>
      <c r="AG115" s="476">
        <f>_xll.qlDayCounterYearFraction(DayCounterON,SettlementDate,AF115,,,Trigger)</f>
        <v>0.44109589041095892</v>
      </c>
      <c r="AH115" s="466">
        <f t="shared" si="8"/>
        <v>1.6127686202411261E-3</v>
      </c>
      <c r="AI115" s="466">
        <f t="shared" si="9"/>
        <v>1.5042595204161073E-3</v>
      </c>
      <c r="AJ115" s="436">
        <f t="shared" si="10"/>
        <v>1.5242058625290185E-3</v>
      </c>
    </row>
    <row r="116" spans="10:36" x14ac:dyDescent="0.2">
      <c r="J116" s="425"/>
      <c r="K116" s="447"/>
      <c r="AF116" s="465">
        <f>_xll.qlCalendarAdvance(Calendar,AF115,"1d","mf",,Trigger)</f>
        <v>42054</v>
      </c>
      <c r="AG116" s="476">
        <f>_xll.qlDayCounterYearFraction(DayCounterON,SettlementDate,AF116,,,Trigger)</f>
        <v>0.44383561643835617</v>
      </c>
      <c r="AH116" s="466">
        <f t="shared" si="8"/>
        <v>1.6127686202411261E-3</v>
      </c>
      <c r="AI116" s="466">
        <f t="shared" si="9"/>
        <v>1.5033200476903495E-3</v>
      </c>
      <c r="AJ116" s="436">
        <f t="shared" si="10"/>
        <v>1.523645384340241E-3</v>
      </c>
    </row>
    <row r="117" spans="10:36" x14ac:dyDescent="0.2">
      <c r="J117" s="425"/>
      <c r="K117" s="447"/>
      <c r="AF117" s="465">
        <f>_xll.qlCalendarAdvance(Calendar,AF116,"1d","mf",,Trigger)</f>
        <v>42055</v>
      </c>
      <c r="AG117" s="476">
        <f>_xll.qlDayCounterYearFraction(DayCounterON,SettlementDate,AF117,,,Trigger)</f>
        <v>0.44657534246575342</v>
      </c>
      <c r="AH117" s="466">
        <f t="shared" si="8"/>
        <v>1.6127686202411261E-3</v>
      </c>
      <c r="AI117" s="466">
        <f t="shared" si="9"/>
        <v>1.5023805749645918E-3</v>
      </c>
      <c r="AJ117" s="436">
        <f t="shared" si="10"/>
        <v>1.5230882749917921E-3</v>
      </c>
    </row>
    <row r="118" spans="10:36" x14ac:dyDescent="0.2">
      <c r="J118" s="425"/>
      <c r="K118" s="447"/>
      <c r="AF118" s="465">
        <f>_xll.qlCalendarAdvance(Calendar,AF117,"1d","mf",,Trigger)</f>
        <v>42058</v>
      </c>
      <c r="AG118" s="476">
        <f>_xll.qlDayCounterYearFraction(DayCounterON,SettlementDate,AF118,,,Trigger)</f>
        <v>0.45479452054794522</v>
      </c>
      <c r="AH118" s="466">
        <f t="shared" si="8"/>
        <v>1.6127686202411261E-3</v>
      </c>
      <c r="AI118" s="466">
        <f t="shared" si="9"/>
        <v>1.4995621567873187E-3</v>
      </c>
      <c r="AJ118" s="436">
        <f t="shared" si="10"/>
        <v>1.5214371599884173E-3</v>
      </c>
    </row>
    <row r="119" spans="10:36" x14ac:dyDescent="0.2">
      <c r="J119" s="425"/>
      <c r="K119" s="447"/>
      <c r="AF119" s="465">
        <f>_xll.qlCalendarAdvance(Calendar,AF118,"1d","mf",,Trigger)</f>
        <v>42059</v>
      </c>
      <c r="AG119" s="476">
        <f>_xll.qlDayCounterYearFraction(DayCounterON,SettlementDate,AF119,,,Trigger)</f>
        <v>0.45753424657534247</v>
      </c>
      <c r="AH119" s="466">
        <f t="shared" si="8"/>
        <v>1.6127686202411261E-3</v>
      </c>
      <c r="AI119" s="466">
        <f t="shared" si="9"/>
        <v>1.4986226840615609E-3</v>
      </c>
      <c r="AJ119" s="436">
        <f t="shared" si="10"/>
        <v>1.5208935260012833E-3</v>
      </c>
    </row>
    <row r="120" spans="10:36" x14ac:dyDescent="0.2">
      <c r="J120" s="425"/>
      <c r="K120" s="447"/>
      <c r="AF120" s="465">
        <f>_xll.qlCalendarAdvance(Calendar,AF119,"1d","mf",,Trigger)</f>
        <v>42060</v>
      </c>
      <c r="AG120" s="476">
        <f>_xll.qlDayCounterYearFraction(DayCounterON,SettlementDate,AF120,,,Trigger)</f>
        <v>0.46027397260273972</v>
      </c>
      <c r="AH120" s="466">
        <f t="shared" si="8"/>
        <v>1.6127686202411261E-3</v>
      </c>
      <c r="AI120" s="466">
        <f t="shared" si="9"/>
        <v>1.4976832113358031E-3</v>
      </c>
      <c r="AJ120" s="436">
        <f t="shared" si="10"/>
        <v>1.5203532608544777E-3</v>
      </c>
    </row>
    <row r="121" spans="10:36" x14ac:dyDescent="0.2">
      <c r="J121" s="425"/>
      <c r="K121" s="447"/>
      <c r="AF121" s="465">
        <f>_xll.qlCalendarAdvance(Calendar,AF120,"1d","mf",,Trigger)</f>
        <v>42061</v>
      </c>
      <c r="AG121" s="476">
        <f>_xll.qlDayCounterYearFraction(DayCounterON,SettlementDate,AF121,,,Trigger)</f>
        <v>0.46301369863013697</v>
      </c>
      <c r="AH121" s="466">
        <f t="shared" si="8"/>
        <v>1.6127686202411261E-3</v>
      </c>
      <c r="AI121" s="466">
        <f t="shared" si="9"/>
        <v>1.4967437386100456E-3</v>
      </c>
      <c r="AJ121" s="436">
        <f t="shared" si="10"/>
        <v>1.5198163645480009E-3</v>
      </c>
    </row>
    <row r="122" spans="10:36" x14ac:dyDescent="0.2">
      <c r="J122" s="425"/>
      <c r="K122" s="425"/>
      <c r="AF122" s="465">
        <f>_xll.qlCalendarAdvance(Calendar,AF121,"1d","mf",,Trigger)</f>
        <v>42062</v>
      </c>
      <c r="AG122" s="476">
        <f>_xll.qlDayCounterYearFraction(DayCounterON,SettlementDate,AF122,,,Trigger)</f>
        <v>0.46575342465753422</v>
      </c>
      <c r="AH122" s="466">
        <f t="shared" si="8"/>
        <v>1.6127686202411261E-3</v>
      </c>
      <c r="AI122" s="466">
        <f t="shared" si="9"/>
        <v>1.4958042658842878E-3</v>
      </c>
      <c r="AJ122" s="436">
        <f t="shared" si="10"/>
        <v>1.5192828370818531E-3</v>
      </c>
    </row>
    <row r="123" spans="10:36" x14ac:dyDescent="0.2">
      <c r="J123" s="425"/>
      <c r="K123" s="425"/>
      <c r="AF123" s="465">
        <f>_xll.qlCalendarAdvance(Calendar,AF122,"1d","mf",,Trigger)</f>
        <v>42065</v>
      </c>
      <c r="AG123" s="476">
        <f>_xll.qlDayCounterYearFraction(DayCounterON,SettlementDate,AF123,,,Trigger)</f>
        <v>0.47397260273972602</v>
      </c>
      <c r="AH123" s="466">
        <f t="shared" si="8"/>
        <v>1.6127686202411261E-3</v>
      </c>
      <c r="AI123" s="466">
        <f t="shared" si="9"/>
        <v>1.4929858477070145E-3</v>
      </c>
      <c r="AJ123" s="436">
        <f t="shared" si="10"/>
        <v>1.5177024677253813E-3</v>
      </c>
    </row>
    <row r="124" spans="10:36" x14ac:dyDescent="0.2">
      <c r="J124" s="425"/>
      <c r="K124" s="425"/>
      <c r="AF124" s="465">
        <f>_xll.qlCalendarAdvance(Calendar,AF123,"1d","mf",,Trigger)</f>
        <v>42066</v>
      </c>
      <c r="AG124" s="476">
        <f>_xll.qlDayCounterYearFraction(DayCounterON,SettlementDate,AF124,,,Trigger)</f>
        <v>0.47671232876712327</v>
      </c>
      <c r="AH124" s="466">
        <f t="shared" si="8"/>
        <v>1.6127686202411261E-3</v>
      </c>
      <c r="AI124" s="466">
        <f t="shared" si="9"/>
        <v>1.4920463749812569E-3</v>
      </c>
      <c r="AJ124" s="436">
        <f t="shared" si="10"/>
        <v>1.5171824156205483E-3</v>
      </c>
    </row>
    <row r="125" spans="10:36" x14ac:dyDescent="0.2">
      <c r="J125" s="425"/>
      <c r="K125" s="425"/>
      <c r="AF125" s="465">
        <f>_xll.qlCalendarAdvance(Calendar,AF124,"1d","mf",,Trigger)</f>
        <v>42067</v>
      </c>
      <c r="AG125" s="476">
        <f>_xll.qlDayCounterYearFraction(DayCounterON,SettlementDate,AF125,,,Trigger)</f>
        <v>0.47945205479452052</v>
      </c>
      <c r="AH125" s="466">
        <f t="shared" si="8"/>
        <v>1.6127686202411261E-3</v>
      </c>
      <c r="AI125" s="466">
        <f t="shared" si="9"/>
        <v>1.4911069022554991E-3</v>
      </c>
      <c r="AJ125" s="436">
        <f t="shared" si="10"/>
        <v>1.5166657323560436E-3</v>
      </c>
    </row>
    <row r="126" spans="10:36" x14ac:dyDescent="0.2">
      <c r="J126" s="425"/>
      <c r="K126" s="425"/>
      <c r="AF126" s="465">
        <f>_xll.qlCalendarAdvance(Calendar,AF125,"1d","mf",,Trigger)</f>
        <v>42068</v>
      </c>
      <c r="AG126" s="476">
        <f>_xll.qlDayCounterYearFraction(DayCounterON,SettlementDate,AF126,,,Trigger)</f>
        <v>0.48219178082191783</v>
      </c>
      <c r="AH126" s="466">
        <f t="shared" si="8"/>
        <v>1.6127686202411261E-3</v>
      </c>
      <c r="AI126" s="466">
        <f t="shared" si="9"/>
        <v>1.4901674295297413E-3</v>
      </c>
      <c r="AJ126" s="436">
        <f t="shared" si="10"/>
        <v>1.5161524179318681E-3</v>
      </c>
    </row>
    <row r="127" spans="10:36" x14ac:dyDescent="0.2">
      <c r="J127" s="425"/>
      <c r="K127" s="425"/>
      <c r="AF127" s="465">
        <f>_xll.qlCalendarAdvance(Calendar,AF126,"1d","mf",,Trigger)</f>
        <v>42069</v>
      </c>
      <c r="AG127" s="476">
        <f>_xll.qlDayCounterYearFraction(DayCounterON,SettlementDate,AF127,,,Trigger)</f>
        <v>0.48493150684931507</v>
      </c>
      <c r="AH127" s="466">
        <f t="shared" si="8"/>
        <v>1.6127686202411261E-3</v>
      </c>
      <c r="AI127" s="466">
        <f t="shared" si="9"/>
        <v>1.4892279568039836E-3</v>
      </c>
      <c r="AJ127" s="436">
        <f t="shared" si="10"/>
        <v>1.5156424723480211E-3</v>
      </c>
    </row>
    <row r="128" spans="10:36" x14ac:dyDescent="0.2">
      <c r="J128" s="425"/>
      <c r="K128" s="425"/>
      <c r="AF128" s="465">
        <f>_xll.qlCalendarAdvance(Calendar,AF127,"1d","mf",,Trigger)</f>
        <v>42072</v>
      </c>
      <c r="AG128" s="476">
        <f>_xll.qlDayCounterYearFraction(DayCounterON,SettlementDate,AF128,,,Trigger)</f>
        <v>0.49315068493150682</v>
      </c>
      <c r="AH128" s="466">
        <f t="shared" si="8"/>
        <v>1.6127686202411261E-3</v>
      </c>
      <c r="AI128" s="466">
        <f t="shared" si="9"/>
        <v>1.4864095386267105E-3</v>
      </c>
      <c r="AJ128" s="436">
        <f t="shared" si="10"/>
        <v>1.5141328486384523E-3</v>
      </c>
    </row>
    <row r="129" spans="10:36" x14ac:dyDescent="0.2">
      <c r="J129" s="425"/>
      <c r="K129" s="425"/>
      <c r="AF129" s="465">
        <f>_xll.qlCalendarAdvance(Calendar,AF128,"1d","mf",,Trigger)</f>
        <v>42073</v>
      </c>
      <c r="AG129" s="476">
        <f>_xll.qlDayCounterYearFraction(DayCounterON,SettlementDate,AF129,,,Trigger)</f>
        <v>0.49589041095890413</v>
      </c>
      <c r="AH129" s="466">
        <f t="shared" si="8"/>
        <v>1.6127686202411261E-3</v>
      </c>
      <c r="AI129" s="466">
        <f t="shared" si="9"/>
        <v>1.4854700659009527E-3</v>
      </c>
      <c r="AJ129" s="436">
        <f t="shared" si="10"/>
        <v>1.51363637841592E-3</v>
      </c>
    </row>
    <row r="130" spans="10:36" x14ac:dyDescent="0.2">
      <c r="J130" s="425"/>
      <c r="K130" s="425"/>
      <c r="AF130" s="465">
        <f>_xll.qlCalendarAdvance(Calendar,AF129,"1d","mf",,Trigger)</f>
        <v>42074</v>
      </c>
      <c r="AG130" s="476">
        <f>_xll.qlDayCounterYearFraction(DayCounterON,SettlementDate,AF130,,,Trigger)</f>
        <v>0.49863013698630138</v>
      </c>
      <c r="AH130" s="466">
        <f t="shared" si="8"/>
        <v>1.6127686202411261E-3</v>
      </c>
      <c r="AI130" s="466">
        <f t="shared" si="9"/>
        <v>1.4845305931751949E-3</v>
      </c>
      <c r="AJ130" s="436">
        <f t="shared" si="10"/>
        <v>1.5131432770337165E-3</v>
      </c>
    </row>
    <row r="131" spans="10:36" x14ac:dyDescent="0.2">
      <c r="J131" s="425"/>
      <c r="K131" s="425"/>
      <c r="AF131" s="465">
        <f>_xll.qlCalendarAdvance(Calendar,AF130,"1d","mf",,Trigger)</f>
        <v>42075</v>
      </c>
      <c r="AG131" s="476">
        <f>_xll.qlDayCounterYearFraction(DayCounterON,SettlementDate,AF131,,,Trigger)</f>
        <v>0.50136986301369868</v>
      </c>
      <c r="AH131" s="466">
        <f t="shared" ref="AH131:AH164" si="11">$W$13</f>
        <v>1.6127686202411261E-3</v>
      </c>
      <c r="AI131" s="466">
        <f t="shared" ref="AI131:AI164" si="12">$W$10+$W$9*AG131</f>
        <v>1.4835911204494371E-3</v>
      </c>
      <c r="AJ131" s="436">
        <f t="shared" ref="AJ131:AJ164" si="13">($W$5+$W$4*AG131+$W$3*AG131^2)</f>
        <v>1.5126535444918419E-3</v>
      </c>
    </row>
    <row r="132" spans="10:36" ht="12" thickBot="1" x14ac:dyDescent="0.25">
      <c r="K132" s="425"/>
      <c r="AF132" s="467">
        <f>_xll.qlCalendarAdvance(Calendar,AF131,"1d","mf",,Trigger)</f>
        <v>42076</v>
      </c>
      <c r="AG132" s="478">
        <f>_xll.qlDayCounterYearFraction(DayCounterON,SettlementDate,AF132,,,Trigger)</f>
        <v>0.50410958904109593</v>
      </c>
      <c r="AH132" s="468">
        <f t="shared" si="11"/>
        <v>1.6127686202411261E-3</v>
      </c>
      <c r="AI132" s="468">
        <f t="shared" si="12"/>
        <v>1.4826516477236796E-3</v>
      </c>
      <c r="AJ132" s="441">
        <f t="shared" si="13"/>
        <v>1.512167180790296E-3</v>
      </c>
    </row>
    <row r="133" spans="10:36" x14ac:dyDescent="0.2">
      <c r="K133" s="425"/>
    </row>
    <row r="134" spans="10:36" x14ac:dyDescent="0.2">
      <c r="K134" s="425"/>
    </row>
    <row r="135" spans="10:36" x14ac:dyDescent="0.2">
      <c r="K135" s="425"/>
    </row>
    <row r="136" spans="10:36" x14ac:dyDescent="0.2">
      <c r="K136" s="425"/>
    </row>
    <row r="137" spans="10:36" x14ac:dyDescent="0.2">
      <c r="K137" s="425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5"/>
  <sheetViews>
    <sheetView showGridLines="0" workbookViewId="0"/>
  </sheetViews>
  <sheetFormatPr defaultRowHeight="11.25" outlineLevelCol="1" x14ac:dyDescent="0.2"/>
  <cols>
    <col min="1" max="1" width="3.1640625" bestFit="1" customWidth="1"/>
    <col min="2" max="2" width="2.1640625" bestFit="1" customWidth="1"/>
    <col min="3" max="3" width="3.5" customWidth="1"/>
    <col min="4" max="4" width="23.6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6" width="14.6640625" hidden="1" customWidth="1" outlineLevel="1"/>
    <col min="17" max="17" width="9.83203125" customWidth="1" collapsed="1"/>
    <col min="18" max="19" width="9.83203125" customWidth="1"/>
  </cols>
  <sheetData>
    <row r="1" spans="1:19" ht="26.25" customHeight="1" x14ac:dyDescent="0.2">
      <c r="D1" s="484" t="s">
        <v>174</v>
      </c>
      <c r="E1" s="485" t="s">
        <v>169</v>
      </c>
      <c r="F1" s="485" t="s">
        <v>170</v>
      </c>
      <c r="G1" s="485" t="s">
        <v>180</v>
      </c>
      <c r="H1" s="485" t="s">
        <v>173</v>
      </c>
      <c r="I1" s="485"/>
      <c r="J1" s="485" t="s">
        <v>181</v>
      </c>
      <c r="K1" s="486" t="s">
        <v>177</v>
      </c>
      <c r="M1" s="484" t="s">
        <v>169</v>
      </c>
      <c r="N1" s="485" t="s">
        <v>170</v>
      </c>
      <c r="O1" s="485"/>
      <c r="P1" s="485"/>
      <c r="Q1" s="485" t="s">
        <v>168</v>
      </c>
      <c r="R1" s="485" t="s">
        <v>182</v>
      </c>
      <c r="S1" s="486" t="s">
        <v>177</v>
      </c>
    </row>
    <row r="2" spans="1:19" ht="11.25" customHeight="1" x14ac:dyDescent="0.2">
      <c r="C2">
        <v>6</v>
      </c>
      <c r="D2" s="487" t="str">
        <f>PROPER(Currency&amp;IborType)&amp;"6M"&amp;"LastFixing"&amp;QuoteSuffix</f>
        <v>Euribor6MLastFixing_Quote</v>
      </c>
      <c r="E2" s="488">
        <f>SettlementDate</f>
        <v>41892</v>
      </c>
      <c r="F2" s="488">
        <f>_xll.qlCalendarAdvance(Calendar,E2,"6M","mf",,Trigger)</f>
        <v>42073</v>
      </c>
      <c r="G2" s="489">
        <f>_xll.qlQuoteValue(D2,LastFixingsTrigger)</f>
        <v>2.0300000000000001E-3</v>
      </c>
      <c r="H2" s="490" t="str">
        <f>_xll.qlMakeDatedOIS(,E2,F2,OvernightIndex,0,,,,EvaluationDate)</f>
        <v>obj_0039d#0001</v>
      </c>
      <c r="I2" s="490" t="b">
        <f>_xll.qlInstrumentSetPricingEngine(H2,OisEngine)</f>
        <v>1</v>
      </c>
      <c r="J2" s="489">
        <f>_xll.qlOvernightIndexedSwapFairRate(H2,AllTriggers)</f>
        <v>-7.0973453694134084E-4</v>
      </c>
      <c r="K2" s="491">
        <f t="shared" ref="K2:K20" si="0">G2-J2</f>
        <v>2.739734536941341E-3</v>
      </c>
      <c r="M2" s="497">
        <f>SettlementDate</f>
        <v>41892</v>
      </c>
      <c r="N2" s="488">
        <f>_xll.qlCalendarAdvance(Calendar,M2,"3M","f",,Trigger)</f>
        <v>41983</v>
      </c>
      <c r="O2" s="490" t="str">
        <f>_xll.qlMakeDatedOIS(,M2,N2,OvernightIndex,0,,,,EvaluationDate)</f>
        <v>obj_003c0#0001</v>
      </c>
      <c r="P2" s="490" t="b">
        <f>_xll.qlInstrumentSetPricingEngine(O2,OisEngine)</f>
        <v>1</v>
      </c>
      <c r="Q2" s="489">
        <f>_xll.qlIndexFixing("euribor6m",_xll.qlInterestRateIndexFixingDate("Euribor6M",M2),TRUE,AllTriggers)</f>
        <v>1.8948510945917467E-3</v>
      </c>
      <c r="R2" s="489">
        <f>_xll.qlOvernightIndexedSwapFairRate(O2,AllTriggers)</f>
        <v>-7.0303535509186332E-4</v>
      </c>
      <c r="S2" s="491">
        <f>Q2-R2</f>
        <v>2.59788644968361E-3</v>
      </c>
    </row>
    <row r="3" spans="1:19" ht="11.25" customHeight="1" x14ac:dyDescent="0.2">
      <c r="A3">
        <v>1</v>
      </c>
      <c r="B3" t="s">
        <v>55</v>
      </c>
      <c r="C3">
        <f>A3+6</f>
        <v>7</v>
      </c>
      <c r="D3" s="487" t="str">
        <f t="shared" ref="D3:D20" si="1">Currency&amp;A3&amp;B3&amp;C3&amp;"F"&amp;QuoteSuffix</f>
        <v>EUR1x7F_Quote</v>
      </c>
      <c r="E3" s="488">
        <f>_xll.qlCalendarAdvance("target",$E$2,A3&amp;"M","mf",,Trigger)</f>
        <v>41922</v>
      </c>
      <c r="F3" s="488">
        <f>_xll.qlCalendarAdvance(Calendar,E3,"6M","mf",,Trigger)</f>
        <v>42104</v>
      </c>
      <c r="G3" s="489">
        <f>_xll.qlQuoteValue(D3,AllTriggers)</f>
        <v>1.82E-3</v>
      </c>
      <c r="H3" s="490" t="str">
        <f>_xll.qlMakeDatedOIS(,E3,F3,OvernightIndex,0,,,,EvaluationDate)</f>
        <v>obj_003b0#0001</v>
      </c>
      <c r="I3" s="490" t="b">
        <f>_xll.qlInstrumentSetPricingEngine(H3,OisEngine)</f>
        <v>1</v>
      </c>
      <c r="J3" s="489">
        <f>_xll.qlOvernightIndexedSwapFairRate(H3,AllTriggers)</f>
        <v>-7.392337316860729E-4</v>
      </c>
      <c r="K3" s="491">
        <f t="shared" si="0"/>
        <v>2.559233731686073E-3</v>
      </c>
      <c r="M3" s="497">
        <f>_xll.qlCalendarAdvance(Calendar,M2,"1M","f",,Trigger)</f>
        <v>41922</v>
      </c>
      <c r="N3" s="488">
        <f>_xll.qlCalendarAdvance(Calendar,M3,"3M","f",,Trigger)</f>
        <v>42016</v>
      </c>
      <c r="O3" s="490" t="str">
        <f>_xll.qlMakeDatedOIS(,M3,N3,OvernightIndex,0,,,,EvaluationDate)</f>
        <v>obj_003de#0001</v>
      </c>
      <c r="P3" s="490" t="b">
        <f>_xll.qlInstrumentSetPricingEngine(O3,OisEngine)</f>
        <v>1</v>
      </c>
      <c r="Q3" s="489">
        <f>_xll.qlIndexFixing("euribor6m",_xll.qlInterestRateIndexFixingDate("Euribor6M",M3),TRUE,AllTriggers)</f>
        <v>1.8199999999998012E-3</v>
      </c>
      <c r="R3" s="489">
        <f>_xll.qlOvernightIndexedSwapFairRate(O3,AllTriggers)</f>
        <v>-6.5868874184473857E-4</v>
      </c>
      <c r="S3" s="491">
        <f t="shared" ref="S3:S66" si="2">Q3-R3</f>
        <v>2.4786887418445395E-3</v>
      </c>
    </row>
    <row r="4" spans="1:19" ht="11.25" customHeight="1" x14ac:dyDescent="0.2">
      <c r="A4">
        <v>2</v>
      </c>
      <c r="B4" t="s">
        <v>55</v>
      </c>
      <c r="C4">
        <f t="shared" ref="C4:C20" si="3">A4+6</f>
        <v>8</v>
      </c>
      <c r="D4" s="487" t="str">
        <f t="shared" si="1"/>
        <v>EUR2x8F_Quote</v>
      </c>
      <c r="E4" s="488">
        <f>_xll.qlCalendarAdvance("target",$E$2,A4&amp;"M","mf",,Trigger)</f>
        <v>41953</v>
      </c>
      <c r="F4" s="488">
        <f>_xll.qlCalendarAdvance(Calendar,E4,"6M","mf",,Trigger)</f>
        <v>42135</v>
      </c>
      <c r="G4" s="489">
        <f>_xll.qlQuoteValue(D4,AllTriggers)</f>
        <v>1.7699999999999999E-3</v>
      </c>
      <c r="H4" s="490" t="str">
        <f>_xll.qlMakeDatedOIS(,E4,F4,OvernightIndex,0,,,,EvaluationDate)</f>
        <v>obj_003a2#0001</v>
      </c>
      <c r="I4" s="490" t="b">
        <f>_xll.qlInstrumentSetPricingEngine(H4,OisEngine)</f>
        <v>1</v>
      </c>
      <c r="J4" s="489">
        <f>_xll.qlOvernightIndexedSwapFairRate(H4,AllTriggers)</f>
        <v>-7.5517783989516698E-4</v>
      </c>
      <c r="K4" s="491">
        <f t="shared" si="0"/>
        <v>2.5251778398951668E-3</v>
      </c>
      <c r="M4" s="497">
        <f>_xll.qlCalendarAdvance(Calendar,M3,"1M","f",,Trigger)</f>
        <v>41953</v>
      </c>
      <c r="N4" s="488">
        <f>_xll.qlCalendarAdvance(Calendar,M4,"3M","f",,Trigger)</f>
        <v>42045</v>
      </c>
      <c r="O4" s="490" t="str">
        <f>_xll.qlMakeDatedOIS(,M4,N4,OvernightIndex,0,,,,EvaluationDate)</f>
        <v>obj_00864#0001</v>
      </c>
      <c r="P4" s="490" t="b">
        <f>_xll.qlInstrumentSetPricingEngine(O4,OisEngine)</f>
        <v>1</v>
      </c>
      <c r="Q4" s="489">
        <f>_xll.qlIndexFixing("euribor6m",_xll.qlInterestRateIndexFixingDate("Euribor6M",M4),TRUE,AllTriggers)</f>
        <v>1.769999999999693E-3</v>
      </c>
      <c r="R4" s="489">
        <f>_xll.qlOvernightIndexedSwapFairRate(O4,AllTriggers)</f>
        <v>-6.7583689128287332E-4</v>
      </c>
      <c r="S4" s="491">
        <f t="shared" si="2"/>
        <v>2.4458368912825663E-3</v>
      </c>
    </row>
    <row r="5" spans="1:19" ht="11.25" customHeight="1" x14ac:dyDescent="0.2">
      <c r="A5">
        <f>A4+1</f>
        <v>3</v>
      </c>
      <c r="B5" t="s">
        <v>55</v>
      </c>
      <c r="C5">
        <f t="shared" si="3"/>
        <v>9</v>
      </c>
      <c r="D5" s="487" t="str">
        <f t="shared" si="1"/>
        <v>EUR3x9F_Quote</v>
      </c>
      <c r="E5" s="488">
        <f>_xll.qlCalendarAdvance("target",$E$2,A5&amp;"M","mf",,Trigger)</f>
        <v>41983</v>
      </c>
      <c r="F5" s="488">
        <f>_xll.qlCalendarAdvance(Calendar,E5,"6M","mf",,Trigger)</f>
        <v>42165</v>
      </c>
      <c r="G5" s="489">
        <f>_xll.qlQuoteValue(D5,AllTriggers)</f>
        <v>1.7299999999999998E-3</v>
      </c>
      <c r="H5" s="490" t="str">
        <f>_xll.qlMakeDatedOIS(,E5,F5,OvernightIndex,0,,,,EvaluationDate)</f>
        <v>obj_003a4#0001</v>
      </c>
      <c r="I5" s="490" t="b">
        <f>_xll.qlInstrumentSetPricingEngine(H5,OisEngine)</f>
        <v>1</v>
      </c>
      <c r="J5" s="489">
        <f>_xll.qlOvernightIndexedSwapFairRate(H5,AllTriggers)</f>
        <v>-7.4361447145657091E-4</v>
      </c>
      <c r="K5" s="491">
        <f t="shared" si="0"/>
        <v>2.4736144714565707E-3</v>
      </c>
      <c r="M5" s="497">
        <f>_xll.qlCalendarAdvance(Calendar,M4,"1M","f",,Trigger)</f>
        <v>41983</v>
      </c>
      <c r="N5" s="488">
        <f>_xll.qlCalendarAdvance(Calendar,M5,"3M","f",,Trigger)</f>
        <v>42073</v>
      </c>
      <c r="O5" s="490" t="str">
        <f>_xll.qlMakeDatedOIS(,M5,N5,OvernightIndex,0,,,,EvaluationDate)</f>
        <v>obj_003e9#0001</v>
      </c>
      <c r="P5" s="490" t="b">
        <f>_xll.qlInstrumentSetPricingEngine(O5,OisEngine)</f>
        <v>1</v>
      </c>
      <c r="Q5" s="489">
        <f>_xll.qlIndexFixing("euribor6m",_xll.qlInterestRateIndexFixingDate("Euribor6M",M5),TRUE,AllTriggers)</f>
        <v>1.7300000000003972E-3</v>
      </c>
      <c r="R5" s="489">
        <f>_xll.qlOvernightIndexedSwapFairRate(O5,AllTriggers)</f>
        <v>-7.166355086694054E-4</v>
      </c>
      <c r="S5" s="491">
        <f t="shared" si="2"/>
        <v>2.4466355086698024E-3</v>
      </c>
    </row>
    <row r="6" spans="1:19" ht="11.25" customHeight="1" x14ac:dyDescent="0.2">
      <c r="A6">
        <f t="shared" ref="A6:A20" si="4">A5+1</f>
        <v>4</v>
      </c>
      <c r="B6" t="s">
        <v>55</v>
      </c>
      <c r="C6">
        <f t="shared" si="3"/>
        <v>10</v>
      </c>
      <c r="D6" s="487" t="str">
        <f t="shared" si="1"/>
        <v>EUR4x10F_Quote</v>
      </c>
      <c r="E6" s="488">
        <f>_xll.qlCalendarAdvance("target",$E$2,A6&amp;"M","mf",,Trigger)</f>
        <v>42016</v>
      </c>
      <c r="F6" s="488">
        <f>_xll.qlCalendarAdvance(Calendar,E6,"6M","mf",,Trigger)</f>
        <v>42198</v>
      </c>
      <c r="G6" s="489">
        <f>_xll.qlQuoteValue(D6,AllTriggers)</f>
        <v>1.7099999999999999E-3</v>
      </c>
      <c r="H6" s="490" t="str">
        <f>_xll.qlMakeDatedOIS(,E6,F6,OvernightIndex,0,,,,EvaluationDate)</f>
        <v>obj_003a7#0001</v>
      </c>
      <c r="I6" s="490" t="b">
        <f>_xll.qlInstrumentSetPricingEngine(H6,OisEngine)</f>
        <v>1</v>
      </c>
      <c r="J6" s="489">
        <f>_xll.qlOvernightIndexedSwapFairRate(H6,AllTriggers)</f>
        <v>-7.894693366696158E-4</v>
      </c>
      <c r="K6" s="491">
        <f t="shared" si="0"/>
        <v>2.4994693366696156E-3</v>
      </c>
      <c r="M6" s="497">
        <f>_xll.qlCalendarAdvance(Calendar,M5,"1M","f",,Trigger)</f>
        <v>42016</v>
      </c>
      <c r="N6" s="488">
        <f>_xll.qlCalendarAdvance(Calendar,M6,"3M","f",,Trigger)</f>
        <v>42107</v>
      </c>
      <c r="O6" s="490" t="str">
        <f>_xll.qlMakeDatedOIS(,M6,N6,OvernightIndex,0,,,,EvaluationDate)</f>
        <v>obj_00840#0001</v>
      </c>
      <c r="P6" s="490" t="b">
        <f>_xll.qlInstrumentSetPricingEngine(O6,OisEngine)</f>
        <v>1</v>
      </c>
      <c r="Q6" s="489">
        <f>_xll.qlIndexFixing("euribor6m",_xll.qlInterestRateIndexFixingDate("Euribor6M",M6),TRUE,AllTriggers)</f>
        <v>1.7100000003641949E-3</v>
      </c>
      <c r="R6" s="489">
        <f>_xll.qlOvernightIndexedSwapFairRate(O6,AllTriggers)</f>
        <v>-8.2720750961227387E-4</v>
      </c>
      <c r="S6" s="491">
        <f t="shared" si="2"/>
        <v>2.5372075099764687E-3</v>
      </c>
    </row>
    <row r="7" spans="1:19" ht="11.25" customHeight="1" x14ac:dyDescent="0.2">
      <c r="A7">
        <f t="shared" si="4"/>
        <v>5</v>
      </c>
      <c r="B7" t="s">
        <v>55</v>
      </c>
      <c r="C7">
        <f t="shared" si="3"/>
        <v>11</v>
      </c>
      <c r="D7" s="487" t="str">
        <f t="shared" si="1"/>
        <v>EUR5x11F_Quote</v>
      </c>
      <c r="E7" s="488">
        <f>_xll.qlCalendarAdvance("target",$E$2,A7&amp;"M","mf",,Trigger)</f>
        <v>42045</v>
      </c>
      <c r="F7" s="488">
        <f>_xll.qlCalendarAdvance(Calendar,E7,"6M","mf",,Trigger)</f>
        <v>42226</v>
      </c>
      <c r="G7" s="489">
        <f>_xll.qlQuoteValue(D7,AllTriggers)</f>
        <v>1.6899999999999999E-3</v>
      </c>
      <c r="H7" s="490" t="str">
        <f>_xll.qlMakeDatedOIS(,E7,F7,OvernightIndex,0,,,,EvaluationDate)</f>
        <v>obj_003c3#0001</v>
      </c>
      <c r="I7" s="490" t="b">
        <f>_xll.qlInstrumentSetPricingEngine(H7,OisEngine)</f>
        <v>1</v>
      </c>
      <c r="J7" s="489">
        <f>_xll.qlOvernightIndexedSwapFairRate(H7,AllTriggers)</f>
        <v>-8.1057280635256693E-4</v>
      </c>
      <c r="K7" s="491">
        <f t="shared" si="0"/>
        <v>2.5005728063525667E-3</v>
      </c>
      <c r="M7" s="497">
        <f>_xll.qlCalendarAdvance(Calendar,M6,"1M","f",,Trigger)</f>
        <v>42047</v>
      </c>
      <c r="N7" s="488">
        <f>_xll.qlCalendarAdvance(Calendar,M7,"3M","f",,Trigger)</f>
        <v>42136</v>
      </c>
      <c r="O7" s="490" t="str">
        <f>_xll.qlMakeDatedOIS(,M7,N7,OvernightIndex,0,,,,EvaluationDate)</f>
        <v>obj_003ec#0001</v>
      </c>
      <c r="P7" s="490" t="b">
        <f>_xll.qlInstrumentSetPricingEngine(O7,OisEngine)</f>
        <v>1</v>
      </c>
      <c r="Q7" s="489">
        <f>_xll.qlIndexFixing("euribor6m",_xll.qlInterestRateIndexFixingDate("Euribor6M",M7),TRUE,AllTriggers)</f>
        <v>1.6883794015031513E-3</v>
      </c>
      <c r="R7" s="489">
        <f>_xll.qlOvernightIndexedSwapFairRate(O7,AllTriggers)</f>
        <v>-8.3362195249657943E-4</v>
      </c>
      <c r="S7" s="491">
        <f t="shared" si="2"/>
        <v>2.5220013539997308E-3</v>
      </c>
    </row>
    <row r="8" spans="1:19" ht="11.25" customHeight="1" x14ac:dyDescent="0.2">
      <c r="A8">
        <f t="shared" si="4"/>
        <v>6</v>
      </c>
      <c r="B8" t="s">
        <v>55</v>
      </c>
      <c r="C8">
        <f t="shared" si="3"/>
        <v>12</v>
      </c>
      <c r="D8" s="487" t="str">
        <f t="shared" si="1"/>
        <v>EUR6x12F_Quote</v>
      </c>
      <c r="E8" s="488">
        <f>_xll.qlCalendarAdvance("target",$E$2,A8&amp;"M","mf",,Trigger)</f>
        <v>42073</v>
      </c>
      <c r="F8" s="488">
        <f>_xll.qlCalendarAdvance(Calendar,E8,"6M","mf",,Trigger)</f>
        <v>42257</v>
      </c>
      <c r="G8" s="489">
        <f>_xll.qlQuoteValue(D8,AllTriggers)</f>
        <v>1.6699999999999998E-3</v>
      </c>
      <c r="H8" s="490" t="str">
        <f>_xll.qlMakeDatedOIS(,E8,F8,OvernightIndex,0,,,,EvaluationDate)</f>
        <v>obj_003c6#0001</v>
      </c>
      <c r="I8" s="490" t="b">
        <f>_xll.qlInstrumentSetPricingEngine(H8,OisEngine)</f>
        <v>1</v>
      </c>
      <c r="J8" s="489">
        <f>_xll.qlOvernightIndexedSwapFairRate(H8,AllTriggers)</f>
        <v>-8.4942293753102456E-4</v>
      </c>
      <c r="K8" s="491">
        <f t="shared" si="0"/>
        <v>2.5194229375310245E-3</v>
      </c>
      <c r="M8" s="497">
        <f>_xll.qlCalendarAdvance(Calendar,M7,"1M","f",,Trigger)</f>
        <v>42075</v>
      </c>
      <c r="N8" s="488">
        <f>_xll.qlCalendarAdvance(Calendar,M8,"3M","f",,Trigger)</f>
        <v>42167</v>
      </c>
      <c r="O8" s="490" t="str">
        <f>_xll.qlMakeDatedOIS(,M8,N8,OvernightIndex,0,,,,EvaluationDate)</f>
        <v>obj_003ee#0001</v>
      </c>
      <c r="P8" s="490" t="b">
        <f>_xll.qlInstrumentSetPricingEngine(O8,OisEngine)</f>
        <v>1</v>
      </c>
      <c r="Q8" s="489">
        <f>_xll.qlIndexFixing("euribor6m",_xll.qlInterestRateIndexFixingDate("Euribor6M",M8),TRUE,AllTriggers)</f>
        <v>1.6694004839039455E-3</v>
      </c>
      <c r="R8" s="489">
        <f>_xll.qlOvernightIndexedSwapFairRate(O8,AllTriggers)</f>
        <v>-7.6908955384475579E-4</v>
      </c>
      <c r="S8" s="491">
        <f t="shared" si="2"/>
        <v>2.4384900377487015E-3</v>
      </c>
    </row>
    <row r="9" spans="1:19" ht="11.25" customHeight="1" x14ac:dyDescent="0.2">
      <c r="A9">
        <f t="shared" si="4"/>
        <v>7</v>
      </c>
      <c r="B9" t="s">
        <v>55</v>
      </c>
      <c r="C9">
        <f t="shared" si="3"/>
        <v>13</v>
      </c>
      <c r="D9" s="487" t="str">
        <f t="shared" si="1"/>
        <v>EUR7x13F_Quote</v>
      </c>
      <c r="E9" s="488">
        <f>_xll.qlCalendarAdvance("target",$E$2,A9&amp;"M","mf",,Trigger)</f>
        <v>42104</v>
      </c>
      <c r="F9" s="488">
        <f>_xll.qlCalendarAdvance(Calendar,E9,"6M","mf",,Trigger)</f>
        <v>42289</v>
      </c>
      <c r="G9" s="489">
        <f>_xll.qlQuoteValue(D9,AllTriggers)</f>
        <v>1.6899999999999999E-3</v>
      </c>
      <c r="H9" s="490" t="str">
        <f>_xll.qlMakeDatedOIS(,E9,F9,OvernightIndex,0,,,,EvaluationDate)</f>
        <v>obj_003a9#0001</v>
      </c>
      <c r="I9" s="490" t="b">
        <f>_xll.qlInstrumentSetPricingEngine(H9,OisEngine)</f>
        <v>1</v>
      </c>
      <c r="J9" s="489">
        <f>_xll.qlOvernightIndexedSwapFairRate(H9,AllTriggers)</f>
        <v>-8.4096629379729602E-4</v>
      </c>
      <c r="K9" s="491">
        <f t="shared" si="0"/>
        <v>2.5309662937972959E-3</v>
      </c>
      <c r="M9" s="497">
        <f>_xll.qlCalendarAdvance(Calendar,M8,"1M","f",,Trigger)</f>
        <v>42107</v>
      </c>
      <c r="N9" s="488">
        <f>_xll.qlCalendarAdvance(Calendar,M9,"3M","f",,Trigger)</f>
        <v>42198</v>
      </c>
      <c r="O9" s="490" t="str">
        <f>_xll.qlMakeDatedOIS(,M9,N9,OvernightIndex,0,,,,EvaluationDate)</f>
        <v>obj_003f0#0001</v>
      </c>
      <c r="P9" s="490" t="b">
        <f>_xll.qlInstrumentSetPricingEngine(O9,OisEngine)</f>
        <v>1</v>
      </c>
      <c r="Q9" s="489">
        <f>_xll.qlIndexFixing("euribor6m",_xll.qlInterestRateIndexFixingDate("Euribor6M",M9),TRUE,AllTriggers)</f>
        <v>1.6905983201059396E-3</v>
      </c>
      <c r="R9" s="489">
        <f>_xll.qlOvernightIndexedSwapFairRate(O9,AllTriggers)</f>
        <v>-7.5188838334450244E-4</v>
      </c>
      <c r="S9" s="491">
        <f t="shared" si="2"/>
        <v>2.4424867034504418E-3</v>
      </c>
    </row>
    <row r="10" spans="1:19" ht="11.25" customHeight="1" x14ac:dyDescent="0.2">
      <c r="A10">
        <f t="shared" si="4"/>
        <v>8</v>
      </c>
      <c r="B10" t="s">
        <v>55</v>
      </c>
      <c r="C10">
        <f t="shared" si="3"/>
        <v>14</v>
      </c>
      <c r="D10" s="487" t="str">
        <f t="shared" si="1"/>
        <v>EUR8x14F_Quote</v>
      </c>
      <c r="E10" s="488">
        <f>_xll.qlCalendarAdvance("target",$E$2,A10&amp;"M","mf",,Trigger)</f>
        <v>42135</v>
      </c>
      <c r="F10" s="488">
        <f>_xll.qlCalendarAdvance(Calendar,E10,"6M","mf",,Trigger)</f>
        <v>42319</v>
      </c>
      <c r="G10" s="489">
        <f>_xll.qlQuoteValue(D10,AllTriggers)</f>
        <v>1.7099999999999999E-3</v>
      </c>
      <c r="H10" s="490" t="str">
        <f>_xll.qlMakeDatedOIS(,E10,F10,OvernightIndex,0,,,,EvaluationDate)</f>
        <v>obj_003b6#0001</v>
      </c>
      <c r="I10" s="490" t="b">
        <f>_xll.qlInstrumentSetPricingEngine(H10,OisEngine)</f>
        <v>1</v>
      </c>
      <c r="J10" s="489">
        <f>_xll.qlOvernightIndexedSwapFairRate(H10,AllTriggers)</f>
        <v>-8.5391397362468899E-4</v>
      </c>
      <c r="K10" s="491">
        <f t="shared" si="0"/>
        <v>2.5639139736246888E-3</v>
      </c>
      <c r="M10" s="497">
        <f>_xll.qlCalendarAdvance(Calendar,M9,"1M","f",,Trigger)</f>
        <v>42137</v>
      </c>
      <c r="N10" s="488">
        <f>_xll.qlCalendarAdvance(Calendar,M10,"3M","f",,Trigger)</f>
        <v>42229</v>
      </c>
      <c r="O10" s="490" t="str">
        <f>_xll.qlMakeDatedOIS(,M10,N10,OvernightIndex,0,,,,EvaluationDate)</f>
        <v>obj_00877#0001</v>
      </c>
      <c r="P10" s="490" t="b">
        <f>_xll.qlInstrumentSetPricingEngine(O10,OisEngine)</f>
        <v>1</v>
      </c>
      <c r="Q10" s="489">
        <f>_xll.qlIndexFixing("euribor6m",_xll.qlInterestRateIndexFixingDate("Euribor6M",M10),TRUE,AllTriggers)</f>
        <v>1.7108984587222843E-3</v>
      </c>
      <c r="R10" s="489">
        <f>_xll.qlOvernightIndexedSwapFairRate(O10,AllTriggers)</f>
        <v>-7.9798152284287134E-4</v>
      </c>
      <c r="S10" s="491">
        <f t="shared" si="2"/>
        <v>2.5088799815651559E-3</v>
      </c>
    </row>
    <row r="11" spans="1:19" ht="11.25" customHeight="1" x14ac:dyDescent="0.2">
      <c r="A11">
        <f t="shared" si="4"/>
        <v>9</v>
      </c>
      <c r="B11" t="s">
        <v>55</v>
      </c>
      <c r="C11">
        <f t="shared" si="3"/>
        <v>15</v>
      </c>
      <c r="D11" s="487" t="str">
        <f t="shared" si="1"/>
        <v>EUR9x15F_Quote</v>
      </c>
      <c r="E11" s="488">
        <f>_xll.qlCalendarAdvance("target",$E$2,A11&amp;"M","mf",,Trigger)</f>
        <v>42165</v>
      </c>
      <c r="F11" s="488">
        <f>_xll.qlCalendarAdvance(Calendar,E11,"6M","mf",,Trigger)</f>
        <v>42348</v>
      </c>
      <c r="G11" s="489">
        <f>_xll.qlQuoteValue(D11,AllTriggers)</f>
        <v>1.7299999999999998E-3</v>
      </c>
      <c r="H11" s="490" t="str">
        <f>_xll.qlMakeDatedOIS(,E11,F11,OvernightIndex,0,,,,EvaluationDate)</f>
        <v>obj_003bd#0001</v>
      </c>
      <c r="I11" s="490" t="b">
        <f>_xll.qlInstrumentSetPricingEngine(H11,OisEngine)</f>
        <v>1</v>
      </c>
      <c r="J11" s="489">
        <f>_xll.qlOvernightIndexedSwapFairRate(H11,AllTriggers)</f>
        <v>-8.796645368715103E-4</v>
      </c>
      <c r="K11" s="491">
        <f t="shared" si="0"/>
        <v>2.6096645368715102E-3</v>
      </c>
      <c r="M11" s="497">
        <f>_xll.qlCalendarAdvance(Calendar,M10,"1M","f",,Trigger)</f>
        <v>42170</v>
      </c>
      <c r="N11" s="488">
        <f>_xll.qlCalendarAdvance(Calendar,M11,"3M","f",,Trigger)</f>
        <v>42262</v>
      </c>
      <c r="O11" s="490" t="str">
        <f>_xll.qlMakeDatedOIS(,M11,N11,OvernightIndex,0,,,,EvaluationDate)</f>
        <v>obj_003f3#0001</v>
      </c>
      <c r="P11" s="490" t="b">
        <f>_xll.qlInstrumentSetPricingEngine(O11,OisEngine)</f>
        <v>1</v>
      </c>
      <c r="Q11" s="489">
        <f>_xll.qlIndexFixing("euribor6m",_xll.qlInterestRateIndexFixingDate("Euribor6M",M11),TRUE,AllTriggers)</f>
        <v>1.7373675280178715E-3</v>
      </c>
      <c r="R11" s="489">
        <f>_xll.qlOvernightIndexedSwapFairRate(O11,AllTriggers)</f>
        <v>-9.2881311654466705E-4</v>
      </c>
      <c r="S11" s="491">
        <f t="shared" si="2"/>
        <v>2.6661806445625385E-3</v>
      </c>
    </row>
    <row r="12" spans="1:19" ht="11.25" customHeight="1" x14ac:dyDescent="0.2">
      <c r="A12">
        <f t="shared" si="4"/>
        <v>10</v>
      </c>
      <c r="B12" t="s">
        <v>55</v>
      </c>
      <c r="C12">
        <f t="shared" si="3"/>
        <v>16</v>
      </c>
      <c r="D12" s="487" t="str">
        <f t="shared" si="1"/>
        <v>EUR10x16F_Quote</v>
      </c>
      <c r="E12" s="488">
        <f>_xll.qlCalendarAdvance("target",$E$2,A12&amp;"M","mf",,Trigger)</f>
        <v>42195</v>
      </c>
      <c r="F12" s="488">
        <f>_xll.qlCalendarAdvance(Calendar,E12,"6M","mf",,Trigger)</f>
        <v>42380</v>
      </c>
      <c r="G12" s="489">
        <f>_xll.qlQuoteValue(D12,AllTriggers)</f>
        <v>1.7899999999999999E-3</v>
      </c>
      <c r="H12" s="490" t="str">
        <f>_xll.qlMakeDatedOIS(,E12,F12,OvernightIndex,0,,,,EvaluationDate)</f>
        <v>obj_003d7#0001</v>
      </c>
      <c r="I12" s="490" t="b">
        <f>_xll.qlInstrumentSetPricingEngine(H12,OisEngine)</f>
        <v>1</v>
      </c>
      <c r="J12" s="489">
        <f>_xll.qlOvernightIndexedSwapFairRate(H12,AllTriggers)</f>
        <v>-8.6161325255102372E-4</v>
      </c>
      <c r="K12" s="491">
        <f t="shared" si="0"/>
        <v>2.6516132525510236E-3</v>
      </c>
      <c r="M12" s="497">
        <f>_xll.qlCalendarAdvance(Calendar,M11,"1M","f",,Trigger)</f>
        <v>42200</v>
      </c>
      <c r="N12" s="488">
        <f>_xll.qlCalendarAdvance(Calendar,M12,"3M","f",,Trigger)</f>
        <v>42292</v>
      </c>
      <c r="O12" s="490" t="str">
        <f>_xll.qlMakeDatedOIS(,M12,N12,OvernightIndex,0,,,,EvaluationDate)</f>
        <v>obj_003f5#0001</v>
      </c>
      <c r="P12" s="490" t="b">
        <f>_xll.qlInstrumentSetPricingEngine(O12,OisEngine)</f>
        <v>1</v>
      </c>
      <c r="Q12" s="489">
        <f>_xll.qlIndexFixing("euribor6m",_xll.qlInterestRateIndexFixingDate("Euribor6M",M12),TRUE,AllTriggers)</f>
        <v>1.7960084261942309E-3</v>
      </c>
      <c r="R12" s="489">
        <f>_xll.qlOvernightIndexedSwapFairRate(O12,AllTriggers)</f>
        <v>-9.2747564932551738E-4</v>
      </c>
      <c r="S12" s="491">
        <f t="shared" si="2"/>
        <v>2.7234840755197484E-3</v>
      </c>
    </row>
    <row r="13" spans="1:19" ht="11.25" customHeight="1" x14ac:dyDescent="0.2">
      <c r="A13">
        <f t="shared" si="4"/>
        <v>11</v>
      </c>
      <c r="B13" t="s">
        <v>55</v>
      </c>
      <c r="C13">
        <f t="shared" si="3"/>
        <v>17</v>
      </c>
      <c r="D13" s="487" t="str">
        <f t="shared" si="1"/>
        <v>EUR11x17F_Quote</v>
      </c>
      <c r="E13" s="488">
        <f>_xll.qlCalendarAdvance("target",$E$2,A13&amp;"M","mf",,Trigger)</f>
        <v>42226</v>
      </c>
      <c r="F13" s="488">
        <f>_xll.qlCalendarAdvance(Calendar,E13,"6M","mf",,Trigger)</f>
        <v>42410</v>
      </c>
      <c r="G13" s="489">
        <f>_xll.qlQuoteValue(D13,AllTriggers)</f>
        <v>1.83E-3</v>
      </c>
      <c r="H13" s="490" t="str">
        <f>_xll.qlMakeDatedOIS(,E13,F13,OvernightIndex,0,,,,EvaluationDate)</f>
        <v>obj_003a3#0001</v>
      </c>
      <c r="I13" s="490" t="b">
        <f>_xll.qlInstrumentSetPricingEngine(H13,OisEngine)</f>
        <v>1</v>
      </c>
      <c r="J13" s="489">
        <f>_xll.qlOvernightIndexedSwapFairRate(H13,AllTriggers)</f>
        <v>-8.4242719666420746E-4</v>
      </c>
      <c r="K13" s="491">
        <f t="shared" si="0"/>
        <v>2.6724271966642073E-3</v>
      </c>
      <c r="M13" s="497">
        <f>_xll.qlCalendarAdvance(Calendar,M12,"1M","f",,Trigger)</f>
        <v>42233</v>
      </c>
      <c r="N13" s="488">
        <f>_xll.qlCalendarAdvance(Calendar,M13,"3M","f",,Trigger)</f>
        <v>42325</v>
      </c>
      <c r="O13" s="490" t="str">
        <f>_xll.qlMakeDatedOIS(,M13,N13,OvernightIndex,0,,,,EvaluationDate)</f>
        <v>obj_003f7#0001</v>
      </c>
      <c r="P13" s="490" t="b">
        <f>_xll.qlInstrumentSetPricingEngine(O13,OisEngine)</f>
        <v>1</v>
      </c>
      <c r="Q13" s="489">
        <f>_xll.qlIndexFixing("euribor6m",_xll.qlInterestRateIndexFixingDate("Euribor6M",M13),TRUE,AllTriggers)</f>
        <v>1.8396069494467421E-3</v>
      </c>
      <c r="R13" s="489">
        <f>_xll.qlOvernightIndexedSwapFairRate(O13,AllTriggers)</f>
        <v>-9.0152590204974612E-4</v>
      </c>
      <c r="S13" s="491">
        <f t="shared" si="2"/>
        <v>2.7411328514964882E-3</v>
      </c>
    </row>
    <row r="14" spans="1:19" ht="11.25" customHeight="1" x14ac:dyDescent="0.2">
      <c r="A14">
        <f t="shared" si="4"/>
        <v>12</v>
      </c>
      <c r="B14" t="s">
        <v>55</v>
      </c>
      <c r="C14">
        <f t="shared" si="3"/>
        <v>18</v>
      </c>
      <c r="D14" s="487" t="str">
        <f t="shared" si="1"/>
        <v>EUR12x18F_Quote</v>
      </c>
      <c r="E14" s="488">
        <f>_xll.qlCalendarAdvance("target",$E$2,A14&amp;"M","mf",,Trigger)</f>
        <v>42257</v>
      </c>
      <c r="F14" s="488">
        <f>_xll.qlCalendarAdvance(Calendar,E14,"6M","mf",,Trigger)</f>
        <v>42439</v>
      </c>
      <c r="G14" s="489">
        <f>_xll.qlQuoteValue(D14,AllTriggers)</f>
        <v>1.8799999999999999E-3</v>
      </c>
      <c r="H14" s="490" t="str">
        <f>_xll.qlMakeDatedOIS(,E14,F14,OvernightIndex,0,,,,EvaluationDate)</f>
        <v>obj_003b5#0001</v>
      </c>
      <c r="I14" s="490" t="b">
        <f>_xll.qlInstrumentSetPricingEngine(H14,OisEngine)</f>
        <v>1</v>
      </c>
      <c r="J14" s="489">
        <f>_xll.qlOvernightIndexedSwapFairRate(H14,AllTriggers)</f>
        <v>-7.8000000028097727E-4</v>
      </c>
      <c r="K14" s="491">
        <f t="shared" si="0"/>
        <v>2.6600000002809771E-3</v>
      </c>
      <c r="M14" s="497">
        <f>_xll.qlCalendarAdvance(Calendar,M13,"1M","f",,Trigger)</f>
        <v>42264</v>
      </c>
      <c r="N14" s="488">
        <f>_xll.qlCalendarAdvance(Calendar,M14,"3M","f",,Trigger)</f>
        <v>42355</v>
      </c>
      <c r="O14" s="490" t="str">
        <f>_xll.qlMakeDatedOIS(,M14,N14,OvernightIndex,0,,,,EvaluationDate)</f>
        <v>obj_0086e#0001</v>
      </c>
      <c r="P14" s="490" t="b">
        <f>_xll.qlInstrumentSetPricingEngine(O14,OisEngine)</f>
        <v>1</v>
      </c>
      <c r="Q14" s="489">
        <f>_xll.qlIndexFixing("euribor6m",_xll.qlInterestRateIndexFixingDate("Euribor6M",M14),TRUE,AllTriggers)</f>
        <v>1.8933342037625307E-3</v>
      </c>
      <c r="R14" s="489">
        <f>_xll.qlOvernightIndexedSwapFairRate(O14,AllTriggers)</f>
        <v>-8.2240542831395441E-4</v>
      </c>
      <c r="S14" s="491">
        <f t="shared" si="2"/>
        <v>2.7157396320764849E-3</v>
      </c>
    </row>
    <row r="15" spans="1:19" ht="11.25" customHeight="1" x14ac:dyDescent="0.2">
      <c r="A15">
        <f t="shared" si="4"/>
        <v>13</v>
      </c>
      <c r="B15" t="s">
        <v>55</v>
      </c>
      <c r="C15">
        <f t="shared" si="3"/>
        <v>19</v>
      </c>
      <c r="D15" s="487" t="str">
        <f t="shared" si="1"/>
        <v>EUR13x19F_Quote</v>
      </c>
      <c r="E15" s="488">
        <f>_xll.qlCalendarAdvance("target",$E$2,A15&amp;"M","mf",,Trigger)</f>
        <v>42289</v>
      </c>
      <c r="F15" s="488">
        <f>_xll.qlCalendarAdvance(Calendar,E15,"6M","mf",,Trigger)</f>
        <v>42472</v>
      </c>
      <c r="G15" s="489">
        <f>_xll.qlQuoteValue(D15,AllTriggers)</f>
        <v>1.9500000000000001E-3</v>
      </c>
      <c r="H15" s="490" t="str">
        <f>_xll.qlMakeDatedOIS(,E15,F15,OvernightIndex,0,,,,EvaluationDate)</f>
        <v>obj_003d6#0001</v>
      </c>
      <c r="I15" s="490" t="b">
        <f>_xll.qlInstrumentSetPricingEngine(H15,OisEngine)</f>
        <v>1</v>
      </c>
      <c r="J15" s="489">
        <f>_xll.qlOvernightIndexedSwapFairRate(H15,AllTriggers)</f>
        <v>-7.33724946306639E-4</v>
      </c>
      <c r="K15" s="491">
        <f t="shared" si="0"/>
        <v>2.6837249463066391E-3</v>
      </c>
      <c r="M15" s="497">
        <f>_xll.qlCalendarAdvance(Calendar,M14,"1M","f",,Trigger)</f>
        <v>42296</v>
      </c>
      <c r="N15" s="488">
        <f>_xll.qlCalendarAdvance(Calendar,M15,"3M","f",,Trigger)</f>
        <v>42388</v>
      </c>
      <c r="O15" s="490" t="str">
        <f>_xll.qlMakeDatedOIS(,M15,N15,OvernightIndex,0,,,,EvaluationDate)</f>
        <v>obj_003fa#0001</v>
      </c>
      <c r="P15" s="490" t="b">
        <f>_xll.qlInstrumentSetPricingEngine(O15,OisEngine)</f>
        <v>1</v>
      </c>
      <c r="Q15" s="489">
        <f>_xll.qlIndexFixing("euribor6m",_xll.qlInterestRateIndexFixingDate("Euribor6M",M15),TRUE,AllTriggers)</f>
        <v>1.9673166347407814E-3</v>
      </c>
      <c r="R15" s="489">
        <f>_xll.qlOvernightIndexedSwapFairRate(O15,AllTriggers)</f>
        <v>-7.8660102995263017E-4</v>
      </c>
      <c r="S15" s="491">
        <f t="shared" si="2"/>
        <v>2.7539176646934117E-3</v>
      </c>
    </row>
    <row r="16" spans="1:19" ht="11.25" customHeight="1" x14ac:dyDescent="0.2">
      <c r="A16">
        <f t="shared" si="4"/>
        <v>14</v>
      </c>
      <c r="B16" t="s">
        <v>55</v>
      </c>
      <c r="C16">
        <f t="shared" si="3"/>
        <v>20</v>
      </c>
      <c r="D16" s="487" t="str">
        <f t="shared" si="1"/>
        <v>EUR14x20F_Quote</v>
      </c>
      <c r="E16" s="488">
        <f>_xll.qlCalendarAdvance("target",$E$2,A16&amp;"M","mf",,Trigger)</f>
        <v>42318</v>
      </c>
      <c r="F16" s="488">
        <f>_xll.qlCalendarAdvance(Calendar,E16,"6M","mf",,Trigger)</f>
        <v>42500</v>
      </c>
      <c r="G16" s="489">
        <f>_xll.qlQuoteValue(D16,AllTriggers)</f>
        <v>2.0200000000000001E-3</v>
      </c>
      <c r="H16" s="490" t="str">
        <f>_xll.qlMakeDatedOIS(,E16,F16,OvernightIndex,0,,,,EvaluationDate)</f>
        <v>obj_003a6#0001</v>
      </c>
      <c r="I16" s="490" t="b">
        <f>_xll.qlInstrumentSetPricingEngine(H16,OisEngine)</f>
        <v>1</v>
      </c>
      <c r="J16" s="489">
        <f>_xll.qlOvernightIndexedSwapFairRate(H16,AllTriggers)</f>
        <v>-6.9348379665120057E-4</v>
      </c>
      <c r="K16" s="491">
        <f t="shared" si="0"/>
        <v>2.7134837966512008E-3</v>
      </c>
      <c r="M16" s="497">
        <f>_xll.qlCalendarAdvance(Calendar,M15,"1M","f",,Trigger)</f>
        <v>42327</v>
      </c>
      <c r="N16" s="488">
        <f>_xll.qlCalendarAdvance(Calendar,M16,"3M","f",,Trigger)</f>
        <v>42419</v>
      </c>
      <c r="O16" s="490" t="str">
        <f>_xll.qlMakeDatedOIS(,M16,N16,OvernightIndex,0,,,,EvaluationDate)</f>
        <v>obj_003fc#0001</v>
      </c>
      <c r="P16" s="490" t="b">
        <f>_xll.qlInstrumentSetPricingEngine(O16,OisEngine)</f>
        <v>1</v>
      </c>
      <c r="Q16" s="489">
        <f>_xll.qlIndexFixing("euribor6m",_xll.qlInterestRateIndexFixingDate("Euribor6M",M16),TRUE,AllTriggers)</f>
        <v>2.0408485122623112E-3</v>
      </c>
      <c r="R16" s="489">
        <f>_xll.qlOvernightIndexedSwapFairRate(O16,AllTriggers)</f>
        <v>-7.5288859505328687E-4</v>
      </c>
      <c r="S16" s="491">
        <f t="shared" si="2"/>
        <v>2.7937371073155979E-3</v>
      </c>
    </row>
    <row r="17" spans="1:19" ht="11.25" customHeight="1" x14ac:dyDescent="0.2">
      <c r="A17">
        <f t="shared" si="4"/>
        <v>15</v>
      </c>
      <c r="B17" t="s">
        <v>55</v>
      </c>
      <c r="C17">
        <f t="shared" si="3"/>
        <v>21</v>
      </c>
      <c r="D17" s="487" t="str">
        <f t="shared" si="1"/>
        <v>EUR15x21F_Quote</v>
      </c>
      <c r="E17" s="488">
        <f>_xll.qlCalendarAdvance("target",$E$2,A17&amp;"M","mf",,Trigger)</f>
        <v>42348</v>
      </c>
      <c r="F17" s="488">
        <f>_xll.qlCalendarAdvance(Calendar,E17,"6M","mf",,Trigger)</f>
        <v>42531</v>
      </c>
      <c r="G17" s="489">
        <f>_xll.qlQuoteValue(D17,AllTriggers)</f>
        <v>2.0900000000000003E-3</v>
      </c>
      <c r="H17" s="490" t="str">
        <f>_xll.qlMakeDatedOIS(,E17,F17,OvernightIndex,0,,,,EvaluationDate)</f>
        <v>obj_003ae#0001</v>
      </c>
      <c r="I17" s="490" t="b">
        <f>_xll.qlInstrumentSetPricingEngine(H17,OisEngine)</f>
        <v>1</v>
      </c>
      <c r="J17" s="489">
        <f>_xll.qlOvernightIndexedSwapFairRate(H17,AllTriggers)</f>
        <v>-6.5050088678691E-4</v>
      </c>
      <c r="K17" s="491">
        <f t="shared" si="0"/>
        <v>2.7405008867869103E-3</v>
      </c>
      <c r="M17" s="497">
        <f>_xll.qlCalendarAdvance(Calendar,M16,"1M","f",,Trigger)</f>
        <v>42359</v>
      </c>
      <c r="N17" s="488">
        <f>_xll.qlCalendarAdvance(Calendar,M17,"3M","f",,Trigger)</f>
        <v>42450</v>
      </c>
      <c r="O17" s="490" t="str">
        <f>_xll.qlMakeDatedOIS(,M17,N17,OvernightIndex,0,,,,EvaluationDate)</f>
        <v>obj_003fe#0001</v>
      </c>
      <c r="P17" s="490" t="b">
        <f>_xll.qlInstrumentSetPricingEngine(O17,OisEngine)</f>
        <v>1</v>
      </c>
      <c r="Q17" s="489">
        <f>_xll.qlIndexFixing("euribor6m",_xll.qlInterestRateIndexFixingDate("Euribor6M",M17),TRUE,AllTriggers)</f>
        <v>2.1174213499835968E-3</v>
      </c>
      <c r="R17" s="489">
        <f>_xll.qlOvernightIndexedSwapFairRate(O17,AllTriggers)</f>
        <v>-7.109373170105088E-4</v>
      </c>
      <c r="S17" s="491">
        <f t="shared" si="2"/>
        <v>2.8283586669941053E-3</v>
      </c>
    </row>
    <row r="18" spans="1:19" ht="11.25" customHeight="1" x14ac:dyDescent="0.2">
      <c r="A18">
        <f t="shared" si="4"/>
        <v>16</v>
      </c>
      <c r="B18" t="s">
        <v>55</v>
      </c>
      <c r="C18">
        <f t="shared" si="3"/>
        <v>22</v>
      </c>
      <c r="D18" s="487" t="str">
        <f t="shared" si="1"/>
        <v>EUR16x22F_Quote</v>
      </c>
      <c r="E18" s="488">
        <f>_xll.qlCalendarAdvance("target",$E$2,A18&amp;"M","mf",,Trigger)</f>
        <v>42380</v>
      </c>
      <c r="F18" s="488">
        <f>_xll.qlCalendarAdvance(Calendar,E18,"6M","mf",,Trigger)</f>
        <v>42562</v>
      </c>
      <c r="G18" s="489">
        <f>_xll.qlQuoteValue(D18,AllTriggers)</f>
        <v>2.1700000000000001E-3</v>
      </c>
      <c r="H18" s="490" t="str">
        <f>_xll.qlMakeDatedOIS(,E18,F18,OvernightIndex,0,,,,EvaluationDate)</f>
        <v>obj_003d4#0001</v>
      </c>
      <c r="I18" s="490" t="b">
        <f>_xll.qlInstrumentSetPricingEngine(H18,OisEngine)</f>
        <v>1</v>
      </c>
      <c r="J18" s="489">
        <f>_xll.qlOvernightIndexedSwapFairRate(H18,AllTriggers)</f>
        <v>-5.8711921294125305E-4</v>
      </c>
      <c r="K18" s="491">
        <f t="shared" si="0"/>
        <v>2.7571192129412529E-3</v>
      </c>
      <c r="M18" s="497">
        <f>_xll.qlCalendarAdvance(Calendar,M17,"1M","f",,Trigger)</f>
        <v>42390</v>
      </c>
      <c r="N18" s="488">
        <f>_xll.qlCalendarAdvance(Calendar,M18,"3M","f",,Trigger)</f>
        <v>42481</v>
      </c>
      <c r="O18" s="490" t="str">
        <f>_xll.qlMakeDatedOIS(,M18,N18,OvernightIndex,0,,,,EvaluationDate)</f>
        <v>obj_00400#0001</v>
      </c>
      <c r="P18" s="490" t="b">
        <f>_xll.qlInstrumentSetPricingEngine(O18,OisEngine)</f>
        <v>1</v>
      </c>
      <c r="Q18" s="489">
        <f>_xll.qlIndexFixing("euribor6m",_xll.qlInterestRateIndexFixingDate("Euribor6M",M18),TRUE,AllTriggers)</f>
        <v>2.1987275424794686E-3</v>
      </c>
      <c r="R18" s="489">
        <f>_xll.qlOvernightIndexedSwapFairRate(O18,AllTriggers)</f>
        <v>-6.5706897287307877E-4</v>
      </c>
      <c r="S18" s="491">
        <f t="shared" si="2"/>
        <v>2.8557965153525474E-3</v>
      </c>
    </row>
    <row r="19" spans="1:19" ht="11.25" customHeight="1" x14ac:dyDescent="0.2">
      <c r="A19">
        <f t="shared" si="4"/>
        <v>17</v>
      </c>
      <c r="B19" t="s">
        <v>55</v>
      </c>
      <c r="C19">
        <f t="shared" si="3"/>
        <v>23</v>
      </c>
      <c r="D19" s="487" t="str">
        <f t="shared" si="1"/>
        <v>EUR17x23F_Quote</v>
      </c>
      <c r="E19" s="488">
        <f>_xll.qlCalendarAdvance("target",$E$2,A19&amp;"M","mf",,Trigger)</f>
        <v>42410</v>
      </c>
      <c r="F19" s="488">
        <f>_xll.qlCalendarAdvance(Calendar,E19,"6M","mf",,Trigger)</f>
        <v>42592</v>
      </c>
      <c r="G19" s="489">
        <f>_xll.qlQuoteValue(D19,AllTriggers)</f>
        <v>2.2599999999999999E-3</v>
      </c>
      <c r="H19" s="490" t="str">
        <f>_xll.qlMakeDatedOIS(,E19,F19,OvernightIndex,0,,,,EvaluationDate)</f>
        <v>obj_003bf#0001</v>
      </c>
      <c r="I19" s="490" t="b">
        <f>_xll.qlInstrumentSetPricingEngine(H19,OisEngine)</f>
        <v>1</v>
      </c>
      <c r="J19" s="489">
        <f>_xll.qlOvernightIndexedSwapFairRate(H19,AllTriggers)</f>
        <v>-5.2620227251366856E-4</v>
      </c>
      <c r="K19" s="491">
        <f t="shared" si="0"/>
        <v>2.7862022725136685E-3</v>
      </c>
      <c r="M19" s="497">
        <f>_xll.qlCalendarAdvance(Calendar,M18,"1M","f",,Trigger)</f>
        <v>42422</v>
      </c>
      <c r="N19" s="488">
        <f>_xll.qlCalendarAdvance(Calendar,M19,"3M","f",,Trigger)</f>
        <v>42513</v>
      </c>
      <c r="O19" s="490" t="str">
        <f>_xll.qlMakeDatedOIS(,M19,N19,OvernightIndex,0,,,,EvaluationDate)</f>
        <v>obj_00402#0001</v>
      </c>
      <c r="P19" s="490" t="b">
        <f>_xll.qlInstrumentSetPricingEngine(O19,OisEngine)</f>
        <v>1</v>
      </c>
      <c r="Q19" s="489">
        <f>_xll.qlIndexFixing("euribor6m",_xll.qlInterestRateIndexFixingDate("Euribor6M",M19),TRUE,AllTriggers)</f>
        <v>2.2985594170434739E-3</v>
      </c>
      <c r="R19" s="489">
        <f>_xll.qlOvernightIndexedSwapFairRate(O19,AllTriggers)</f>
        <v>-6.0146217069043692E-4</v>
      </c>
      <c r="S19" s="491">
        <f t="shared" si="2"/>
        <v>2.900021587733911E-3</v>
      </c>
    </row>
    <row r="20" spans="1:19" ht="11.25" customHeight="1" thickBot="1" x14ac:dyDescent="0.25">
      <c r="A20">
        <f t="shared" si="4"/>
        <v>18</v>
      </c>
      <c r="B20" t="s">
        <v>55</v>
      </c>
      <c r="C20">
        <f t="shared" si="3"/>
        <v>24</v>
      </c>
      <c r="D20" s="492" t="str">
        <f t="shared" si="1"/>
        <v>EUR18x24F_Quote</v>
      </c>
      <c r="E20" s="493">
        <f>_xll.qlCalendarAdvance("target",$E$2,A20&amp;"M","mf",,Trigger)</f>
        <v>42439</v>
      </c>
      <c r="F20" s="493">
        <f>_xll.qlCalendarAdvance(Calendar,E20,"6M","mf",,Trigger)</f>
        <v>42625</v>
      </c>
      <c r="G20" s="494">
        <f>_xll.qlQuoteValue(D20,AllTriggers)</f>
        <v>2.3499999999999997E-3</v>
      </c>
      <c r="H20" s="490" t="str">
        <f>_xll.qlMakeDatedOIS(,E20,F20,OvernightIndex,0,,,,EvaluationDate)</f>
        <v>obj_003a8#0001</v>
      </c>
      <c r="I20" s="490" t="b">
        <f>_xll.qlInstrumentSetPricingEngine(H20,OisEngine)</f>
        <v>1</v>
      </c>
      <c r="J20" s="494">
        <f>_xll.qlOvernightIndexedSwapFairRate(H20,AllTriggers)</f>
        <v>-4.6501416214123965E-4</v>
      </c>
      <c r="K20" s="496">
        <f t="shared" si="0"/>
        <v>2.8150141621412395E-3</v>
      </c>
      <c r="M20" s="497">
        <f>_xll.qlCalendarAdvance(Calendar,M19,"1M","f",,Trigger)</f>
        <v>42451</v>
      </c>
      <c r="N20" s="488">
        <f>_xll.qlCalendarAdvance(Calendar,M20,"3M","f",,Trigger)</f>
        <v>42543</v>
      </c>
      <c r="O20" s="490" t="str">
        <f>_xll.qlMakeDatedOIS(,M20,N20,OvernightIndex,0,,,,EvaluationDate)</f>
        <v>obj_00404#0001</v>
      </c>
      <c r="P20" s="490" t="b">
        <f>_xll.qlInstrumentSetPricingEngine(O20,OisEngine)</f>
        <v>1</v>
      </c>
      <c r="Q20" s="489">
        <f>_xll.qlIndexFixing("euribor6m",_xll.qlInterestRateIndexFixingDate("Euribor6M",M20),TRUE,AllTriggers)</f>
        <v>2.3788392340167068E-3</v>
      </c>
      <c r="R20" s="489">
        <f>_xll.qlOvernightIndexedSwapFairRate(O20,AllTriggers)</f>
        <v>-5.4433598445137519E-4</v>
      </c>
      <c r="S20" s="491">
        <f t="shared" si="2"/>
        <v>2.9231752184680822E-3</v>
      </c>
    </row>
    <row r="21" spans="1:19" ht="11.25" customHeight="1" x14ac:dyDescent="0.2">
      <c r="E21" s="483"/>
      <c r="F21" s="483"/>
      <c r="G21" s="482"/>
      <c r="H21" s="499"/>
      <c r="I21" s="510"/>
      <c r="J21" s="482"/>
      <c r="K21" s="482"/>
      <c r="M21" s="497">
        <f>_xll.qlCalendarAdvance(Calendar,M20,"1M","f",,Trigger)</f>
        <v>42482</v>
      </c>
      <c r="N21" s="488">
        <f>_xll.qlCalendarAdvance(Calendar,M21,"3M","f",,Trigger)</f>
        <v>42573</v>
      </c>
      <c r="O21" s="490" t="str">
        <f>_xll.qlMakeDatedOIS(,M21,N21,OvernightIndex,0,,,,EvaluationDate)</f>
        <v>obj_00406#0001</v>
      </c>
      <c r="P21" s="490" t="b">
        <f>_xll.qlInstrumentSetPricingEngine(O21,OisEngine)</f>
        <v>1</v>
      </c>
      <c r="Q21" s="489">
        <f>_xll.qlIndexFixing("euribor6m",_xll.qlInterestRateIndexFixingDate("Euribor6M",M21),TRUE,AllTriggers)</f>
        <v>2.4415064913100755E-3</v>
      </c>
      <c r="R21" s="489">
        <f>_xll.qlOvernightIndexedSwapFairRate(O21,AllTriggers)</f>
        <v>-4.7431373812886123E-4</v>
      </c>
      <c r="S21" s="491">
        <f t="shared" si="2"/>
        <v>2.9158202294389366E-3</v>
      </c>
    </row>
    <row r="22" spans="1:19" ht="11.25" customHeight="1" x14ac:dyDescent="0.2">
      <c r="E22" s="483"/>
      <c r="F22" s="483"/>
      <c r="G22" s="482"/>
      <c r="J22" s="482"/>
      <c r="K22" s="482"/>
      <c r="M22" s="497">
        <f>_xll.qlCalendarAdvance(Calendar,M21,"1M","f",,Trigger)</f>
        <v>42513</v>
      </c>
      <c r="N22" s="488">
        <f>_xll.qlCalendarAdvance(Calendar,M22,"3M","f",,Trigger)</f>
        <v>42605</v>
      </c>
      <c r="O22" s="490" t="str">
        <f>_xll.qlMakeDatedOIS(,M22,N22,OvernightIndex,0,,,,EvaluationDate)</f>
        <v>obj_00408#0001</v>
      </c>
      <c r="P22" s="490" t="b">
        <f>_xll.qlInstrumentSetPricingEngine(O22,OisEngine)</f>
        <v>1</v>
      </c>
      <c r="Q22" s="489">
        <f>_xll.qlIndexFixing("euribor6m",_xll.qlInterestRateIndexFixingDate("Euribor6M",M22),TRUE,AllTriggers)</f>
        <v>2.543847244338716E-3</v>
      </c>
      <c r="R22" s="489">
        <f>_xll.qlOvernightIndexedSwapFairRate(O22,AllTriggers)</f>
        <v>-4.0181400140214686E-4</v>
      </c>
      <c r="S22" s="491">
        <f t="shared" si="2"/>
        <v>2.945661245740863E-3</v>
      </c>
    </row>
    <row r="23" spans="1:19" ht="11.25" customHeight="1" x14ac:dyDescent="0.2">
      <c r="E23" s="483"/>
      <c r="F23" s="483"/>
      <c r="G23" s="482"/>
      <c r="J23" s="482"/>
      <c r="K23" s="482"/>
      <c r="M23" s="497">
        <f>_xll.qlCalendarAdvance(Calendar,M22,"1M","f",,Trigger)</f>
        <v>42544</v>
      </c>
      <c r="N23" s="488">
        <f>_xll.qlCalendarAdvance(Calendar,M23,"3M","f",,Trigger)</f>
        <v>42636</v>
      </c>
      <c r="O23" s="490" t="str">
        <f>_xll.qlMakeDatedOIS(,M23,N23,OvernightIndex,0,,,,EvaluationDate)</f>
        <v>obj_0040a#0001</v>
      </c>
      <c r="P23" s="490" t="b">
        <f>_xll.qlInstrumentSetPricingEngine(O23,OisEngine)</f>
        <v>1</v>
      </c>
      <c r="Q23" s="489">
        <f>_xll.qlIndexFixing("euribor6m",_xll.qlInterestRateIndexFixingDate("Euribor6M",M23),TRUE,AllTriggers)</f>
        <v>2.6562754029317232E-3</v>
      </c>
      <c r="R23" s="489">
        <f>_xll.qlOvernightIndexedSwapFairRate(O23,AllTriggers)</f>
        <v>-2.4969389065420268E-4</v>
      </c>
      <c r="S23" s="491">
        <f t="shared" si="2"/>
        <v>2.905969293585926E-3</v>
      </c>
    </row>
    <row r="24" spans="1:19" ht="11.25" customHeight="1" x14ac:dyDescent="0.2">
      <c r="E24" s="483"/>
      <c r="F24" s="483"/>
      <c r="G24" s="482"/>
      <c r="J24" s="482"/>
      <c r="K24" s="482"/>
      <c r="M24" s="497">
        <f>_xll.qlCalendarAdvance(Calendar,M23,"1M","f",,Trigger)</f>
        <v>42576</v>
      </c>
      <c r="N24" s="488">
        <f>_xll.qlCalendarAdvance(Calendar,M24,"3M","f",,Trigger)</f>
        <v>42668</v>
      </c>
      <c r="O24" s="490" t="str">
        <f>_xll.qlMakeDatedOIS(,M24,N24,OvernightIndex,0,,,,EvaluationDate)</f>
        <v>obj_0040c#0001</v>
      </c>
      <c r="P24" s="490" t="b">
        <f>_xll.qlInstrumentSetPricingEngine(O24,OisEngine)</f>
        <v>1</v>
      </c>
      <c r="Q24" s="489">
        <f>_xll.qlIndexFixing("euribor6m",_xll.qlInterestRateIndexFixingDate("Euribor6M",M24),TRUE,AllTriggers)</f>
        <v>2.7661002858408281E-3</v>
      </c>
      <c r="R24" s="489">
        <f>_xll.qlOvernightIndexedSwapFairRate(O24,AllTriggers)</f>
        <v>7.2481861373743925E-5</v>
      </c>
      <c r="S24" s="491">
        <f t="shared" si="2"/>
        <v>2.6936184244670839E-3</v>
      </c>
    </row>
    <row r="25" spans="1:19" ht="11.25" customHeight="1" x14ac:dyDescent="0.2">
      <c r="E25" s="483"/>
      <c r="F25" s="483"/>
      <c r="G25" s="482"/>
      <c r="J25" s="482"/>
      <c r="K25" s="482"/>
      <c r="M25" s="497">
        <f>_xll.qlCalendarAdvance(Calendar,M24,"1M","f",,Trigger)</f>
        <v>42607</v>
      </c>
      <c r="N25" s="488">
        <f>_xll.qlCalendarAdvance(Calendar,M25,"3M","f",,Trigger)</f>
        <v>42699</v>
      </c>
      <c r="O25" s="490" t="str">
        <f>_xll.qlMakeDatedOIS(,M25,N25,OvernightIndex,0,,,,EvaluationDate)</f>
        <v>obj_0040e#0001</v>
      </c>
      <c r="P25" s="490" t="b">
        <f>_xll.qlInstrumentSetPricingEngine(O25,OisEngine)</f>
        <v>1</v>
      </c>
      <c r="Q25" s="489">
        <f>_xll.qlIndexFixing("euribor6m",_xll.qlInterestRateIndexFixingDate("Euribor6M",M25),TRUE,AllTriggers)</f>
        <v>2.9632367631077417E-3</v>
      </c>
      <c r="R25" s="489">
        <f>_xll.qlOvernightIndexedSwapFairRate(O25,AllTriggers)</f>
        <v>3.8461491824708278E-4</v>
      </c>
      <c r="S25" s="491">
        <f t="shared" si="2"/>
        <v>2.578621844860659E-3</v>
      </c>
    </row>
    <row r="26" spans="1:19" ht="11.25" customHeight="1" x14ac:dyDescent="0.2">
      <c r="E26" s="483"/>
      <c r="F26" s="483"/>
      <c r="G26" s="482"/>
      <c r="J26" s="482"/>
      <c r="K26" s="482"/>
      <c r="M26" s="497">
        <f>_xll.qlCalendarAdvance(Calendar,M25,"1M","f",,Trigger)</f>
        <v>42639</v>
      </c>
      <c r="N26" s="488">
        <f>_xll.qlCalendarAdvance(Calendar,M26,"3M","f",,Trigger)</f>
        <v>42731</v>
      </c>
      <c r="O26" s="490" t="str">
        <f>_xll.qlMakeDatedOIS(,M26,N26,OvernightIndex,0,,,,EvaluationDate)</f>
        <v>obj_00410#0001</v>
      </c>
      <c r="P26" s="490" t="b">
        <f>_xll.qlInstrumentSetPricingEngine(O26,OisEngine)</f>
        <v>1</v>
      </c>
      <c r="Q26" s="489">
        <f>_xll.qlIndexFixing("euribor6m",_xll.qlInterestRateIndexFixingDate("Euribor6M",M26),TRUE,AllTriggers)</f>
        <v>3.1760051341921895E-3</v>
      </c>
      <c r="R26" s="489">
        <f>_xll.qlOvernightIndexedSwapFairRate(O26,AllTriggers)</f>
        <v>5.6586489268838991E-4</v>
      </c>
      <c r="S26" s="491">
        <f t="shared" si="2"/>
        <v>2.6101402415037995E-3</v>
      </c>
    </row>
    <row r="27" spans="1:19" ht="11.25" customHeight="1" x14ac:dyDescent="0.2">
      <c r="E27" s="483"/>
      <c r="F27" s="483"/>
      <c r="G27" s="482"/>
      <c r="J27" s="482"/>
      <c r="K27" s="482"/>
      <c r="M27" s="497">
        <f>_xll.qlCalendarAdvance(Calendar,M26,"1M","f",,Trigger)</f>
        <v>42669</v>
      </c>
      <c r="N27" s="488">
        <f>_xll.qlCalendarAdvance(Calendar,M27,"3M","f",,Trigger)</f>
        <v>42761</v>
      </c>
      <c r="O27" s="490" t="str">
        <f>_xll.qlMakeDatedOIS(,M27,N27,OvernightIndex,0,,,,EvaluationDate)</f>
        <v>obj_00412#0001</v>
      </c>
      <c r="P27" s="490" t="b">
        <f>_xll.qlInstrumentSetPricingEngine(O27,OisEngine)</f>
        <v>1</v>
      </c>
      <c r="Q27" s="489">
        <f>_xll.qlIndexFixing("euribor6m",_xll.qlInterestRateIndexFixingDate("Euribor6M",M27),TRUE,AllTriggers)</f>
        <v>3.3848708577742695E-3</v>
      </c>
      <c r="R27" s="489">
        <f>_xll.qlOvernightIndexedSwapFairRate(O27,AllTriggers)</f>
        <v>5.6586489268752103E-4</v>
      </c>
      <c r="S27" s="491">
        <f t="shared" si="2"/>
        <v>2.8190059650867487E-3</v>
      </c>
    </row>
    <row r="28" spans="1:19" ht="11.25" customHeight="1" x14ac:dyDescent="0.2">
      <c r="E28" s="483"/>
      <c r="F28" s="483"/>
      <c r="G28" s="482"/>
      <c r="J28" s="482"/>
      <c r="K28" s="482"/>
      <c r="M28" s="497">
        <f>_xll.qlCalendarAdvance(Calendar,M27,"1M","f",,Trigger)</f>
        <v>42702</v>
      </c>
      <c r="N28" s="488">
        <f>_xll.qlCalendarAdvance(Calendar,M28,"3M","f",,Trigger)</f>
        <v>42794</v>
      </c>
      <c r="O28" s="490" t="str">
        <f>_xll.qlMakeDatedOIS(,M28,N28,OvernightIndex,0,,,,EvaluationDate)</f>
        <v>obj_00414#0001</v>
      </c>
      <c r="P28" s="490" t="b">
        <f>_xll.qlInstrumentSetPricingEngine(O28,OisEngine)</f>
        <v>1</v>
      </c>
      <c r="Q28" s="489">
        <f>_xll.qlIndexFixing("euribor6m",_xll.qlInterestRateIndexFixingDate("Euribor6M",M28),TRUE,AllTriggers)</f>
        <v>3.6082810123262777E-3</v>
      </c>
      <c r="R28" s="489">
        <f>_xll.qlOvernightIndexedSwapFairRate(O28,AllTriggers)</f>
        <v>5.6586489268838991E-4</v>
      </c>
      <c r="S28" s="491">
        <f t="shared" si="2"/>
        <v>3.0424161196378877E-3</v>
      </c>
    </row>
    <row r="29" spans="1:19" ht="11.25" customHeight="1" x14ac:dyDescent="0.2">
      <c r="E29" s="483"/>
      <c r="F29" s="483"/>
      <c r="G29" s="482"/>
      <c r="J29" s="482"/>
      <c r="K29" s="482"/>
      <c r="M29" s="497">
        <f>_xll.qlCalendarAdvance(Calendar,M28,"1M","f",,Trigger)</f>
        <v>42732</v>
      </c>
      <c r="N29" s="488">
        <f>_xll.qlCalendarAdvance(Calendar,M29,"3M","f",,Trigger)</f>
        <v>42822</v>
      </c>
      <c r="O29" s="490" t="str">
        <f>_xll.qlMakeDatedOIS(,M29,N29,OvernightIndex,0,,,,EvaluationDate)</f>
        <v>obj_00416#0001</v>
      </c>
      <c r="P29" s="490" t="b">
        <f>_xll.qlInstrumentSetPricingEngine(O29,OisEngine)</f>
        <v>1</v>
      </c>
      <c r="Q29" s="489">
        <f>_xll.qlIndexFixing("euribor6m",_xll.qlInterestRateIndexFixingDate("Euribor6M",M29),TRUE,AllTriggers)</f>
        <v>3.8056137328621601E-3</v>
      </c>
      <c r="R29" s="489">
        <f>_xll.qlOvernightIndexedSwapFairRate(O29,AllTriggers)</f>
        <v>5.6586400327862663E-4</v>
      </c>
      <c r="S29" s="491">
        <f t="shared" si="2"/>
        <v>3.2397497295835334E-3</v>
      </c>
    </row>
    <row r="30" spans="1:19" ht="11.25" customHeight="1" x14ac:dyDescent="0.2">
      <c r="E30" s="483"/>
      <c r="F30" s="483"/>
      <c r="G30" s="482"/>
      <c r="J30" s="482"/>
      <c r="K30" s="482"/>
      <c r="M30" s="497">
        <f>_xll.qlCalendarAdvance(Calendar,M29,"1M","f",,Trigger)</f>
        <v>42765</v>
      </c>
      <c r="N30" s="488">
        <f>_xll.qlCalendarAdvance(Calendar,M30,"3M","f",,Trigger)</f>
        <v>42857</v>
      </c>
      <c r="O30" s="490" t="str">
        <f>_xll.qlMakeDatedOIS(,M30,N30,OvernightIndex,0,,,,EvaluationDate)</f>
        <v>obj_0081b#0001</v>
      </c>
      <c r="P30" s="490" t="b">
        <f>_xll.qlInstrumentSetPricingEngine(O30,OisEngine)</f>
        <v>1</v>
      </c>
      <c r="Q30" s="489">
        <f>_xll.qlIndexFixing("euribor6m",_xll.qlInterestRateIndexFixingDate("Euribor6M",M30),TRUE,AllTriggers)</f>
        <v>4.0163335368196239E-3</v>
      </c>
      <c r="R30" s="489">
        <f>_xll.qlOvernightIndexedSwapFairRate(O30,AllTriggers)</f>
        <v>5.6586489268752103E-4</v>
      </c>
      <c r="S30" s="491">
        <f t="shared" si="2"/>
        <v>3.4504686441321026E-3</v>
      </c>
    </row>
    <row r="31" spans="1:19" ht="11.25" customHeight="1" x14ac:dyDescent="0.2">
      <c r="E31" s="483"/>
      <c r="F31" s="483"/>
      <c r="G31" s="482"/>
      <c r="J31" s="482"/>
      <c r="K31" s="482"/>
      <c r="M31" s="497">
        <f>_xll.qlCalendarAdvance(Calendar,M30,"1M","f",,Trigger)</f>
        <v>42794</v>
      </c>
      <c r="N31" s="488">
        <f>_xll.qlCalendarAdvance(Calendar,M31,"3M","f",,Trigger)</f>
        <v>42884</v>
      </c>
      <c r="O31" s="490" t="str">
        <f>_xll.qlMakeDatedOIS(,M31,N31,OvernightIndex,0,,,,EvaluationDate)</f>
        <v>obj_00419#0001</v>
      </c>
      <c r="P31" s="490" t="b">
        <f>_xll.qlInstrumentSetPricingEngine(O31,OisEngine)</f>
        <v>1</v>
      </c>
      <c r="Q31" s="489">
        <f>_xll.qlIndexFixing("euribor6m",_xll.qlInterestRateIndexFixingDate("Euribor6M",M31),TRUE,AllTriggers)</f>
        <v>4.2019881238735029E-3</v>
      </c>
      <c r="R31" s="489">
        <f>_xll.qlOvernightIndexedSwapFairRate(O31,AllTriggers)</f>
        <v>5.6586400327862663E-4</v>
      </c>
      <c r="S31" s="491">
        <f t="shared" si="2"/>
        <v>3.6361241205948762E-3</v>
      </c>
    </row>
    <row r="32" spans="1:19" ht="11.25" customHeight="1" x14ac:dyDescent="0.2">
      <c r="E32" s="483"/>
      <c r="F32" s="483"/>
      <c r="G32" s="482"/>
      <c r="J32" s="482"/>
      <c r="K32" s="482"/>
      <c r="M32" s="497">
        <f>_xll.qlCalendarAdvance(Calendar,M31,"1M","f",,Trigger)</f>
        <v>42822</v>
      </c>
      <c r="N32" s="488">
        <f>_xll.qlCalendarAdvance(Calendar,M32,"3M","f",,Trigger)</f>
        <v>42914</v>
      </c>
      <c r="O32" s="490" t="str">
        <f>_xll.qlMakeDatedOIS(,M32,N32,OvernightIndex,0,,,,EvaluationDate)</f>
        <v>obj_00809#0001</v>
      </c>
      <c r="P32" s="490" t="b">
        <f>_xll.qlInstrumentSetPricingEngine(O32,OisEngine)</f>
        <v>1</v>
      </c>
      <c r="Q32" s="489">
        <f>_xll.qlIndexFixing("euribor6m",_xll.qlInterestRateIndexFixingDate("Euribor6M",M32),TRUE,AllTriggers)</f>
        <v>4.3705072223883083E-3</v>
      </c>
      <c r="R32" s="489">
        <f>_xll.qlOvernightIndexedSwapFairRate(O32,AllTriggers)</f>
        <v>5.658648926883898E-4</v>
      </c>
      <c r="S32" s="491">
        <f t="shared" si="2"/>
        <v>3.8046423296999184E-3</v>
      </c>
    </row>
    <row r="33" spans="5:19" ht="11.25" customHeight="1" x14ac:dyDescent="0.2">
      <c r="E33" s="483"/>
      <c r="F33" s="483"/>
      <c r="G33" s="482"/>
      <c r="J33" s="482"/>
      <c r="K33" s="482"/>
      <c r="M33" s="497">
        <f>_xll.qlCalendarAdvance(Calendar,M32,"1M","f",,Trigger)</f>
        <v>42853</v>
      </c>
      <c r="N33" s="488">
        <f>_xll.qlCalendarAdvance(Calendar,M33,"3M","f",,Trigger)</f>
        <v>42944</v>
      </c>
      <c r="O33" s="490" t="str">
        <f>_xll.qlMakeDatedOIS(,M33,N33,OvernightIndex,0,,,,EvaluationDate)</f>
        <v>obj_0041c#0001</v>
      </c>
      <c r="P33" s="490" t="b">
        <f>_xll.qlInstrumentSetPricingEngine(O33,OisEngine)</f>
        <v>1</v>
      </c>
      <c r="Q33" s="489">
        <f>_xll.qlIndexFixing("euribor6m",_xll.qlInterestRateIndexFixingDate("Euribor6M",M33),TRUE,AllTriggers)</f>
        <v>4.5586924485196247E-3</v>
      </c>
      <c r="R33" s="489">
        <f>_xll.qlOvernightIndexedSwapFairRate(O33,AllTriggers)</f>
        <v>5.6586444798373454E-4</v>
      </c>
      <c r="S33" s="491">
        <f t="shared" si="2"/>
        <v>3.9928280005358903E-3</v>
      </c>
    </row>
    <row r="34" spans="5:19" ht="11.25" customHeight="1" x14ac:dyDescent="0.2">
      <c r="E34" s="483"/>
      <c r="F34" s="483"/>
      <c r="G34" s="482"/>
      <c r="J34" s="482"/>
      <c r="K34" s="482"/>
      <c r="M34" s="497">
        <f>_xll.qlCalendarAdvance(Calendar,M33,"1M","f",,Trigger)</f>
        <v>42884</v>
      </c>
      <c r="N34" s="488">
        <f>_xll.qlCalendarAdvance(Calendar,M34,"3M","f",,Trigger)</f>
        <v>42976</v>
      </c>
      <c r="O34" s="490" t="str">
        <f>_xll.qlMakeDatedOIS(,M34,N34,OvernightIndex,0,,,,EvaluationDate)</f>
        <v>obj_007f8#0001</v>
      </c>
      <c r="P34" s="490" t="b">
        <f>_xll.qlInstrumentSetPricingEngine(O34,OisEngine)</f>
        <v>1</v>
      </c>
      <c r="Q34" s="489">
        <f>_xll.qlIndexFixing("euribor6m",_xll.qlInterestRateIndexFixingDate("Euribor6M",M34),TRUE,AllTriggers)</f>
        <v>4.7333119304666278E-3</v>
      </c>
      <c r="R34" s="489">
        <f>_xll.qlOvernightIndexedSwapFairRate(O34,AllTriggers)</f>
        <v>5.6586489268752103E-4</v>
      </c>
      <c r="S34" s="491">
        <f t="shared" si="2"/>
        <v>4.1674470377791066E-3</v>
      </c>
    </row>
    <row r="35" spans="5:19" ht="11.25" customHeight="1" x14ac:dyDescent="0.2">
      <c r="E35" s="483"/>
      <c r="F35" s="483"/>
      <c r="G35" s="482"/>
      <c r="J35" s="482"/>
      <c r="K35" s="482"/>
      <c r="M35" s="497">
        <f>_xll.qlCalendarAdvance(Calendar,M34,"1M","f",,Trigger)</f>
        <v>42915</v>
      </c>
      <c r="N35" s="488">
        <f>_xll.qlCalendarAdvance(Calendar,M35,"3M","f",,Trigger)</f>
        <v>43007</v>
      </c>
      <c r="O35" s="490" t="str">
        <f>_xll.qlMakeDatedOIS(,M35,N35,OvernightIndex,0,,,,EvaluationDate)</f>
        <v>obj_0041f#0001</v>
      </c>
      <c r="P35" s="490" t="b">
        <f>_xll.qlInstrumentSetPricingEngine(O35,OisEngine)</f>
        <v>1</v>
      </c>
      <c r="Q35" s="489">
        <f>_xll.qlIndexFixing("euribor6m",_xll.qlInterestRateIndexFixingDate("Euribor6M",M35),TRUE,AllTriggers)</f>
        <v>4.9112196525919012E-3</v>
      </c>
      <c r="R35" s="489">
        <f>_xll.qlOvernightIndexedSwapFairRate(O35,AllTriggers)</f>
        <v>9.8999419669369899E-4</v>
      </c>
      <c r="S35" s="491">
        <f t="shared" si="2"/>
        <v>3.9212254558982024E-3</v>
      </c>
    </row>
    <row r="36" spans="5:19" ht="11.25" customHeight="1" x14ac:dyDescent="0.2">
      <c r="E36" s="483"/>
      <c r="F36" s="483"/>
      <c r="G36" s="482"/>
      <c r="J36" s="482"/>
      <c r="K36" s="482"/>
      <c r="M36" s="497">
        <f>_xll.qlCalendarAdvance(Calendar,M35,"1M","f",,Trigger)</f>
        <v>42947</v>
      </c>
      <c r="N36" s="488">
        <f>_xll.qlCalendarAdvance(Calendar,M36,"3M","f",,Trigger)</f>
        <v>43039</v>
      </c>
      <c r="O36" s="490" t="str">
        <f>_xll.qlMakeDatedOIS(,M36,N36,OvernightIndex,0,,,,EvaluationDate)</f>
        <v>obj_00421#0001</v>
      </c>
      <c r="P36" s="490" t="b">
        <f>_xll.qlInstrumentSetPricingEngine(O36,OisEngine)</f>
        <v>1</v>
      </c>
      <c r="Q36" s="489">
        <f>_xll.qlIndexFixing("euribor6m",_xll.qlInterestRateIndexFixingDate("Euribor6M",M36),TRUE,AllTriggers)</f>
        <v>5.1042329668565577E-3</v>
      </c>
      <c r="R36" s="489">
        <f>_xll.qlOvernightIndexedSwapFairRate(O36,AllTriggers)</f>
        <v>1.7441153431383707E-3</v>
      </c>
      <c r="S36" s="491">
        <f t="shared" si="2"/>
        <v>3.360117623718187E-3</v>
      </c>
    </row>
    <row r="37" spans="5:19" ht="11.25" customHeight="1" x14ac:dyDescent="0.2">
      <c r="E37" s="483"/>
      <c r="F37" s="483"/>
      <c r="G37" s="482"/>
      <c r="J37" s="482"/>
      <c r="K37" s="482"/>
      <c r="M37" s="497">
        <f>_xll.qlCalendarAdvance(Calendar,M36,"1M","f",,Trigger)</f>
        <v>42978</v>
      </c>
      <c r="N37" s="488">
        <f>_xll.qlCalendarAdvance(Calendar,M37,"3M","f",,Trigger)</f>
        <v>43069</v>
      </c>
      <c r="O37" s="490" t="str">
        <f>_xll.qlMakeDatedOIS(,M37,N37,OvernightIndex,0,,,,EvaluationDate)</f>
        <v>obj_00423#0001</v>
      </c>
      <c r="P37" s="490" t="b">
        <f>_xll.qlInstrumentSetPricingEngine(O37,OisEngine)</f>
        <v>1</v>
      </c>
      <c r="Q37" s="489">
        <f>_xll.qlIndexFixing("euribor6m",_xll.qlInterestRateIndexFixingDate("Euribor6M",M37),TRUE,AllTriggers)</f>
        <v>5.2840915640692647E-3</v>
      </c>
      <c r="R37" s="489">
        <f>_xll.qlOvernightIndexedSwapFairRate(O37,AllTriggers)</f>
        <v>2.4719507988080936E-3</v>
      </c>
      <c r="S37" s="491">
        <f t="shared" si="2"/>
        <v>2.8121407652611711E-3</v>
      </c>
    </row>
    <row r="38" spans="5:19" ht="11.25" customHeight="1" x14ac:dyDescent="0.2">
      <c r="E38" s="483"/>
      <c r="F38" s="483"/>
      <c r="G38" s="482"/>
      <c r="J38" s="482"/>
      <c r="K38" s="482"/>
      <c r="M38" s="497">
        <f>_xll.qlCalendarAdvance(Calendar,M37,"1M","f",,Trigger)</f>
        <v>43010</v>
      </c>
      <c r="N38" s="488">
        <f>_xll.qlCalendarAdvance(Calendar,M38,"3M","f",,Trigger)</f>
        <v>43102</v>
      </c>
      <c r="O38" s="490" t="str">
        <f>_xll.qlMakeDatedOIS(,M38,N38,OvernightIndex,0,,,,EvaluationDate)</f>
        <v>obj_00425#0001</v>
      </c>
      <c r="P38" s="490" t="b">
        <f>_xll.qlInstrumentSetPricingEngine(O38,OisEngine)</f>
        <v>1</v>
      </c>
      <c r="Q38" s="489">
        <f>_xll.qlIndexFixing("euribor6m",_xll.qlInterestRateIndexFixingDate("Euribor6M",M38),TRUE,AllTriggers)</f>
        <v>5.494828893901918E-3</v>
      </c>
      <c r="R38" s="489">
        <f>_xll.qlOvernightIndexedSwapFairRate(O38,AllTriggers)</f>
        <v>2.7341198523576854E-3</v>
      </c>
      <c r="S38" s="491">
        <f t="shared" si="2"/>
        <v>2.7607090415442325E-3</v>
      </c>
    </row>
    <row r="39" spans="5:19" ht="11.25" customHeight="1" x14ac:dyDescent="0.2">
      <c r="E39" s="483"/>
      <c r="F39" s="483"/>
      <c r="G39" s="482"/>
      <c r="J39" s="482"/>
      <c r="K39" s="482"/>
      <c r="M39" s="497">
        <f>_xll.qlCalendarAdvance(Calendar,M38,"1M","f",,Trigger)</f>
        <v>43041</v>
      </c>
      <c r="N39" s="488">
        <f>_xll.qlCalendarAdvance(Calendar,M39,"3M","f",,Trigger)</f>
        <v>43133</v>
      </c>
      <c r="O39" s="490" t="str">
        <f>_xll.qlMakeDatedOIS(,M39,N39,OvernightIndex,0,,,,EvaluationDate)</f>
        <v>obj_00427#0001</v>
      </c>
      <c r="P39" s="490" t="b">
        <f>_xll.qlInstrumentSetPricingEngine(O39,OisEngine)</f>
        <v>1</v>
      </c>
      <c r="Q39" s="489">
        <f>_xll.qlIndexFixing("euribor6m",_xll.qlInterestRateIndexFixingDate("Euribor6M",M39),TRUE,AllTriggers)</f>
        <v>5.6945746424043589E-3</v>
      </c>
      <c r="R39" s="489">
        <f>_xll.qlOvernightIndexedSwapFairRate(O39,AllTriggers)</f>
        <v>2.7341198523576859E-3</v>
      </c>
      <c r="S39" s="491">
        <f t="shared" si="2"/>
        <v>2.960454790046673E-3</v>
      </c>
    </row>
    <row r="40" spans="5:19" ht="11.25" customHeight="1" x14ac:dyDescent="0.2">
      <c r="E40" s="483"/>
      <c r="F40" s="483"/>
      <c r="G40" s="482"/>
      <c r="J40" s="482"/>
      <c r="K40" s="482"/>
      <c r="M40" s="497">
        <f>_xll.qlCalendarAdvance(Calendar,M39,"1M","f",,Trigger)</f>
        <v>43073</v>
      </c>
      <c r="N40" s="488">
        <f>_xll.qlCalendarAdvance(Calendar,M40,"3M","f",,Trigger)</f>
        <v>43164</v>
      </c>
      <c r="O40" s="490" t="str">
        <f>_xll.qlMakeDatedOIS(,M40,N40,OvernightIndex,0,,,,EvaluationDate)</f>
        <v>obj_00429#0001</v>
      </c>
      <c r="P40" s="490" t="b">
        <f>_xll.qlInstrumentSetPricingEngine(O40,OisEngine)</f>
        <v>1</v>
      </c>
      <c r="Q40" s="489">
        <f>_xll.qlIndexFixing("euribor6m",_xll.qlInterestRateIndexFixingDate("Euribor6M",M40),TRUE,AllTriggers)</f>
        <v>5.9211097456987214E-3</v>
      </c>
      <c r="R40" s="489">
        <f>_xll.qlOvernightIndexedSwapFairRate(O40,AllTriggers)</f>
        <v>2.7341094722845823E-3</v>
      </c>
      <c r="S40" s="491">
        <f t="shared" si="2"/>
        <v>3.1870002734141391E-3</v>
      </c>
    </row>
    <row r="41" spans="5:19" ht="11.25" customHeight="1" x14ac:dyDescent="0.2">
      <c r="E41" s="483"/>
      <c r="F41" s="483"/>
      <c r="G41" s="482"/>
      <c r="J41" s="482"/>
      <c r="K41" s="482"/>
      <c r="M41" s="497">
        <f>_xll.qlCalendarAdvance(Calendar,M40,"1M","f",,Trigger)</f>
        <v>43104</v>
      </c>
      <c r="N41" s="488">
        <f>_xll.qlCalendarAdvance(Calendar,M41,"3M","f",,Trigger)</f>
        <v>43194</v>
      </c>
      <c r="O41" s="490" t="str">
        <f>_xll.qlMakeDatedOIS(,M41,N41,OvernightIndex,0,,,,EvaluationDate)</f>
        <v>obj_0042b#0001</v>
      </c>
      <c r="P41" s="490" t="b">
        <f>_xll.qlInstrumentSetPricingEngine(O41,OisEngine)</f>
        <v>1</v>
      </c>
      <c r="Q41" s="489">
        <f>_xll.qlIndexFixing("euribor6m",_xll.qlInterestRateIndexFixingDate("Euribor6M",M41),TRUE,AllTriggers)</f>
        <v>6.1423756615203136E-3</v>
      </c>
      <c r="R41" s="489">
        <f>_xll.qlOvernightIndexedSwapFairRate(O41,AllTriggers)</f>
        <v>2.7340990922652963E-3</v>
      </c>
      <c r="S41" s="491">
        <f t="shared" si="2"/>
        <v>3.4082765692550173E-3</v>
      </c>
    </row>
    <row r="42" spans="5:19" ht="11.25" customHeight="1" x14ac:dyDescent="0.2">
      <c r="E42" s="483"/>
      <c r="F42" s="483"/>
      <c r="G42" s="482"/>
      <c r="J42" s="482"/>
      <c r="K42" s="482"/>
      <c r="M42" s="497">
        <f>_xll.qlCalendarAdvance(Calendar,M41,"1M","f",,Trigger)</f>
        <v>43136</v>
      </c>
      <c r="N42" s="488">
        <f>_xll.qlCalendarAdvance(Calendar,M42,"3M","f",,Trigger)</f>
        <v>43227</v>
      </c>
      <c r="O42" s="490" t="str">
        <f>_xll.qlMakeDatedOIS(,M42,N42,OvernightIndex,0,,,,EvaluationDate)</f>
        <v>obj_0042d#0001</v>
      </c>
      <c r="P42" s="490" t="b">
        <f>_xll.qlInstrumentSetPricingEngine(O42,OisEngine)</f>
        <v>1</v>
      </c>
      <c r="Q42" s="489">
        <f>_xll.qlIndexFixing("euribor6m",_xll.qlInterestRateIndexFixingDate("Euribor6M",M42),TRUE,AllTriggers)</f>
        <v>6.3881895819118588E-3</v>
      </c>
      <c r="R42" s="489">
        <f>_xll.qlOvernightIndexedSwapFairRate(O42,AllTriggers)</f>
        <v>2.7341094722854605E-3</v>
      </c>
      <c r="S42" s="491">
        <f t="shared" si="2"/>
        <v>3.6540801096263983E-3</v>
      </c>
    </row>
    <row r="43" spans="5:19" ht="11.25" customHeight="1" x14ac:dyDescent="0.2">
      <c r="E43" s="483"/>
      <c r="F43" s="483"/>
      <c r="G43" s="482"/>
      <c r="J43" s="482"/>
      <c r="K43" s="482"/>
      <c r="M43" s="497">
        <f>_xll.qlCalendarAdvance(Calendar,M42,"1M","f",,Trigger)</f>
        <v>43164</v>
      </c>
      <c r="N43" s="488">
        <f>_xll.qlCalendarAdvance(Calendar,M43,"3M","f",,Trigger)</f>
        <v>43256</v>
      </c>
      <c r="O43" s="490" t="str">
        <f>_xll.qlMakeDatedOIS(,M43,N43,OvernightIndex,0,,,,EvaluationDate)</f>
        <v>obj_0042f#0001</v>
      </c>
      <c r="P43" s="490" t="b">
        <f>_xll.qlInstrumentSetPricingEngine(O43,OisEngine)</f>
        <v>1</v>
      </c>
      <c r="Q43" s="489">
        <f>_xll.qlIndexFixing("euribor6m",_xll.qlInterestRateIndexFixingDate("Euribor6M",M43),TRUE,AllTriggers)</f>
        <v>6.6161633552909507E-3</v>
      </c>
      <c r="R43" s="489">
        <f>_xll.qlOvernightIndexedSwapFairRate(O43,AllTriggers)</f>
        <v>2.7341198523568168E-3</v>
      </c>
      <c r="S43" s="491">
        <f t="shared" si="2"/>
        <v>3.882043502934134E-3</v>
      </c>
    </row>
    <row r="44" spans="5:19" ht="11.25" customHeight="1" x14ac:dyDescent="0.2">
      <c r="E44" s="483"/>
      <c r="F44" s="483"/>
      <c r="G44" s="482"/>
      <c r="J44" s="482"/>
      <c r="K44" s="482"/>
      <c r="M44" s="497">
        <f>_xll.qlCalendarAdvance(Calendar,M43,"1M","f",,Trigger)</f>
        <v>43195</v>
      </c>
      <c r="N44" s="488">
        <f>_xll.qlCalendarAdvance(Calendar,M44,"3M","f",,Trigger)</f>
        <v>43286</v>
      </c>
      <c r="O44" s="490" t="str">
        <f>_xll.qlMakeDatedOIS(,M44,N44,OvernightIndex,0,,,,EvaluationDate)</f>
        <v>obj_00431#0001</v>
      </c>
      <c r="P44" s="490" t="b">
        <f>_xll.qlInstrumentSetPricingEngine(O44,OisEngine)</f>
        <v>1</v>
      </c>
      <c r="Q44" s="489">
        <f>_xll.qlIndexFixing("euribor6m",_xll.qlInterestRateIndexFixingDate("Euribor6M",M44),TRUE,AllTriggers)</f>
        <v>6.863677776747271E-3</v>
      </c>
      <c r="R44" s="489">
        <f>_xll.qlOvernightIndexedSwapFairRate(O44,AllTriggers)</f>
        <v>2.7341094722854609E-3</v>
      </c>
      <c r="S44" s="491">
        <f t="shared" si="2"/>
        <v>4.1295683044618101E-3</v>
      </c>
    </row>
    <row r="45" spans="5:19" ht="11.25" customHeight="1" x14ac:dyDescent="0.2">
      <c r="E45" s="483"/>
      <c r="F45" s="483"/>
      <c r="G45" s="482"/>
      <c r="J45" s="482"/>
      <c r="K45" s="482"/>
      <c r="M45" s="497">
        <f>_xll.qlCalendarAdvance(Calendar,M44,"1M","f",,Trigger)</f>
        <v>43227</v>
      </c>
      <c r="N45" s="488">
        <f>_xll.qlCalendarAdvance(Calendar,M45,"3M","f",,Trigger)</f>
        <v>43319</v>
      </c>
      <c r="O45" s="490" t="str">
        <f>_xll.qlMakeDatedOIS(,M45,N45,OvernightIndex,0,,,,EvaluationDate)</f>
        <v>obj_00433#0001</v>
      </c>
      <c r="P45" s="490" t="b">
        <f>_xll.qlInstrumentSetPricingEngine(O45,OisEngine)</f>
        <v>1</v>
      </c>
      <c r="Q45" s="489">
        <f>_xll.qlIndexFixing("euribor6m",_xll.qlInterestRateIndexFixingDate("Euribor6M",M45),TRUE,AllTriggers)</f>
        <v>7.1357371060018857E-3</v>
      </c>
      <c r="R45" s="489">
        <f>_xll.qlOvernightIndexedSwapFairRate(O45,AllTriggers)</f>
        <v>2.7341198523568168E-3</v>
      </c>
      <c r="S45" s="491">
        <f t="shared" si="2"/>
        <v>4.4016172536450685E-3</v>
      </c>
    </row>
    <row r="46" spans="5:19" ht="11.25" customHeight="1" x14ac:dyDescent="0.2">
      <c r="E46" s="483"/>
      <c r="F46" s="483"/>
      <c r="G46" s="482"/>
      <c r="J46" s="482"/>
      <c r="K46" s="482"/>
      <c r="M46" s="497">
        <f>_xll.qlCalendarAdvance(Calendar,M45,"1M","f",,Trigger)</f>
        <v>43258</v>
      </c>
      <c r="N46" s="488">
        <f>_xll.qlCalendarAdvance(Calendar,M46,"3M","f",,Trigger)</f>
        <v>43350</v>
      </c>
      <c r="O46" s="490" t="str">
        <f>_xll.qlMakeDatedOIS(,M46,N46,OvernightIndex,0,,,,EvaluationDate)</f>
        <v>obj_00435#0001</v>
      </c>
      <c r="P46" s="490" t="b">
        <f>_xll.qlInstrumentSetPricingEngine(O46,OisEngine)</f>
        <v>1</v>
      </c>
      <c r="Q46" s="489">
        <f>_xll.qlIndexFixing("euribor6m",_xll.qlInterestRateIndexFixingDate("Euribor6M",M46),TRUE,AllTriggers)</f>
        <v>7.3962038760073574E-3</v>
      </c>
      <c r="R46" s="489">
        <f>_xll.qlOvernightIndexedSwapFairRate(O46,AllTriggers)</f>
        <v>2.7341198523568172E-3</v>
      </c>
      <c r="S46" s="491">
        <f t="shared" si="2"/>
        <v>4.6620840236505402E-3</v>
      </c>
    </row>
    <row r="47" spans="5:19" ht="11.25" customHeight="1" x14ac:dyDescent="0.2">
      <c r="E47" s="483"/>
      <c r="F47" s="483"/>
      <c r="G47" s="482"/>
      <c r="J47" s="482"/>
      <c r="K47" s="482"/>
      <c r="M47" s="497">
        <f>_xll.qlCalendarAdvance(Calendar,M46,"1M","f",,Trigger)</f>
        <v>43290</v>
      </c>
      <c r="N47" s="488">
        <f>_xll.qlCalendarAdvance(Calendar,M47,"3M","f",,Trigger)</f>
        <v>43382</v>
      </c>
      <c r="O47" s="490" t="str">
        <f>_xll.qlMakeDatedOIS(,M47,N47,OvernightIndex,0,,,,EvaluationDate)</f>
        <v>obj_00437#0001</v>
      </c>
      <c r="P47" s="490" t="b">
        <f>_xll.qlInstrumentSetPricingEngine(O47,OisEngine)</f>
        <v>1</v>
      </c>
      <c r="Q47" s="489">
        <f>_xll.qlIndexFixing("euribor6m",_xll.qlInterestRateIndexFixingDate("Euribor6M",M47),TRUE,AllTriggers)</f>
        <v>7.6777331562538154E-3</v>
      </c>
      <c r="R47" s="489">
        <f>_xll.qlOvernightIndexedSwapFairRate(O47,AllTriggers)</f>
        <v>3.587544110013728E-3</v>
      </c>
      <c r="S47" s="491">
        <f t="shared" si="2"/>
        <v>4.0901890462400874E-3</v>
      </c>
    </row>
    <row r="48" spans="5:19" ht="11.25" customHeight="1" x14ac:dyDescent="0.2">
      <c r="E48" s="483"/>
      <c r="F48" s="483"/>
      <c r="G48" s="482"/>
      <c r="J48" s="482"/>
      <c r="K48" s="482"/>
      <c r="M48" s="497">
        <f>_xll.qlCalendarAdvance(Calendar,M47,"1M","f",,Trigger)</f>
        <v>43321</v>
      </c>
      <c r="N48" s="488">
        <f>_xll.qlCalendarAdvance(Calendar,M48,"3M","f",,Trigger)</f>
        <v>43413</v>
      </c>
      <c r="O48" s="490" t="str">
        <f>_xll.qlMakeDatedOIS(,M48,N48,OvernightIndex,0,,,,EvaluationDate)</f>
        <v>obj_00439#0001</v>
      </c>
      <c r="P48" s="490" t="b">
        <f>_xll.qlInstrumentSetPricingEngine(O48,OisEngine)</f>
        <v>1</v>
      </c>
      <c r="Q48" s="489">
        <f>_xll.qlIndexFixing("euribor6m",_xll.qlInterestRateIndexFixingDate("Euribor6M",M48),TRUE,AllTriggers)</f>
        <v>7.9565340972828896E-3</v>
      </c>
      <c r="R48" s="489">
        <f>_xll.qlOvernightIndexedSwapFairRate(O48,AllTriggers)</f>
        <v>4.500030897294228E-3</v>
      </c>
      <c r="S48" s="491">
        <f t="shared" si="2"/>
        <v>3.4565031999886616E-3</v>
      </c>
    </row>
    <row r="49" spans="5:19" ht="11.25" customHeight="1" x14ac:dyDescent="0.2">
      <c r="E49" s="483"/>
      <c r="F49" s="483"/>
      <c r="G49" s="482"/>
      <c r="J49" s="482"/>
      <c r="K49" s="482"/>
      <c r="M49" s="497">
        <f>_xll.qlCalendarAdvance(Calendar,M48,"1M","f",,Trigger)</f>
        <v>43353</v>
      </c>
      <c r="N49" s="488">
        <f>_xll.qlCalendarAdvance(Calendar,M49,"3M","f",,Trigger)</f>
        <v>43444</v>
      </c>
      <c r="O49" s="490" t="str">
        <f>_xll.qlMakeDatedOIS(,M49,N49,OvernightIndex,0,,,,EvaluationDate)</f>
        <v>obj_0043b#0001</v>
      </c>
      <c r="P49" s="490" t="b">
        <f>_xll.qlInstrumentSetPricingEngine(O49,OisEngine)</f>
        <v>1</v>
      </c>
      <c r="Q49" s="489">
        <f>_xll.qlIndexFixing("euribor6m",_xll.qlInterestRateIndexFixingDate("Euribor6M",M49),TRUE,AllTriggers)</f>
        <v>8.2171035247175263E-3</v>
      </c>
      <c r="R49" s="489">
        <f>_xll.qlOvernightIndexedSwapFairRate(O49,AllTriggers)</f>
        <v>5.4421346129742672E-3</v>
      </c>
      <c r="S49" s="491">
        <f t="shared" si="2"/>
        <v>2.7749689117432591E-3</v>
      </c>
    </row>
    <row r="50" spans="5:19" ht="11.25" customHeight="1" x14ac:dyDescent="0.2">
      <c r="E50" s="483"/>
      <c r="F50" s="483"/>
      <c r="G50" s="482"/>
      <c r="J50" s="482"/>
      <c r="K50" s="482"/>
      <c r="M50" s="497">
        <f>_xll.qlCalendarAdvance(Calendar,M49,"1M","f",,Trigger)</f>
        <v>43383</v>
      </c>
      <c r="N50" s="488">
        <f>_xll.qlCalendarAdvance(Calendar,M50,"3M","f",,Trigger)</f>
        <v>43475</v>
      </c>
      <c r="O50" s="490" t="str">
        <f>_xll.qlMakeDatedOIS(,M50,N50,OvernightIndex,0,,,,EvaluationDate)</f>
        <v>obj_0043d#0001</v>
      </c>
      <c r="P50" s="490" t="b">
        <f>_xll.qlInstrumentSetPricingEngine(O50,OisEngine)</f>
        <v>1</v>
      </c>
      <c r="Q50" s="489">
        <f>_xll.qlIndexFixing("euribor6m",_xll.qlInterestRateIndexFixingDate("Euribor6M",M50),TRUE,AllTriggers)</f>
        <v>8.4759161658562177E-3</v>
      </c>
      <c r="R50" s="489">
        <f>_xll.qlOvernightIndexedSwapFairRate(O50,AllTriggers)</f>
        <v>5.4421757288178217E-3</v>
      </c>
      <c r="S50" s="491">
        <f t="shared" si="2"/>
        <v>3.033740437038396E-3</v>
      </c>
    </row>
    <row r="51" spans="5:19" ht="11.25" customHeight="1" x14ac:dyDescent="0.2">
      <c r="E51" s="483"/>
      <c r="F51" s="483"/>
      <c r="G51" s="482"/>
      <c r="J51" s="482"/>
      <c r="K51" s="482"/>
      <c r="M51" s="497">
        <f>_xll.qlCalendarAdvance(Calendar,M50,"1M","f",,Trigger)</f>
        <v>43416</v>
      </c>
      <c r="N51" s="488">
        <f>_xll.qlCalendarAdvance(Calendar,M51,"3M","f",,Trigger)</f>
        <v>43508</v>
      </c>
      <c r="O51" s="490" t="str">
        <f>_xll.qlMakeDatedOIS(,M51,N51,OvernightIndex,0,,,,EvaluationDate)</f>
        <v>obj_0043f#0001</v>
      </c>
      <c r="P51" s="490" t="b">
        <f>_xll.qlInstrumentSetPricingEngine(O51,OisEngine)</f>
        <v>1</v>
      </c>
      <c r="Q51" s="489">
        <f>_xll.qlIndexFixing("euribor6m",_xll.qlInterestRateIndexFixingDate("Euribor6M",M51),TRUE,AllTriggers)</f>
        <v>8.7579514366203509E-3</v>
      </c>
      <c r="R51" s="489">
        <f>_xll.qlOvernightIndexedSwapFairRate(O51,AllTriggers)</f>
        <v>5.4421757288178208E-3</v>
      </c>
      <c r="S51" s="491">
        <f t="shared" si="2"/>
        <v>3.3157757078025301E-3</v>
      </c>
    </row>
    <row r="52" spans="5:19" ht="11.25" customHeight="1" x14ac:dyDescent="0.2">
      <c r="E52" s="483"/>
      <c r="F52" s="483"/>
      <c r="G52" s="482"/>
      <c r="J52" s="482"/>
      <c r="K52" s="482"/>
      <c r="M52" s="497">
        <f>_xll.qlCalendarAdvance(Calendar,M51,"1M","f",,Trigger)</f>
        <v>43446</v>
      </c>
      <c r="N52" s="488">
        <f>_xll.qlCalendarAdvance(Calendar,M52,"3M","f",,Trigger)</f>
        <v>43536</v>
      </c>
      <c r="O52" s="490" t="str">
        <f>_xll.qlMakeDatedOIS(,M52,N52,OvernightIndex,0,,,,EvaluationDate)</f>
        <v>obj_00851#0001</v>
      </c>
      <c r="P52" s="490" t="b">
        <f>_xll.qlInstrumentSetPricingEngine(O52,OisEngine)</f>
        <v>1</v>
      </c>
      <c r="Q52" s="489">
        <f>_xll.qlIndexFixing("euribor6m",_xll.qlInterestRateIndexFixingDate("Euribor6M",M52),TRUE,AllTriggers)</f>
        <v>9.0119292204243334E-3</v>
      </c>
      <c r="R52" s="489">
        <f>_xll.qlOvernightIndexedSwapFairRate(O52,AllTriggers)</f>
        <v>5.4420934975460966E-3</v>
      </c>
      <c r="S52" s="491">
        <f t="shared" si="2"/>
        <v>3.5698357228782368E-3</v>
      </c>
    </row>
    <row r="53" spans="5:19" ht="11.25" customHeight="1" x14ac:dyDescent="0.2">
      <c r="E53" s="483"/>
      <c r="F53" s="483"/>
      <c r="G53" s="482"/>
      <c r="J53" s="482"/>
      <c r="K53" s="482"/>
      <c r="M53" s="497">
        <f>_xll.qlCalendarAdvance(Calendar,M52,"1M","f",,Trigger)</f>
        <v>43479</v>
      </c>
      <c r="N53" s="488">
        <f>_xll.qlCalendarAdvance(Calendar,M53,"3M","f",,Trigger)</f>
        <v>43570</v>
      </c>
      <c r="O53" s="490" t="str">
        <f>_xll.qlMakeDatedOIS(,M53,N53,OvernightIndex,0,,,,EvaluationDate)</f>
        <v>obj_0084a#0001</v>
      </c>
      <c r="P53" s="490" t="b">
        <f>_xll.qlInstrumentSetPricingEngine(O53,OisEngine)</f>
        <v>1</v>
      </c>
      <c r="Q53" s="489">
        <f>_xll.qlIndexFixing("euribor6m",_xll.qlInterestRateIndexFixingDate("Euribor6M",M53),TRUE,AllTriggers)</f>
        <v>9.2886439756456E-3</v>
      </c>
      <c r="R53" s="489">
        <f>_xll.qlOvernightIndexedSwapFairRate(O53,AllTriggers)</f>
        <v>5.4421346129742681E-3</v>
      </c>
      <c r="S53" s="491">
        <f t="shared" si="2"/>
        <v>3.8465093626713319E-3</v>
      </c>
    </row>
    <row r="54" spans="5:19" ht="11.25" customHeight="1" x14ac:dyDescent="0.2">
      <c r="E54" s="483"/>
      <c r="F54" s="483"/>
      <c r="G54" s="482"/>
      <c r="J54" s="482"/>
      <c r="K54" s="482"/>
      <c r="M54" s="497">
        <f>_xll.qlCalendarAdvance(Calendar,M53,"1M","f",,Trigger)</f>
        <v>43510</v>
      </c>
      <c r="N54" s="488">
        <f>_xll.qlCalendarAdvance(Calendar,M54,"3M","f",,Trigger)</f>
        <v>43599</v>
      </c>
      <c r="O54" s="490" t="str">
        <f>_xll.qlMakeDatedOIS(,M54,N54,OvernightIndex,0,,,,EvaluationDate)</f>
        <v>obj_00443#0001</v>
      </c>
      <c r="P54" s="490" t="b">
        <f>_xll.qlInstrumentSetPricingEngine(O54,OisEngine)</f>
        <v>1</v>
      </c>
      <c r="Q54" s="489">
        <f>_xll.qlIndexFixing("euribor6m",_xll.qlInterestRateIndexFixingDate("Euribor6M",M54),TRUE,AllTriggers)</f>
        <v>9.5418287695143485E-3</v>
      </c>
      <c r="R54" s="489">
        <f>_xll.qlOvernightIndexedSwapFairRate(O54,AllTriggers)</f>
        <v>5.4420523825311432E-3</v>
      </c>
      <c r="S54" s="491">
        <f t="shared" si="2"/>
        <v>4.0997763869832053E-3</v>
      </c>
    </row>
    <row r="55" spans="5:19" ht="11.25" customHeight="1" x14ac:dyDescent="0.2">
      <c r="E55" s="483"/>
      <c r="F55" s="483"/>
      <c r="G55" s="482"/>
      <c r="J55" s="482"/>
      <c r="K55" s="482"/>
      <c r="M55" s="497">
        <f>_xll.qlCalendarAdvance(Calendar,M54,"1M","f",,Trigger)</f>
        <v>43538</v>
      </c>
      <c r="N55" s="488">
        <f>_xll.qlCalendarAdvance(Calendar,M55,"3M","f",,Trigger)</f>
        <v>43630</v>
      </c>
      <c r="O55" s="490" t="str">
        <f>_xll.qlMakeDatedOIS(,M55,N55,OvernightIndex,0,,,,EvaluationDate)</f>
        <v>obj_00445#0001</v>
      </c>
      <c r="P55" s="490" t="b">
        <f>_xll.qlInstrumentSetPricingEngine(O55,OisEngine)</f>
        <v>1</v>
      </c>
      <c r="Q55" s="489">
        <f>_xll.qlIndexFixing("euribor6m",_xll.qlInterestRateIndexFixingDate("Euribor6M",M55),TRUE,AllTriggers)</f>
        <v>9.7931785265611519E-3</v>
      </c>
      <c r="R55" s="489">
        <f>_xll.qlOvernightIndexedSwapFairRate(O55,AllTriggers)</f>
        <v>5.4421757288169526E-3</v>
      </c>
      <c r="S55" s="491">
        <f t="shared" si="2"/>
        <v>4.3510027977441993E-3</v>
      </c>
    </row>
    <row r="56" spans="5:19" ht="11.25" customHeight="1" x14ac:dyDescent="0.2">
      <c r="E56" s="483"/>
      <c r="F56" s="483"/>
      <c r="G56" s="482"/>
      <c r="J56" s="482"/>
      <c r="K56" s="482"/>
      <c r="M56" s="497">
        <f>_xll.qlCalendarAdvance(Calendar,M55,"1M","f",,Trigger)</f>
        <v>43570</v>
      </c>
      <c r="N56" s="488">
        <f>_xll.qlCalendarAdvance(Calendar,M56,"3M","f",,Trigger)</f>
        <v>43661</v>
      </c>
      <c r="O56" s="490" t="str">
        <f>_xll.qlMakeDatedOIS(,M56,N56,OvernightIndex,0,,,,EvaluationDate)</f>
        <v>obj_00447#0001</v>
      </c>
      <c r="P56" s="490" t="b">
        <f>_xll.qlInstrumentSetPricingEngine(O56,OisEngine)</f>
        <v>1</v>
      </c>
      <c r="Q56" s="489">
        <f>_xll.qlIndexFixing("euribor6m",_xll.qlInterestRateIndexFixingDate("Euribor6M",M56),TRUE,AllTriggers)</f>
        <v>1.0041690526624821E-2</v>
      </c>
      <c r="R56" s="489">
        <f>_xll.qlOvernightIndexedSwapFairRate(O56,AllTriggers)</f>
        <v>5.4421346129742681E-3</v>
      </c>
      <c r="S56" s="491">
        <f t="shared" si="2"/>
        <v>4.5995559136505527E-3</v>
      </c>
    </row>
    <row r="57" spans="5:19" ht="11.25" customHeight="1" x14ac:dyDescent="0.2">
      <c r="E57" s="483"/>
      <c r="F57" s="483"/>
      <c r="G57" s="482"/>
      <c r="J57" s="482"/>
      <c r="K57" s="482"/>
      <c r="M57" s="497">
        <f>_xll.qlCalendarAdvance(Calendar,M56,"1M","f",,Trigger)</f>
        <v>43600</v>
      </c>
      <c r="N57" s="488">
        <f>_xll.qlCalendarAdvance(Calendar,M57,"3M","f",,Trigger)</f>
        <v>43692</v>
      </c>
      <c r="O57" s="490" t="str">
        <f>_xll.qlMakeDatedOIS(,M57,N57,OvernightIndex,0,,,,EvaluationDate)</f>
        <v>obj_00449#0001</v>
      </c>
      <c r="P57" s="490" t="b">
        <f>_xll.qlInstrumentSetPricingEngine(O57,OisEngine)</f>
        <v>1</v>
      </c>
      <c r="Q57" s="489">
        <f>_xll.qlIndexFixing("euribor6m",_xll.qlInterestRateIndexFixingDate("Euribor6M",M57),TRUE,AllTriggers)</f>
        <v>1.0289517463549105E-2</v>
      </c>
      <c r="R57" s="489">
        <f>_xll.qlOvernightIndexedSwapFairRate(O57,AllTriggers)</f>
        <v>5.4421757288169526E-3</v>
      </c>
      <c r="S57" s="491">
        <f t="shared" si="2"/>
        <v>4.8473417347321525E-3</v>
      </c>
    </row>
    <row r="58" spans="5:19" ht="11.25" customHeight="1" x14ac:dyDescent="0.2">
      <c r="E58" s="483"/>
      <c r="F58" s="483"/>
      <c r="G58" s="482"/>
      <c r="J58" s="482"/>
      <c r="K58" s="482"/>
      <c r="M58" s="497">
        <f>_xll.qlCalendarAdvance(Calendar,M57,"1M","f",,Trigger)</f>
        <v>43633</v>
      </c>
      <c r="N58" s="488">
        <f>_xll.qlCalendarAdvance(Calendar,M58,"3M","f",,Trigger)</f>
        <v>43725</v>
      </c>
      <c r="O58" s="490" t="str">
        <f>_xll.qlMakeDatedOIS(,M58,N58,OvernightIndex,0,,,,EvaluationDate)</f>
        <v>obj_0044b#0001</v>
      </c>
      <c r="P58" s="490" t="b">
        <f>_xll.qlInstrumentSetPricingEngine(O58,OisEngine)</f>
        <v>1</v>
      </c>
      <c r="Q58" s="489">
        <f>_xll.qlIndexFixing("euribor6m",_xll.qlInterestRateIndexFixingDate("Euribor6M",M58),TRUE,AllTriggers)</f>
        <v>1.0553346582672174E-2</v>
      </c>
      <c r="R58" s="489">
        <f>_xll.qlOvernightIndexedSwapFairRate(O58,AllTriggers)</f>
        <v>5.6952216977730445E-3</v>
      </c>
      <c r="S58" s="491">
        <f t="shared" si="2"/>
        <v>4.8581248848991298E-3</v>
      </c>
    </row>
    <row r="59" spans="5:19" ht="11.25" customHeight="1" x14ac:dyDescent="0.2">
      <c r="E59" s="483"/>
      <c r="F59" s="483"/>
      <c r="G59" s="482"/>
      <c r="J59" s="482"/>
      <c r="K59" s="482"/>
      <c r="M59" s="497">
        <f>_xll.qlCalendarAdvance(Calendar,M58,"1M","f",,Trigger)</f>
        <v>43663</v>
      </c>
      <c r="N59" s="488">
        <f>_xll.qlCalendarAdvance(Calendar,M59,"3M","f",,Trigger)</f>
        <v>43755</v>
      </c>
      <c r="O59" s="490" t="str">
        <f>_xll.qlMakeDatedOIS(,M59,N59,OvernightIndex,0,,,,EvaluationDate)</f>
        <v>obj_0044d#0001</v>
      </c>
      <c r="P59" s="490" t="b">
        <f>_xll.qlInstrumentSetPricingEngine(O59,OisEngine)</f>
        <v>1</v>
      </c>
      <c r="Q59" s="489">
        <f>_xll.qlIndexFixing("euribor6m",_xll.qlInterestRateIndexFixingDate("Euribor6M",M59),TRUE,AllTriggers)</f>
        <v>1.080249383528083E-2</v>
      </c>
      <c r="R59" s="489">
        <f>_xll.qlOvernightIndexedSwapFairRate(O59,AllTriggers)</f>
        <v>6.7798895226290285E-3</v>
      </c>
      <c r="S59" s="491">
        <f t="shared" si="2"/>
        <v>4.022604312651802E-3</v>
      </c>
    </row>
    <row r="60" spans="5:19" ht="11.25" customHeight="1" x14ac:dyDescent="0.2">
      <c r="E60" s="483"/>
      <c r="F60" s="483"/>
      <c r="G60" s="482"/>
      <c r="J60" s="482"/>
      <c r="K60" s="482"/>
      <c r="M60" s="497">
        <f>_xll.qlCalendarAdvance(Calendar,M59,"1M","f",,Trigger)</f>
        <v>43696</v>
      </c>
      <c r="N60" s="488">
        <f>_xll.qlCalendarAdvance(Calendar,M60,"3M","f",,Trigger)</f>
        <v>43788</v>
      </c>
      <c r="O60" s="490" t="str">
        <f>_xll.qlMakeDatedOIS(,M60,N60,OvernightIndex,0,,,,EvaluationDate)</f>
        <v>obj_0044f#0001</v>
      </c>
      <c r="P60" s="490" t="b">
        <f>_xll.qlInstrumentSetPricingEngine(O60,OisEngine)</f>
        <v>1</v>
      </c>
      <c r="Q60" s="489">
        <f>_xll.qlIndexFixing("euribor6m",_xll.qlInterestRateIndexFixingDate("Euribor6M",M60),TRUE,AllTriggers)</f>
        <v>1.1074508754004819E-2</v>
      </c>
      <c r="R60" s="489">
        <f>_xll.qlOvernightIndexedSwapFairRate(O60,AllTriggers)</f>
        <v>7.9733708933292444E-3</v>
      </c>
      <c r="S60" s="491">
        <f t="shared" si="2"/>
        <v>3.1011378606755746E-3</v>
      </c>
    </row>
    <row r="61" spans="5:19" ht="11.25" customHeight="1" x14ac:dyDescent="0.2">
      <c r="E61" s="483"/>
      <c r="F61" s="483"/>
      <c r="G61" s="482"/>
      <c r="J61" s="482"/>
      <c r="K61" s="482"/>
      <c r="M61" s="497">
        <f>_xll.qlCalendarAdvance(Calendar,M60,"1M","f",,Trigger)</f>
        <v>43727</v>
      </c>
      <c r="N61" s="488">
        <f>_xll.qlCalendarAdvance(Calendar,M61,"3M","f",,Trigger)</f>
        <v>43818</v>
      </c>
      <c r="O61" s="490" t="str">
        <f>_xll.qlMakeDatedOIS(,M61,N61,OvernightIndex,0,,,,EvaluationDate)</f>
        <v>obj_00451#0001</v>
      </c>
      <c r="P61" s="490" t="b">
        <f>_xll.qlInstrumentSetPricingEngine(O61,OisEngine)</f>
        <v>1</v>
      </c>
      <c r="Q61" s="489">
        <f>_xll.qlIndexFixing("euribor6m",_xll.qlInterestRateIndexFixingDate("Euribor6M",M61),TRUE,AllTriggers)</f>
        <v>1.1324826455520191E-2</v>
      </c>
      <c r="R61" s="489">
        <f>_xll.qlOvernightIndexedSwapFairRate(O61,AllTriggers)</f>
        <v>8.7691202890830145E-3</v>
      </c>
      <c r="S61" s="491">
        <f t="shared" si="2"/>
        <v>2.5557061664371761E-3</v>
      </c>
    </row>
    <row r="62" spans="5:19" ht="11.25" customHeight="1" x14ac:dyDescent="0.2">
      <c r="E62" s="483"/>
      <c r="F62" s="483"/>
      <c r="G62" s="482"/>
      <c r="J62" s="482"/>
      <c r="K62" s="482"/>
      <c r="M62" s="497">
        <f>_xll.qlCalendarAdvance(Calendar,M61,"1M","f",,Trigger)</f>
        <v>43759</v>
      </c>
      <c r="N62" s="488">
        <f>_xll.qlCalendarAdvance(Calendar,M62,"3M","f",,Trigger)</f>
        <v>43851</v>
      </c>
      <c r="O62" s="490" t="str">
        <f>_xll.qlMakeDatedOIS(,M62,N62,OvernightIndex,0,,,,EvaluationDate)</f>
        <v>obj_00453#0001</v>
      </c>
      <c r="P62" s="490" t="b">
        <f>_xll.qlInstrumentSetPricingEngine(O62,OisEngine)</f>
        <v>1</v>
      </c>
      <c r="Q62" s="489">
        <f>_xll.qlIndexFixing("euribor6m",_xll.qlInterestRateIndexFixingDate("Euribor6M",M62),TRUE,AllTriggers)</f>
        <v>1.1601415281042951E-2</v>
      </c>
      <c r="R62" s="489">
        <f>_xll.qlOvernightIndexedSwapFairRate(O62,AllTriggers)</f>
        <v>8.769227013164179E-3</v>
      </c>
      <c r="S62" s="491">
        <f t="shared" si="2"/>
        <v>2.8321882678787724E-3</v>
      </c>
    </row>
    <row r="63" spans="5:19" ht="11.25" customHeight="1" x14ac:dyDescent="0.2">
      <c r="E63" s="483"/>
      <c r="F63" s="483"/>
      <c r="G63" s="482"/>
      <c r="J63" s="482"/>
      <c r="K63" s="482"/>
      <c r="M63" s="497">
        <f>_xll.qlCalendarAdvance(Calendar,M62,"1M","f",,Trigger)</f>
        <v>43790</v>
      </c>
      <c r="N63" s="488">
        <f>_xll.qlCalendarAdvance(Calendar,M63,"3M","f",,Trigger)</f>
        <v>43882</v>
      </c>
      <c r="O63" s="490" t="str">
        <f>_xll.qlMakeDatedOIS(,M63,N63,OvernightIndex,0,,,,EvaluationDate)</f>
        <v>obj_0087c#0001</v>
      </c>
      <c r="P63" s="490" t="b">
        <f>_xll.qlInstrumentSetPricingEngine(O63,OisEngine)</f>
        <v>1</v>
      </c>
      <c r="Q63" s="489">
        <f>_xll.qlIndexFixing("euribor6m",_xll.qlInterestRateIndexFixingDate("Euribor6M",M63),TRUE,AllTriggers)</f>
        <v>1.1864942825354774E-2</v>
      </c>
      <c r="R63" s="489">
        <f>_xll.qlOvernightIndexedSwapFairRate(O63,AllTriggers)</f>
        <v>8.7692270131650464E-3</v>
      </c>
      <c r="S63" s="491">
        <f t="shared" si="2"/>
        <v>3.0957158121897276E-3</v>
      </c>
    </row>
    <row r="64" spans="5:19" ht="11.25" customHeight="1" x14ac:dyDescent="0.2">
      <c r="E64" s="483"/>
      <c r="F64" s="483"/>
      <c r="G64" s="482"/>
      <c r="J64" s="482"/>
      <c r="K64" s="482"/>
      <c r="M64" s="497">
        <f>_xll.qlCalendarAdvance(Calendar,M63,"1M","f",,Trigger)</f>
        <v>43822</v>
      </c>
      <c r="N64" s="488">
        <f>_xll.qlCalendarAdvance(Calendar,M64,"3M","f",,Trigger)</f>
        <v>43913</v>
      </c>
      <c r="O64" s="490" t="str">
        <f>_xll.qlMakeDatedOIS(,M64,N64,OvernightIndex,0,,,,EvaluationDate)</f>
        <v>obj_00456#0001</v>
      </c>
      <c r="P64" s="490" t="b">
        <f>_xll.qlInstrumentSetPricingEngine(O64,OisEngine)</f>
        <v>1</v>
      </c>
      <c r="Q64" s="489">
        <f>_xll.qlIndexFixing("euribor6m",_xll.qlInterestRateIndexFixingDate("Euribor6M",M64),TRUE,AllTriggers)</f>
        <v>1.2151050003332794E-2</v>
      </c>
      <c r="R64" s="489">
        <f>_xll.qlOvernightIndexedSwapFairRate(O64,AllTriggers)</f>
        <v>8.7691202890830145E-3</v>
      </c>
      <c r="S64" s="491">
        <f t="shared" si="2"/>
        <v>3.3819297142497796E-3</v>
      </c>
    </row>
    <row r="65" spans="5:19" ht="11.25" customHeight="1" x14ac:dyDescent="0.2">
      <c r="E65" s="483"/>
      <c r="F65" s="483"/>
      <c r="G65" s="482"/>
      <c r="J65" s="482"/>
      <c r="K65" s="482"/>
      <c r="M65" s="497">
        <f>_xll.qlCalendarAdvance(Calendar,M64,"1M","f",,Trigger)</f>
        <v>43853</v>
      </c>
      <c r="N65" s="488">
        <f>_xll.qlCalendarAdvance(Calendar,M65,"3M","f",,Trigger)</f>
        <v>43944</v>
      </c>
      <c r="O65" s="490" t="str">
        <f>_xll.qlMakeDatedOIS(,M65,N65,OvernightIndex,0,,,,EvaluationDate)</f>
        <v>obj_00834#0001</v>
      </c>
      <c r="P65" s="490" t="b">
        <f>_xll.qlInstrumentSetPricingEngine(O65,OisEngine)</f>
        <v>1</v>
      </c>
      <c r="Q65" s="489">
        <f>_xll.qlIndexFixing("euribor6m",_xll.qlInterestRateIndexFixingDate("Euribor6M",M65),TRUE,AllTriggers)</f>
        <v>1.2423478748529089E-2</v>
      </c>
      <c r="R65" s="489">
        <f>_xll.qlOvernightIndexedSwapFairRate(O65,AllTriggers)</f>
        <v>8.7691202890830145E-3</v>
      </c>
      <c r="S65" s="491">
        <f t="shared" si="2"/>
        <v>3.6543584594460748E-3</v>
      </c>
    </row>
    <row r="66" spans="5:19" ht="11.25" customHeight="1" x14ac:dyDescent="0.2">
      <c r="E66" s="483"/>
      <c r="F66" s="483"/>
      <c r="G66" s="482"/>
      <c r="J66" s="482"/>
      <c r="K66" s="482"/>
      <c r="M66" s="497">
        <f>_xll.qlCalendarAdvance(Calendar,M65,"1M","f",,Trigger)</f>
        <v>43885</v>
      </c>
      <c r="N66" s="488">
        <f>_xll.qlCalendarAdvance(Calendar,M66,"3M","f",,Trigger)</f>
        <v>43976</v>
      </c>
      <c r="O66" s="490" t="str">
        <f>_xll.qlMakeDatedOIS(,M66,N66,OvernightIndex,0,,,,EvaluationDate)</f>
        <v>obj_00827#0001</v>
      </c>
      <c r="P66" s="490" t="b">
        <f>_xll.qlInstrumentSetPricingEngine(O66,OisEngine)</f>
        <v>1</v>
      </c>
      <c r="Q66" s="489">
        <f>_xll.qlIndexFixing("euribor6m",_xll.qlInterestRateIndexFixingDate("Euribor6M",M66),TRUE,AllTriggers)</f>
        <v>1.2714238553198216E-2</v>
      </c>
      <c r="R66" s="489">
        <f>_xll.qlOvernightIndexedSwapFairRate(O66,AllTriggers)</f>
        <v>8.7691202890830145E-3</v>
      </c>
      <c r="S66" s="491">
        <f t="shared" si="2"/>
        <v>3.9451182641152011E-3</v>
      </c>
    </row>
    <row r="67" spans="5:19" ht="11.25" customHeight="1" x14ac:dyDescent="0.2">
      <c r="E67" s="483"/>
      <c r="F67" s="483"/>
      <c r="G67" s="482"/>
      <c r="J67" s="482"/>
      <c r="K67" s="482"/>
      <c r="M67" s="497">
        <f>_xll.qlCalendarAdvance(Calendar,M66,"1M","f",,Trigger)</f>
        <v>43914</v>
      </c>
      <c r="N67" s="488">
        <f>_xll.qlCalendarAdvance(Calendar,M67,"3M","f",,Trigger)</f>
        <v>44006</v>
      </c>
      <c r="O67" s="490" t="str">
        <f>_xll.qlMakeDatedOIS(,M67,N67,OvernightIndex,0,,,,EvaluationDate)</f>
        <v>obj_0045a#0001</v>
      </c>
      <c r="P67" s="490" t="b">
        <f>_xll.qlInstrumentSetPricingEngine(O67,OisEngine)</f>
        <v>1</v>
      </c>
      <c r="Q67" s="489">
        <f>_xll.qlIndexFixing("euribor6m",_xll.qlInterestRateIndexFixingDate("Euribor6M",M67),TRUE,AllTriggers)</f>
        <v>1.2991739628719551E-2</v>
      </c>
      <c r="R67" s="489">
        <f>_xll.qlOvernightIndexedSwapFairRate(O67,AllTriggers)</f>
        <v>8.7692270131650464E-3</v>
      </c>
      <c r="S67" s="491">
        <f t="shared" ref="S67:S130" si="5">Q67-R67</f>
        <v>4.2225126155545044E-3</v>
      </c>
    </row>
    <row r="68" spans="5:19" ht="11.25" customHeight="1" x14ac:dyDescent="0.2">
      <c r="E68" s="483"/>
      <c r="F68" s="483"/>
      <c r="G68" s="482"/>
      <c r="J68" s="482"/>
      <c r="K68" s="482"/>
      <c r="M68" s="497">
        <f>_xll.qlCalendarAdvance(Calendar,M67,"1M","f",,Trigger)</f>
        <v>43945</v>
      </c>
      <c r="N68" s="488">
        <f>_xll.qlCalendarAdvance(Calendar,M68,"3M","f",,Trigger)</f>
        <v>44036</v>
      </c>
      <c r="O68" s="490" t="str">
        <f>_xll.qlMakeDatedOIS(,M68,N68,OvernightIndex,0,,,,EvaluationDate)</f>
        <v>obj_00862#0001</v>
      </c>
      <c r="P68" s="490" t="b">
        <f>_xll.qlInstrumentSetPricingEngine(O68,OisEngine)</f>
        <v>1</v>
      </c>
      <c r="Q68" s="489">
        <f>_xll.qlIndexFixing("euribor6m",_xll.qlInterestRateIndexFixingDate("Euribor6M",M68),TRUE,AllTriggers)</f>
        <v>1.3286786802495282E-2</v>
      </c>
      <c r="R68" s="489">
        <f>_xll.qlOvernightIndexedSwapFairRate(O68,AllTriggers)</f>
        <v>8.7691202890830145E-3</v>
      </c>
      <c r="S68" s="491">
        <f t="shared" si="5"/>
        <v>4.5176665134122676E-3</v>
      </c>
    </row>
    <row r="69" spans="5:19" ht="11.25" customHeight="1" x14ac:dyDescent="0.2">
      <c r="E69" s="483"/>
      <c r="F69" s="483"/>
      <c r="G69" s="482"/>
      <c r="J69" s="482"/>
      <c r="K69" s="482"/>
      <c r="M69" s="497">
        <f>_xll.qlCalendarAdvance(Calendar,M68,"1M","f",,Trigger)</f>
        <v>43976</v>
      </c>
      <c r="N69" s="488">
        <f>_xll.qlCalendarAdvance(Calendar,M69,"3M","f",,Trigger)</f>
        <v>44068</v>
      </c>
      <c r="O69" s="490" t="str">
        <f>_xll.qlMakeDatedOIS(,M69,N69,OvernightIndex,0,,,,EvaluationDate)</f>
        <v>obj_0045d#0001</v>
      </c>
      <c r="P69" s="490" t="b">
        <f>_xll.qlInstrumentSetPricingEngine(O69,OisEngine)</f>
        <v>1</v>
      </c>
      <c r="Q69" s="489">
        <f>_xll.qlIndexFixing("euribor6m",_xll.qlInterestRateIndexFixingDate("Euribor6M",M69),TRUE,AllTriggers)</f>
        <v>1.3574784504135677E-2</v>
      </c>
      <c r="R69" s="489">
        <f>_xll.qlOvernightIndexedSwapFairRate(O69,AllTriggers)</f>
        <v>8.7692270131650481E-3</v>
      </c>
      <c r="S69" s="491">
        <f t="shared" si="5"/>
        <v>4.805557490970629E-3</v>
      </c>
    </row>
    <row r="70" spans="5:19" ht="11.25" customHeight="1" x14ac:dyDescent="0.2">
      <c r="E70" s="483"/>
      <c r="F70" s="483"/>
      <c r="G70" s="482"/>
      <c r="J70" s="482"/>
      <c r="K70" s="482"/>
      <c r="M70" s="497">
        <f>_xll.qlCalendarAdvance(Calendar,M69,"1M","f",,Trigger)</f>
        <v>44007</v>
      </c>
      <c r="N70" s="488">
        <f>_xll.qlCalendarAdvance(Calendar,M70,"3M","f",,Trigger)</f>
        <v>44099</v>
      </c>
      <c r="O70" s="490" t="str">
        <f>_xll.qlMakeDatedOIS(,M70,N70,OvernightIndex,0,,,,EvaluationDate)</f>
        <v>obj_0045f#0001</v>
      </c>
      <c r="P70" s="490" t="b">
        <f>_xll.qlInstrumentSetPricingEngine(O70,OisEngine)</f>
        <v>1</v>
      </c>
      <c r="Q70" s="489">
        <f>_xll.qlIndexFixing("euribor6m",_xll.qlInterestRateIndexFixingDate("Euribor6M",M70),TRUE,AllTriggers)</f>
        <v>1.3879796419005091E-2</v>
      </c>
      <c r="R70" s="489">
        <f>_xll.qlOvernightIndexedSwapFairRate(O70,AllTriggers)</f>
        <v>9.3290314640606786E-3</v>
      </c>
      <c r="S70" s="491">
        <f t="shared" si="5"/>
        <v>4.5507649549444123E-3</v>
      </c>
    </row>
    <row r="71" spans="5:19" ht="11.25" customHeight="1" x14ac:dyDescent="0.2">
      <c r="E71" s="483"/>
      <c r="F71" s="483"/>
      <c r="G71" s="482"/>
      <c r="J71" s="482"/>
      <c r="K71" s="482"/>
      <c r="M71" s="497">
        <f>_xll.qlCalendarAdvance(Calendar,M70,"1M","f",,Trigger)</f>
        <v>44039</v>
      </c>
      <c r="N71" s="488">
        <f>_xll.qlCalendarAdvance(Calendar,M71,"3M","f",,Trigger)</f>
        <v>44131</v>
      </c>
      <c r="O71" s="490" t="str">
        <f>_xll.qlMakeDatedOIS(,M71,N71,OvernightIndex,0,,,,EvaluationDate)</f>
        <v>obj_00859#0001</v>
      </c>
      <c r="P71" s="490" t="b">
        <f>_xll.qlInstrumentSetPricingEngine(O71,OisEngine)</f>
        <v>1</v>
      </c>
      <c r="Q71" s="489">
        <f>_xll.qlIndexFixing("euribor6m",_xll.qlInterestRateIndexFixingDate("Euribor6M",M71),TRUE,AllTriggers)</f>
        <v>1.4175066954314596E-2</v>
      </c>
      <c r="R71" s="489">
        <f>_xll.qlOvernightIndexedSwapFairRate(O71,AllTriggers)</f>
        <v>1.0523548041285746E-2</v>
      </c>
      <c r="S71" s="491">
        <f t="shared" si="5"/>
        <v>3.6515189130288499E-3</v>
      </c>
    </row>
    <row r="72" spans="5:19" ht="11.25" customHeight="1" x14ac:dyDescent="0.2">
      <c r="E72" s="483"/>
      <c r="F72" s="483"/>
      <c r="G72" s="482"/>
      <c r="J72" s="482"/>
      <c r="K72" s="482"/>
      <c r="M72" s="497">
        <f>_xll.qlCalendarAdvance(Calendar,M71,"1M","f",,Trigger)</f>
        <v>44070</v>
      </c>
      <c r="N72" s="488">
        <f>_xll.qlCalendarAdvance(Calendar,M72,"3M","f",,Trigger)</f>
        <v>44162</v>
      </c>
      <c r="O72" s="490" t="str">
        <f>_xll.qlMakeDatedOIS(,M72,N72,OvernightIndex,0,,,,EvaluationDate)</f>
        <v>obj_00462#0001</v>
      </c>
      <c r="P72" s="490" t="b">
        <f>_xll.qlInstrumentSetPricingEngine(O72,OisEngine)</f>
        <v>1</v>
      </c>
      <c r="Q72" s="489">
        <f>_xll.qlIndexFixing("euribor6m",_xll.qlInterestRateIndexFixingDate("Euribor6M",M72),TRUE,AllTriggers)</f>
        <v>1.4465675372098911E-2</v>
      </c>
      <c r="R72" s="489">
        <f>_xll.qlOvernightIndexedSwapFairRate(O72,AllTriggers)</f>
        <v>1.1681082877181547E-2</v>
      </c>
      <c r="S72" s="491">
        <f t="shared" si="5"/>
        <v>2.7845924949173647E-3</v>
      </c>
    </row>
    <row r="73" spans="5:19" ht="11.25" customHeight="1" x14ac:dyDescent="0.2">
      <c r="E73" s="483"/>
      <c r="F73" s="483"/>
      <c r="G73" s="482"/>
      <c r="J73" s="482"/>
      <c r="K73" s="482"/>
      <c r="M73" s="497">
        <f>_xll.qlCalendarAdvance(Calendar,M72,"1M","f",,Trigger)</f>
        <v>44102</v>
      </c>
      <c r="N73" s="488">
        <f>_xll.qlCalendarAdvance(Calendar,M73,"3M","f",,Trigger)</f>
        <v>44193</v>
      </c>
      <c r="O73" s="490" t="str">
        <f>_xll.qlMakeDatedOIS(,M73,N73,OvernightIndex,0,,,,EvaluationDate)</f>
        <v>obj_00464#0001</v>
      </c>
      <c r="P73" s="490" t="b">
        <f>_xll.qlInstrumentSetPricingEngine(O73,OisEngine)</f>
        <v>1</v>
      </c>
      <c r="Q73" s="489">
        <f>_xll.qlIndexFixing("euribor6m",_xll.qlInterestRateIndexFixingDate("Euribor6M",M73),TRUE,AllTriggers)</f>
        <v>1.4764585653938048E-2</v>
      </c>
      <c r="R73" s="489">
        <f>_xll.qlOvernightIndexedSwapFairRate(O73,AllTriggers)</f>
        <v>1.2203745836969824E-2</v>
      </c>
      <c r="S73" s="491">
        <f t="shared" si="5"/>
        <v>2.5608398169682245E-3</v>
      </c>
    </row>
    <row r="74" spans="5:19" ht="11.25" customHeight="1" x14ac:dyDescent="0.2">
      <c r="E74" s="483"/>
      <c r="F74" s="483"/>
      <c r="G74" s="482"/>
      <c r="J74" s="482"/>
      <c r="K74" s="482"/>
      <c r="M74" s="497">
        <f>_xll.qlCalendarAdvance(Calendar,M73,"1M","f",,Trigger)</f>
        <v>44132</v>
      </c>
      <c r="N74" s="488">
        <f>_xll.qlCalendarAdvance(Calendar,M74,"3M","f",,Trigger)</f>
        <v>44224</v>
      </c>
      <c r="O74" s="490" t="str">
        <f>_xll.qlMakeDatedOIS(,M74,N74,OvernightIndex,0,,,,EvaluationDate)</f>
        <v>obj_00466#0001</v>
      </c>
      <c r="P74" s="490" t="b">
        <f>_xll.qlInstrumentSetPricingEngine(O74,OisEngine)</f>
        <v>1</v>
      </c>
      <c r="Q74" s="489">
        <f>_xll.qlIndexFixing("euribor6m",_xll.qlInterestRateIndexFixingDate("Euribor6M",M74),TRUE,AllTriggers)</f>
        <v>1.504789632610074E-2</v>
      </c>
      <c r="R74" s="489">
        <f>_xll.qlOvernightIndexedSwapFairRate(O74,AllTriggers)</f>
        <v>1.2203952476115085E-2</v>
      </c>
      <c r="S74" s="491">
        <f t="shared" si="5"/>
        <v>2.8439438499856546E-3</v>
      </c>
    </row>
    <row r="75" spans="5:19" ht="11.25" customHeight="1" x14ac:dyDescent="0.2">
      <c r="E75" s="483"/>
      <c r="F75" s="483"/>
      <c r="G75" s="482"/>
      <c r="J75" s="482"/>
      <c r="K75" s="482"/>
      <c r="M75" s="497">
        <f>_xll.qlCalendarAdvance(Calendar,M74,"1M","f",,Trigger)</f>
        <v>44165</v>
      </c>
      <c r="N75" s="488">
        <f>_xll.qlCalendarAdvance(Calendar,M75,"3M","f",,Trigger)</f>
        <v>44256</v>
      </c>
      <c r="O75" s="490" t="str">
        <f>_xll.qlMakeDatedOIS(,M75,N75,OvernightIndex,0,,,,EvaluationDate)</f>
        <v>obj_007f7#0001</v>
      </c>
      <c r="P75" s="490" t="b">
        <f>_xll.qlInstrumentSetPricingEngine(O75,OisEngine)</f>
        <v>1</v>
      </c>
      <c r="Q75" s="489">
        <f>_xll.qlIndexFixing("euribor6m",_xll.qlInterestRateIndexFixingDate("Euribor6M",M75),TRUE,AllTriggers)</f>
        <v>1.5357699450524381E-2</v>
      </c>
      <c r="R75" s="489">
        <f>_xll.qlOvernightIndexedSwapFairRate(O75,AllTriggers)</f>
        <v>1.2203745836969824E-2</v>
      </c>
      <c r="S75" s="491">
        <f t="shared" si="5"/>
        <v>3.1539536135545571E-3</v>
      </c>
    </row>
    <row r="76" spans="5:19" ht="11.25" customHeight="1" x14ac:dyDescent="0.2">
      <c r="E76" s="483"/>
      <c r="F76" s="483"/>
      <c r="G76" s="482"/>
      <c r="J76" s="482"/>
      <c r="K76" s="482"/>
      <c r="M76" s="497">
        <f>_xll.qlCalendarAdvance(Calendar,M75,"1M","f",,Trigger)</f>
        <v>44195</v>
      </c>
      <c r="N76" s="488">
        <f>_xll.qlCalendarAdvance(Calendar,M76,"3M","f",,Trigger)</f>
        <v>44285</v>
      </c>
      <c r="O76" s="490" t="str">
        <f>_xll.qlMakeDatedOIS(,M76,N76,OvernightIndex,0,,,,EvaluationDate)</f>
        <v>obj_00469#0001</v>
      </c>
      <c r="P76" s="490" t="b">
        <f>_xll.qlInstrumentSetPricingEngine(O76,OisEngine)</f>
        <v>1</v>
      </c>
      <c r="Q76" s="489">
        <f>_xll.qlIndexFixing("euribor6m",_xll.qlInterestRateIndexFixingDate("Euribor6M",M76),TRUE,AllTriggers)</f>
        <v>1.5637666441896365E-2</v>
      </c>
      <c r="R76" s="489">
        <f>_xll.qlOvernightIndexedSwapFairRate(O76,AllTriggers)</f>
        <v>1.2203539202489287E-2</v>
      </c>
      <c r="S76" s="491">
        <f t="shared" si="5"/>
        <v>3.4341272394070779E-3</v>
      </c>
    </row>
    <row r="77" spans="5:19" ht="11.25" customHeight="1" x14ac:dyDescent="0.2">
      <c r="E77" s="483"/>
      <c r="F77" s="483"/>
      <c r="G77" s="482"/>
      <c r="J77" s="482"/>
      <c r="K77" s="482"/>
      <c r="M77" s="497">
        <f>_xll.qlCalendarAdvance(Calendar,M76,"1M","f",,Trigger)</f>
        <v>44228</v>
      </c>
      <c r="N77" s="488">
        <f>_xll.qlCalendarAdvance(Calendar,M77,"3M","f",,Trigger)</f>
        <v>44319</v>
      </c>
      <c r="O77" s="490" t="str">
        <f>_xll.qlMakeDatedOIS(,M77,N77,OvernightIndex,0,,,,EvaluationDate)</f>
        <v>obj_0046b#0001</v>
      </c>
      <c r="P77" s="490" t="b">
        <f>_xll.qlInstrumentSetPricingEngine(O77,OisEngine)</f>
        <v>1</v>
      </c>
      <c r="Q77" s="489">
        <f>_xll.qlIndexFixing("euribor6m",_xll.qlInterestRateIndexFixingDate("Euribor6M",M77),TRUE,AllTriggers)</f>
        <v>1.5943789858048292E-2</v>
      </c>
      <c r="R77" s="489">
        <f>_xll.qlOvernightIndexedSwapFairRate(O77,AllTriggers)</f>
        <v>1.2203745836969825E-2</v>
      </c>
      <c r="S77" s="491">
        <f t="shared" si="5"/>
        <v>3.7400440210784668E-3</v>
      </c>
    </row>
    <row r="78" spans="5:19" ht="11.25" customHeight="1" x14ac:dyDescent="0.2">
      <c r="E78" s="483"/>
      <c r="F78" s="483"/>
      <c r="G78" s="482"/>
      <c r="J78" s="482"/>
      <c r="K78" s="482"/>
      <c r="M78" s="497">
        <f>_xll.qlCalendarAdvance(Calendar,M77,"1M","f",,Trigger)</f>
        <v>44256</v>
      </c>
      <c r="N78" s="488">
        <f>_xll.qlCalendarAdvance(Calendar,M78,"3M","f",,Trigger)</f>
        <v>44348</v>
      </c>
      <c r="O78" s="490" t="str">
        <f>_xll.qlMakeDatedOIS(,M78,N78,OvernightIndex,0,,,,EvaluationDate)</f>
        <v>obj_0046d#0001</v>
      </c>
      <c r="P78" s="490" t="b">
        <f>_xll.qlInstrumentSetPricingEngine(O78,OisEngine)</f>
        <v>1</v>
      </c>
      <c r="Q78" s="489">
        <f>_xll.qlIndexFixing("euribor6m",_xll.qlInterestRateIndexFixingDate("Euribor6M",M78),TRUE,AllTriggers)</f>
        <v>1.6211887877162358E-2</v>
      </c>
      <c r="R78" s="489">
        <f>_xll.qlOvernightIndexedSwapFairRate(O78,AllTriggers)</f>
        <v>1.2203952476115085E-2</v>
      </c>
      <c r="S78" s="491">
        <f t="shared" si="5"/>
        <v>4.0079354010472724E-3</v>
      </c>
    </row>
    <row r="79" spans="5:19" ht="11.25" customHeight="1" x14ac:dyDescent="0.2">
      <c r="E79" s="483"/>
      <c r="F79" s="483"/>
      <c r="G79" s="482"/>
      <c r="J79" s="482"/>
      <c r="K79" s="482"/>
      <c r="M79" s="497">
        <f>_xll.qlCalendarAdvance(Calendar,M78,"1M","f",,Trigger)</f>
        <v>44287</v>
      </c>
      <c r="N79" s="488">
        <f>_xll.qlCalendarAdvance(Calendar,M79,"3M","f",,Trigger)</f>
        <v>44378</v>
      </c>
      <c r="O79" s="490" t="str">
        <f>_xll.qlMakeDatedOIS(,M79,N79,OvernightIndex,0,,,,EvaluationDate)</f>
        <v>obj_0046f#0001</v>
      </c>
      <c r="P79" s="490" t="b">
        <f>_xll.qlInstrumentSetPricingEngine(O79,OisEngine)</f>
        <v>1</v>
      </c>
      <c r="Q79" s="489">
        <f>_xll.qlIndexFixing("euribor6m",_xll.qlInterestRateIndexFixingDate("Euribor6M",M79),TRUE,AllTriggers)</f>
        <v>1.6491178286596062E-2</v>
      </c>
      <c r="R79" s="489">
        <f>_xll.qlOvernightIndexedSwapFairRate(O79,AllTriggers)</f>
        <v>1.2203745836969824E-2</v>
      </c>
      <c r="S79" s="491">
        <f t="shared" si="5"/>
        <v>4.287432449626238E-3</v>
      </c>
    </row>
    <row r="80" spans="5:19" ht="11.25" customHeight="1" x14ac:dyDescent="0.2">
      <c r="E80" s="483"/>
      <c r="F80" s="483"/>
      <c r="G80" s="482"/>
      <c r="J80" s="482"/>
      <c r="K80" s="482"/>
      <c r="M80" s="497">
        <f>_xll.qlCalendarAdvance(Calendar,M79,"1M","f",,Trigger)</f>
        <v>44319</v>
      </c>
      <c r="N80" s="488">
        <f>_xll.qlCalendarAdvance(Calendar,M80,"3M","f",,Trigger)</f>
        <v>44411</v>
      </c>
      <c r="O80" s="490" t="str">
        <f>_xll.qlMakeDatedOIS(,M80,N80,OvernightIndex,0,,,,EvaluationDate)</f>
        <v>obj_00471#0001</v>
      </c>
      <c r="P80" s="490" t="b">
        <f>_xll.qlInstrumentSetPricingEngine(O80,OisEngine)</f>
        <v>1</v>
      </c>
      <c r="Q80" s="489">
        <f>_xll.qlIndexFixing("euribor6m",_xll.qlInterestRateIndexFixingDate("Euribor6M",M80),TRUE,AllTriggers)</f>
        <v>1.6787156830506595E-2</v>
      </c>
      <c r="R80" s="489">
        <f>_xll.qlOvernightIndexedSwapFairRate(O80,AllTriggers)</f>
        <v>1.2203952476115084E-2</v>
      </c>
      <c r="S80" s="491">
        <f t="shared" si="5"/>
        <v>4.5832043543915114E-3</v>
      </c>
    </row>
    <row r="81" spans="5:19" ht="11.25" customHeight="1" x14ac:dyDescent="0.2">
      <c r="E81" s="483"/>
      <c r="F81" s="483"/>
      <c r="G81" s="482"/>
      <c r="J81" s="482"/>
      <c r="K81" s="482"/>
      <c r="M81" s="497">
        <f>_xll.qlCalendarAdvance(Calendar,M80,"1M","f",,Trigger)</f>
        <v>44350</v>
      </c>
      <c r="N81" s="488">
        <f>_xll.qlCalendarAdvance(Calendar,M81,"3M","f",,Trigger)</f>
        <v>44442</v>
      </c>
      <c r="O81" s="490" t="str">
        <f>_xll.qlMakeDatedOIS(,M81,N81,OvernightIndex,0,,,,EvaluationDate)</f>
        <v>obj_00473#0001</v>
      </c>
      <c r="P81" s="490" t="b">
        <f>_xll.qlInstrumentSetPricingEngine(O81,OisEngine)</f>
        <v>1</v>
      </c>
      <c r="Q81" s="489">
        <f>_xll.qlIndexFixing("euribor6m",_xll.qlInterestRateIndexFixingDate("Euribor6M",M81),TRUE,AllTriggers)</f>
        <v>1.7061361596349186E-2</v>
      </c>
      <c r="R81" s="489">
        <f>_xll.qlOvernightIndexedSwapFairRate(O81,AllTriggers)</f>
        <v>1.2203952476115084E-2</v>
      </c>
      <c r="S81" s="491">
        <f t="shared" si="5"/>
        <v>4.8574091202341022E-3</v>
      </c>
    </row>
    <row r="82" spans="5:19" ht="11.25" customHeight="1" x14ac:dyDescent="0.2">
      <c r="E82" s="483"/>
      <c r="F82" s="483"/>
      <c r="G82" s="482"/>
      <c r="J82" s="482"/>
      <c r="K82" s="482"/>
      <c r="M82" s="497">
        <f>_xll.qlCalendarAdvance(Calendar,M81,"1M","f",,Trigger)</f>
        <v>44382</v>
      </c>
      <c r="N82" s="488">
        <f>_xll.qlCalendarAdvance(Calendar,M82,"3M","f",,Trigger)</f>
        <v>44474</v>
      </c>
      <c r="O82" s="490" t="str">
        <f>_xll.qlMakeDatedOIS(,M82,N82,OvernightIndex,0,,,,EvaluationDate)</f>
        <v>obj_00475#0001</v>
      </c>
      <c r="P82" s="490" t="b">
        <f>_xll.qlInstrumentSetPricingEngine(O82,OisEngine)</f>
        <v>1</v>
      </c>
      <c r="Q82" s="489">
        <f>_xll.qlIndexFixing("euribor6m",_xll.qlInterestRateIndexFixingDate("Euribor6M",M82),TRUE,AllTriggers)</f>
        <v>1.7350431904097546E-2</v>
      </c>
      <c r="R82" s="489">
        <f>_xll.qlOvernightIndexedSwapFairRate(O82,AllTriggers)</f>
        <v>1.3150513566668453E-2</v>
      </c>
      <c r="S82" s="491">
        <f t="shared" si="5"/>
        <v>4.1999183374290937E-3</v>
      </c>
    </row>
    <row r="83" spans="5:19" ht="11.25" customHeight="1" x14ac:dyDescent="0.2">
      <c r="E83" s="483"/>
      <c r="F83" s="483"/>
      <c r="G83" s="482"/>
      <c r="J83" s="482"/>
      <c r="K83" s="482"/>
      <c r="M83" s="497">
        <f>_xll.qlCalendarAdvance(Calendar,M82,"1M","f",,Trigger)</f>
        <v>44413</v>
      </c>
      <c r="N83" s="488">
        <f>_xll.qlCalendarAdvance(Calendar,M83,"3M","f",,Trigger)</f>
        <v>44505</v>
      </c>
      <c r="O83" s="490" t="str">
        <f>_xll.qlMakeDatedOIS(,M83,N83,OvernightIndex,0,,,,EvaluationDate)</f>
        <v>obj_00477#0001</v>
      </c>
      <c r="P83" s="490" t="b">
        <f>_xll.qlInstrumentSetPricingEngine(O83,OisEngine)</f>
        <v>1</v>
      </c>
      <c r="Q83" s="489">
        <f>_xll.qlIndexFixing("euribor6m",_xll.qlInterestRateIndexFixingDate("Euribor6M",M83),TRUE,AllTriggers)</f>
        <v>1.7630780378390744E-2</v>
      </c>
      <c r="R83" s="489">
        <f>_xll.qlOvernightIndexedSwapFairRate(O83,AllTriggers)</f>
        <v>1.4324566332883445E-2</v>
      </c>
      <c r="S83" s="491">
        <f t="shared" si="5"/>
        <v>3.3062140455072993E-3</v>
      </c>
    </row>
    <row r="84" spans="5:19" ht="11.25" customHeight="1" x14ac:dyDescent="0.2">
      <c r="E84" s="483"/>
      <c r="F84" s="483"/>
      <c r="G84" s="482"/>
      <c r="J84" s="482"/>
      <c r="K84" s="482"/>
      <c r="M84" s="497">
        <f>_xll.qlCalendarAdvance(Calendar,M83,"1M","f",,Trigger)</f>
        <v>44445</v>
      </c>
      <c r="N84" s="488">
        <f>_xll.qlCalendarAdvance(Calendar,M84,"3M","f",,Trigger)</f>
        <v>44536</v>
      </c>
      <c r="O84" s="490" t="str">
        <f>_xll.qlMakeDatedOIS(,M84,N84,OvernightIndex,0,,,,EvaluationDate)</f>
        <v>obj_00479#0001</v>
      </c>
      <c r="P84" s="490" t="b">
        <f>_xll.qlInstrumentSetPricingEngine(O84,OisEngine)</f>
        <v>1</v>
      </c>
      <c r="Q84" s="489">
        <f>_xll.qlIndexFixing("euribor6m",_xll.qlInterestRateIndexFixingDate("Euribor6M",M84),TRUE,AllTriggers)</f>
        <v>1.7886734308339675E-2</v>
      </c>
      <c r="R84" s="489">
        <f>_xll.qlOvernightIndexedSwapFairRate(O84,AllTriggers)</f>
        <v>1.5534859773064737E-2</v>
      </c>
      <c r="S84" s="491">
        <f t="shared" si="5"/>
        <v>2.3518745352749375E-3</v>
      </c>
    </row>
    <row r="85" spans="5:19" ht="11.25" customHeight="1" x14ac:dyDescent="0.2">
      <c r="E85" s="483"/>
      <c r="F85" s="483"/>
      <c r="G85" s="482"/>
      <c r="J85" s="482"/>
      <c r="K85" s="482"/>
      <c r="M85" s="497">
        <f>_xll.qlCalendarAdvance(Calendar,M84,"1M","f",,Trigger)</f>
        <v>44475</v>
      </c>
      <c r="N85" s="488">
        <f>_xll.qlCalendarAdvance(Calendar,M85,"3M","f",,Trigger)</f>
        <v>44567</v>
      </c>
      <c r="O85" s="490" t="str">
        <f>_xll.qlMakeDatedOIS(,M85,N85,OvernightIndex,0,,,,EvaluationDate)</f>
        <v>obj_0047b#0001</v>
      </c>
      <c r="P85" s="490" t="b">
        <f>_xll.qlInstrumentSetPricingEngine(O85,OisEngine)</f>
        <v>1</v>
      </c>
      <c r="Q85" s="489">
        <f>_xll.qlIndexFixing("euribor6m",_xll.qlInterestRateIndexFixingDate("Euribor6M",M85),TRUE,AllTriggers)</f>
        <v>1.8138785518401802E-2</v>
      </c>
      <c r="R85" s="489">
        <f>_xll.qlOvernightIndexedSwapFairRate(O85,AllTriggers)</f>
        <v>1.5688423038229357E-2</v>
      </c>
      <c r="S85" s="491">
        <f t="shared" si="5"/>
        <v>2.4503624801724445E-3</v>
      </c>
    </row>
    <row r="86" spans="5:19" ht="11.25" customHeight="1" x14ac:dyDescent="0.2">
      <c r="E86" s="483"/>
      <c r="F86" s="483"/>
      <c r="G86" s="482"/>
      <c r="J86" s="482"/>
      <c r="K86" s="482"/>
      <c r="M86" s="497">
        <f>_xll.qlCalendarAdvance(Calendar,M85,"1M","f",,Trigger)</f>
        <v>44508</v>
      </c>
      <c r="N86" s="488">
        <f>_xll.qlCalendarAdvance(Calendar,M86,"3M","f",,Trigger)</f>
        <v>44600</v>
      </c>
      <c r="O86" s="490" t="str">
        <f>_xll.qlMakeDatedOIS(,M86,N86,OvernightIndex,0,,,,EvaluationDate)</f>
        <v>obj_0047d#0001</v>
      </c>
      <c r="P86" s="490" t="b">
        <f>_xll.qlInstrumentSetPricingEngine(O86,OisEngine)</f>
        <v>1</v>
      </c>
      <c r="Q86" s="489">
        <f>_xll.qlIndexFixing("euribor6m",_xll.qlInterestRateIndexFixingDate("Euribor6M",M86),TRUE,AllTriggers)</f>
        <v>1.8409768690738279E-2</v>
      </c>
      <c r="R86" s="489">
        <f>_xll.qlOvernightIndexedSwapFairRate(O86,AllTriggers)</f>
        <v>1.5688423038229357E-2</v>
      </c>
      <c r="S86" s="491">
        <f t="shared" si="5"/>
        <v>2.7213456525089219E-3</v>
      </c>
    </row>
    <row r="87" spans="5:19" ht="11.25" customHeight="1" x14ac:dyDescent="0.2">
      <c r="E87" s="483"/>
      <c r="F87" s="483"/>
      <c r="G87" s="482"/>
      <c r="J87" s="482"/>
      <c r="K87" s="482"/>
      <c r="M87" s="497">
        <f>_xll.qlCalendarAdvance(Calendar,M86,"1M","f",,Trigger)</f>
        <v>44538</v>
      </c>
      <c r="N87" s="488">
        <f>_xll.qlCalendarAdvance(Calendar,M87,"3M","f",,Trigger)</f>
        <v>44628</v>
      </c>
      <c r="O87" s="490" t="str">
        <f>_xll.qlMakeDatedOIS(,M87,N87,OvernightIndex,0,,,,EvaluationDate)</f>
        <v>obj_0088a#0001</v>
      </c>
      <c r="P87" s="490" t="b">
        <f>_xll.qlInstrumentSetPricingEngine(O87,OisEngine)</f>
        <v>1</v>
      </c>
      <c r="Q87" s="489">
        <f>_xll.qlIndexFixing("euribor6m",_xll.qlInterestRateIndexFixingDate("Euribor6M",M87),TRUE,AllTriggers)</f>
        <v>1.8650411718110455E-2</v>
      </c>
      <c r="R87" s="489">
        <f>_xll.qlOvernightIndexedSwapFairRate(O87,AllTriggers)</f>
        <v>1.5687740284847429E-2</v>
      </c>
      <c r="S87" s="491">
        <f t="shared" si="5"/>
        <v>2.9626714332630262E-3</v>
      </c>
    </row>
    <row r="88" spans="5:19" ht="11.25" customHeight="1" x14ac:dyDescent="0.2">
      <c r="E88" s="483"/>
      <c r="F88" s="483"/>
      <c r="G88" s="482"/>
      <c r="J88" s="482"/>
      <c r="K88" s="482"/>
      <c r="M88" s="497">
        <f>_xll.qlCalendarAdvance(Calendar,M87,"1M","f",,Trigger)</f>
        <v>44571</v>
      </c>
      <c r="N88" s="488">
        <f>_xll.qlCalendarAdvance(Calendar,M88,"3M","f",,Trigger)</f>
        <v>44662</v>
      </c>
      <c r="O88" s="490" t="str">
        <f>_xll.qlMakeDatedOIS(,M88,N88,OvernightIndex,0,,,,EvaluationDate)</f>
        <v>obj_00480#0001</v>
      </c>
      <c r="P88" s="490" t="b">
        <f>_xll.qlInstrumentSetPricingEngine(O88,OisEngine)</f>
        <v>1</v>
      </c>
      <c r="Q88" s="489">
        <f>_xll.qlIndexFixing("euribor6m",_xll.qlInterestRateIndexFixingDate("Euribor6M",M88),TRUE,AllTriggers)</f>
        <v>1.8908840776357981E-2</v>
      </c>
      <c r="R88" s="489">
        <f>_xll.qlOvernightIndexedSwapFairRate(O88,AllTriggers)</f>
        <v>1.5688081656587673E-2</v>
      </c>
      <c r="S88" s="491">
        <f t="shared" si="5"/>
        <v>3.2207591197703084E-3</v>
      </c>
    </row>
    <row r="89" spans="5:19" ht="11.25" customHeight="1" x14ac:dyDescent="0.2">
      <c r="E89" s="483"/>
      <c r="F89" s="483"/>
      <c r="G89" s="482"/>
      <c r="J89" s="482"/>
      <c r="K89" s="482"/>
      <c r="M89" s="497">
        <f>_xll.qlCalendarAdvance(Calendar,M88,"1M","f",,Trigger)</f>
        <v>44602</v>
      </c>
      <c r="N89" s="488">
        <f>_xll.qlCalendarAdvance(Calendar,M89,"3M","f",,Trigger)</f>
        <v>44691</v>
      </c>
      <c r="O89" s="490" t="str">
        <f>_xll.qlMakeDatedOIS(,M89,N89,OvernightIndex,0,,,,EvaluationDate)</f>
        <v>obj_00883#0001</v>
      </c>
      <c r="P89" s="490" t="b">
        <f>_xll.qlInstrumentSetPricingEngine(O89,OisEngine)</f>
        <v>1</v>
      </c>
      <c r="Q89" s="489">
        <f>_xll.qlIndexFixing("euribor6m",_xll.qlInterestRateIndexFixingDate("Euribor6M",M89),TRUE,AllTriggers)</f>
        <v>1.9141425609026111E-2</v>
      </c>
      <c r="R89" s="489">
        <f>_xll.qlOvernightIndexedSwapFairRate(O89,AllTriggers)</f>
        <v>1.5687398923008269E-2</v>
      </c>
      <c r="S89" s="491">
        <f t="shared" si="5"/>
        <v>3.4540266860178422E-3</v>
      </c>
    </row>
    <row r="90" spans="5:19" ht="11.25" customHeight="1" x14ac:dyDescent="0.2">
      <c r="E90" s="483"/>
      <c r="F90" s="483"/>
      <c r="G90" s="482"/>
      <c r="J90" s="482"/>
      <c r="K90" s="482"/>
      <c r="M90" s="497">
        <f>_xll.qlCalendarAdvance(Calendar,M89,"1M","f",,Trigger)</f>
        <v>44630</v>
      </c>
      <c r="N90" s="488">
        <f>_xll.qlCalendarAdvance(Calendar,M90,"3M","f",,Trigger)</f>
        <v>44722</v>
      </c>
      <c r="O90" s="490" t="str">
        <f>_xll.qlMakeDatedOIS(,M90,N90,OvernightIndex,0,,,,EvaluationDate)</f>
        <v>obj_00483#0001</v>
      </c>
      <c r="P90" s="490" t="b">
        <f>_xll.qlInstrumentSetPricingEngine(O90,OisEngine)</f>
        <v>1</v>
      </c>
      <c r="Q90" s="489">
        <f>_xll.qlIndexFixing("euribor6m",_xll.qlInterestRateIndexFixingDate("Euribor6M",M90),TRUE,AllTriggers)</f>
        <v>1.937092380475483E-2</v>
      </c>
      <c r="R90" s="489">
        <f>_xll.qlOvernightIndexedSwapFairRate(O90,AllTriggers)</f>
        <v>1.568842303822849E-2</v>
      </c>
      <c r="S90" s="491">
        <f t="shared" si="5"/>
        <v>3.6825007665263407E-3</v>
      </c>
    </row>
    <row r="91" spans="5:19" ht="11.25" customHeight="1" x14ac:dyDescent="0.2">
      <c r="E91" s="483"/>
      <c r="F91" s="483"/>
      <c r="G91" s="482"/>
      <c r="J91" s="482"/>
      <c r="K91" s="482"/>
      <c r="M91" s="497">
        <f>_xll.qlCalendarAdvance(Calendar,M90,"1M","f",,Trigger)</f>
        <v>44662</v>
      </c>
      <c r="N91" s="488">
        <f>_xll.qlCalendarAdvance(Calendar,M91,"3M","f",,Trigger)</f>
        <v>44753</v>
      </c>
      <c r="O91" s="490" t="str">
        <f>_xll.qlMakeDatedOIS(,M91,N91,OvernightIndex,0,,,,EvaluationDate)</f>
        <v>obj_00485#0001</v>
      </c>
      <c r="P91" s="490" t="b">
        <f>_xll.qlInstrumentSetPricingEngine(O91,OisEngine)</f>
        <v>1</v>
      </c>
      <c r="Q91" s="489">
        <f>_xll.qlIndexFixing("euribor6m",_xll.qlInterestRateIndexFixingDate("Euribor6M",M91),TRUE,AllTriggers)</f>
        <v>1.9591381211251934E-2</v>
      </c>
      <c r="R91" s="489">
        <f>_xll.qlOvernightIndexedSwapFairRate(O91,AllTriggers)</f>
        <v>1.5688081656587673E-2</v>
      </c>
      <c r="S91" s="491">
        <f t="shared" si="5"/>
        <v>3.9032995546642614E-3</v>
      </c>
    </row>
    <row r="92" spans="5:19" ht="11.25" customHeight="1" x14ac:dyDescent="0.2">
      <c r="E92" s="483"/>
      <c r="F92" s="483"/>
      <c r="G92" s="482"/>
      <c r="J92" s="482"/>
      <c r="K92" s="482"/>
      <c r="M92" s="497">
        <f>_xll.qlCalendarAdvance(Calendar,M91,"1M","f",,Trigger)</f>
        <v>44692</v>
      </c>
      <c r="N92" s="488">
        <f>_xll.qlCalendarAdvance(Calendar,M92,"3M","f",,Trigger)</f>
        <v>44784</v>
      </c>
      <c r="O92" s="490" t="str">
        <f>_xll.qlMakeDatedOIS(,M92,N92,OvernightIndex,0,,,,EvaluationDate)</f>
        <v>obj_00487#0001</v>
      </c>
      <c r="P92" s="490" t="b">
        <f>_xll.qlInstrumentSetPricingEngine(O92,OisEngine)</f>
        <v>1</v>
      </c>
      <c r="Q92" s="489">
        <f>_xll.qlIndexFixing("euribor6m",_xll.qlInterestRateIndexFixingDate("Euribor6M",M92),TRUE,AllTriggers)</f>
        <v>1.9807737862513164E-2</v>
      </c>
      <c r="R92" s="489">
        <f>_xll.qlOvernightIndexedSwapFairRate(O92,AllTriggers)</f>
        <v>1.5688423038228486E-2</v>
      </c>
      <c r="S92" s="491">
        <f t="shared" si="5"/>
        <v>4.1193148242846776E-3</v>
      </c>
    </row>
    <row r="93" spans="5:19" ht="11.25" customHeight="1" x14ac:dyDescent="0.2">
      <c r="E93" s="483"/>
      <c r="F93" s="483"/>
      <c r="G93" s="482"/>
      <c r="J93" s="482"/>
      <c r="K93" s="482"/>
      <c r="M93" s="497">
        <f>_xll.qlCalendarAdvance(Calendar,M92,"1M","f",,Trigger)</f>
        <v>44725</v>
      </c>
      <c r="N93" s="488">
        <f>_xll.qlCalendarAdvance(Calendar,M93,"3M","f",,Trigger)</f>
        <v>44817</v>
      </c>
      <c r="O93" s="490" t="str">
        <f>_xll.qlMakeDatedOIS(,M93,N93,OvernightIndex,0,,,,EvaluationDate)</f>
        <v>obj_00489#0001</v>
      </c>
      <c r="P93" s="490" t="b">
        <f>_xll.qlInstrumentSetPricingEngine(O93,OisEngine)</f>
        <v>1</v>
      </c>
      <c r="Q93" s="489">
        <f>_xll.qlIndexFixing("euribor6m",_xll.qlInterestRateIndexFixingDate("Euribor6M",M93),TRUE,AllTriggers)</f>
        <v>2.0030717603738424E-2</v>
      </c>
      <c r="R93" s="489">
        <f>_xll.qlOvernightIndexedSwapFairRate(O93,AllTriggers)</f>
        <v>1.5716438960865064E-2</v>
      </c>
      <c r="S93" s="491">
        <f t="shared" si="5"/>
        <v>4.31427864287336E-3</v>
      </c>
    </row>
    <row r="94" spans="5:19" ht="11.25" customHeight="1" x14ac:dyDescent="0.2">
      <c r="E94" s="483"/>
      <c r="F94" s="483"/>
      <c r="G94" s="482"/>
      <c r="J94" s="482"/>
      <c r="K94" s="482"/>
      <c r="M94" s="497">
        <f>_xll.qlCalendarAdvance(Calendar,M93,"1M","f",,Trigger)</f>
        <v>44755</v>
      </c>
      <c r="N94" s="488">
        <f>_xll.qlCalendarAdvance(Calendar,M94,"3M","f",,Trigger)</f>
        <v>44847</v>
      </c>
      <c r="O94" s="490" t="str">
        <f>_xll.qlMakeDatedOIS(,M94,N94,OvernightIndex,0,,,,EvaluationDate)</f>
        <v>obj_00893#0001</v>
      </c>
      <c r="P94" s="490" t="b">
        <f>_xll.qlInstrumentSetPricingEngine(O94,OisEngine)</f>
        <v>1</v>
      </c>
      <c r="Q94" s="489">
        <f>_xll.qlIndexFixing("euribor6m",_xll.qlInterestRateIndexFixingDate("Euribor6M",M94),TRUE,AllTriggers)</f>
        <v>2.0234394665116277E-2</v>
      </c>
      <c r="R94" s="489">
        <f>_xll.qlOvernightIndexedSwapFairRate(O94,AllTriggers)</f>
        <v>1.6557009545223201E-2</v>
      </c>
      <c r="S94" s="491">
        <f t="shared" si="5"/>
        <v>3.6773851198930764E-3</v>
      </c>
    </row>
    <row r="95" spans="5:19" ht="11.25" customHeight="1" x14ac:dyDescent="0.2">
      <c r="E95" s="483"/>
      <c r="F95" s="483"/>
      <c r="G95" s="482"/>
      <c r="J95" s="482"/>
      <c r="K95" s="482"/>
      <c r="M95" s="497">
        <f>_xll.qlCalendarAdvance(Calendar,M94,"1M","f",,Trigger)</f>
        <v>44788</v>
      </c>
      <c r="N95" s="488">
        <f>_xll.qlCalendarAdvance(Calendar,M95,"3M","f",,Trigger)</f>
        <v>44880</v>
      </c>
      <c r="O95" s="490" t="str">
        <f>_xll.qlMakeDatedOIS(,M95,N95,OvernightIndex,0,,,,EvaluationDate)</f>
        <v>obj_00876#0001</v>
      </c>
      <c r="P95" s="490" t="b">
        <f>_xll.qlInstrumentSetPricingEngine(O95,OisEngine)</f>
        <v>1</v>
      </c>
      <c r="Q95" s="489">
        <f>_xll.qlIndexFixing("euribor6m",_xll.qlInterestRateIndexFixingDate("Euribor6M",M95),TRUE,AllTriggers)</f>
        <v>2.0446988923025888E-2</v>
      </c>
      <c r="R95" s="489">
        <f>_xll.qlOvernightIndexedSwapFairRate(O95,AllTriggers)</f>
        <v>1.7481844907851183E-2</v>
      </c>
      <c r="S95" s="491">
        <f t="shared" si="5"/>
        <v>2.9651440151747047E-3</v>
      </c>
    </row>
    <row r="96" spans="5:19" ht="11.25" customHeight="1" x14ac:dyDescent="0.2">
      <c r="E96" s="483"/>
      <c r="F96" s="483"/>
      <c r="G96" s="482"/>
      <c r="J96" s="482"/>
      <c r="K96" s="482"/>
      <c r="M96" s="497">
        <f>_xll.qlCalendarAdvance(Calendar,M95,"1M","f",,Trigger)</f>
        <v>44819</v>
      </c>
      <c r="N96" s="488">
        <f>_xll.qlCalendarAdvance(Calendar,M96,"3M","f",,Trigger)</f>
        <v>44910</v>
      </c>
      <c r="O96" s="490" t="str">
        <f>_xll.qlMakeDatedOIS(,M96,N96,OvernightIndex,0,,,,EvaluationDate)</f>
        <v>obj_0048d#0001</v>
      </c>
      <c r="P96" s="490" t="b">
        <f>_xll.qlInstrumentSetPricingEngine(O96,OisEngine)</f>
        <v>1</v>
      </c>
      <c r="Q96" s="489">
        <f>_xll.qlIndexFixing("euribor6m",_xll.qlInterestRateIndexFixingDate("Euribor6M",M96),TRUE,AllTriggers)</f>
        <v>2.0628983775013883E-2</v>
      </c>
      <c r="R96" s="489">
        <f>_xll.qlOvernightIndexedSwapFairRate(O96,AllTriggers)</f>
        <v>1.8266261681519912E-2</v>
      </c>
      <c r="S96" s="491">
        <f t="shared" si="5"/>
        <v>2.3627220934939706E-3</v>
      </c>
    </row>
    <row r="97" spans="5:19" ht="11.25" customHeight="1" x14ac:dyDescent="0.2">
      <c r="E97" s="483"/>
      <c r="F97" s="483"/>
      <c r="G97" s="482"/>
      <c r="J97" s="482"/>
      <c r="K97" s="482"/>
      <c r="M97" s="497">
        <f>_xll.qlCalendarAdvance(Calendar,M96,"1M","f",,Trigger)</f>
        <v>44851</v>
      </c>
      <c r="N97" s="488">
        <f>_xll.qlCalendarAdvance(Calendar,M97,"3M","f",,Trigger)</f>
        <v>44943</v>
      </c>
      <c r="O97" s="490" t="str">
        <f>_xll.qlMakeDatedOIS(,M97,N97,OvernightIndex,0,,,,EvaluationDate)</f>
        <v>obj_0086d#0001</v>
      </c>
      <c r="P97" s="490" t="b">
        <f>_xll.qlInstrumentSetPricingEngine(O97,OisEngine)</f>
        <v>1</v>
      </c>
      <c r="Q97" s="489">
        <f>_xll.qlIndexFixing("euribor6m",_xll.qlInterestRateIndexFixingDate("Euribor6M",M97),TRUE,AllTriggers)</f>
        <v>2.0824090473029282E-2</v>
      </c>
      <c r="R97" s="489">
        <f>_xll.qlOvernightIndexedSwapFairRate(O97,AllTriggers)</f>
        <v>1.826672438928529E-2</v>
      </c>
      <c r="S97" s="491">
        <f t="shared" si="5"/>
        <v>2.5573660837439928E-3</v>
      </c>
    </row>
    <row r="98" spans="5:19" ht="11.25" customHeight="1" x14ac:dyDescent="0.2">
      <c r="E98" s="483"/>
      <c r="F98" s="483"/>
      <c r="G98" s="482"/>
      <c r="J98" s="482"/>
      <c r="K98" s="482"/>
      <c r="M98" s="497">
        <f>_xll.qlCalendarAdvance(Calendar,M97,"1M","f",,Trigger)</f>
        <v>44882</v>
      </c>
      <c r="N98" s="488">
        <f>_xll.qlCalendarAdvance(Calendar,M98,"3M","f",,Trigger)</f>
        <v>44974</v>
      </c>
      <c r="O98" s="490" t="str">
        <f>_xll.qlMakeDatedOIS(,M98,N98,OvernightIndex,0,,,,EvaluationDate)</f>
        <v>obj_00490#0001</v>
      </c>
      <c r="P98" s="490" t="b">
        <f>_xll.qlInstrumentSetPricingEngine(O98,OisEngine)</f>
        <v>1</v>
      </c>
      <c r="Q98" s="489">
        <f>_xll.qlIndexFixing("euribor6m",_xll.qlInterestRateIndexFixingDate("Euribor6M",M98),TRUE,AllTriggers)</f>
        <v>2.0999135450541905E-2</v>
      </c>
      <c r="R98" s="489">
        <f>_xll.qlOvernightIndexedSwapFairRate(O98,AllTriggers)</f>
        <v>1.826672438928529E-2</v>
      </c>
      <c r="S98" s="491">
        <f t="shared" si="5"/>
        <v>2.7324110612566149E-3</v>
      </c>
    </row>
    <row r="99" spans="5:19" ht="11.25" customHeight="1" x14ac:dyDescent="0.2">
      <c r="E99" s="483"/>
      <c r="F99" s="483"/>
      <c r="G99" s="482"/>
      <c r="J99" s="482"/>
      <c r="K99" s="482"/>
      <c r="M99" s="497">
        <f>_xll.qlCalendarAdvance(Calendar,M98,"1M","f",,Trigger)</f>
        <v>44914</v>
      </c>
      <c r="N99" s="488">
        <f>_xll.qlCalendarAdvance(Calendar,M99,"3M","f",,Trigger)</f>
        <v>45005</v>
      </c>
      <c r="O99" s="490" t="str">
        <f>_xll.qlMakeDatedOIS(,M99,N99,OvernightIndex,0,,,,EvaluationDate)</f>
        <v>obj_00492#0001</v>
      </c>
      <c r="P99" s="490" t="b">
        <f>_xll.qlInstrumentSetPricingEngine(O99,OisEngine)</f>
        <v>1</v>
      </c>
      <c r="Q99" s="489">
        <f>_xll.qlIndexFixing("euribor6m",_xll.qlInterestRateIndexFixingDate("Euribor6M",M99),TRUE,AllTriggers)</f>
        <v>2.1179109883076763E-2</v>
      </c>
      <c r="R99" s="489">
        <f>_xll.qlOvernightIndexedSwapFairRate(O99,AllTriggers)</f>
        <v>1.8266261681520794E-2</v>
      </c>
      <c r="S99" s="491">
        <f t="shared" si="5"/>
        <v>2.912848201555969E-3</v>
      </c>
    </row>
    <row r="100" spans="5:19" ht="11.25" customHeight="1" x14ac:dyDescent="0.2">
      <c r="E100" s="483"/>
      <c r="F100" s="483"/>
      <c r="G100" s="482"/>
      <c r="J100" s="482"/>
      <c r="K100" s="482"/>
      <c r="M100" s="497">
        <f>_xll.qlCalendarAdvance(Calendar,M99,"1M","f",,Trigger)</f>
        <v>44945</v>
      </c>
      <c r="N100" s="488">
        <f>_xll.qlCalendarAdvance(Calendar,M100,"3M","f",,Trigger)</f>
        <v>45035</v>
      </c>
      <c r="O100" s="490" t="str">
        <f>_xll.qlMakeDatedOIS(,M100,N100,OvernightIndex,0,,,,EvaluationDate)</f>
        <v>obj_00494#0001</v>
      </c>
      <c r="P100" s="490" t="b">
        <f>_xll.qlInstrumentSetPricingEngine(O100,OisEngine)</f>
        <v>1</v>
      </c>
      <c r="Q100" s="489">
        <f>_xll.qlIndexFixing("euribor6m",_xll.qlInterestRateIndexFixingDate("Euribor6M",M100),TRUE,AllTriggers)</f>
        <v>2.1339910138507369E-2</v>
      </c>
      <c r="R100" s="489">
        <f>_xll.qlOvernightIndexedSwapFairRate(O100,AllTriggers)</f>
        <v>1.8265798989376414E-2</v>
      </c>
      <c r="S100" s="491">
        <f t="shared" si="5"/>
        <v>3.074111149130955E-3</v>
      </c>
    </row>
    <row r="101" spans="5:19" ht="11.25" customHeight="1" x14ac:dyDescent="0.2">
      <c r="E101" s="483"/>
      <c r="F101" s="483"/>
      <c r="G101" s="482"/>
      <c r="J101" s="482"/>
      <c r="K101" s="482"/>
      <c r="M101" s="497">
        <f>_xll.qlCalendarAdvance(Calendar,M100,"1M","f",,Trigger)</f>
        <v>44977</v>
      </c>
      <c r="N101" s="488">
        <f>_xll.qlCalendarAdvance(Calendar,M101,"3M","f",,Trigger)</f>
        <v>45068</v>
      </c>
      <c r="O101" s="490" t="str">
        <f>_xll.qlMakeDatedOIS(,M101,N101,OvernightIndex,0,,,,EvaluationDate)</f>
        <v>obj_00496#0001</v>
      </c>
      <c r="P101" s="490" t="b">
        <f>_xll.qlInstrumentSetPricingEngine(O101,OisEngine)</f>
        <v>1</v>
      </c>
      <c r="Q101" s="489">
        <f>_xll.qlIndexFixing("euribor6m",_xll.qlInterestRateIndexFixingDate("Euribor6M",M101),TRUE,AllTriggers)</f>
        <v>2.1504743025974039E-2</v>
      </c>
      <c r="R101" s="489">
        <f>_xll.qlOvernightIndexedSwapFairRate(O101,AllTriggers)</f>
        <v>1.8266261681519916E-2</v>
      </c>
      <c r="S101" s="491">
        <f t="shared" si="5"/>
        <v>3.2384813444541229E-3</v>
      </c>
    </row>
    <row r="102" spans="5:19" ht="11.25" customHeight="1" x14ac:dyDescent="0.2">
      <c r="E102" s="483"/>
      <c r="F102" s="483"/>
      <c r="G102" s="482"/>
      <c r="J102" s="482"/>
      <c r="K102" s="482"/>
      <c r="M102" s="497">
        <f>_xll.qlCalendarAdvance(Calendar,M101,"1M","f",,Trigger)</f>
        <v>45005</v>
      </c>
      <c r="N102" s="488">
        <f>_xll.qlCalendarAdvance(Calendar,M102,"3M","f",,Trigger)</f>
        <v>45097</v>
      </c>
      <c r="O102" s="490" t="str">
        <f>_xll.qlMakeDatedOIS(,M102,N102,OvernightIndex,0,,,,EvaluationDate)</f>
        <v>obj_00498#0001</v>
      </c>
      <c r="P102" s="490" t="b">
        <f>_xll.qlInstrumentSetPricingEngine(O102,OisEngine)</f>
        <v>1</v>
      </c>
      <c r="Q102" s="489">
        <f>_xll.qlIndexFixing("euribor6m",_xll.qlInterestRateIndexFixingDate("Euribor6M",M102),TRUE,AllTriggers)</f>
        <v>2.1645830267860204E-2</v>
      </c>
      <c r="R102" s="489">
        <f>_xll.qlOvernightIndexedSwapFairRate(O102,AllTriggers)</f>
        <v>1.826672438928529E-2</v>
      </c>
      <c r="S102" s="491">
        <f t="shared" si="5"/>
        <v>3.3791058785749145E-3</v>
      </c>
    </row>
    <row r="103" spans="5:19" ht="11.25" customHeight="1" x14ac:dyDescent="0.2">
      <c r="E103" s="483"/>
      <c r="F103" s="483"/>
      <c r="G103" s="482"/>
      <c r="J103" s="482"/>
      <c r="K103" s="482"/>
      <c r="M103" s="497">
        <f>_xll.qlCalendarAdvance(Calendar,M102,"1M","f",,Trigger)</f>
        <v>45036</v>
      </c>
      <c r="N103" s="488">
        <f>_xll.qlCalendarAdvance(Calendar,M103,"3M","f",,Trigger)</f>
        <v>45127</v>
      </c>
      <c r="O103" s="490" t="str">
        <f>_xll.qlMakeDatedOIS(,M103,N103,OvernightIndex,0,,,,EvaluationDate)</f>
        <v>obj_0049a#0001</v>
      </c>
      <c r="P103" s="490" t="b">
        <f>_xll.qlInstrumentSetPricingEngine(O103,OisEngine)</f>
        <v>1</v>
      </c>
      <c r="Q103" s="489">
        <f>_xll.qlIndexFixing("euribor6m",_xll.qlInterestRateIndexFixingDate("Euribor6M",M103),TRUE,AllTriggers)</f>
        <v>2.1786090277514897E-2</v>
      </c>
      <c r="R103" s="489">
        <f>_xll.qlOvernightIndexedSwapFairRate(O103,AllTriggers)</f>
        <v>1.8266261681519916E-2</v>
      </c>
      <c r="S103" s="491">
        <f t="shared" si="5"/>
        <v>3.5198285959949817E-3</v>
      </c>
    </row>
    <row r="104" spans="5:19" ht="11.25" customHeight="1" x14ac:dyDescent="0.2">
      <c r="E104" s="483"/>
      <c r="F104" s="483"/>
      <c r="G104" s="482"/>
      <c r="J104" s="482"/>
      <c r="K104" s="482"/>
      <c r="M104" s="497">
        <f>_xll.qlCalendarAdvance(Calendar,M103,"1M","f",,Trigger)</f>
        <v>45068</v>
      </c>
      <c r="N104" s="488">
        <f>_xll.qlCalendarAdvance(Calendar,M104,"3M","f",,Trigger)</f>
        <v>45160</v>
      </c>
      <c r="O104" s="490" t="str">
        <f>_xll.qlMakeDatedOIS(,M104,N104,OvernightIndex,0,,,,EvaluationDate)</f>
        <v>obj_0049c#0001</v>
      </c>
      <c r="P104" s="490" t="b">
        <f>_xll.qlInstrumentSetPricingEngine(O104,OisEngine)</f>
        <v>1</v>
      </c>
      <c r="Q104" s="489">
        <f>_xll.qlIndexFixing("euribor6m",_xll.qlInterestRateIndexFixingDate("Euribor6M",M104),TRUE,AllTriggers)</f>
        <v>2.1930161964337117E-2</v>
      </c>
      <c r="R104" s="489">
        <f>_xll.qlOvernightIndexedSwapFairRate(O104,AllTriggers)</f>
        <v>1.8266724389285286E-2</v>
      </c>
      <c r="S104" s="491">
        <f t="shared" si="5"/>
        <v>3.6634375750518311E-3</v>
      </c>
    </row>
    <row r="105" spans="5:19" ht="11.25" customHeight="1" x14ac:dyDescent="0.2">
      <c r="E105" s="483"/>
      <c r="F105" s="483"/>
      <c r="G105" s="482"/>
      <c r="J105" s="482"/>
      <c r="K105" s="482"/>
      <c r="M105" s="497">
        <f>_xll.qlCalendarAdvance(Calendar,M104,"1M","f",,Trigger)</f>
        <v>45099</v>
      </c>
      <c r="N105" s="488">
        <f>_xll.qlCalendarAdvance(Calendar,M105,"3M","f",,Trigger)</f>
        <v>45191</v>
      </c>
      <c r="O105" s="490" t="str">
        <f>_xll.qlMakeDatedOIS(,M105,N105,OvernightIndex,0,,,,EvaluationDate)</f>
        <v>obj_0049e#0001</v>
      </c>
      <c r="P105" s="490" t="b">
        <f>_xll.qlInstrumentSetPricingEngine(O105,OisEngine)</f>
        <v>1</v>
      </c>
      <c r="Q105" s="489">
        <f>_xll.qlIndexFixing("euribor6m",_xll.qlInterestRateIndexFixingDate("Euribor6M",M105),TRUE,AllTriggers)</f>
        <v>2.2058895409593167E-2</v>
      </c>
      <c r="R105" s="489">
        <f>_xll.qlOvernightIndexedSwapFairRate(O105,AllTriggers)</f>
        <v>1.8478815836930607E-2</v>
      </c>
      <c r="S105" s="491">
        <f t="shared" si="5"/>
        <v>3.5800795726625596E-3</v>
      </c>
    </row>
    <row r="106" spans="5:19" ht="11.25" customHeight="1" x14ac:dyDescent="0.2">
      <c r="E106" s="483"/>
      <c r="F106" s="483"/>
      <c r="G106" s="482"/>
      <c r="J106" s="482"/>
      <c r="K106" s="482"/>
      <c r="M106" s="497">
        <f>_xll.qlCalendarAdvance(Calendar,M105,"1M","f",,Trigger)</f>
        <v>45131</v>
      </c>
      <c r="N106" s="488">
        <f>_xll.qlCalendarAdvance(Calendar,M106,"3M","f",,Trigger)</f>
        <v>45223</v>
      </c>
      <c r="O106" s="490" t="str">
        <f>_xll.qlMakeDatedOIS(,M106,N106,OvernightIndex,0,,,,EvaluationDate)</f>
        <v>obj_004a0#0001</v>
      </c>
      <c r="P106" s="490" t="b">
        <f>_xll.qlInstrumentSetPricingEngine(O106,OisEngine)</f>
        <v>1</v>
      </c>
      <c r="Q106" s="489">
        <f>_xll.qlIndexFixing("euribor6m",_xll.qlInterestRateIndexFixingDate("Euribor6M",M106),TRUE,AllTriggers)</f>
        <v>2.2192452167231109E-2</v>
      </c>
      <c r="R106" s="489">
        <f>_xll.qlOvernightIndexedSwapFairRate(O106,AllTriggers)</f>
        <v>1.9095874201106176E-2</v>
      </c>
      <c r="S106" s="491">
        <f t="shared" si="5"/>
        <v>3.0965779661249332E-3</v>
      </c>
    </row>
    <row r="107" spans="5:19" ht="11.25" customHeight="1" x14ac:dyDescent="0.2">
      <c r="E107" s="483"/>
      <c r="F107" s="483"/>
      <c r="G107" s="482"/>
      <c r="J107" s="482"/>
      <c r="K107" s="482"/>
      <c r="M107" s="497">
        <f>_xll.qlCalendarAdvance(Calendar,M106,"1M","f",,Trigger)</f>
        <v>45162</v>
      </c>
      <c r="N107" s="488">
        <f>_xll.qlCalendarAdvance(Calendar,M107,"3M","f",,Trigger)</f>
        <v>45254</v>
      </c>
      <c r="O107" s="490" t="str">
        <f>_xll.qlMakeDatedOIS(,M107,N107,OvernightIndex,0,,,,EvaluationDate)</f>
        <v>obj_004a2#0001</v>
      </c>
      <c r="P107" s="490" t="b">
        <f>_xll.qlInstrumentSetPricingEngine(O107,OisEngine)</f>
        <v>1</v>
      </c>
      <c r="Q107" s="489">
        <f>_xll.qlIndexFixing("euribor6m",_xll.qlInterestRateIndexFixingDate("Euribor6M",M107),TRUE,AllTriggers)</f>
        <v>2.2320595115686809E-2</v>
      </c>
      <c r="R107" s="489">
        <f>_xll.qlOvernightIndexedSwapFairRate(O107,AllTriggers)</f>
        <v>1.9693741847021159E-2</v>
      </c>
      <c r="S107" s="491">
        <f t="shared" si="5"/>
        <v>2.6268532686656507E-3</v>
      </c>
    </row>
    <row r="108" spans="5:19" ht="11.25" customHeight="1" x14ac:dyDescent="0.2">
      <c r="E108" s="483"/>
      <c r="F108" s="483"/>
      <c r="G108" s="482"/>
      <c r="J108" s="482"/>
      <c r="K108" s="482"/>
      <c r="M108" s="497">
        <f>_xll.qlCalendarAdvance(Calendar,M107,"1M","f",,Trigger)</f>
        <v>45194</v>
      </c>
      <c r="N108" s="488">
        <f>_xll.qlCalendarAdvance(Calendar,M108,"3M","f",,Trigger)</f>
        <v>45287</v>
      </c>
      <c r="O108" s="490" t="str">
        <f>_xll.qlMakeDatedOIS(,M108,N108,OvernightIndex,0,,,,EvaluationDate)</f>
        <v>obj_004a4#0001</v>
      </c>
      <c r="P108" s="490" t="b">
        <f>_xll.qlInstrumentSetPricingEngine(O108,OisEngine)</f>
        <v>1</v>
      </c>
      <c r="Q108" s="489">
        <f>_xll.qlIndexFixing("euribor6m",_xll.qlInterestRateIndexFixingDate("Euribor6M",M108),TRUE,AllTriggers)</f>
        <v>2.2434002703336984E-2</v>
      </c>
      <c r="R108" s="489">
        <f>_xll.qlOvernightIndexedSwapFairRate(O108,AllTriggers)</f>
        <v>2.0041489409554778E-2</v>
      </c>
      <c r="S108" s="491">
        <f t="shared" si="5"/>
        <v>2.3925132937822058E-3</v>
      </c>
    </row>
    <row r="109" spans="5:19" ht="11.25" customHeight="1" x14ac:dyDescent="0.2">
      <c r="E109" s="483"/>
      <c r="F109" s="483"/>
      <c r="G109" s="482"/>
      <c r="J109" s="482"/>
      <c r="K109" s="482"/>
      <c r="M109" s="497">
        <f>_xll.qlCalendarAdvance(Calendar,M108,"1M","f",,Trigger)</f>
        <v>45224</v>
      </c>
      <c r="N109" s="488">
        <f>_xll.qlCalendarAdvance(Calendar,M109,"3M","f",,Trigger)</f>
        <v>45316</v>
      </c>
      <c r="O109" s="490" t="str">
        <f>_xll.qlMakeDatedOIS(,M109,N109,OvernightIndex,0,,,,EvaluationDate)</f>
        <v>obj_004a6#0001</v>
      </c>
      <c r="P109" s="490" t="b">
        <f>_xll.qlInstrumentSetPricingEngine(O109,OisEngine)</f>
        <v>1</v>
      </c>
      <c r="Q109" s="489">
        <f>_xll.qlIndexFixing("euribor6m",_xll.qlInterestRateIndexFixingDate("Euribor6M",M109),TRUE,AllTriggers)</f>
        <v>2.2550116929711796E-2</v>
      </c>
      <c r="R109" s="489">
        <f>_xll.qlOvernightIndexedSwapFairRate(O109,AllTriggers)</f>
        <v>2.0040932517225957E-2</v>
      </c>
      <c r="S109" s="491">
        <f t="shared" si="5"/>
        <v>2.5091844124858383E-3</v>
      </c>
    </row>
    <row r="110" spans="5:19" ht="11.25" customHeight="1" x14ac:dyDescent="0.2">
      <c r="E110" s="483"/>
      <c r="F110" s="483"/>
      <c r="G110" s="482"/>
      <c r="J110" s="482"/>
      <c r="K110" s="482"/>
      <c r="M110" s="497">
        <f>_xll.qlCalendarAdvance(Calendar,M109,"1M","f",,Trigger)</f>
        <v>45257</v>
      </c>
      <c r="N110" s="488">
        <f>_xll.qlCalendarAdvance(Calendar,M110,"3M","f",,Trigger)</f>
        <v>45349</v>
      </c>
      <c r="O110" s="490" t="str">
        <f>_xll.qlMakeDatedOIS(,M110,N110,OvernightIndex,0,,,,EvaluationDate)</f>
        <v>obj_004a8#0001</v>
      </c>
      <c r="P110" s="490" t="b">
        <f>_xll.qlInstrumentSetPricingEngine(O110,OisEngine)</f>
        <v>1</v>
      </c>
      <c r="Q110" s="489">
        <f>_xll.qlIndexFixing("euribor6m",_xll.qlInterestRateIndexFixingDate("Euribor6M",M110),TRUE,AllTriggers)</f>
        <v>2.2669748398071277E-2</v>
      </c>
      <c r="R110" s="489">
        <f>_xll.qlOvernightIndexedSwapFairRate(O110,AllTriggers)</f>
        <v>2.0040932517225964E-2</v>
      </c>
      <c r="S110" s="491">
        <f t="shared" si="5"/>
        <v>2.628815880845313E-3</v>
      </c>
    </row>
    <row r="111" spans="5:19" ht="11.25" customHeight="1" x14ac:dyDescent="0.2">
      <c r="E111" s="483"/>
      <c r="F111" s="483"/>
      <c r="G111" s="482"/>
      <c r="J111" s="482"/>
      <c r="K111" s="482"/>
      <c r="M111" s="497">
        <f>_xll.qlCalendarAdvance(Calendar,M110,"1M","f",,Trigger)</f>
        <v>45287</v>
      </c>
      <c r="N111" s="488">
        <f>_xll.qlCalendarAdvance(Calendar,M111,"3M","f",,Trigger)</f>
        <v>45378</v>
      </c>
      <c r="O111" s="490" t="str">
        <f>_xll.qlMakeDatedOIS(,M111,N111,OvernightIndex,0,,,,EvaluationDate)</f>
        <v>obj_004aa#0001</v>
      </c>
      <c r="P111" s="490" t="b">
        <f>_xll.qlInstrumentSetPricingEngine(O111,OisEngine)</f>
        <v>1</v>
      </c>
      <c r="Q111" s="489">
        <f>_xll.qlIndexFixing("euribor6m",_xll.qlInterestRateIndexFixingDate("Euribor6M",M111),TRUE,AllTriggers)</f>
        <v>2.2780757386967811E-2</v>
      </c>
      <c r="R111" s="489">
        <f>_xll.qlOvernightIndexedSwapFairRate(O111,AllTriggers)</f>
        <v>2.0040375645519838E-2</v>
      </c>
      <c r="S111" s="491">
        <f t="shared" si="5"/>
        <v>2.7403817414479725E-3</v>
      </c>
    </row>
    <row r="112" spans="5:19" ht="11.25" customHeight="1" x14ac:dyDescent="0.2">
      <c r="E112" s="483"/>
      <c r="F112" s="483"/>
      <c r="G112" s="482"/>
      <c r="J112" s="482"/>
      <c r="K112" s="482"/>
      <c r="M112" s="497">
        <f>_xll.qlCalendarAdvance(Calendar,M111,"1M","f",,Trigger)</f>
        <v>45320</v>
      </c>
      <c r="N112" s="488">
        <f>_xll.qlCalendarAdvance(Calendar,M112,"3M","f",,Trigger)</f>
        <v>45411</v>
      </c>
      <c r="O112" s="490" t="str">
        <f>_xll.qlMakeDatedOIS(,M112,N112,OvernightIndex,0,,,,EvaluationDate)</f>
        <v>obj_004ac#0001</v>
      </c>
      <c r="P112" s="490" t="b">
        <f>_xll.qlInstrumentSetPricingEngine(O112,OisEngine)</f>
        <v>1</v>
      </c>
      <c r="Q112" s="489">
        <f>_xll.qlIndexFixing("euribor6m",_xll.qlInterestRateIndexFixingDate("Euribor6M",M112),TRUE,AllTriggers)</f>
        <v>2.2894918091531269E-2</v>
      </c>
      <c r="R112" s="489">
        <f>_xll.qlOvernightIndexedSwapFairRate(O112,AllTriggers)</f>
        <v>2.0040375645519842E-2</v>
      </c>
      <c r="S112" s="491">
        <f t="shared" si="5"/>
        <v>2.8545424460114273E-3</v>
      </c>
    </row>
    <row r="113" spans="5:19" ht="11.25" customHeight="1" x14ac:dyDescent="0.2">
      <c r="E113" s="483"/>
      <c r="F113" s="483"/>
      <c r="G113" s="482"/>
      <c r="J113" s="482"/>
      <c r="K113" s="482"/>
      <c r="M113" s="497">
        <f>_xll.qlCalendarAdvance(Calendar,M112,"1M","f",,Trigger)</f>
        <v>45351</v>
      </c>
      <c r="N113" s="488">
        <f>_xll.qlCalendarAdvance(Calendar,M113,"3M","f",,Trigger)</f>
        <v>45441</v>
      </c>
      <c r="O113" s="490" t="str">
        <f>_xll.qlMakeDatedOIS(,M113,N113,OvernightIndex,0,,,,EvaluationDate)</f>
        <v>obj_004ae#0001</v>
      </c>
      <c r="P113" s="490" t="b">
        <f>_xll.qlInstrumentSetPricingEngine(O113,OisEngine)</f>
        <v>1</v>
      </c>
      <c r="Q113" s="489">
        <f>_xll.qlIndexFixing("euribor6m",_xll.qlInterestRateIndexFixingDate("Euribor6M",M113),TRUE,AllTriggers)</f>
        <v>2.3004227308456488E-2</v>
      </c>
      <c r="R113" s="489">
        <f>_xll.qlOvernightIndexedSwapFairRate(O113,AllTriggers)</f>
        <v>2.0039818794437281E-2</v>
      </c>
      <c r="S113" s="491">
        <f t="shared" si="5"/>
        <v>2.9644085140192074E-3</v>
      </c>
    </row>
    <row r="114" spans="5:19" ht="11.25" customHeight="1" x14ac:dyDescent="0.2">
      <c r="E114" s="483"/>
      <c r="F114" s="483"/>
      <c r="G114" s="482"/>
      <c r="J114" s="482"/>
      <c r="K114" s="482"/>
      <c r="M114" s="497">
        <f>_xll.qlCalendarAdvance(Calendar,M113,"1M","f",,Trigger)</f>
        <v>45384</v>
      </c>
      <c r="N114" s="488">
        <f>_xll.qlCalendarAdvance(Calendar,M114,"3M","f",,Trigger)</f>
        <v>45475</v>
      </c>
      <c r="O114" s="490" t="str">
        <f>_xll.qlMakeDatedOIS(,M114,N114,OvernightIndex,0,,,,EvaluationDate)</f>
        <v>obj_004b0#0001</v>
      </c>
      <c r="P114" s="490" t="b">
        <f>_xll.qlInstrumentSetPricingEngine(O114,OisEngine)</f>
        <v>1</v>
      </c>
      <c r="Q114" s="489">
        <f>_xll.qlIndexFixing("euribor6m",_xll.qlInterestRateIndexFixingDate("Euribor6M",M114),TRUE,AllTriggers)</f>
        <v>2.311518222584065E-2</v>
      </c>
      <c r="R114" s="489">
        <f>_xll.qlOvernightIndexedSwapFairRate(O114,AllTriggers)</f>
        <v>2.0040375645519842E-2</v>
      </c>
      <c r="S114" s="491">
        <f t="shared" si="5"/>
        <v>3.0748065803208081E-3</v>
      </c>
    </row>
    <row r="115" spans="5:19" ht="11.25" customHeight="1" x14ac:dyDescent="0.2">
      <c r="E115" s="483"/>
      <c r="F115" s="483"/>
      <c r="G115" s="482"/>
      <c r="J115" s="482"/>
      <c r="K115" s="482"/>
      <c r="M115" s="497">
        <f>_xll.qlCalendarAdvance(Calendar,M114,"1M","f",,Trigger)</f>
        <v>45414</v>
      </c>
      <c r="N115" s="488">
        <f>_xll.qlCalendarAdvance(Calendar,M115,"3M","f",,Trigger)</f>
        <v>45506</v>
      </c>
      <c r="O115" s="490" t="str">
        <f>_xll.qlMakeDatedOIS(,M115,N115,OvernightIndex,0,,,,EvaluationDate)</f>
        <v>obj_004b2#0001</v>
      </c>
      <c r="P115" s="490" t="b">
        <f>_xll.qlInstrumentSetPricingEngine(O115,OisEngine)</f>
        <v>1</v>
      </c>
      <c r="Q115" s="489">
        <f>_xll.qlIndexFixing("euribor6m",_xll.qlInterestRateIndexFixingDate("Euribor6M",M115),TRUE,AllTriggers)</f>
        <v>2.3220433994192477E-2</v>
      </c>
      <c r="R115" s="489">
        <f>_xll.qlOvernightIndexedSwapFairRate(O115,AllTriggers)</f>
        <v>2.0040932517225964E-2</v>
      </c>
      <c r="S115" s="491">
        <f t="shared" si="5"/>
        <v>3.1795014769665127E-3</v>
      </c>
    </row>
    <row r="116" spans="5:19" ht="11.25" customHeight="1" x14ac:dyDescent="0.2">
      <c r="E116" s="483"/>
      <c r="F116" s="483"/>
      <c r="G116" s="482"/>
      <c r="J116" s="482"/>
      <c r="K116" s="482"/>
      <c r="M116" s="497">
        <f>_xll.qlCalendarAdvance(Calendar,M115,"1M","f",,Trigger)</f>
        <v>45446</v>
      </c>
      <c r="N116" s="488">
        <f>_xll.qlCalendarAdvance(Calendar,M116,"3M","f",,Trigger)</f>
        <v>45538</v>
      </c>
      <c r="O116" s="490" t="str">
        <f>_xll.qlMakeDatedOIS(,M116,N116,OvernightIndex,0,,,,EvaluationDate)</f>
        <v>obj_004b4#0001</v>
      </c>
      <c r="P116" s="490" t="b">
        <f>_xll.qlInstrumentSetPricingEngine(O116,OisEngine)</f>
        <v>1</v>
      </c>
      <c r="Q116" s="489">
        <f>_xll.qlIndexFixing("euribor6m",_xll.qlInterestRateIndexFixingDate("Euribor6M",M116),TRUE,AllTriggers)</f>
        <v>2.331553332065376E-2</v>
      </c>
      <c r="R116" s="489">
        <f>_xll.qlOvernightIndexedSwapFairRate(O116,AllTriggers)</f>
        <v>2.0040932517225961E-2</v>
      </c>
      <c r="S116" s="491">
        <f t="shared" si="5"/>
        <v>3.274600803427799E-3</v>
      </c>
    </row>
    <row r="117" spans="5:19" ht="11.25" customHeight="1" x14ac:dyDescent="0.2">
      <c r="E117" s="483"/>
      <c r="F117" s="483"/>
      <c r="G117" s="482"/>
      <c r="J117" s="482"/>
      <c r="K117" s="482"/>
      <c r="M117" s="497">
        <f>_xll.qlCalendarAdvance(Calendar,M116,"1M","f",,Trigger)</f>
        <v>45476</v>
      </c>
      <c r="N117" s="488">
        <f>_xll.qlCalendarAdvance(Calendar,M117,"3M","f",,Trigger)</f>
        <v>45568</v>
      </c>
      <c r="O117" s="490" t="str">
        <f>_xll.qlMakeDatedOIS(,M117,N117,OvernightIndex,0,,,,EvaluationDate)</f>
        <v>obj_0081a#0001</v>
      </c>
      <c r="P117" s="490" t="b">
        <f>_xll.qlInstrumentSetPricingEngine(O117,OisEngine)</f>
        <v>1</v>
      </c>
      <c r="Q117" s="489">
        <f>_xll.qlIndexFixing("euribor6m",_xll.qlInterestRateIndexFixingDate("Euribor6M",M117),TRUE,AllTriggers)</f>
        <v>2.3410759088284588E-2</v>
      </c>
      <c r="R117" s="489">
        <f>_xll.qlOvernightIndexedSwapFairRate(O117,AllTriggers)</f>
        <v>2.0383069950837249E-2</v>
      </c>
      <c r="S117" s="491">
        <f t="shared" si="5"/>
        <v>3.0276891374473383E-3</v>
      </c>
    </row>
    <row r="118" spans="5:19" ht="11.25" customHeight="1" x14ac:dyDescent="0.2">
      <c r="E118" s="483"/>
      <c r="F118" s="483"/>
      <c r="G118" s="482"/>
      <c r="J118" s="482"/>
      <c r="K118" s="482"/>
      <c r="M118" s="497">
        <f>_xll.qlCalendarAdvance(Calendar,M117,"1M","f",,Trigger)</f>
        <v>45509</v>
      </c>
      <c r="N118" s="488">
        <f>_xll.qlCalendarAdvance(Calendar,M118,"3M","f",,Trigger)</f>
        <v>45601</v>
      </c>
      <c r="O118" s="490" t="str">
        <f>_xll.qlMakeDatedOIS(,M118,N118,OvernightIndex,0,,,,EvaluationDate)</f>
        <v>obj_004b7#0001</v>
      </c>
      <c r="P118" s="490" t="b">
        <f>_xll.qlInstrumentSetPricingEngine(O118,OisEngine)</f>
        <v>1</v>
      </c>
      <c r="Q118" s="489">
        <f>_xll.qlIndexFixing("euribor6m",_xll.qlInterestRateIndexFixingDate("Euribor6M",M118),TRUE,AllTriggers)</f>
        <v>2.3509898818738776E-2</v>
      </c>
      <c r="R118" s="489">
        <f>_xll.qlOvernightIndexedSwapFairRate(O118,AllTriggers)</f>
        <v>2.0874014776759525E-2</v>
      </c>
      <c r="S118" s="491">
        <f t="shared" si="5"/>
        <v>2.6358840419792515E-3</v>
      </c>
    </row>
    <row r="119" spans="5:19" ht="11.25" customHeight="1" x14ac:dyDescent="0.2">
      <c r="E119" s="483"/>
      <c r="F119" s="483"/>
      <c r="G119" s="482"/>
      <c r="J119" s="482"/>
      <c r="K119" s="482"/>
      <c r="M119" s="497">
        <f>_xll.qlCalendarAdvance(Calendar,M118,"1M","f",,Trigger)</f>
        <v>45540</v>
      </c>
      <c r="N119" s="488">
        <f>_xll.qlCalendarAdvance(Calendar,M119,"3M","f",,Trigger)</f>
        <v>45631</v>
      </c>
      <c r="O119" s="490" t="str">
        <f>_xll.qlMakeDatedOIS(,M119,N119,OvernightIndex,0,,,,EvaluationDate)</f>
        <v>obj_004b9#0001</v>
      </c>
      <c r="P119" s="490" t="b">
        <f>_xll.qlInstrumentSetPricingEngine(O119,OisEngine)</f>
        <v>1</v>
      </c>
      <c r="Q119" s="489">
        <f>_xll.qlIndexFixing("euribor6m",_xll.qlInterestRateIndexFixingDate("Euribor6M",M119),TRUE,AllTriggers)</f>
        <v>2.3593529817520081E-2</v>
      </c>
      <c r="R119" s="489">
        <f>_xll.qlOvernightIndexedSwapFairRate(O119,AllTriggers)</f>
        <v>2.1333812612072324E-2</v>
      </c>
      <c r="S119" s="491">
        <f t="shared" si="5"/>
        <v>2.2597172054477574E-3</v>
      </c>
    </row>
    <row r="120" spans="5:19" ht="11.25" customHeight="1" x14ac:dyDescent="0.2">
      <c r="E120" s="483"/>
      <c r="F120" s="483"/>
      <c r="G120" s="482"/>
      <c r="J120" s="482"/>
      <c r="K120" s="482"/>
      <c r="M120" s="497">
        <f>_xll.qlCalendarAdvance(Calendar,M119,"1M","f",,Trigger)</f>
        <v>45572</v>
      </c>
      <c r="N120" s="488">
        <f>_xll.qlCalendarAdvance(Calendar,M120,"3M","f",,Trigger)</f>
        <v>45664</v>
      </c>
      <c r="O120" s="490" t="str">
        <f>_xll.qlMakeDatedOIS(,M120,N120,OvernightIndex,0,,,,EvaluationDate)</f>
        <v>obj_004bb#0001</v>
      </c>
      <c r="P120" s="490" t="b">
        <f>_xll.qlInstrumentSetPricingEngine(O120,OisEngine)</f>
        <v>1</v>
      </c>
      <c r="Q120" s="489">
        <f>_xll.qlIndexFixing("euribor6m",_xll.qlInterestRateIndexFixingDate("Euribor6M",M120),TRUE,AllTriggers)</f>
        <v>2.3685591693128661E-2</v>
      </c>
      <c r="R120" s="489">
        <f>_xll.qlOvernightIndexedSwapFairRate(O120,AllTriggers)</f>
        <v>2.1409660836413772E-2</v>
      </c>
      <c r="S120" s="491">
        <f t="shared" si="5"/>
        <v>2.2759308567148889E-3</v>
      </c>
    </row>
    <row r="121" spans="5:19" ht="11.25" customHeight="1" x14ac:dyDescent="0.2">
      <c r="E121" s="483"/>
      <c r="F121" s="483"/>
      <c r="G121" s="482"/>
      <c r="J121" s="482"/>
      <c r="K121" s="482"/>
      <c r="M121" s="497">
        <f>_xll.qlCalendarAdvance(Calendar,M120,"1M","f",,Trigger)</f>
        <v>45603</v>
      </c>
      <c r="N121" s="488">
        <f>_xll.qlCalendarAdvance(Calendar,M121,"3M","f",,Trigger)</f>
        <v>45695</v>
      </c>
      <c r="O121" s="490" t="str">
        <f>_xll.qlMakeDatedOIS(,M121,N121,OvernightIndex,0,,,,EvaluationDate)</f>
        <v>obj_004bd#0001</v>
      </c>
      <c r="P121" s="490" t="b">
        <f>_xll.qlInstrumentSetPricingEngine(O121,OisEngine)</f>
        <v>1</v>
      </c>
      <c r="Q121" s="489">
        <f>_xll.qlIndexFixing("euribor6m",_xll.qlInterestRateIndexFixingDate("Euribor6M",M121),TRUE,AllTriggers)</f>
        <v>2.3767532020086992E-2</v>
      </c>
      <c r="R121" s="489">
        <f>_xll.qlOvernightIndexedSwapFairRate(O121,AllTriggers)</f>
        <v>2.1409660836413772E-2</v>
      </c>
      <c r="S121" s="491">
        <f t="shared" si="5"/>
        <v>2.35787118367322E-3</v>
      </c>
    </row>
    <row r="122" spans="5:19" ht="11.25" customHeight="1" x14ac:dyDescent="0.2">
      <c r="E122" s="483"/>
      <c r="F122" s="483"/>
      <c r="G122" s="482"/>
      <c r="J122" s="482"/>
      <c r="K122" s="482"/>
      <c r="M122" s="497">
        <f>_xll.qlCalendarAdvance(Calendar,M121,"1M","f",,Trigger)</f>
        <v>45635</v>
      </c>
      <c r="N122" s="488">
        <f>_xll.qlCalendarAdvance(Calendar,M122,"3M","f",,Trigger)</f>
        <v>45726</v>
      </c>
      <c r="O122" s="490" t="str">
        <f>_xll.qlMakeDatedOIS(,M122,N122,OvernightIndex,0,,,,EvaluationDate)</f>
        <v>obj_004bf#0001</v>
      </c>
      <c r="P122" s="490" t="b">
        <f>_xll.qlInstrumentSetPricingEngine(O122,OisEngine)</f>
        <v>1</v>
      </c>
      <c r="Q122" s="489">
        <f>_xll.qlIndexFixing("euribor6m",_xll.qlInterestRateIndexFixingDate("Euribor6M",M122),TRUE,AllTriggers)</f>
        <v>2.3853115371993455E-2</v>
      </c>
      <c r="R122" s="489">
        <f>_xll.qlOvernightIndexedSwapFairRate(O122,AllTriggers)</f>
        <v>2.1409025376925472E-2</v>
      </c>
      <c r="S122" s="491">
        <f t="shared" si="5"/>
        <v>2.4440899950679829E-3</v>
      </c>
    </row>
    <row r="123" spans="5:19" ht="11.25" customHeight="1" x14ac:dyDescent="0.2">
      <c r="E123" s="483"/>
      <c r="F123" s="483"/>
      <c r="G123" s="482"/>
      <c r="J123" s="482"/>
      <c r="K123" s="482"/>
      <c r="M123" s="497">
        <f>_xll.qlCalendarAdvance(Calendar,M122,"1M","f",,Trigger)</f>
        <v>45666</v>
      </c>
      <c r="N123" s="488">
        <f>_xll.qlCalendarAdvance(Calendar,M123,"3M","f",,Trigger)</f>
        <v>45756</v>
      </c>
      <c r="O123" s="490" t="str">
        <f>_xll.qlMakeDatedOIS(,M123,N123,OvernightIndex,0,,,,EvaluationDate)</f>
        <v>obj_004c1#0001</v>
      </c>
      <c r="P123" s="490" t="b">
        <f>_xll.qlInstrumentSetPricingEngine(O123,OisEngine)</f>
        <v>1</v>
      </c>
      <c r="Q123" s="489">
        <f>_xll.qlIndexFixing("euribor6m",_xll.qlInterestRateIndexFixingDate("Euribor6M",M123),TRUE,AllTriggers)</f>
        <v>2.3928953733129081E-2</v>
      </c>
      <c r="R123" s="489">
        <f>_xll.qlOvernightIndexedSwapFairRate(O123,AllTriggers)</f>
        <v>2.1408389942573436E-2</v>
      </c>
      <c r="S123" s="491">
        <f t="shared" si="5"/>
        <v>2.5205637905556452E-3</v>
      </c>
    </row>
    <row r="124" spans="5:19" ht="11.25" customHeight="1" x14ac:dyDescent="0.2">
      <c r="E124" s="483"/>
      <c r="F124" s="483"/>
      <c r="G124" s="482"/>
      <c r="J124" s="482"/>
      <c r="K124" s="482"/>
      <c r="M124" s="497">
        <f>_xll.qlCalendarAdvance(Calendar,M123,"1M","f",,Trigger)</f>
        <v>45698</v>
      </c>
      <c r="N124" s="488">
        <f>_xll.qlCalendarAdvance(Calendar,M124,"3M","f",,Trigger)</f>
        <v>45789</v>
      </c>
      <c r="O124" s="490" t="str">
        <f>_xll.qlMakeDatedOIS(,M124,N124,OvernightIndex,0,,,,EvaluationDate)</f>
        <v>obj_004c3#0001</v>
      </c>
      <c r="P124" s="490" t="b">
        <f>_xll.qlInstrumentSetPricingEngine(O124,OisEngine)</f>
        <v>1</v>
      </c>
      <c r="Q124" s="489">
        <f>_xll.qlIndexFixing("euribor6m",_xll.qlInterestRateIndexFixingDate("Euribor6M",M124),TRUE,AllTriggers)</f>
        <v>2.4008056154598362E-2</v>
      </c>
      <c r="R124" s="489">
        <f>_xll.qlOvernightIndexedSwapFairRate(O124,AllTriggers)</f>
        <v>2.1409025376925468E-2</v>
      </c>
      <c r="S124" s="491">
        <f t="shared" si="5"/>
        <v>2.5990307776728935E-3</v>
      </c>
    </row>
    <row r="125" spans="5:19" ht="11.25" customHeight="1" x14ac:dyDescent="0.2">
      <c r="E125" s="483"/>
      <c r="F125" s="483"/>
      <c r="G125" s="482"/>
      <c r="J125" s="482"/>
      <c r="K125" s="482"/>
      <c r="M125" s="497">
        <f>_xll.qlCalendarAdvance(Calendar,M124,"1M","f",,Trigger)</f>
        <v>45726</v>
      </c>
      <c r="N125" s="488">
        <f>_xll.qlCalendarAdvance(Calendar,M125,"3M","f",,Trigger)</f>
        <v>45818</v>
      </c>
      <c r="O125" s="490" t="str">
        <f>_xll.qlMakeDatedOIS(,M125,N125,OvernightIndex,0,,,,EvaluationDate)</f>
        <v>obj_004c5#0001</v>
      </c>
      <c r="P125" s="490" t="b">
        <f>_xll.qlInstrumentSetPricingEngine(O125,OisEngine)</f>
        <v>1</v>
      </c>
      <c r="Q125" s="489">
        <f>_xll.qlIndexFixing("euribor6m",_xll.qlInterestRateIndexFixingDate("Euribor6M",M125),TRUE,AllTriggers)</f>
        <v>2.4076654911865829E-2</v>
      </c>
      <c r="R125" s="489">
        <f>_xll.qlOvernightIndexedSwapFairRate(O125,AllTriggers)</f>
        <v>2.1409660836413765E-2</v>
      </c>
      <c r="S125" s="491">
        <f t="shared" si="5"/>
        <v>2.6669940754520637E-3</v>
      </c>
    </row>
    <row r="126" spans="5:19" ht="11.25" customHeight="1" x14ac:dyDescent="0.2">
      <c r="E126" s="483"/>
      <c r="F126" s="483"/>
      <c r="G126" s="482"/>
      <c r="J126" s="482"/>
      <c r="K126" s="482"/>
      <c r="M126" s="497">
        <f>_xll.qlCalendarAdvance(Calendar,M125,"1M","f",,Trigger)</f>
        <v>45757</v>
      </c>
      <c r="N126" s="488">
        <f>_xll.qlCalendarAdvance(Calendar,M126,"3M","f",,Trigger)</f>
        <v>45848</v>
      </c>
      <c r="O126" s="490" t="str">
        <f>_xll.qlMakeDatedOIS(,M126,N126,OvernightIndex,0,,,,EvaluationDate)</f>
        <v>obj_004c7#0001</v>
      </c>
      <c r="P126" s="490" t="b">
        <f>_xll.qlInstrumentSetPricingEngine(O126,OisEngine)</f>
        <v>1</v>
      </c>
      <c r="Q126" s="489">
        <f>_xll.qlIndexFixing("euribor6m",_xll.qlInterestRateIndexFixingDate("Euribor6M",M126),TRUE,AllTriggers)</f>
        <v>2.4143590758270286E-2</v>
      </c>
      <c r="R126" s="489">
        <f>_xll.qlOvernightIndexedSwapFairRate(O126,AllTriggers)</f>
        <v>2.1409025376925468E-2</v>
      </c>
      <c r="S126" s="491">
        <f t="shared" si="5"/>
        <v>2.7345653813448181E-3</v>
      </c>
    </row>
    <row r="127" spans="5:19" ht="11.25" customHeight="1" x14ac:dyDescent="0.2">
      <c r="E127" s="483"/>
      <c r="F127" s="483"/>
      <c r="G127" s="482"/>
      <c r="J127" s="482"/>
      <c r="K127" s="482"/>
      <c r="M127" s="497">
        <f>_xll.qlCalendarAdvance(Calendar,M126,"1M","f",,Trigger)</f>
        <v>45789</v>
      </c>
      <c r="N127" s="488">
        <f>_xll.qlCalendarAdvance(Calendar,M127,"3M","f",,Trigger)</f>
        <v>45881</v>
      </c>
      <c r="O127" s="490" t="str">
        <f>_xll.qlMakeDatedOIS(,M127,N127,OvernightIndex,0,,,,EvaluationDate)</f>
        <v>obj_004c9#0001</v>
      </c>
      <c r="P127" s="490" t="b">
        <f>_xll.qlInstrumentSetPricingEngine(O127,OisEngine)</f>
        <v>1</v>
      </c>
      <c r="Q127" s="489">
        <f>_xll.qlIndexFixing("euribor6m",_xll.qlInterestRateIndexFixingDate("Euribor6M",M127),TRUE,AllTriggers)</f>
        <v>2.4213233685039949E-2</v>
      </c>
      <c r="R127" s="489">
        <f>_xll.qlOvernightIndexedSwapFairRate(O127,AllTriggers)</f>
        <v>2.1409660836413769E-2</v>
      </c>
      <c r="S127" s="491">
        <f t="shared" si="5"/>
        <v>2.8035728486261804E-3</v>
      </c>
    </row>
    <row r="128" spans="5:19" ht="11.25" customHeight="1" x14ac:dyDescent="0.2">
      <c r="E128" s="483"/>
      <c r="F128" s="483"/>
      <c r="G128" s="482"/>
      <c r="J128" s="482"/>
      <c r="K128" s="482"/>
      <c r="M128" s="497">
        <f>_xll.qlCalendarAdvance(Calendar,M127,"1M","f",,Trigger)</f>
        <v>45820</v>
      </c>
      <c r="N128" s="488">
        <f>_xll.qlCalendarAdvance(Calendar,M128,"3M","f",,Trigger)</f>
        <v>45912</v>
      </c>
      <c r="O128" s="490" t="str">
        <f>_xll.qlMakeDatedOIS(,M128,N128,OvernightIndex,0,,,,EvaluationDate)</f>
        <v>obj_004cb#0001</v>
      </c>
      <c r="P128" s="490" t="b">
        <f>_xll.qlInstrumentSetPricingEngine(O128,OisEngine)</f>
        <v>1</v>
      </c>
      <c r="Q128" s="489">
        <f>_xll.qlIndexFixing("euribor6m",_xll.qlInterestRateIndexFixingDate("Euribor6M",M128),TRUE,AllTriggers)</f>
        <v>2.4274065359383493E-2</v>
      </c>
      <c r="R128" s="489">
        <f>_xll.qlOvernightIndexedSwapFairRate(O128,AllTriggers)</f>
        <v>2.1431350369794405E-2</v>
      </c>
      <c r="S128" s="491">
        <f t="shared" si="5"/>
        <v>2.8427149895890874E-3</v>
      </c>
    </row>
    <row r="129" spans="5:19" ht="11.25" customHeight="1" x14ac:dyDescent="0.2">
      <c r="E129" s="483"/>
      <c r="F129" s="483"/>
      <c r="G129" s="482"/>
      <c r="J129" s="482"/>
      <c r="K129" s="482"/>
      <c r="M129" s="497">
        <f>_xll.qlCalendarAdvance(Calendar,M128,"1M","f",,Trigger)</f>
        <v>45852</v>
      </c>
      <c r="N129" s="488">
        <f>_xll.qlCalendarAdvance(Calendar,M129,"3M","f",,Trigger)</f>
        <v>45944</v>
      </c>
      <c r="O129" s="490" t="str">
        <f>_xll.qlMakeDatedOIS(,M129,N129,OvernightIndex,0,,,,EvaluationDate)</f>
        <v>obj_00808#0001</v>
      </c>
      <c r="P129" s="490" t="b">
        <f>_xll.qlInstrumentSetPricingEngine(O129,OisEngine)</f>
        <v>1</v>
      </c>
      <c r="Q129" s="489">
        <f>_xll.qlIndexFixing("euribor6m",_xll.qlInterestRateIndexFixingDate("Euribor6M",M129),TRUE,AllTriggers)</f>
        <v>2.4337221205748188E-2</v>
      </c>
      <c r="R129" s="489">
        <f>_xll.qlOvernightIndexedSwapFairRate(O129,AllTriggers)</f>
        <v>2.1778399165623481E-2</v>
      </c>
      <c r="S129" s="491">
        <f t="shared" si="5"/>
        <v>2.5588220401247079E-3</v>
      </c>
    </row>
    <row r="130" spans="5:19" ht="11.25" customHeight="1" x14ac:dyDescent="0.2">
      <c r="E130" s="483"/>
      <c r="F130" s="483"/>
      <c r="G130" s="482"/>
      <c r="J130" s="482"/>
      <c r="K130" s="482"/>
      <c r="M130" s="497">
        <f>_xll.qlCalendarAdvance(Calendar,M129,"1M","f",,Trigger)</f>
        <v>45883</v>
      </c>
      <c r="N130" s="488">
        <f>_xll.qlCalendarAdvance(Calendar,M130,"3M","f",,Trigger)</f>
        <v>45975</v>
      </c>
      <c r="O130" s="490" t="str">
        <f>_xll.qlMakeDatedOIS(,M130,N130,OvernightIndex,0,,,,EvaluationDate)</f>
        <v>obj_004ce#0001</v>
      </c>
      <c r="P130" s="490" t="b">
        <f>_xll.qlInstrumentSetPricingEngine(O130,OisEngine)</f>
        <v>1</v>
      </c>
      <c r="Q130" s="489">
        <f>_xll.qlIndexFixing("euribor6m",_xll.qlInterestRateIndexFixingDate("Euribor6M",M130),TRUE,AllTriggers)</f>
        <v>2.4396924672523426E-2</v>
      </c>
      <c r="R130" s="489">
        <f>_xll.qlOvernightIndexedSwapFairRate(O130,AllTriggers)</f>
        <v>2.2114631878741346E-2</v>
      </c>
      <c r="S130" s="491">
        <f t="shared" si="5"/>
        <v>2.28229279378208E-3</v>
      </c>
    </row>
    <row r="131" spans="5:19" ht="11.25" customHeight="1" x14ac:dyDescent="0.2">
      <c r="E131" s="483"/>
      <c r="F131" s="483"/>
      <c r="G131" s="482"/>
      <c r="J131" s="482"/>
      <c r="K131" s="482"/>
      <c r="M131" s="497">
        <f>_xll.qlCalendarAdvance(Calendar,M130,"1M","f",,Trigger)</f>
        <v>45915</v>
      </c>
      <c r="N131" s="488">
        <f>_xll.qlCalendarAdvance(Calendar,M131,"3M","f",,Trigger)</f>
        <v>46006</v>
      </c>
      <c r="O131" s="490" t="str">
        <f>_xll.qlMakeDatedOIS(,M131,N131,OvernightIndex,0,,,,EvaluationDate)</f>
        <v>obj_004d0#0001</v>
      </c>
      <c r="P131" s="490" t="b">
        <f>_xll.qlInstrumentSetPricingEngine(O131,OisEngine)</f>
        <v>1</v>
      </c>
      <c r="Q131" s="489">
        <f>_xll.qlIndexFixing("euribor6m",_xll.qlInterestRateIndexFixingDate("Euribor6M",M131),TRUE,AllTriggers)</f>
        <v>2.444538894641278E-2</v>
      </c>
      <c r="R131" s="489">
        <f>_xll.qlOvernightIndexedSwapFairRate(O131,AllTriggers)</f>
        <v>2.2406807121004946E-2</v>
      </c>
      <c r="S131" s="491">
        <f t="shared" ref="S131:S194" si="6">Q131-R131</f>
        <v>2.0385818254078335E-3</v>
      </c>
    </row>
    <row r="132" spans="5:19" ht="11.25" customHeight="1" x14ac:dyDescent="0.2">
      <c r="E132" s="483"/>
      <c r="F132" s="483"/>
      <c r="G132" s="482"/>
      <c r="J132" s="482"/>
      <c r="K132" s="482"/>
      <c r="M132" s="497">
        <f>_xll.qlCalendarAdvance(Calendar,M131,"1M","f",,Trigger)</f>
        <v>45945</v>
      </c>
      <c r="N132" s="488">
        <f>_xll.qlCalendarAdvance(Calendar,M132,"3M","f",,Trigger)</f>
        <v>46037</v>
      </c>
      <c r="O132" s="490" t="str">
        <f>_xll.qlMakeDatedOIS(,M132,N132,OvernightIndex,0,,,,EvaluationDate)</f>
        <v>obj_004d2#0001</v>
      </c>
      <c r="P132" s="490" t="b">
        <f>_xll.qlInstrumentSetPricingEngine(O132,OisEngine)</f>
        <v>1</v>
      </c>
      <c r="Q132" s="489">
        <f>_xll.qlIndexFixing("euribor6m",_xll.qlInterestRateIndexFixingDate("Euribor6M",M132),TRUE,AllTriggers)</f>
        <v>2.4494095338617499E-2</v>
      </c>
      <c r="R132" s="489">
        <f>_xll.qlOvernightIndexedSwapFairRate(O132,AllTriggers)</f>
        <v>2.2407503135121815E-2</v>
      </c>
      <c r="S132" s="491">
        <f t="shared" si="6"/>
        <v>2.0865922034956838E-3</v>
      </c>
    </row>
    <row r="133" spans="5:19" ht="11.25" customHeight="1" x14ac:dyDescent="0.2">
      <c r="E133" s="483"/>
      <c r="F133" s="483"/>
      <c r="G133" s="482"/>
      <c r="J133" s="482"/>
      <c r="K133" s="482"/>
      <c r="M133" s="497">
        <f>_xll.qlCalendarAdvance(Calendar,M132,"1M","f",,Trigger)</f>
        <v>45978</v>
      </c>
      <c r="N133" s="488">
        <f>_xll.qlCalendarAdvance(Calendar,M133,"3M","f",,Trigger)</f>
        <v>46070</v>
      </c>
      <c r="O133" s="490" t="str">
        <f>_xll.qlMakeDatedOIS(,M133,N133,OvernightIndex,0,,,,EvaluationDate)</f>
        <v>obj_004d4#0001</v>
      </c>
      <c r="P133" s="490" t="b">
        <f>_xll.qlInstrumentSetPricingEngine(O133,OisEngine)</f>
        <v>1</v>
      </c>
      <c r="Q133" s="489">
        <f>_xll.qlIndexFixing("euribor6m",_xll.qlInterestRateIndexFixingDate("Euribor6M",M133),TRUE,AllTriggers)</f>
        <v>2.4544373669833263E-2</v>
      </c>
      <c r="R133" s="489">
        <f>_xll.qlOvernightIndexedSwapFairRate(O133,AllTriggers)</f>
        <v>2.2407503135121812E-2</v>
      </c>
      <c r="S133" s="491">
        <f t="shared" si="6"/>
        <v>2.1368705347114512E-3</v>
      </c>
    </row>
    <row r="134" spans="5:19" ht="11.25" customHeight="1" x14ac:dyDescent="0.2">
      <c r="E134" s="483"/>
      <c r="F134" s="483"/>
      <c r="G134" s="482"/>
      <c r="J134" s="482"/>
      <c r="K134" s="482"/>
      <c r="M134" s="497">
        <f>_xll.qlCalendarAdvance(Calendar,M133,"1M","f",,Trigger)</f>
        <v>46008</v>
      </c>
      <c r="N134" s="488">
        <f>_xll.qlCalendarAdvance(Calendar,M134,"3M","f",,Trigger)</f>
        <v>46098</v>
      </c>
      <c r="O134" s="490" t="str">
        <f>_xll.qlMakeDatedOIS(,M134,N134,OvernightIndex,0,,,,EvaluationDate)</f>
        <v>obj_004d6#0001</v>
      </c>
      <c r="P134" s="490" t="b">
        <f>_xll.qlInstrumentSetPricingEngine(O134,OisEngine)</f>
        <v>1</v>
      </c>
      <c r="Q134" s="489">
        <f>_xll.qlIndexFixing("euribor6m",_xll.qlInterestRateIndexFixingDate("Euribor6M",M134),TRUE,AllTriggers)</f>
        <v>2.4587082213048207E-2</v>
      </c>
      <c r="R134" s="489">
        <f>_xll.qlOvernightIndexedSwapFairRate(O134,AllTriggers)</f>
        <v>2.240611113570079E-2</v>
      </c>
      <c r="S134" s="491">
        <f t="shared" si="6"/>
        <v>2.180971077347417E-3</v>
      </c>
    </row>
    <row r="135" spans="5:19" ht="11.25" customHeight="1" x14ac:dyDescent="0.2">
      <c r="E135" s="483"/>
      <c r="F135" s="483"/>
      <c r="G135" s="482"/>
      <c r="J135" s="482"/>
      <c r="K135" s="482"/>
      <c r="M135" s="497">
        <f>_xll.qlCalendarAdvance(Calendar,M134,"1M","f",,Trigger)</f>
        <v>46041</v>
      </c>
      <c r="N135" s="488">
        <f>_xll.qlCalendarAdvance(Calendar,M135,"3M","f",,Trigger)</f>
        <v>46132</v>
      </c>
      <c r="O135" s="490" t="str">
        <f>_xll.qlMakeDatedOIS(,M135,N135,OvernightIndex,0,,,,EvaluationDate)</f>
        <v>obj_007f6#0001</v>
      </c>
      <c r="P135" s="490" t="b">
        <f>_xll.qlInstrumentSetPricingEngine(O135,OisEngine)</f>
        <v>1</v>
      </c>
      <c r="Q135" s="489">
        <f>_xll.qlIndexFixing("euribor6m",_xll.qlInterestRateIndexFixingDate("Euribor6M",M135),TRUE,AllTriggers)</f>
        <v>2.4630762451711648E-2</v>
      </c>
      <c r="R135" s="489">
        <f>_xll.qlOvernightIndexedSwapFairRate(O135,AllTriggers)</f>
        <v>2.2406807121005821E-2</v>
      </c>
      <c r="S135" s="491">
        <f t="shared" si="6"/>
        <v>2.223955330705827E-3</v>
      </c>
    </row>
    <row r="136" spans="5:19" ht="11.25" customHeight="1" x14ac:dyDescent="0.2">
      <c r="E136" s="483"/>
      <c r="F136" s="483"/>
      <c r="G136" s="482"/>
      <c r="J136" s="482"/>
      <c r="K136" s="482"/>
      <c r="M136" s="497">
        <f>_xll.qlCalendarAdvance(Calendar,M135,"1M","f",,Trigger)</f>
        <v>46072</v>
      </c>
      <c r="N136" s="488">
        <f>_xll.qlCalendarAdvance(Calendar,M136,"3M","f",,Trigger)</f>
        <v>46161</v>
      </c>
      <c r="O136" s="490" t="str">
        <f>_xll.qlMakeDatedOIS(,M136,N136,OvernightIndex,0,,,,EvaluationDate)</f>
        <v>obj_004d9#0001</v>
      </c>
      <c r="P136" s="490" t="b">
        <f>_xll.qlInstrumentSetPricingEngine(O136,OisEngine)</f>
        <v>1</v>
      </c>
      <c r="Q136" s="489">
        <f>_xll.qlIndexFixing("euribor6m",_xll.qlInterestRateIndexFixingDate("Euribor6M",M136),TRUE,AllTriggers)</f>
        <v>2.4667266338742156E-2</v>
      </c>
      <c r="R136" s="489">
        <f>_xll.qlOvernightIndexedSwapFairRate(O136,AllTriggers)</f>
        <v>2.240541517920697E-2</v>
      </c>
      <c r="S136" s="491">
        <f t="shared" si="6"/>
        <v>2.2618511595351859E-3</v>
      </c>
    </row>
    <row r="137" spans="5:19" ht="11.25" customHeight="1" x14ac:dyDescent="0.2">
      <c r="E137" s="483"/>
      <c r="F137" s="483"/>
      <c r="G137" s="482"/>
      <c r="J137" s="482"/>
      <c r="K137" s="482"/>
      <c r="M137" s="497">
        <f>_xll.qlCalendarAdvance(Calendar,M136,"1M","f",,Trigger)</f>
        <v>46100</v>
      </c>
      <c r="N137" s="488">
        <f>_xll.qlCalendarAdvance(Calendar,M137,"3M","f",,Trigger)</f>
        <v>46192</v>
      </c>
      <c r="O137" s="490" t="str">
        <f>_xll.qlMakeDatedOIS(,M137,N137,OvernightIndex,0,,,,EvaluationDate)</f>
        <v>obj_004db#0001</v>
      </c>
      <c r="P137" s="490" t="b">
        <f>_xll.qlInstrumentSetPricingEngine(O137,OisEngine)</f>
        <v>1</v>
      </c>
      <c r="Q137" s="489">
        <f>_xll.qlIndexFixing("euribor6m",_xll.qlInterestRateIndexFixingDate("Euribor6M",M137),TRUE,AllTriggers)</f>
        <v>2.470558882214895E-2</v>
      </c>
      <c r="R137" s="489">
        <f>_xll.qlOvernightIndexedSwapFairRate(O137,AllTriggers)</f>
        <v>2.2407503135121819E-2</v>
      </c>
      <c r="S137" s="491">
        <f t="shared" si="6"/>
        <v>2.2980856870271314E-3</v>
      </c>
    </row>
    <row r="138" spans="5:19" ht="11.25" customHeight="1" x14ac:dyDescent="0.2">
      <c r="E138" s="483"/>
      <c r="F138" s="483"/>
      <c r="G138" s="482"/>
      <c r="J138" s="482"/>
      <c r="K138" s="482"/>
      <c r="M138" s="497">
        <f>_xll.qlCalendarAdvance(Calendar,M137,"1M","f",,Trigger)</f>
        <v>46132</v>
      </c>
      <c r="N138" s="488">
        <f>_xll.qlCalendarAdvance(Calendar,M138,"3M","f",,Trigger)</f>
        <v>46223</v>
      </c>
      <c r="O138" s="490" t="str">
        <f>_xll.qlMakeDatedOIS(,M138,N138,OvernightIndex,0,,,,EvaluationDate)</f>
        <v>obj_004dd#0001</v>
      </c>
      <c r="P138" s="490" t="b">
        <f>_xll.qlInstrumentSetPricingEngine(O138,OisEngine)</f>
        <v>1</v>
      </c>
      <c r="Q138" s="489">
        <f>_xll.qlIndexFixing("euribor6m",_xll.qlInterestRateIndexFixingDate("Euribor6M",M138),TRUE,AllTriggers)</f>
        <v>2.4734719517016997E-2</v>
      </c>
      <c r="R138" s="489">
        <f>_xll.qlOvernightIndexedSwapFairRate(O138,AllTriggers)</f>
        <v>2.2406807121004943E-2</v>
      </c>
      <c r="S138" s="491">
        <f t="shared" si="6"/>
        <v>2.3279123960120544E-3</v>
      </c>
    </row>
    <row r="139" spans="5:19" ht="11.25" customHeight="1" x14ac:dyDescent="0.2">
      <c r="E139" s="483"/>
      <c r="F139" s="483"/>
      <c r="G139" s="482"/>
      <c r="J139" s="482"/>
      <c r="K139" s="482"/>
      <c r="M139" s="497">
        <f>_xll.qlCalendarAdvance(Calendar,M138,"1M","f",,Trigger)</f>
        <v>46162</v>
      </c>
      <c r="N139" s="488">
        <f>_xll.qlCalendarAdvance(Calendar,M139,"3M","f",,Trigger)</f>
        <v>46254</v>
      </c>
      <c r="O139" s="490" t="str">
        <f>_xll.qlMakeDatedOIS(,M139,N139,OvernightIndex,0,,,,EvaluationDate)</f>
        <v>obj_004df#0001</v>
      </c>
      <c r="P139" s="490" t="b">
        <f>_xll.qlInstrumentSetPricingEngine(O139,OisEngine)</f>
        <v>1</v>
      </c>
      <c r="Q139" s="489">
        <f>_xll.qlIndexFixing("euribor6m",_xll.qlInterestRateIndexFixingDate("Euribor6M",M139),TRUE,AllTriggers)</f>
        <v>2.4764530606343472E-2</v>
      </c>
      <c r="R139" s="489">
        <f>_xll.qlOvernightIndexedSwapFairRate(O139,AllTriggers)</f>
        <v>2.2407503135121812E-2</v>
      </c>
      <c r="S139" s="491">
        <f t="shared" si="6"/>
        <v>2.35702747122166E-3</v>
      </c>
    </row>
    <row r="140" spans="5:19" ht="11.25" customHeight="1" x14ac:dyDescent="0.2">
      <c r="E140" s="483"/>
      <c r="F140" s="483"/>
      <c r="G140" s="482"/>
      <c r="J140" s="482"/>
      <c r="K140" s="482"/>
      <c r="M140" s="497">
        <f>_xll.qlCalendarAdvance(Calendar,M139,"1M","f",,Trigger)</f>
        <v>46195</v>
      </c>
      <c r="N140" s="488">
        <f>_xll.qlCalendarAdvance(Calendar,M140,"3M","f",,Trigger)</f>
        <v>46287</v>
      </c>
      <c r="O140" s="490" t="str">
        <f>_xll.qlMakeDatedOIS(,M140,N140,OvernightIndex,0,,,,EvaluationDate)</f>
        <v>obj_004e1#0001</v>
      </c>
      <c r="P140" s="490" t="b">
        <f>_xll.qlInstrumentSetPricingEngine(O140,OisEngine)</f>
        <v>1</v>
      </c>
      <c r="Q140" s="489">
        <f>_xll.qlIndexFixing("euribor6m",_xll.qlInterestRateIndexFixingDate("Euribor6M",M140),TRUE,AllTriggers)</f>
        <v>2.4792226697100694E-2</v>
      </c>
      <c r="R140" s="489">
        <f>_xll.qlOvernightIndexedSwapFairRate(O140,AllTriggers)</f>
        <v>2.2532157719911856E-2</v>
      </c>
      <c r="S140" s="491">
        <f t="shared" si="6"/>
        <v>2.2600689771888373E-3</v>
      </c>
    </row>
    <row r="141" spans="5:19" ht="11.25" customHeight="1" x14ac:dyDescent="0.2">
      <c r="E141" s="483"/>
      <c r="F141" s="483"/>
      <c r="G141" s="482"/>
      <c r="J141" s="482"/>
      <c r="K141" s="482"/>
      <c r="M141" s="497">
        <f>_xll.qlCalendarAdvance(Calendar,M140,"1M","f",,Trigger)</f>
        <v>46225</v>
      </c>
      <c r="N141" s="488">
        <f>_xll.qlCalendarAdvance(Calendar,M141,"3M","f",,Trigger)</f>
        <v>46317</v>
      </c>
      <c r="O141" s="490" t="str">
        <f>_xll.qlMakeDatedOIS(,M141,N141,OvernightIndex,0,,,,EvaluationDate)</f>
        <v>obj_004e3#0001</v>
      </c>
      <c r="P141" s="490" t="b">
        <f>_xll.qlInstrumentSetPricingEngine(O141,OisEngine)</f>
        <v>1</v>
      </c>
      <c r="Q141" s="489">
        <f>_xll.qlIndexFixing("euribor6m",_xll.qlInterestRateIndexFixingDate("Euribor6M",M141),TRUE,AllTriggers)</f>
        <v>2.4817912128767178E-2</v>
      </c>
      <c r="R141" s="489">
        <f>_xll.qlOvernightIndexedSwapFairRate(O141,AllTriggers)</f>
        <v>2.2843811456442643E-2</v>
      </c>
      <c r="S141" s="491">
        <f t="shared" si="6"/>
        <v>1.9741006723245358E-3</v>
      </c>
    </row>
    <row r="142" spans="5:19" ht="11.25" customHeight="1" x14ac:dyDescent="0.2">
      <c r="E142" s="483"/>
      <c r="F142" s="483"/>
      <c r="G142" s="482"/>
      <c r="J142" s="482"/>
      <c r="K142" s="482"/>
      <c r="M142" s="497">
        <f>_xll.qlCalendarAdvance(Calendar,M141,"1M","f",,Trigger)</f>
        <v>46258</v>
      </c>
      <c r="N142" s="488">
        <f>_xll.qlCalendarAdvance(Calendar,M142,"3M","f",,Trigger)</f>
        <v>46350</v>
      </c>
      <c r="O142" s="490" t="str">
        <f>_xll.qlMakeDatedOIS(,M142,N142,OvernightIndex,0,,,,EvaluationDate)</f>
        <v>obj_004e5#0001</v>
      </c>
      <c r="P142" s="490" t="b">
        <f>_xll.qlInstrumentSetPricingEngine(O142,OisEngine)</f>
        <v>1</v>
      </c>
      <c r="Q142" s="489">
        <f>_xll.qlIndexFixing("euribor6m",_xll.qlInterestRateIndexFixingDate("Euribor6M",M142),TRUE,AllTriggers)</f>
        <v>2.4843135887658324E-2</v>
      </c>
      <c r="R142" s="489">
        <f>_xll.qlOvernightIndexedSwapFairRate(O142,AllTriggers)</f>
        <v>2.3186659071528431E-2</v>
      </c>
      <c r="S142" s="491">
        <f t="shared" si="6"/>
        <v>1.6564768161298933E-3</v>
      </c>
    </row>
    <row r="143" spans="5:19" ht="11.25" customHeight="1" x14ac:dyDescent="0.2">
      <c r="E143" s="483"/>
      <c r="F143" s="483"/>
      <c r="G143" s="482"/>
      <c r="J143" s="482"/>
      <c r="K143" s="482"/>
      <c r="M143" s="497">
        <f>_xll.qlCalendarAdvance(Calendar,M142,"1M","f",,Trigger)</f>
        <v>46289</v>
      </c>
      <c r="N143" s="488">
        <f>_xll.qlCalendarAdvance(Calendar,M143,"3M","f",,Trigger)</f>
        <v>46380</v>
      </c>
      <c r="O143" s="490" t="str">
        <f>_xll.qlMakeDatedOIS(,M143,N143,OvernightIndex,0,,,,EvaluationDate)</f>
        <v>obj_004e7#0001</v>
      </c>
      <c r="P143" s="490" t="b">
        <f>_xll.qlInstrumentSetPricingEngine(O143,OisEngine)</f>
        <v>1</v>
      </c>
      <c r="Q143" s="489">
        <f>_xll.qlIndexFixing("euribor6m",_xll.qlInterestRateIndexFixingDate("Euribor6M",M143),TRUE,AllTriggers)</f>
        <v>2.4862018902401223E-2</v>
      </c>
      <c r="R143" s="489">
        <f>_xll.qlOvernightIndexedSwapFairRate(O143,AllTriggers)</f>
        <v>2.3362532599942351E-2</v>
      </c>
      <c r="S143" s="491">
        <f t="shared" si="6"/>
        <v>1.4994863024588717E-3</v>
      </c>
    </row>
    <row r="144" spans="5:19" ht="11.25" customHeight="1" x14ac:dyDescent="0.2">
      <c r="E144" s="483"/>
      <c r="F144" s="483"/>
      <c r="G144" s="482"/>
      <c r="J144" s="482"/>
      <c r="K144" s="482"/>
      <c r="M144" s="497">
        <f>_xll.qlCalendarAdvance(Calendar,M143,"1M","f",,Trigger)</f>
        <v>46321</v>
      </c>
      <c r="N144" s="488">
        <f>_xll.qlCalendarAdvance(Calendar,M144,"3M","f",,Trigger)</f>
        <v>46413</v>
      </c>
      <c r="O144" s="490" t="str">
        <f>_xll.qlMakeDatedOIS(,M144,N144,OvernightIndex,0,,,,EvaluationDate)</f>
        <v>obj_004e9#0001</v>
      </c>
      <c r="P144" s="490" t="b">
        <f>_xll.qlInstrumentSetPricingEngine(O144,OisEngine)</f>
        <v>1</v>
      </c>
      <c r="Q144" s="489">
        <f>_xll.qlIndexFixing("euribor6m",_xll.qlInterestRateIndexFixingDate("Euribor6M",M144),TRUE,AllTriggers)</f>
        <v>2.4885385797279239E-2</v>
      </c>
      <c r="R144" s="489">
        <f>_xll.qlOvernightIndexedSwapFairRate(O144,AllTriggers)</f>
        <v>2.3363289194967121E-2</v>
      </c>
      <c r="S144" s="491">
        <f t="shared" si="6"/>
        <v>1.5220966023121174E-3</v>
      </c>
    </row>
    <row r="145" spans="5:19" ht="11.25" customHeight="1" x14ac:dyDescent="0.2">
      <c r="E145" s="483"/>
      <c r="F145" s="483"/>
      <c r="G145" s="482"/>
      <c r="J145" s="482"/>
      <c r="K145" s="482"/>
      <c r="M145" s="497">
        <f>_xll.qlCalendarAdvance(Calendar,M144,"1M","f",,Trigger)</f>
        <v>46352</v>
      </c>
      <c r="N145" s="488">
        <f>_xll.qlCalendarAdvance(Calendar,M145,"3M","f",,Trigger)</f>
        <v>46444</v>
      </c>
      <c r="O145" s="490" t="str">
        <f>_xll.qlMakeDatedOIS(,M145,N145,OvernightIndex,0,,,,EvaluationDate)</f>
        <v>obj_008a0#0001</v>
      </c>
      <c r="P145" s="490" t="b">
        <f>_xll.qlInstrumentSetPricingEngine(O145,OisEngine)</f>
        <v>1</v>
      </c>
      <c r="Q145" s="489">
        <f>_xll.qlIndexFixing("euribor6m",_xll.qlInterestRateIndexFixingDate("Euribor6M",M145),TRUE,AllTriggers)</f>
        <v>2.4904696478678164E-2</v>
      </c>
      <c r="R145" s="489">
        <f>_xll.qlOvernightIndexedSwapFairRate(O145,AllTriggers)</f>
        <v>2.336328919496625E-2</v>
      </c>
      <c r="S145" s="491">
        <f t="shared" si="6"/>
        <v>1.5414072837119132E-3</v>
      </c>
    </row>
    <row r="146" spans="5:19" ht="11.25" customHeight="1" x14ac:dyDescent="0.2">
      <c r="E146" s="483"/>
      <c r="F146" s="483"/>
      <c r="G146" s="482"/>
      <c r="J146" s="482"/>
      <c r="K146" s="482"/>
      <c r="M146" s="497">
        <f>_xll.qlCalendarAdvance(Calendar,M145,"1M","f",,Trigger)</f>
        <v>46384</v>
      </c>
      <c r="N146" s="488">
        <f>_xll.qlCalendarAdvance(Calendar,M146,"3M","f",,Trigger)</f>
        <v>46476</v>
      </c>
      <c r="O146" s="490" t="str">
        <f>_xll.qlMakeDatedOIS(,M146,N146,OvernightIndex,0,,,,EvaluationDate)</f>
        <v>obj_004ec#0001</v>
      </c>
      <c r="P146" s="490" t="b">
        <f>_xll.qlInstrumentSetPricingEngine(O146,OisEngine)</f>
        <v>1</v>
      </c>
      <c r="Q146" s="489">
        <f>_xll.qlIndexFixing("euribor6m",_xll.qlInterestRateIndexFixingDate("Euribor6M",M146),TRUE,AllTriggers)</f>
        <v>2.4925960345199859E-2</v>
      </c>
      <c r="R146" s="489">
        <f>_xll.qlOvernightIndexedSwapFairRate(O146,AllTriggers)</f>
        <v>2.336328919496625E-2</v>
      </c>
      <c r="S146" s="491">
        <f t="shared" si="6"/>
        <v>1.5626711502336084E-3</v>
      </c>
    </row>
    <row r="147" spans="5:19" ht="11.25" customHeight="1" x14ac:dyDescent="0.2">
      <c r="E147" s="483"/>
      <c r="F147" s="483"/>
      <c r="G147" s="482"/>
      <c r="J147" s="482"/>
      <c r="K147" s="482"/>
      <c r="M147" s="497">
        <f>_xll.qlCalendarAdvance(Calendar,M146,"1M","f",,Trigger)</f>
        <v>46415</v>
      </c>
      <c r="N147" s="488">
        <f>_xll.qlCalendarAdvance(Calendar,M147,"3M","f",,Trigger)</f>
        <v>46505</v>
      </c>
      <c r="O147" s="490" t="str">
        <f>_xll.qlMakeDatedOIS(,M147,N147,OvernightIndex,0,,,,EvaluationDate)</f>
        <v>obj_004ee#0001</v>
      </c>
      <c r="P147" s="490" t="b">
        <f>_xll.qlInstrumentSetPricingEngine(O147,OisEngine)</f>
        <v>1</v>
      </c>
      <c r="Q147" s="489">
        <f>_xll.qlIndexFixing("euribor6m",_xll.qlInterestRateIndexFixingDate("Euribor6M",M147),TRUE,AllTriggers)</f>
        <v>2.4943291948994886E-2</v>
      </c>
      <c r="R147" s="489">
        <f>_xll.qlOvernightIndexedSwapFairRate(O147,AllTriggers)</f>
        <v>2.3361776037570614E-2</v>
      </c>
      <c r="S147" s="491">
        <f t="shared" si="6"/>
        <v>1.5815159114242715E-3</v>
      </c>
    </row>
    <row r="148" spans="5:19" ht="11.25" customHeight="1" x14ac:dyDescent="0.2">
      <c r="E148" s="483"/>
      <c r="F148" s="483"/>
      <c r="G148" s="482"/>
      <c r="J148" s="482"/>
      <c r="K148" s="482"/>
      <c r="M148" s="497">
        <f>_xll.qlCalendarAdvance(Calendar,M147,"1M","f",,Trigger)</f>
        <v>46447</v>
      </c>
      <c r="N148" s="488">
        <f>_xll.qlCalendarAdvance(Calendar,M148,"3M","f",,Trigger)</f>
        <v>46539</v>
      </c>
      <c r="O148" s="490" t="str">
        <f>_xll.qlMakeDatedOIS(,M148,N148,OvernightIndex,0,,,,EvaluationDate)</f>
        <v>obj_004f0#0001</v>
      </c>
      <c r="P148" s="490" t="b">
        <f>_xll.qlInstrumentSetPricingEngine(O148,OisEngine)</f>
        <v>1</v>
      </c>
      <c r="Q148" s="489">
        <f>_xll.qlIndexFixing("euribor6m",_xll.qlInterestRateIndexFixingDate("Euribor6M",M148),TRUE,AllTriggers)</f>
        <v>2.4964691144657426E-2</v>
      </c>
      <c r="R148" s="489">
        <f>_xll.qlOvernightIndexedSwapFairRate(O148,AllTriggers)</f>
        <v>2.336328919496625E-2</v>
      </c>
      <c r="S148" s="491">
        <f t="shared" si="6"/>
        <v>1.6014019496911752E-3</v>
      </c>
    </row>
    <row r="149" spans="5:19" ht="11.25" customHeight="1" x14ac:dyDescent="0.2">
      <c r="E149" s="483"/>
      <c r="F149" s="483"/>
      <c r="G149" s="482"/>
      <c r="J149" s="482"/>
      <c r="K149" s="482"/>
      <c r="M149" s="497">
        <f>_xll.qlCalendarAdvance(Calendar,M148,"1M","f",,Trigger)</f>
        <v>46478</v>
      </c>
      <c r="N149" s="488">
        <f>_xll.qlCalendarAdvance(Calendar,M149,"3M","f",,Trigger)</f>
        <v>46569</v>
      </c>
      <c r="O149" s="490" t="str">
        <f>_xll.qlMakeDatedOIS(,M149,N149,OvernightIndex,0,,,,EvaluationDate)</f>
        <v>obj_004f2#0001</v>
      </c>
      <c r="P149" s="490" t="b">
        <f>_xll.qlInstrumentSetPricingEngine(O149,OisEngine)</f>
        <v>1</v>
      </c>
      <c r="Q149" s="489">
        <f>_xll.qlIndexFixing("euribor6m",_xll.qlInterestRateIndexFixingDate("Euribor6M",M149),TRUE,AllTriggers)</f>
        <v>2.4980014752480569E-2</v>
      </c>
      <c r="R149" s="489">
        <f>_xll.qlOvernightIndexedSwapFairRate(O149,AllTriggers)</f>
        <v>2.3362532599942348E-2</v>
      </c>
      <c r="S149" s="491">
        <f t="shared" si="6"/>
        <v>1.6174821525382216E-3</v>
      </c>
    </row>
    <row r="150" spans="5:19" ht="11.25" customHeight="1" x14ac:dyDescent="0.2">
      <c r="E150" s="483"/>
      <c r="F150" s="483"/>
      <c r="G150" s="482"/>
      <c r="J150" s="482"/>
      <c r="K150" s="482"/>
      <c r="M150" s="497">
        <f>_xll.qlCalendarAdvance(Calendar,M149,"1M","f",,Trigger)</f>
        <v>46510</v>
      </c>
      <c r="N150" s="488">
        <f>_xll.qlCalendarAdvance(Calendar,M150,"3M","f",,Trigger)</f>
        <v>46602</v>
      </c>
      <c r="O150" s="490" t="str">
        <f>_xll.qlMakeDatedOIS(,M150,N150,OvernightIndex,0,,,,EvaluationDate)</f>
        <v>obj_004f4#0001</v>
      </c>
      <c r="P150" s="490" t="b">
        <f>_xll.qlInstrumentSetPricingEngine(O150,OisEngine)</f>
        <v>1</v>
      </c>
      <c r="Q150" s="489">
        <f>_xll.qlIndexFixing("euribor6m",_xll.qlInterestRateIndexFixingDate("Euribor6M",M150),TRUE,AllTriggers)</f>
        <v>2.4997040108889094E-2</v>
      </c>
      <c r="R150" s="489">
        <f>_xll.qlOvernightIndexedSwapFairRate(O150,AllTriggers)</f>
        <v>2.3363289194967118E-2</v>
      </c>
      <c r="S150" s="491">
        <f t="shared" si="6"/>
        <v>1.6337509139219761E-3</v>
      </c>
    </row>
    <row r="151" spans="5:19" ht="11.25" customHeight="1" x14ac:dyDescent="0.2">
      <c r="E151" s="483"/>
      <c r="F151" s="483"/>
      <c r="G151" s="482"/>
      <c r="J151" s="482"/>
      <c r="K151" s="482"/>
      <c r="M151" s="497">
        <f>_xll.qlCalendarAdvance(Calendar,M150,"1M","f",,Trigger)</f>
        <v>46541</v>
      </c>
      <c r="N151" s="488">
        <f>_xll.qlCalendarAdvance(Calendar,M151,"3M","f",,Trigger)</f>
        <v>46633</v>
      </c>
      <c r="O151" s="490" t="str">
        <f>_xll.qlMakeDatedOIS(,M151,N151,OvernightIndex,0,,,,EvaluationDate)</f>
        <v>obj_004f6#0001</v>
      </c>
      <c r="P151" s="490" t="b">
        <f>_xll.qlInstrumentSetPricingEngine(O151,OisEngine)</f>
        <v>1</v>
      </c>
      <c r="Q151" s="489">
        <f>_xll.qlIndexFixing("euribor6m",_xll.qlInterestRateIndexFixingDate("Euribor6M",M151),TRUE,AllTriggers)</f>
        <v>2.5010384717468876E-2</v>
      </c>
      <c r="R151" s="489">
        <f>_xll.qlOvernightIndexedSwapFairRate(O151,AllTriggers)</f>
        <v>2.3363289194967121E-2</v>
      </c>
      <c r="S151" s="491">
        <f t="shared" si="6"/>
        <v>1.6470955225017549E-3</v>
      </c>
    </row>
    <row r="152" spans="5:19" ht="11.25" customHeight="1" x14ac:dyDescent="0.2">
      <c r="E152" s="483"/>
      <c r="F152" s="483"/>
      <c r="G152" s="482"/>
      <c r="J152" s="482"/>
      <c r="K152" s="482"/>
      <c r="M152" s="497">
        <f>_xll.qlCalendarAdvance(Calendar,M151,"1M","f",,Trigger)</f>
        <v>46573</v>
      </c>
      <c r="N152" s="488">
        <f>_xll.qlCalendarAdvance(Calendar,M152,"3M","f",,Trigger)</f>
        <v>46665</v>
      </c>
      <c r="O152" s="490" t="str">
        <f>_xll.qlMakeDatedOIS(,M152,N152,OvernightIndex,0,,,,EvaluationDate)</f>
        <v>obj_00899#0001</v>
      </c>
      <c r="P152" s="490" t="b">
        <f>_xll.qlInstrumentSetPricingEngine(O152,OisEngine)</f>
        <v>1</v>
      </c>
      <c r="Q152" s="489">
        <f>_xll.qlIndexFixing("euribor6m",_xll.qlInterestRateIndexFixingDate("Euribor6M",M152),TRUE,AllTriggers)</f>
        <v>2.5025305583548194E-2</v>
      </c>
      <c r="R152" s="489">
        <f>_xll.qlOvernightIndexedSwapFairRate(O152,AllTriggers)</f>
        <v>2.3363289194967118E-2</v>
      </c>
      <c r="S152" s="491">
        <f t="shared" si="6"/>
        <v>1.6620163885810758E-3</v>
      </c>
    </row>
    <row r="153" spans="5:19" ht="11.25" customHeight="1" x14ac:dyDescent="0.2">
      <c r="E153" s="483"/>
      <c r="F153" s="483"/>
      <c r="G153" s="482"/>
      <c r="J153" s="482"/>
      <c r="K153" s="482"/>
      <c r="M153" s="497">
        <f>_xll.qlCalendarAdvance(Calendar,M152,"1M","f",,Trigger)</f>
        <v>46604</v>
      </c>
      <c r="N153" s="488">
        <f>_xll.qlCalendarAdvance(Calendar,M153,"3M","f",,Trigger)</f>
        <v>46696</v>
      </c>
      <c r="O153" s="490" t="str">
        <f>_xll.qlMakeDatedOIS(,M153,N153,OvernightIndex,0,,,,EvaluationDate)</f>
        <v>obj_004f9#0001</v>
      </c>
      <c r="P153" s="490" t="b">
        <f>_xll.qlInstrumentSetPricingEngine(O153,OisEngine)</f>
        <v>1</v>
      </c>
      <c r="Q153" s="489">
        <f>_xll.qlIndexFixing("euribor6m",_xll.qlInterestRateIndexFixingDate("Euribor6M",M153),TRUE,AllTriggers)</f>
        <v>2.5039801121222508E-2</v>
      </c>
      <c r="R153" s="489">
        <f>_xll.qlOvernightIndexedSwapFairRate(O153,AllTriggers)</f>
        <v>2.3363289194967118E-2</v>
      </c>
      <c r="S153" s="491">
        <f t="shared" si="6"/>
        <v>1.6765119262553904E-3</v>
      </c>
    </row>
    <row r="154" spans="5:19" ht="11.25" customHeight="1" x14ac:dyDescent="0.2">
      <c r="E154" s="483"/>
      <c r="F154" s="483"/>
      <c r="G154" s="482"/>
      <c r="J154" s="482"/>
      <c r="K154" s="482"/>
      <c r="M154" s="497">
        <f>_xll.qlCalendarAdvance(Calendar,M153,"1M","f",,Trigger)</f>
        <v>46636</v>
      </c>
      <c r="N154" s="488">
        <f>_xll.qlCalendarAdvance(Calendar,M154,"3M","f",,Trigger)</f>
        <v>46727</v>
      </c>
      <c r="O154" s="490" t="str">
        <f>_xll.qlMakeDatedOIS(,M154,N154,OvernightIndex,0,,,,EvaluationDate)</f>
        <v>obj_004fb#0001</v>
      </c>
      <c r="P154" s="490" t="b">
        <f>_xll.qlInstrumentSetPricingEngine(O154,OisEngine)</f>
        <v>1</v>
      </c>
      <c r="Q154" s="489">
        <f>_xll.qlIndexFixing("euribor6m",_xll.qlInterestRateIndexFixingDate("Euribor6M",M154),TRUE,AllTriggers)</f>
        <v>2.5047431360747996E-2</v>
      </c>
      <c r="R154" s="489">
        <f>_xll.qlOvernightIndexedSwapFairRate(O154,AllTriggers)</f>
        <v>2.3362532599942351E-2</v>
      </c>
      <c r="S154" s="491">
        <f t="shared" si="6"/>
        <v>1.6848987608056448E-3</v>
      </c>
    </row>
    <row r="155" spans="5:19" ht="11.25" customHeight="1" x14ac:dyDescent="0.2">
      <c r="E155" s="483"/>
      <c r="F155" s="483"/>
      <c r="G155" s="482"/>
      <c r="J155" s="482"/>
      <c r="K155" s="482"/>
      <c r="M155" s="497">
        <f>_xll.qlCalendarAdvance(Calendar,M154,"1M","f",,Trigger)</f>
        <v>46666</v>
      </c>
      <c r="N155" s="488">
        <f>_xll.qlCalendarAdvance(Calendar,M155,"3M","f",,Trigger)</f>
        <v>46758</v>
      </c>
      <c r="O155" s="490" t="str">
        <f>_xll.qlMakeDatedOIS(,M155,N155,OvernightIndex,0,,,,EvaluationDate)</f>
        <v>obj_0083f#0001</v>
      </c>
      <c r="P155" s="490" t="b">
        <f>_xll.qlInstrumentSetPricingEngine(O155,OisEngine)</f>
        <v>1</v>
      </c>
      <c r="Q155" s="489">
        <f>_xll.qlIndexFixing("euribor6m",_xll.qlInterestRateIndexFixingDate("Euribor6M",M155),TRUE,AllTriggers)</f>
        <v>2.5058554055629491E-2</v>
      </c>
      <c r="R155" s="489">
        <f>_xll.qlOvernightIndexedSwapFairRate(O155,AllTriggers)</f>
        <v>2.336328919496625E-2</v>
      </c>
      <c r="S155" s="491">
        <f t="shared" si="6"/>
        <v>1.6952648606632405E-3</v>
      </c>
    </row>
    <row r="156" spans="5:19" ht="11.25" customHeight="1" x14ac:dyDescent="0.2">
      <c r="E156" s="483"/>
      <c r="F156" s="483"/>
      <c r="G156" s="482"/>
      <c r="J156" s="482"/>
      <c r="K156" s="482"/>
      <c r="M156" s="497">
        <f>_xll.qlCalendarAdvance(Calendar,M155,"1M","f",,Trigger)</f>
        <v>46699</v>
      </c>
      <c r="N156" s="488">
        <f>_xll.qlCalendarAdvance(Calendar,M156,"3M","f",,Trigger)</f>
        <v>46791</v>
      </c>
      <c r="O156" s="490" t="str">
        <f>_xll.qlMakeDatedOIS(,M156,N156,OvernightIndex,0,,,,EvaluationDate)</f>
        <v>obj_004fe#0001</v>
      </c>
      <c r="P156" s="490" t="b">
        <f>_xll.qlInstrumentSetPricingEngine(O156,OisEngine)</f>
        <v>1</v>
      </c>
      <c r="Q156" s="489">
        <f>_xll.qlIndexFixing("euribor6m",_xll.qlInterestRateIndexFixingDate("Euribor6M",M156),TRUE,AllTriggers)</f>
        <v>2.5067591392013904E-2</v>
      </c>
      <c r="R156" s="489">
        <f>_xll.qlOvernightIndexedSwapFairRate(O156,AllTriggers)</f>
        <v>2.3363289194966247E-2</v>
      </c>
      <c r="S156" s="491">
        <f t="shared" si="6"/>
        <v>1.7043021970476573E-3</v>
      </c>
    </row>
    <row r="157" spans="5:19" ht="11.25" customHeight="1" x14ac:dyDescent="0.2">
      <c r="E157" s="483"/>
      <c r="F157" s="483"/>
      <c r="G157" s="482"/>
      <c r="J157" s="482"/>
      <c r="K157" s="482"/>
      <c r="M157" s="497">
        <f>_xll.qlCalendarAdvance(Calendar,M156,"1M","f",,Trigger)</f>
        <v>46729</v>
      </c>
      <c r="N157" s="488">
        <f>_xll.qlCalendarAdvance(Calendar,M157,"3M","f",,Trigger)</f>
        <v>46820</v>
      </c>
      <c r="O157" s="490" t="str">
        <f>_xll.qlMakeDatedOIS(,M157,N157,OvernightIndex,0,,,,EvaluationDate)</f>
        <v>obj_00500#0001</v>
      </c>
      <c r="P157" s="490" t="b">
        <f>_xll.qlInstrumentSetPricingEngine(O157,OisEngine)</f>
        <v>1</v>
      </c>
      <c r="Q157" s="489">
        <f>_xll.qlIndexFixing("euribor6m",_xll.qlInterestRateIndexFixingDate("Euribor6M",M157),TRUE,AllTriggers)</f>
        <v>2.5076738487688429E-2</v>
      </c>
      <c r="R157" s="489">
        <f>_xll.qlOvernightIndexedSwapFairRate(O157,AllTriggers)</f>
        <v>2.3362532599941473E-2</v>
      </c>
      <c r="S157" s="491">
        <f t="shared" si="6"/>
        <v>1.7142058877469557E-3</v>
      </c>
    </row>
    <row r="158" spans="5:19" ht="11.25" customHeight="1" x14ac:dyDescent="0.2">
      <c r="E158" s="483"/>
      <c r="F158" s="483"/>
      <c r="G158" s="482"/>
      <c r="J158" s="482"/>
      <c r="K158" s="482"/>
      <c r="M158" s="497">
        <f>_xll.qlCalendarAdvance(Calendar,M157,"1M","f",,Trigger)</f>
        <v>46762</v>
      </c>
      <c r="N158" s="488">
        <f>_xll.qlCalendarAdvance(Calendar,M158,"3M","f",,Trigger)</f>
        <v>46853</v>
      </c>
      <c r="O158" s="490" t="str">
        <f>_xll.qlMakeDatedOIS(,M158,N158,OvernightIndex,0,,,,EvaluationDate)</f>
        <v>obj_00502#0001</v>
      </c>
      <c r="P158" s="490" t="b">
        <f>_xll.qlInstrumentSetPricingEngine(O158,OisEngine)</f>
        <v>1</v>
      </c>
      <c r="Q158" s="489">
        <f>_xll.qlIndexFixing("euribor6m",_xll.qlInterestRateIndexFixingDate("Euribor6M",M158),TRUE,AllTriggers)</f>
        <v>2.508366805018741E-2</v>
      </c>
      <c r="R158" s="489">
        <f>_xll.qlOvernightIndexedSwapFairRate(O158,AllTriggers)</f>
        <v>2.3362532599942348E-2</v>
      </c>
      <c r="S158" s="491">
        <f t="shared" si="6"/>
        <v>1.7211354502450621E-3</v>
      </c>
    </row>
    <row r="159" spans="5:19" ht="11.25" customHeight="1" x14ac:dyDescent="0.2">
      <c r="E159" s="483"/>
      <c r="F159" s="483"/>
      <c r="G159" s="482"/>
      <c r="J159" s="482"/>
      <c r="K159" s="482"/>
      <c r="M159" s="497">
        <f>_xll.qlCalendarAdvance(Calendar,M158,"1M","f",,Trigger)</f>
        <v>46793</v>
      </c>
      <c r="N159" s="488">
        <f>_xll.qlCalendarAdvance(Calendar,M159,"3M","f",,Trigger)</f>
        <v>46883</v>
      </c>
      <c r="O159" s="490" t="str">
        <f>_xll.qlMakeDatedOIS(,M159,N159,OvernightIndex,0,,,,EvaluationDate)</f>
        <v>obj_00833#0001</v>
      </c>
      <c r="P159" s="490" t="b">
        <f>_xll.qlInstrumentSetPricingEngine(O159,OisEngine)</f>
        <v>1</v>
      </c>
      <c r="Q159" s="489">
        <f>_xll.qlIndexFixing("euribor6m",_xll.qlInterestRateIndexFixingDate("Euribor6M",M159),TRUE,AllTriggers)</f>
        <v>2.5090079770011056E-2</v>
      </c>
      <c r="R159" s="489">
        <f>_xll.qlOvernightIndexedSwapFairRate(O159,AllTriggers)</f>
        <v>2.3361776037569726E-2</v>
      </c>
      <c r="S159" s="491">
        <f t="shared" si="6"/>
        <v>1.7283037324413303E-3</v>
      </c>
    </row>
    <row r="160" spans="5:19" ht="11.25" customHeight="1" x14ac:dyDescent="0.2">
      <c r="E160" s="483"/>
      <c r="F160" s="483"/>
      <c r="G160" s="482"/>
      <c r="J160" s="482"/>
      <c r="K160" s="482"/>
      <c r="M160" s="497">
        <f>_xll.qlCalendarAdvance(Calendar,M159,"1M","f",,Trigger)</f>
        <v>46822</v>
      </c>
      <c r="N160" s="488">
        <f>_xll.qlCalendarAdvance(Calendar,M160,"3M","f",,Trigger)</f>
        <v>46916</v>
      </c>
      <c r="O160" s="490" t="str">
        <f>_xll.qlMakeDatedOIS(,M160,N160,OvernightIndex,0,,,,EvaluationDate)</f>
        <v>obj_00826#0001</v>
      </c>
      <c r="P160" s="490" t="b">
        <f>_xll.qlInstrumentSetPricingEngine(O160,OisEngine)</f>
        <v>1</v>
      </c>
      <c r="Q160" s="489">
        <f>_xll.qlIndexFixing("euribor6m",_xll.qlInterestRateIndexFixingDate("Euribor6M",M160),TRUE,AllTriggers)</f>
        <v>2.5097989169590169E-2</v>
      </c>
      <c r="R160" s="489">
        <f>_xll.qlOvernightIndexedSwapFairRate(O160,AllTriggers)</f>
        <v>2.3364802482978411E-2</v>
      </c>
      <c r="S160" s="491">
        <f t="shared" si="6"/>
        <v>1.7331866866117582E-3</v>
      </c>
    </row>
    <row r="161" spans="5:19" ht="11.25" customHeight="1" x14ac:dyDescent="0.2">
      <c r="E161" s="483"/>
      <c r="F161" s="483"/>
      <c r="G161" s="482"/>
      <c r="J161" s="482"/>
      <c r="K161" s="482"/>
      <c r="M161" s="497">
        <f>_xll.qlCalendarAdvance(Calendar,M160,"1M","f",,Trigger)</f>
        <v>46853</v>
      </c>
      <c r="N161" s="488">
        <f>_xll.qlCalendarAdvance(Calendar,M161,"3M","f",,Trigger)</f>
        <v>46944</v>
      </c>
      <c r="O161" s="490" t="str">
        <f>_xll.qlMakeDatedOIS(,M161,N161,OvernightIndex,0,,,,EvaluationDate)</f>
        <v>obj_00506#0001</v>
      </c>
      <c r="P161" s="490" t="b">
        <f>_xll.qlInstrumentSetPricingEngine(O161,OisEngine)</f>
        <v>1</v>
      </c>
      <c r="Q161" s="489">
        <f>_xll.qlIndexFixing("euribor6m",_xll.qlInterestRateIndexFixingDate("Euribor6M",M161),TRUE,AllTriggers)</f>
        <v>2.5100600915017396E-2</v>
      </c>
      <c r="R161" s="489">
        <f>_xll.qlOvernightIndexedSwapFairRate(O161,AllTriggers)</f>
        <v>2.3362532599941473E-2</v>
      </c>
      <c r="S161" s="491">
        <f t="shared" si="6"/>
        <v>1.7380683150759225E-3</v>
      </c>
    </row>
    <row r="162" spans="5:19" ht="11.25" customHeight="1" x14ac:dyDescent="0.2">
      <c r="E162" s="483"/>
      <c r="F162" s="483"/>
      <c r="G162" s="482"/>
      <c r="J162" s="482"/>
      <c r="K162" s="482"/>
      <c r="M162" s="497">
        <f>_xll.qlCalendarAdvance(Calendar,M161,"1M","f",,Trigger)</f>
        <v>46883</v>
      </c>
      <c r="N162" s="488">
        <f>_xll.qlCalendarAdvance(Calendar,M162,"3M","f",,Trigger)</f>
        <v>46975</v>
      </c>
      <c r="O162" s="490" t="str">
        <f>_xll.qlMakeDatedOIS(,M162,N162,OvernightIndex,0,,,,EvaluationDate)</f>
        <v>obj_00508#0001</v>
      </c>
      <c r="P162" s="490" t="b">
        <f>_xll.qlInstrumentSetPricingEngine(O162,OisEngine)</f>
        <v>1</v>
      </c>
      <c r="Q162" s="489">
        <f>_xll.qlIndexFixing("euribor6m",_xll.qlInterestRateIndexFixingDate("Euribor6M",M162),TRUE,AllTriggers)</f>
        <v>2.5104901895659601E-2</v>
      </c>
      <c r="R162" s="489">
        <f>_xll.qlOvernightIndexedSwapFairRate(O162,AllTriggers)</f>
        <v>2.336328919496625E-2</v>
      </c>
      <c r="S162" s="491">
        <f t="shared" si="6"/>
        <v>1.7416127006933506E-3</v>
      </c>
    </row>
    <row r="163" spans="5:19" ht="11.25" customHeight="1" x14ac:dyDescent="0.2">
      <c r="E163" s="483"/>
      <c r="F163" s="483"/>
      <c r="G163" s="482"/>
      <c r="J163" s="482"/>
      <c r="K163" s="482"/>
      <c r="M163" s="497">
        <f>_xll.qlCalendarAdvance(Calendar,M162,"1M","f",,Trigger)</f>
        <v>46916</v>
      </c>
      <c r="N163" s="488">
        <f>_xll.qlCalendarAdvance(Calendar,M163,"3M","f",,Trigger)</f>
        <v>47008</v>
      </c>
      <c r="O163" s="490" t="str">
        <f>_xll.qlMakeDatedOIS(,M163,N163,OvernightIndex,0,,,,EvaluationDate)</f>
        <v>obj_0050a#0001</v>
      </c>
      <c r="P163" s="490" t="b">
        <f>_xll.qlInstrumentSetPricingEngine(O163,OisEngine)</f>
        <v>1</v>
      </c>
      <c r="Q163" s="489">
        <f>_xll.qlIndexFixing("euribor6m",_xll.qlInterestRateIndexFixingDate("Euribor6M",M163),TRUE,AllTriggers)</f>
        <v>2.5106663641790032E-2</v>
      </c>
      <c r="R163" s="489">
        <f>_xll.qlOvernightIndexedSwapFairRate(O163,AllTriggers)</f>
        <v>2.3363289194967118E-2</v>
      </c>
      <c r="S163" s="491">
        <f t="shared" si="6"/>
        <v>1.7433744468229144E-3</v>
      </c>
    </row>
    <row r="164" spans="5:19" ht="11.25" customHeight="1" x14ac:dyDescent="0.2">
      <c r="E164" s="483"/>
      <c r="F164" s="483"/>
      <c r="G164" s="482"/>
      <c r="J164" s="482"/>
      <c r="K164" s="482"/>
      <c r="M164" s="497">
        <f>_xll.qlCalendarAdvance(Calendar,M163,"1M","f",,Trigger)</f>
        <v>46946</v>
      </c>
      <c r="N164" s="488">
        <f>_xll.qlCalendarAdvance(Calendar,M164,"3M","f",,Trigger)</f>
        <v>47038</v>
      </c>
      <c r="O164" s="490" t="str">
        <f>_xll.qlMakeDatedOIS(,M164,N164,OvernightIndex,0,,,,EvaluationDate)</f>
        <v>obj_0050c#0001</v>
      </c>
      <c r="P164" s="490" t="b">
        <f>_xll.qlInstrumentSetPricingEngine(O164,OisEngine)</f>
        <v>1</v>
      </c>
      <c r="Q164" s="489">
        <f>_xll.qlIndexFixing("euribor6m",_xll.qlInterestRateIndexFixingDate("Euribor6M",M164),TRUE,AllTriggers)</f>
        <v>2.510898778741975E-2</v>
      </c>
      <c r="R164" s="489">
        <f>_xll.qlOvernightIndexedSwapFairRate(O164,AllTriggers)</f>
        <v>2.336328919496625E-2</v>
      </c>
      <c r="S164" s="491">
        <f t="shared" si="6"/>
        <v>1.7456985924534998E-3</v>
      </c>
    </row>
    <row r="165" spans="5:19" ht="11.25" customHeight="1" x14ac:dyDescent="0.2">
      <c r="E165" s="483"/>
      <c r="F165" s="483"/>
      <c r="G165" s="482"/>
      <c r="J165" s="482"/>
      <c r="K165" s="482"/>
      <c r="M165" s="497">
        <f>_xll.qlCalendarAdvance(Calendar,M164,"1M","f",,Trigger)</f>
        <v>46979</v>
      </c>
      <c r="N165" s="488">
        <f>_xll.qlCalendarAdvance(Calendar,M165,"3M","f",,Trigger)</f>
        <v>47071</v>
      </c>
      <c r="O165" s="490" t="str">
        <f>_xll.qlMakeDatedOIS(,M165,N165,OvernightIndex,0,,,,EvaluationDate)</f>
        <v>obj_00861#0001</v>
      </c>
      <c r="P165" s="490" t="b">
        <f>_xll.qlInstrumentSetPricingEngine(O165,OisEngine)</f>
        <v>1</v>
      </c>
      <c r="Q165" s="489">
        <f>_xll.qlIndexFixing("euribor6m",_xll.qlInterestRateIndexFixingDate("Euribor6M",M165),TRUE,AllTriggers)</f>
        <v>2.5109498048805939E-2</v>
      </c>
      <c r="R165" s="489">
        <f>_xll.qlOvernightIndexedSwapFairRate(O165,AllTriggers)</f>
        <v>2.3363289194967114E-2</v>
      </c>
      <c r="S165" s="491">
        <f t="shared" si="6"/>
        <v>1.7462088538388251E-3</v>
      </c>
    </row>
    <row r="166" spans="5:19" ht="11.25" customHeight="1" x14ac:dyDescent="0.2">
      <c r="E166" s="483"/>
      <c r="F166" s="483"/>
      <c r="G166" s="482"/>
      <c r="J166" s="482"/>
      <c r="K166" s="482"/>
      <c r="M166" s="497">
        <f>_xll.qlCalendarAdvance(Calendar,M165,"1M","f",,Trigger)</f>
        <v>47010</v>
      </c>
      <c r="N166" s="488">
        <f>_xll.qlCalendarAdvance(Calendar,M166,"3M","f",,Trigger)</f>
        <v>47101</v>
      </c>
      <c r="O166" s="490" t="str">
        <f>_xll.qlMakeDatedOIS(,M166,N166,OvernightIndex,0,,,,EvaluationDate)</f>
        <v>obj_0050f#0001</v>
      </c>
      <c r="P166" s="490" t="b">
        <f>_xll.qlInstrumentSetPricingEngine(O166,OisEngine)</f>
        <v>1</v>
      </c>
      <c r="Q166" s="489">
        <f>_xll.qlIndexFixing("euribor6m",_xll.qlInterestRateIndexFixingDate("Euribor6M",M166),TRUE,AllTriggers)</f>
        <v>2.510643692345341E-2</v>
      </c>
      <c r="R166" s="489">
        <f>_xll.qlOvernightIndexedSwapFairRate(O166,AllTriggers)</f>
        <v>2.3362532599942348E-2</v>
      </c>
      <c r="S166" s="491">
        <f t="shared" si="6"/>
        <v>1.7439043235110627E-3</v>
      </c>
    </row>
    <row r="167" spans="5:19" ht="11.25" customHeight="1" x14ac:dyDescent="0.2">
      <c r="E167" s="483"/>
      <c r="F167" s="483"/>
      <c r="G167" s="482"/>
      <c r="J167" s="482"/>
      <c r="K167" s="482"/>
      <c r="M167" s="497">
        <f>_xll.qlCalendarAdvance(Calendar,M166,"1M","f",,Trigger)</f>
        <v>47042</v>
      </c>
      <c r="N167" s="488">
        <f>_xll.qlCalendarAdvance(Calendar,M167,"3M","f",,Trigger)</f>
        <v>47134</v>
      </c>
      <c r="O167" s="490" t="str">
        <f>_xll.qlMakeDatedOIS(,M167,N167,OvernightIndex,0,,,,EvaluationDate)</f>
        <v>obj_00511#0001</v>
      </c>
      <c r="P167" s="490" t="b">
        <f>_xll.qlInstrumentSetPricingEngine(O167,OisEngine)</f>
        <v>1</v>
      </c>
      <c r="Q167" s="489">
        <f>_xll.qlIndexFixing("euribor6m",_xll.qlInterestRateIndexFixingDate("Euribor6M",M167),TRUE,AllTriggers)</f>
        <v>2.5105714094629722E-2</v>
      </c>
      <c r="R167" s="489">
        <f>_xll.qlOvernightIndexedSwapFairRate(O167,AllTriggers)</f>
        <v>2.336328919496625E-2</v>
      </c>
      <c r="S167" s="491">
        <f t="shared" si="6"/>
        <v>1.7424248996634716E-3</v>
      </c>
    </row>
    <row r="168" spans="5:19" ht="11.25" customHeight="1" x14ac:dyDescent="0.2">
      <c r="E168" s="483"/>
      <c r="F168" s="483"/>
      <c r="G168" s="482"/>
      <c r="J168" s="482"/>
      <c r="K168" s="482"/>
      <c r="M168" s="497">
        <f>_xll.qlCalendarAdvance(Calendar,M167,"1M","f",,Trigger)</f>
        <v>47073</v>
      </c>
      <c r="N168" s="488">
        <f>_xll.qlCalendarAdvance(Calendar,M168,"3M","f",,Trigger)</f>
        <v>47165</v>
      </c>
      <c r="O168" s="490" t="str">
        <f>_xll.qlMakeDatedOIS(,M168,N168,OvernightIndex,0,,,,EvaluationDate)</f>
        <v>obj_00513#0001</v>
      </c>
      <c r="P168" s="490" t="b">
        <f>_xll.qlInstrumentSetPricingEngine(O168,OisEngine)</f>
        <v>1</v>
      </c>
      <c r="Q168" s="489">
        <f>_xll.qlIndexFixing("euribor6m",_xll.qlInterestRateIndexFixingDate("Euribor6M",M168),TRUE,AllTriggers)</f>
        <v>2.5102387707601065E-2</v>
      </c>
      <c r="R168" s="489">
        <f>_xll.qlOvernightIndexedSwapFairRate(O168,AllTriggers)</f>
        <v>2.3363289194967118E-2</v>
      </c>
      <c r="S168" s="491">
        <f t="shared" si="6"/>
        <v>1.7390985126339471E-3</v>
      </c>
    </row>
    <row r="169" spans="5:19" ht="11.25" customHeight="1" x14ac:dyDescent="0.2">
      <c r="E169" s="483"/>
      <c r="F169" s="483"/>
      <c r="G169" s="482"/>
      <c r="J169" s="482"/>
      <c r="K169" s="482"/>
      <c r="M169" s="497">
        <f>_xll.qlCalendarAdvance(Calendar,M168,"1M","f",,Trigger)</f>
        <v>47105</v>
      </c>
      <c r="N169" s="488">
        <f>_xll.qlCalendarAdvance(Calendar,M169,"3M","f",,Trigger)</f>
        <v>47196</v>
      </c>
      <c r="O169" s="490" t="str">
        <f>_xll.qlMakeDatedOIS(,M169,N169,OvernightIndex,0,,,,EvaluationDate)</f>
        <v>obj_00515#0001</v>
      </c>
      <c r="P169" s="490" t="b">
        <f>_xll.qlInstrumentSetPricingEngine(O169,OisEngine)</f>
        <v>1</v>
      </c>
      <c r="Q169" s="489">
        <f>_xll.qlIndexFixing("euribor6m",_xll.qlInterestRateIndexFixingDate("Euribor6M",M169),TRUE,AllTriggers)</f>
        <v>2.5099557979053295E-2</v>
      </c>
      <c r="R169" s="489">
        <f>_xll.qlOvernightIndexedSwapFairRate(O169,AllTriggers)</f>
        <v>2.3362532599942348E-2</v>
      </c>
      <c r="S169" s="491">
        <f t="shared" si="6"/>
        <v>1.7370253791109472E-3</v>
      </c>
    </row>
    <row r="170" spans="5:19" ht="11.25" customHeight="1" x14ac:dyDescent="0.2">
      <c r="E170" s="483"/>
      <c r="F170" s="483"/>
      <c r="G170" s="482"/>
      <c r="J170" s="482"/>
      <c r="K170" s="482"/>
      <c r="M170" s="497">
        <f>_xll.qlCalendarAdvance(Calendar,M169,"1M","f",,Trigger)</f>
        <v>47136</v>
      </c>
      <c r="N170" s="488">
        <f>_xll.qlCalendarAdvance(Calendar,M170,"3M","f",,Trigger)</f>
        <v>47226</v>
      </c>
      <c r="O170" s="490" t="str">
        <f>_xll.qlMakeDatedOIS(,M170,N170,OvernightIndex,0,,,,EvaluationDate)</f>
        <v>obj_00517#0001</v>
      </c>
      <c r="P170" s="490" t="b">
        <f>_xll.qlInstrumentSetPricingEngine(O170,OisEngine)</f>
        <v>1</v>
      </c>
      <c r="Q170" s="489">
        <f>_xll.qlIndexFixing("euribor6m",_xll.qlInterestRateIndexFixingDate("Euribor6M",M170),TRUE,AllTriggers)</f>
        <v>2.5094255183422121E-2</v>
      </c>
      <c r="R170" s="489">
        <f>_xll.qlOvernightIndexedSwapFairRate(O170,AllTriggers)</f>
        <v>2.3361776037569726E-2</v>
      </c>
      <c r="S170" s="491">
        <f t="shared" si="6"/>
        <v>1.7324791458523947E-3</v>
      </c>
    </row>
    <row r="171" spans="5:19" ht="11.25" customHeight="1" x14ac:dyDescent="0.2">
      <c r="E171" s="483"/>
      <c r="F171" s="483"/>
      <c r="G171" s="482"/>
      <c r="J171" s="482"/>
      <c r="K171" s="482"/>
      <c r="M171" s="497">
        <f>_xll.qlCalendarAdvance(Calendar,M170,"1M","f",,Trigger)</f>
        <v>47168</v>
      </c>
      <c r="N171" s="488">
        <f>_xll.qlCalendarAdvance(Calendar,M171,"3M","f",,Trigger)</f>
        <v>47259</v>
      </c>
      <c r="O171" s="490" t="str">
        <f>_xll.qlMakeDatedOIS(,M171,N171,OvernightIndex,0,,,,EvaluationDate)</f>
        <v>obj_00519#0001</v>
      </c>
      <c r="P171" s="490" t="b">
        <f>_xll.qlInstrumentSetPricingEngine(O171,OisEngine)</f>
        <v>1</v>
      </c>
      <c r="Q171" s="489">
        <f>_xll.qlIndexFixing("euribor6m",_xll.qlInterestRateIndexFixingDate("Euribor6M",M171),TRUE,AllTriggers)</f>
        <v>2.5089318294884144E-2</v>
      </c>
      <c r="R171" s="489">
        <f>_xll.qlOvernightIndexedSwapFairRate(O171,AllTriggers)</f>
        <v>2.3362532599942351E-2</v>
      </c>
      <c r="S171" s="491">
        <f t="shared" si="6"/>
        <v>1.7267856949417931E-3</v>
      </c>
    </row>
    <row r="172" spans="5:19" ht="11.25" customHeight="1" x14ac:dyDescent="0.2">
      <c r="E172" s="483"/>
      <c r="F172" s="483"/>
      <c r="G172" s="482"/>
      <c r="J172" s="482"/>
      <c r="K172" s="482"/>
      <c r="M172" s="497">
        <f>_xll.qlCalendarAdvance(Calendar,M171,"1M","f",,Trigger)</f>
        <v>47196</v>
      </c>
      <c r="N172" s="488">
        <f>_xll.qlCalendarAdvance(Calendar,M172,"3M","f",,Trigger)</f>
        <v>47288</v>
      </c>
      <c r="O172" s="490" t="str">
        <f>_xll.qlMakeDatedOIS(,M172,N172,OvernightIndex,0,,,,EvaluationDate)</f>
        <v>obj_0051b#0001</v>
      </c>
      <c r="P172" s="490" t="b">
        <f>_xll.qlInstrumentSetPricingEngine(O172,OisEngine)</f>
        <v>1</v>
      </c>
      <c r="Q172" s="489">
        <f>_xll.qlIndexFixing("euribor6m",_xll.qlInterestRateIndexFixingDate("Euribor6M",M172),TRUE,AllTriggers)</f>
        <v>2.5084941796841481E-2</v>
      </c>
      <c r="R172" s="489">
        <f>_xll.qlOvernightIndexedSwapFairRate(O172,AllTriggers)</f>
        <v>2.3363289194967121E-2</v>
      </c>
      <c r="S172" s="491">
        <f t="shared" si="6"/>
        <v>1.72165260187436E-3</v>
      </c>
    </row>
    <row r="173" spans="5:19" ht="11.25" customHeight="1" x14ac:dyDescent="0.2">
      <c r="E173" s="483"/>
      <c r="F173" s="483"/>
      <c r="G173" s="482"/>
      <c r="J173" s="482"/>
      <c r="K173" s="482"/>
      <c r="M173" s="497">
        <f>_xll.qlCalendarAdvance(Calendar,M172,"1M","f",,Trigger)</f>
        <v>47227</v>
      </c>
      <c r="N173" s="488">
        <f>_xll.qlCalendarAdvance(Calendar,M173,"3M","f",,Trigger)</f>
        <v>47318</v>
      </c>
      <c r="O173" s="490" t="str">
        <f>_xll.qlMakeDatedOIS(,M173,N173,OvernightIndex,0,,,,EvaluationDate)</f>
        <v>obj_0051d#0001</v>
      </c>
      <c r="P173" s="490" t="b">
        <f>_xll.qlInstrumentSetPricingEngine(O173,OisEngine)</f>
        <v>1</v>
      </c>
      <c r="Q173" s="489">
        <f>_xll.qlIndexFixing("euribor6m",_xll.qlInterestRateIndexFixingDate("Euribor6M",M173),TRUE,AllTriggers)</f>
        <v>2.5076789065822024E-2</v>
      </c>
      <c r="R173" s="489">
        <f>_xll.qlOvernightIndexedSwapFairRate(O173,AllTriggers)</f>
        <v>2.3362532599942351E-2</v>
      </c>
      <c r="S173" s="491">
        <f t="shared" si="6"/>
        <v>1.7142564658796725E-3</v>
      </c>
    </row>
    <row r="174" spans="5:19" ht="11.25" customHeight="1" x14ac:dyDescent="0.2">
      <c r="E174" s="483"/>
      <c r="F174" s="483"/>
      <c r="G174" s="482"/>
      <c r="J174" s="482"/>
      <c r="K174" s="482"/>
      <c r="M174" s="497">
        <f>_xll.qlCalendarAdvance(Calendar,M173,"1M","f",,Trigger)</f>
        <v>47259</v>
      </c>
      <c r="N174" s="488">
        <f>_xll.qlCalendarAdvance(Calendar,M174,"3M","f",,Trigger)</f>
        <v>47351</v>
      </c>
      <c r="O174" s="490" t="str">
        <f>_xll.qlMakeDatedOIS(,M174,N174,OvernightIndex,0,,,,EvaluationDate)</f>
        <v>obj_0051f#0001</v>
      </c>
      <c r="P174" s="490" t="b">
        <f>_xll.qlInstrumentSetPricingEngine(O174,OisEngine)</f>
        <v>1</v>
      </c>
      <c r="Q174" s="489">
        <f>_xll.qlIndexFixing("euribor6m",_xll.qlInterestRateIndexFixingDate("Euribor6M",M174),TRUE,AllTriggers)</f>
        <v>2.5068968179184192E-2</v>
      </c>
      <c r="R174" s="489">
        <f>_xll.qlOvernightIndexedSwapFairRate(O174,AllTriggers)</f>
        <v>2.336328919496625E-2</v>
      </c>
      <c r="S174" s="491">
        <f t="shared" si="6"/>
        <v>1.7056789842179419E-3</v>
      </c>
    </row>
    <row r="175" spans="5:19" ht="11.25" customHeight="1" x14ac:dyDescent="0.2">
      <c r="E175" s="483"/>
      <c r="F175" s="483"/>
      <c r="G175" s="482"/>
      <c r="J175" s="482"/>
      <c r="K175" s="482"/>
      <c r="M175" s="497">
        <f>_xll.qlCalendarAdvance(Calendar,M174,"1M","f",,Trigger)</f>
        <v>47290</v>
      </c>
      <c r="N175" s="488">
        <f>_xll.qlCalendarAdvance(Calendar,M175,"3M","f",,Trigger)</f>
        <v>47382</v>
      </c>
      <c r="O175" s="490" t="str">
        <f>_xll.qlMakeDatedOIS(,M175,N175,OvernightIndex,0,,,,EvaluationDate)</f>
        <v>obj_00521#0001</v>
      </c>
      <c r="P175" s="490" t="b">
        <f>_xll.qlInstrumentSetPricingEngine(O175,OisEngine)</f>
        <v>1</v>
      </c>
      <c r="Q175" s="489">
        <f>_xll.qlIndexFixing("euribor6m",_xll.qlInterestRateIndexFixingDate("Euribor6M",M175),TRUE,AllTriggers)</f>
        <v>2.5059234018469621E-2</v>
      </c>
      <c r="R175" s="489">
        <f>_xll.qlOvernightIndexedSwapFairRate(O175,AllTriggers)</f>
        <v>2.3380032045855436E-2</v>
      </c>
      <c r="S175" s="491">
        <f t="shared" si="6"/>
        <v>1.6792019726141853E-3</v>
      </c>
    </row>
    <row r="176" spans="5:19" ht="11.25" customHeight="1" x14ac:dyDescent="0.2">
      <c r="E176" s="483"/>
      <c r="F176" s="483"/>
      <c r="G176" s="482"/>
      <c r="J176" s="482"/>
      <c r="K176" s="482"/>
      <c r="M176" s="497">
        <f>_xll.qlCalendarAdvance(Calendar,M175,"1M","f",,Trigger)</f>
        <v>47322</v>
      </c>
      <c r="N176" s="488">
        <f>_xll.qlCalendarAdvance(Calendar,M176,"3M","f",,Trigger)</f>
        <v>47414</v>
      </c>
      <c r="O176" s="490" t="str">
        <f>_xll.qlMakeDatedOIS(,M176,N176,OvernightIndex,0,,,,EvaluationDate)</f>
        <v>obj_00523#0001</v>
      </c>
      <c r="P176" s="490" t="b">
        <f>_xll.qlInstrumentSetPricingEngine(O176,OisEngine)</f>
        <v>1</v>
      </c>
      <c r="Q176" s="489">
        <f>_xll.qlIndexFixing("euribor6m",_xll.qlInterestRateIndexFixingDate("Euribor6M",M176),TRUE,AllTriggers)</f>
        <v>2.5049976131757728E-2</v>
      </c>
      <c r="R176" s="489">
        <f>_xll.qlOvernightIndexedSwapFairRate(O176,AllTriggers)</f>
        <v>2.3428738926080155E-2</v>
      </c>
      <c r="S176" s="491">
        <f t="shared" si="6"/>
        <v>1.6212372056775733E-3</v>
      </c>
    </row>
    <row r="177" spans="5:19" ht="11.25" customHeight="1" x14ac:dyDescent="0.2">
      <c r="E177" s="483"/>
      <c r="F177" s="483"/>
      <c r="G177" s="482"/>
      <c r="J177" s="482"/>
      <c r="K177" s="482"/>
      <c r="M177" s="497">
        <f>_xll.qlCalendarAdvance(Calendar,M176,"1M","f",,Trigger)</f>
        <v>47353</v>
      </c>
      <c r="N177" s="488">
        <f>_xll.qlCalendarAdvance(Calendar,M177,"3M","f",,Trigger)</f>
        <v>47445</v>
      </c>
      <c r="O177" s="490" t="str">
        <f>_xll.qlMakeDatedOIS(,M177,N177,OvernightIndex,0,,,,EvaluationDate)</f>
        <v>obj_00525#0001</v>
      </c>
      <c r="P177" s="490" t="b">
        <f>_xll.qlInstrumentSetPricingEngine(O177,OisEngine)</f>
        <v>1</v>
      </c>
      <c r="Q177" s="489">
        <f>_xll.qlIndexFixing("euribor6m",_xll.qlInterestRateIndexFixingDate("Euribor6M",M177),TRUE,AllTriggers)</f>
        <v>2.5041195114017253E-2</v>
      </c>
      <c r="R177" s="489">
        <f>_xll.qlOvernightIndexedSwapFairRate(O177,AllTriggers)</f>
        <v>2.3475924291011991E-2</v>
      </c>
      <c r="S177" s="491">
        <f t="shared" si="6"/>
        <v>1.5652708230052617E-3</v>
      </c>
    </row>
    <row r="178" spans="5:19" ht="11.25" customHeight="1" x14ac:dyDescent="0.2">
      <c r="E178" s="483"/>
      <c r="F178" s="483"/>
      <c r="G178" s="482"/>
      <c r="J178" s="482"/>
      <c r="K178" s="482"/>
      <c r="M178" s="497">
        <f>_xll.qlCalendarAdvance(Calendar,M177,"1M","f",,Trigger)</f>
        <v>47385</v>
      </c>
      <c r="N178" s="488">
        <f>_xll.qlCalendarAdvance(Calendar,M178,"3M","f",,Trigger)</f>
        <v>47476</v>
      </c>
      <c r="O178" s="490" t="str">
        <f>_xll.qlMakeDatedOIS(,M178,N178,OvernightIndex,0,,,,EvaluationDate)</f>
        <v>obj_00858#0001</v>
      </c>
      <c r="P178" s="490" t="b">
        <f>_xll.qlInstrumentSetPricingEngine(O178,OisEngine)</f>
        <v>1</v>
      </c>
      <c r="Q178" s="489">
        <f>_xll.qlIndexFixing("euribor6m",_xll.qlInterestRateIndexFixingDate("Euribor6M",M178),TRUE,AllTriggers)</f>
        <v>2.5027520471134011E-2</v>
      </c>
      <c r="R178" s="489">
        <f>_xll.qlOvernightIndexedSwapFairRate(O178,AllTriggers)</f>
        <v>2.3502556821727319E-2</v>
      </c>
      <c r="S178" s="491">
        <f t="shared" si="6"/>
        <v>1.5249636494066923E-3</v>
      </c>
    </row>
    <row r="179" spans="5:19" ht="11.25" customHeight="1" x14ac:dyDescent="0.2">
      <c r="E179" s="483"/>
      <c r="F179" s="483"/>
      <c r="G179" s="482"/>
      <c r="J179" s="482"/>
      <c r="K179" s="482"/>
      <c r="M179" s="497">
        <f>_xll.qlCalendarAdvance(Calendar,M178,"1M","f",,Trigger)</f>
        <v>47415</v>
      </c>
      <c r="N179" s="488">
        <f>_xll.qlCalendarAdvance(Calendar,M179,"3M","f",,Trigger)</f>
        <v>47507</v>
      </c>
      <c r="O179" s="490" t="str">
        <f>_xll.qlMakeDatedOIS(,M179,N179,OvernightIndex,0,,,,EvaluationDate)</f>
        <v>obj_00528#0001</v>
      </c>
      <c r="P179" s="490" t="b">
        <f>_xll.qlInstrumentSetPricingEngine(O179,OisEngine)</f>
        <v>1</v>
      </c>
      <c r="Q179" s="489">
        <f>_xll.qlIndexFixing("euribor6m",_xll.qlInterestRateIndexFixingDate("Euribor6M",M179),TRUE,AllTriggers)</f>
        <v>2.5016981101172637E-2</v>
      </c>
      <c r="R179" s="489">
        <f>_xll.qlOvernightIndexedSwapFairRate(O179,AllTriggers)</f>
        <v>2.3503322504393517E-2</v>
      </c>
      <c r="S179" s="491">
        <f t="shared" si="6"/>
        <v>1.5136585967791202E-3</v>
      </c>
    </row>
    <row r="180" spans="5:19" ht="11.25" customHeight="1" x14ac:dyDescent="0.2">
      <c r="E180" s="483"/>
      <c r="F180" s="483"/>
      <c r="G180" s="482"/>
      <c r="J180" s="482"/>
      <c r="K180" s="482"/>
      <c r="M180" s="497">
        <f>_xll.qlCalendarAdvance(Calendar,M179,"1M","f",,Trigger)</f>
        <v>47448</v>
      </c>
      <c r="N180" s="488">
        <f>_xll.qlCalendarAdvance(Calendar,M180,"3M","f",,Trigger)</f>
        <v>47540</v>
      </c>
      <c r="O180" s="490" t="str">
        <f>_xll.qlMakeDatedOIS(,M180,N180,OvernightIndex,0,,,,EvaluationDate)</f>
        <v>obj_0052a#0001</v>
      </c>
      <c r="P180" s="490" t="b">
        <f>_xll.qlInstrumentSetPricingEngine(O180,OisEngine)</f>
        <v>1</v>
      </c>
      <c r="Q180" s="489">
        <f>_xll.qlIndexFixing("euribor6m",_xll.qlInterestRateIndexFixingDate("Euribor6M",M180),TRUE,AllTriggers)</f>
        <v>2.5005031436852166E-2</v>
      </c>
      <c r="R180" s="489">
        <f>_xll.qlOvernightIndexedSwapFairRate(O180,AllTriggers)</f>
        <v>2.3503322504393513E-2</v>
      </c>
      <c r="S180" s="491">
        <f t="shared" si="6"/>
        <v>1.5017089324586529E-3</v>
      </c>
    </row>
    <row r="181" spans="5:19" ht="11.25" customHeight="1" x14ac:dyDescent="0.2">
      <c r="E181" s="483"/>
      <c r="F181" s="483"/>
      <c r="G181" s="482"/>
      <c r="J181" s="482"/>
      <c r="K181" s="482"/>
      <c r="M181" s="497">
        <f>_xll.qlCalendarAdvance(Calendar,M180,"1M","f",,Trigger)</f>
        <v>47479</v>
      </c>
      <c r="N181" s="488">
        <f>_xll.qlCalendarAdvance(Calendar,M181,"3M","f",,Trigger)</f>
        <v>47569</v>
      </c>
      <c r="O181" s="490" t="str">
        <f>_xll.qlMakeDatedOIS(,M181,N181,OvernightIndex,0,,,,EvaluationDate)</f>
        <v>obj_007f5#0001</v>
      </c>
      <c r="P181" s="490" t="b">
        <f>_xll.qlInstrumentSetPricingEngine(O181,OisEngine)</f>
        <v>1</v>
      </c>
      <c r="Q181" s="489">
        <f>_xll.qlIndexFixing("euribor6m",_xll.qlInterestRateIndexFixingDate("Euribor6M",M181),TRUE,AllTriggers)</f>
        <v>2.4993465926795699E-2</v>
      </c>
      <c r="R181" s="489">
        <f>_xll.qlOvernightIndexedSwapFairRate(O181,AllTriggers)</f>
        <v>2.3501791172304998E-2</v>
      </c>
      <c r="S181" s="491">
        <f t="shared" si="6"/>
        <v>1.4916747544907009E-3</v>
      </c>
    </row>
    <row r="182" spans="5:19" ht="11.25" customHeight="1" x14ac:dyDescent="0.2">
      <c r="E182" s="483"/>
      <c r="F182" s="483"/>
      <c r="G182" s="482"/>
      <c r="J182" s="482"/>
      <c r="K182" s="482"/>
      <c r="M182" s="497">
        <f>_xll.qlCalendarAdvance(Calendar,M181,"1M","f",,Trigger)</f>
        <v>47511</v>
      </c>
      <c r="N182" s="488">
        <f>_xll.qlCalendarAdvance(Calendar,M182,"3M","f",,Trigger)</f>
        <v>47602</v>
      </c>
      <c r="O182" s="490" t="str">
        <f>_xll.qlMakeDatedOIS(,M182,N182,OvernightIndex,0,,,,EvaluationDate)</f>
        <v>obj_00850#0001</v>
      </c>
      <c r="P182" s="490" t="b">
        <f>_xll.qlInstrumentSetPricingEngine(O182,OisEngine)</f>
        <v>1</v>
      </c>
      <c r="Q182" s="489">
        <f>_xll.qlIndexFixing("euribor6m",_xll.qlInterestRateIndexFixingDate("Euribor6M",M182),TRUE,AllTriggers)</f>
        <v>2.4981181789168153E-2</v>
      </c>
      <c r="R182" s="489">
        <f>_xll.qlOvernightIndexedSwapFairRate(O182,AllTriggers)</f>
        <v>2.3502556821727316E-2</v>
      </c>
      <c r="S182" s="491">
        <f t="shared" si="6"/>
        <v>1.4786249674408371E-3</v>
      </c>
    </row>
    <row r="183" spans="5:19" ht="11.25" customHeight="1" x14ac:dyDescent="0.2">
      <c r="E183" s="483"/>
      <c r="F183" s="483"/>
      <c r="G183" s="482"/>
      <c r="J183" s="482"/>
      <c r="K183" s="482"/>
      <c r="M183" s="497">
        <f>_xll.qlCalendarAdvance(Calendar,M182,"1M","f",,Trigger)</f>
        <v>47542</v>
      </c>
      <c r="N183" s="488">
        <f>_xll.qlCalendarAdvance(Calendar,M183,"3M","f",,Trigger)</f>
        <v>47631</v>
      </c>
      <c r="O183" s="490" t="str">
        <f>_xll.qlMakeDatedOIS(,M183,N183,OvernightIndex,0,,,,EvaluationDate)</f>
        <v>obj_0052e#0001</v>
      </c>
      <c r="P183" s="490" t="b">
        <f>_xll.qlInstrumentSetPricingEngine(O183,OisEngine)</f>
        <v>1</v>
      </c>
      <c r="Q183" s="489">
        <f>_xll.qlIndexFixing("euribor6m",_xll.qlInterestRateIndexFixingDate("Euribor6M",M183),TRUE,AllTriggers)</f>
        <v>2.4969603821332138E-2</v>
      </c>
      <c r="R183" s="489">
        <f>_xll.qlOvernightIndexedSwapFairRate(O183,AllTriggers)</f>
        <v>2.3501025556121741E-2</v>
      </c>
      <c r="S183" s="491">
        <f t="shared" si="6"/>
        <v>1.4685782652103969E-3</v>
      </c>
    </row>
    <row r="184" spans="5:19" ht="11.25" customHeight="1" x14ac:dyDescent="0.2">
      <c r="E184" s="483"/>
      <c r="F184" s="483"/>
      <c r="G184" s="482"/>
      <c r="J184" s="482"/>
      <c r="K184" s="482"/>
      <c r="M184" s="497">
        <f>_xll.qlCalendarAdvance(Calendar,M183,"1M","f",,Trigger)</f>
        <v>47570</v>
      </c>
      <c r="N184" s="488">
        <f>_xll.qlCalendarAdvance(Calendar,M184,"3M","f",,Trigger)</f>
        <v>47662</v>
      </c>
      <c r="O184" s="490" t="str">
        <f>_xll.qlMakeDatedOIS(,M184,N184,OvernightIndex,0,,,,EvaluationDate)</f>
        <v>obj_00530#0001</v>
      </c>
      <c r="P184" s="490" t="b">
        <f>_xll.qlInstrumentSetPricingEngine(O184,OisEngine)</f>
        <v>1</v>
      </c>
      <c r="Q184" s="489">
        <f>_xll.qlIndexFixing("euribor6m",_xll.qlInterestRateIndexFixingDate("Euribor6M",M184),TRUE,AllTriggers)</f>
        <v>2.4960217861878249E-2</v>
      </c>
      <c r="R184" s="489">
        <f>_xll.qlOvernightIndexedSwapFairRate(O184,AllTriggers)</f>
        <v>2.3503322504393513E-2</v>
      </c>
      <c r="S184" s="491">
        <f t="shared" si="6"/>
        <v>1.456895357484736E-3</v>
      </c>
    </row>
    <row r="185" spans="5:19" ht="11.25" customHeight="1" x14ac:dyDescent="0.2">
      <c r="E185" s="483"/>
      <c r="F185" s="483"/>
      <c r="G185" s="482"/>
      <c r="J185" s="482"/>
      <c r="K185" s="482"/>
      <c r="M185" s="497">
        <f>_xll.qlCalendarAdvance(Calendar,M184,"1M","f",,Trigger)</f>
        <v>47602</v>
      </c>
      <c r="N185" s="488">
        <f>_xll.qlCalendarAdvance(Calendar,M185,"3M","f",,Trigger)</f>
        <v>47693</v>
      </c>
      <c r="O185" s="490" t="str">
        <f>_xll.qlMakeDatedOIS(,M185,N185,OvernightIndex,0,,,,EvaluationDate)</f>
        <v>obj_00532#0001</v>
      </c>
      <c r="P185" s="490" t="b">
        <f>_xll.qlInstrumentSetPricingEngine(O185,OisEngine)</f>
        <v>1</v>
      </c>
      <c r="Q185" s="489">
        <f>_xll.qlIndexFixing("euribor6m",_xll.qlInterestRateIndexFixingDate("Euribor6M",M185),TRUE,AllTriggers)</f>
        <v>2.4944975379292276E-2</v>
      </c>
      <c r="R185" s="489">
        <f>_xll.qlOvernightIndexedSwapFairRate(O185,AllTriggers)</f>
        <v>2.35025568217282E-2</v>
      </c>
      <c r="S185" s="491">
        <f t="shared" si="6"/>
        <v>1.4424185575640756E-3</v>
      </c>
    </row>
    <row r="186" spans="5:19" ht="11.25" customHeight="1" x14ac:dyDescent="0.2">
      <c r="E186" s="483"/>
      <c r="F186" s="483"/>
      <c r="G186" s="482"/>
      <c r="J186" s="482"/>
      <c r="K186" s="482"/>
      <c r="M186" s="497">
        <f>_xll.qlCalendarAdvance(Calendar,M185,"1M","f",,Trigger)</f>
        <v>47632</v>
      </c>
      <c r="N186" s="488">
        <f>_xll.qlCalendarAdvance(Calendar,M186,"3M","f",,Trigger)</f>
        <v>47724</v>
      </c>
      <c r="O186" s="490" t="str">
        <f>_xll.qlMakeDatedOIS(,M186,N186,OvernightIndex,0,,,,EvaluationDate)</f>
        <v>obj_00534#0001</v>
      </c>
      <c r="P186" s="490" t="b">
        <f>_xll.qlInstrumentSetPricingEngine(O186,OisEngine)</f>
        <v>1</v>
      </c>
      <c r="Q186" s="489">
        <f>_xll.qlIndexFixing("euribor6m",_xll.qlInterestRateIndexFixingDate("Euribor6M",M186),TRUE,AllTriggers)</f>
        <v>2.4932837299013626E-2</v>
      </c>
      <c r="R186" s="489">
        <f>_xll.qlOvernightIndexedSwapFairRate(O186,AllTriggers)</f>
        <v>2.3503322504393513E-2</v>
      </c>
      <c r="S186" s="491">
        <f t="shared" si="6"/>
        <v>1.4295147946201125E-3</v>
      </c>
    </row>
    <row r="187" spans="5:19" ht="11.25" customHeight="1" x14ac:dyDescent="0.2">
      <c r="E187" s="483"/>
      <c r="F187" s="483"/>
      <c r="G187" s="482"/>
      <c r="J187" s="482"/>
      <c r="K187" s="482"/>
      <c r="M187" s="497">
        <f>_xll.qlCalendarAdvance(Calendar,M186,"1M","f",,Trigger)</f>
        <v>47665</v>
      </c>
      <c r="N187" s="488">
        <f>_xll.qlCalendarAdvance(Calendar,M187,"3M","f",,Trigger)</f>
        <v>47757</v>
      </c>
      <c r="O187" s="490" t="str">
        <f>_xll.qlMakeDatedOIS(,M187,N187,OvernightIndex,0,,,,EvaluationDate)</f>
        <v>obj_00536#0001</v>
      </c>
      <c r="P187" s="490" t="b">
        <f>_xll.qlInstrumentSetPricingEngine(O187,OisEngine)</f>
        <v>1</v>
      </c>
      <c r="Q187" s="489">
        <f>_xll.qlIndexFixing("euribor6m",_xll.qlInterestRateIndexFixingDate("Euribor6M",M187),TRUE,AllTriggers)</f>
        <v>2.4919051780578679E-2</v>
      </c>
      <c r="R187" s="489">
        <f>_xll.qlOvernightIndexedSwapFairRate(O187,AllTriggers)</f>
        <v>2.3503322504393517E-2</v>
      </c>
      <c r="S187" s="491">
        <f t="shared" si="6"/>
        <v>1.4157292761851625E-3</v>
      </c>
    </row>
    <row r="188" spans="5:19" ht="11.25" customHeight="1" x14ac:dyDescent="0.2">
      <c r="E188" s="483"/>
      <c r="F188" s="483"/>
      <c r="G188" s="482"/>
      <c r="J188" s="482"/>
      <c r="K188" s="482"/>
      <c r="M188" s="497">
        <f>_xll.qlCalendarAdvance(Calendar,M187,"1M","f",,Trigger)</f>
        <v>47696</v>
      </c>
      <c r="N188" s="488">
        <f>_xll.qlCalendarAdvance(Calendar,M188,"3M","f",,Trigger)</f>
        <v>47788</v>
      </c>
      <c r="O188" s="490" t="str">
        <f>_xll.qlMakeDatedOIS(,M188,N188,OvernightIndex,0,,,,EvaluationDate)</f>
        <v>obj_00538#0001</v>
      </c>
      <c r="P188" s="490" t="b">
        <f>_xll.qlInstrumentSetPricingEngine(O188,OisEngine)</f>
        <v>1</v>
      </c>
      <c r="Q188" s="489">
        <f>_xll.qlIndexFixing("euribor6m",_xll.qlInterestRateIndexFixingDate("Euribor6M",M188),TRUE,AllTriggers)</f>
        <v>2.4905787349102128E-2</v>
      </c>
      <c r="R188" s="489">
        <f>_xll.qlOvernightIndexedSwapFairRate(O188,AllTriggers)</f>
        <v>2.3503322504393513E-2</v>
      </c>
      <c r="S188" s="491">
        <f t="shared" si="6"/>
        <v>1.4024648447086147E-3</v>
      </c>
    </row>
    <row r="189" spans="5:19" ht="11.25" customHeight="1" x14ac:dyDescent="0.2">
      <c r="E189" s="483"/>
      <c r="F189" s="483"/>
      <c r="G189" s="482"/>
      <c r="J189" s="482"/>
      <c r="K189" s="482"/>
      <c r="M189" s="497">
        <f>_xll.qlCalendarAdvance(Calendar,M188,"1M","f",,Trigger)</f>
        <v>47728</v>
      </c>
      <c r="N189" s="488">
        <f>_xll.qlCalendarAdvance(Calendar,M189,"3M","f",,Trigger)</f>
        <v>47819</v>
      </c>
      <c r="O189" s="490" t="str">
        <f>_xll.qlMakeDatedOIS(,M189,N189,OvernightIndex,0,,,,EvaluationDate)</f>
        <v>obj_0053a#0001</v>
      </c>
      <c r="P189" s="490" t="b">
        <f>_xll.qlInstrumentSetPricingEngine(O189,OisEngine)</f>
        <v>1</v>
      </c>
      <c r="Q189" s="489">
        <f>_xll.qlIndexFixing("euribor6m",_xll.qlInterestRateIndexFixingDate("Euribor6M",M189),TRUE,AllTriggers)</f>
        <v>2.488861912973464E-2</v>
      </c>
      <c r="R189" s="489">
        <f>_xll.qlOvernightIndexedSwapFairRate(O189,AllTriggers)</f>
        <v>2.3502556821728197E-2</v>
      </c>
      <c r="S189" s="491">
        <f t="shared" si="6"/>
        <v>1.3860623080064437E-3</v>
      </c>
    </row>
    <row r="190" spans="5:19" ht="11.25" customHeight="1" x14ac:dyDescent="0.2">
      <c r="E190" s="483"/>
      <c r="F190" s="483"/>
      <c r="G190" s="482"/>
      <c r="J190" s="482"/>
      <c r="K190" s="482"/>
      <c r="M190" s="497">
        <f>_xll.qlCalendarAdvance(Calendar,M189,"1M","f",,Trigger)</f>
        <v>47758</v>
      </c>
      <c r="N190" s="488">
        <f>_xll.qlCalendarAdvance(Calendar,M190,"3M","f",,Trigger)</f>
        <v>47850</v>
      </c>
      <c r="O190" s="490" t="str">
        <f>_xll.qlMakeDatedOIS(,M190,N190,OvernightIndex,0,,,,EvaluationDate)</f>
        <v>obj_0053c#0001</v>
      </c>
      <c r="P190" s="490" t="b">
        <f>_xll.qlInstrumentSetPricingEngine(O190,OisEngine)</f>
        <v>1</v>
      </c>
      <c r="Q190" s="489">
        <f>_xll.qlIndexFixing("euribor6m",_xll.qlInterestRateIndexFixingDate("Euribor6M",M190),TRUE,AllTriggers)</f>
        <v>2.4874552505696753E-2</v>
      </c>
      <c r="R190" s="489">
        <f>_xll.qlOvernightIndexedSwapFairRate(O190,AllTriggers)</f>
        <v>2.3503322504393513E-2</v>
      </c>
      <c r="S190" s="491">
        <f t="shared" si="6"/>
        <v>1.3712300013032398E-3</v>
      </c>
    </row>
    <row r="191" spans="5:19" ht="11.25" customHeight="1" x14ac:dyDescent="0.2">
      <c r="E191" s="483"/>
      <c r="F191" s="483"/>
      <c r="G191" s="482"/>
      <c r="J191" s="482"/>
      <c r="K191" s="482"/>
      <c r="M191" s="497">
        <f>_xll.qlCalendarAdvance(Calendar,M190,"1M","f",,Trigger)</f>
        <v>47791</v>
      </c>
      <c r="N191" s="488">
        <f>_xll.qlCalendarAdvance(Calendar,M191,"3M","f",,Trigger)</f>
        <v>47883</v>
      </c>
      <c r="O191" s="490" t="str">
        <f>_xll.qlMakeDatedOIS(,M191,N191,OvernightIndex,0,,,,EvaluationDate)</f>
        <v>obj_0053e#0001</v>
      </c>
      <c r="P191" s="490" t="b">
        <f>_xll.qlInstrumentSetPricingEngine(O191,OisEngine)</f>
        <v>1</v>
      </c>
      <c r="Q191" s="489">
        <f>_xll.qlIndexFixing("euribor6m",_xll.qlInterestRateIndexFixingDate("Euribor6M",M191),TRUE,AllTriggers)</f>
        <v>2.4858722937980356E-2</v>
      </c>
      <c r="R191" s="489">
        <f>_xll.qlOvernightIndexedSwapFairRate(O191,AllTriggers)</f>
        <v>2.3503322504393513E-2</v>
      </c>
      <c r="S191" s="491">
        <f t="shared" si="6"/>
        <v>1.3554004335868432E-3</v>
      </c>
    </row>
    <row r="192" spans="5:19" ht="11.25" customHeight="1" x14ac:dyDescent="0.2">
      <c r="E192" s="483"/>
      <c r="F192" s="483"/>
      <c r="G192" s="482"/>
      <c r="J192" s="482"/>
      <c r="K192" s="482"/>
      <c r="M192" s="497">
        <f>_xll.qlCalendarAdvance(Calendar,M191,"1M","f",,Trigger)</f>
        <v>47821</v>
      </c>
      <c r="N192" s="488">
        <f>_xll.qlCalendarAdvance(Calendar,M192,"3M","f",,Trigger)</f>
        <v>47911</v>
      </c>
      <c r="O192" s="490" t="str">
        <f>_xll.qlMakeDatedOIS(,M192,N192,OvernightIndex,0,,,,EvaluationDate)</f>
        <v>obj_00540#0001</v>
      </c>
      <c r="P192" s="490" t="b">
        <f>_xll.qlInstrumentSetPricingEngine(O192,OisEngine)</f>
        <v>1</v>
      </c>
      <c r="Q192" s="489">
        <f>_xll.qlIndexFixing("euribor6m",_xll.qlInterestRateIndexFixingDate("Euribor6M",M192),TRUE,AllTriggers)</f>
        <v>2.4844008537022014E-2</v>
      </c>
      <c r="R192" s="489">
        <f>_xll.qlOvernightIndexedSwapFairRate(O192,AllTriggers)</f>
        <v>2.3501791172304998E-2</v>
      </c>
      <c r="S192" s="491">
        <f t="shared" si="6"/>
        <v>1.3422173647170167E-3</v>
      </c>
    </row>
    <row r="193" spans="5:19" ht="11.25" customHeight="1" x14ac:dyDescent="0.2">
      <c r="E193" s="483"/>
      <c r="F193" s="483"/>
      <c r="G193" s="482"/>
      <c r="J193" s="482"/>
      <c r="K193" s="482"/>
      <c r="M193" s="497">
        <f>_xll.qlCalendarAdvance(Calendar,M192,"1M","f",,Trigger)</f>
        <v>47854</v>
      </c>
      <c r="N193" s="488">
        <f>_xll.qlCalendarAdvance(Calendar,M193,"3M","f",,Trigger)</f>
        <v>47945</v>
      </c>
      <c r="O193" s="490" t="str">
        <f>_xll.qlMakeDatedOIS(,M193,N193,OvernightIndex,0,,,,EvaluationDate)</f>
        <v>obj_00849#0001</v>
      </c>
      <c r="P193" s="490" t="b">
        <f>_xll.qlInstrumentSetPricingEngine(O193,OisEngine)</f>
        <v>1</v>
      </c>
      <c r="Q193" s="489">
        <f>_xll.qlIndexFixing("euribor6m",_xll.qlInterestRateIndexFixingDate("Euribor6M",M193),TRUE,AllTriggers)</f>
        <v>2.4827466431008239E-2</v>
      </c>
      <c r="R193" s="489">
        <f>_xll.qlOvernightIndexedSwapFairRate(O193,AllTriggers)</f>
        <v>2.3502556821728197E-2</v>
      </c>
      <c r="S193" s="491">
        <f t="shared" si="6"/>
        <v>1.3249096092800422E-3</v>
      </c>
    </row>
    <row r="194" spans="5:19" ht="11.25" customHeight="1" x14ac:dyDescent="0.2">
      <c r="E194" s="483"/>
      <c r="F194" s="483"/>
      <c r="G194" s="482"/>
      <c r="J194" s="482"/>
      <c r="K194" s="482"/>
      <c r="M194" s="497">
        <f>_xll.qlCalendarAdvance(Calendar,M193,"1M","f",,Trigger)</f>
        <v>47885</v>
      </c>
      <c r="N194" s="488">
        <f>_xll.qlCalendarAdvance(Calendar,M194,"3M","f",,Trigger)</f>
        <v>47974</v>
      </c>
      <c r="O194" s="490" t="str">
        <f>_xll.qlMakeDatedOIS(,M194,N194,OvernightIndex,0,,,,EvaluationDate)</f>
        <v>obj_00543#0001</v>
      </c>
      <c r="P194" s="490" t="b">
        <f>_xll.qlInstrumentSetPricingEngine(O194,OisEngine)</f>
        <v>1</v>
      </c>
      <c r="Q194" s="489">
        <f>_xll.qlIndexFixing("euribor6m",_xll.qlInterestRateIndexFixingDate("Euribor6M",M194),TRUE,AllTriggers)</f>
        <v>2.4810999353186893E-2</v>
      </c>
      <c r="R194" s="489">
        <f>_xll.qlOvernightIndexedSwapFairRate(O194,AllTriggers)</f>
        <v>2.3501025556121744E-2</v>
      </c>
      <c r="S194" s="491">
        <f t="shared" si="6"/>
        <v>1.309973797065149E-3</v>
      </c>
    </row>
    <row r="195" spans="5:19" ht="11.25" customHeight="1" x14ac:dyDescent="0.2">
      <c r="E195" s="483"/>
      <c r="F195" s="483"/>
      <c r="G195" s="482"/>
      <c r="J195" s="482"/>
      <c r="K195" s="482"/>
      <c r="M195" s="497">
        <f>_xll.qlCalendarAdvance(Calendar,M194,"1M","f",,Trigger)</f>
        <v>47913</v>
      </c>
      <c r="N195" s="488">
        <f>_xll.qlCalendarAdvance(Calendar,M195,"3M","f",,Trigger)</f>
        <v>48005</v>
      </c>
      <c r="O195" s="490" t="str">
        <f>_xll.qlMakeDatedOIS(,M195,N195,OvernightIndex,0,,,,EvaluationDate)</f>
        <v>obj_00545#0001</v>
      </c>
      <c r="P195" s="490" t="b">
        <f>_xll.qlInstrumentSetPricingEngine(O195,OisEngine)</f>
        <v>1</v>
      </c>
      <c r="Q195" s="489">
        <f>_xll.qlIndexFixing("euribor6m",_xll.qlInterestRateIndexFixingDate("Euribor6M",M195),TRUE,AllTriggers)</f>
        <v>2.4799286884423965E-2</v>
      </c>
      <c r="R195" s="489">
        <f>_xll.qlOvernightIndexedSwapFairRate(O195,AllTriggers)</f>
        <v>2.3503322504393513E-2</v>
      </c>
      <c r="S195" s="491">
        <f t="shared" ref="S195:S258" si="7">Q195-R195</f>
        <v>1.2959643800304517E-3</v>
      </c>
    </row>
    <row r="196" spans="5:19" ht="11.25" customHeight="1" x14ac:dyDescent="0.2">
      <c r="E196" s="483"/>
      <c r="F196" s="483"/>
      <c r="G196" s="482"/>
      <c r="J196" s="482"/>
      <c r="K196" s="482"/>
      <c r="M196" s="497">
        <f>_xll.qlCalendarAdvance(Calendar,M195,"1M","f",,Trigger)</f>
        <v>47945</v>
      </c>
      <c r="N196" s="488">
        <f>_xll.qlCalendarAdvance(Calendar,M196,"3M","f",,Trigger)</f>
        <v>48036</v>
      </c>
      <c r="O196" s="490" t="str">
        <f>_xll.qlMakeDatedOIS(,M196,N196,OvernightIndex,0,,,,EvaluationDate)</f>
        <v>obj_0087b#0001</v>
      </c>
      <c r="P196" s="490" t="b">
        <f>_xll.qlInstrumentSetPricingEngine(O196,OisEngine)</f>
        <v>1</v>
      </c>
      <c r="Q196" s="489">
        <f>_xll.qlIndexFixing("euribor6m",_xll.qlInterestRateIndexFixingDate("Euribor6M",M196),TRUE,AllTriggers)</f>
        <v>2.4780491713995226E-2</v>
      </c>
      <c r="R196" s="489">
        <f>_xll.qlOvernightIndexedSwapFairRate(O196,AllTriggers)</f>
        <v>2.3502556821728193E-2</v>
      </c>
      <c r="S196" s="491">
        <f t="shared" si="7"/>
        <v>1.2779348922670325E-3</v>
      </c>
    </row>
    <row r="197" spans="5:19" ht="11.25" customHeight="1" x14ac:dyDescent="0.2">
      <c r="E197" s="483"/>
      <c r="F197" s="483"/>
      <c r="G197" s="482"/>
      <c r="J197" s="482"/>
      <c r="K197" s="482"/>
      <c r="M197" s="497">
        <f>_xll.qlCalendarAdvance(Calendar,M196,"1M","f",,Trigger)</f>
        <v>47975</v>
      </c>
      <c r="N197" s="488">
        <f>_xll.qlCalendarAdvance(Calendar,M197,"3M","f",,Trigger)</f>
        <v>48067</v>
      </c>
      <c r="O197" s="490" t="str">
        <f>_xll.qlMakeDatedOIS(,M197,N197,OvernightIndex,0,,,,EvaluationDate)</f>
        <v>obj_00832#0001</v>
      </c>
      <c r="P197" s="490" t="b">
        <f>_xll.qlInstrumentSetPricingEngine(O197,OisEngine)</f>
        <v>1</v>
      </c>
      <c r="Q197" s="489">
        <f>_xll.qlIndexFixing("euribor6m",_xll.qlInterestRateIndexFixingDate("Euribor6M",M197),TRUE,AllTriggers)</f>
        <v>2.4764756348375497E-2</v>
      </c>
      <c r="R197" s="489">
        <f>_xll.qlOvernightIndexedSwapFairRate(O197,AllTriggers)</f>
        <v>2.3503322504393513E-2</v>
      </c>
      <c r="S197" s="491">
        <f t="shared" si="7"/>
        <v>1.2614338439819843E-3</v>
      </c>
    </row>
    <row r="198" spans="5:19" ht="11.25" customHeight="1" x14ac:dyDescent="0.2">
      <c r="E198" s="483"/>
      <c r="F198" s="483"/>
      <c r="G198" s="482"/>
      <c r="J198" s="482"/>
      <c r="K198" s="482"/>
      <c r="M198" s="497">
        <f>_xll.qlCalendarAdvance(Calendar,M197,"1M","f",,Trigger)</f>
        <v>48008</v>
      </c>
      <c r="N198" s="488">
        <f>_xll.qlCalendarAdvance(Calendar,M198,"3M","f",,Trigger)</f>
        <v>48100</v>
      </c>
      <c r="O198" s="490" t="str">
        <f>_xll.qlMakeDatedOIS(,M198,N198,OvernightIndex,0,,,,EvaluationDate)</f>
        <v>obj_00549#0001</v>
      </c>
      <c r="P198" s="490" t="b">
        <f>_xll.qlInstrumentSetPricingEngine(O198,OisEngine)</f>
        <v>1</v>
      </c>
      <c r="Q198" s="489">
        <f>_xll.qlIndexFixing("euribor6m",_xll.qlInterestRateIndexFixingDate("Euribor6M",M198),TRUE,AllTriggers)</f>
        <v>2.4745897106612319E-2</v>
      </c>
      <c r="R198" s="489">
        <f>_xll.qlOvernightIndexedSwapFairRate(O198,AllTriggers)</f>
        <v>2.3503322504393513E-2</v>
      </c>
      <c r="S198" s="491">
        <f t="shared" si="7"/>
        <v>1.2425746022188058E-3</v>
      </c>
    </row>
    <row r="199" spans="5:19" ht="11.25" customHeight="1" x14ac:dyDescent="0.2">
      <c r="E199" s="483"/>
      <c r="F199" s="483"/>
      <c r="G199" s="482"/>
      <c r="J199" s="482"/>
      <c r="K199" s="482"/>
      <c r="M199" s="497">
        <f>_xll.qlCalendarAdvance(Calendar,M198,"1M","f",,Trigger)</f>
        <v>48038</v>
      </c>
      <c r="N199" s="488">
        <f>_xll.qlCalendarAdvance(Calendar,M199,"3M","f",,Trigger)</f>
        <v>48130</v>
      </c>
      <c r="O199" s="490" t="str">
        <f>_xll.qlMakeDatedOIS(,M199,N199,OvernightIndex,0,,,,EvaluationDate)</f>
        <v>obj_0054b#0001</v>
      </c>
      <c r="P199" s="490" t="b">
        <f>_xll.qlInstrumentSetPricingEngine(O199,OisEngine)</f>
        <v>1</v>
      </c>
      <c r="Q199" s="489">
        <f>_xll.qlIndexFixing("euribor6m",_xll.qlInterestRateIndexFixingDate("Euribor6M",M199),TRUE,AllTriggers)</f>
        <v>2.4729500827325557E-2</v>
      </c>
      <c r="R199" s="489">
        <f>_xll.qlOvernightIndexedSwapFairRate(O199,AllTriggers)</f>
        <v>2.3503322504393513E-2</v>
      </c>
      <c r="S199" s="491">
        <f t="shared" si="7"/>
        <v>1.2261783229320436E-3</v>
      </c>
    </row>
    <row r="200" spans="5:19" ht="11.25" customHeight="1" x14ac:dyDescent="0.2">
      <c r="E200" s="483"/>
      <c r="F200" s="483"/>
      <c r="G200" s="482"/>
      <c r="J200" s="482"/>
      <c r="K200" s="482"/>
      <c r="M200" s="497">
        <f>_xll.qlCalendarAdvance(Calendar,M199,"1M","f",,Trigger)</f>
        <v>48071</v>
      </c>
      <c r="N200" s="488">
        <f>_xll.qlCalendarAdvance(Calendar,M200,"3M","f",,Trigger)</f>
        <v>48163</v>
      </c>
      <c r="O200" s="490" t="str">
        <f>_xll.qlMakeDatedOIS(,M200,N200,OvernightIndex,0,,,,EvaluationDate)</f>
        <v>obj_0086c#0001</v>
      </c>
      <c r="P200" s="490" t="b">
        <f>_xll.qlInstrumentSetPricingEngine(O200,OisEngine)</f>
        <v>1</v>
      </c>
      <c r="Q200" s="489">
        <f>_xll.qlIndexFixing("euribor6m",_xll.qlInterestRateIndexFixingDate("Euribor6M",M200),TRUE,AllTriggers)</f>
        <v>2.4710490787868619E-2</v>
      </c>
      <c r="R200" s="489">
        <f>_xll.qlOvernightIndexedSwapFairRate(O200,AllTriggers)</f>
        <v>2.3503322504393517E-2</v>
      </c>
      <c r="S200" s="491">
        <f t="shared" si="7"/>
        <v>1.2071682834751025E-3</v>
      </c>
    </row>
    <row r="201" spans="5:19" ht="11.25" customHeight="1" x14ac:dyDescent="0.2">
      <c r="E201" s="483"/>
      <c r="F201" s="483"/>
      <c r="G201" s="482"/>
      <c r="J201" s="482"/>
      <c r="K201" s="482"/>
      <c r="M201" s="497">
        <f>_xll.qlCalendarAdvance(Calendar,M200,"1M","f",,Trigger)</f>
        <v>48102</v>
      </c>
      <c r="N201" s="488">
        <f>_xll.qlCalendarAdvance(Calendar,M201,"3M","f",,Trigger)</f>
        <v>48193</v>
      </c>
      <c r="O201" s="490" t="str">
        <f>_xll.qlMakeDatedOIS(,M201,N201,OvernightIndex,0,,,,EvaluationDate)</f>
        <v>obj_0054e#0001</v>
      </c>
      <c r="P201" s="490" t="b">
        <f>_xll.qlInstrumentSetPricingEngine(O201,OisEngine)</f>
        <v>1</v>
      </c>
      <c r="Q201" s="489">
        <f>_xll.qlIndexFixing("euribor6m",_xll.qlInterestRateIndexFixingDate("Euribor6M",M201),TRUE,AllTriggers)</f>
        <v>2.4691208974564231E-2</v>
      </c>
      <c r="R201" s="489">
        <f>_xll.qlOvernightIndexedSwapFairRate(O201,AllTriggers)</f>
        <v>2.3502556821727316E-2</v>
      </c>
      <c r="S201" s="491">
        <f t="shared" si="7"/>
        <v>1.1886521528369151E-3</v>
      </c>
    </row>
    <row r="202" spans="5:19" ht="11.25" customHeight="1" x14ac:dyDescent="0.2">
      <c r="E202" s="483"/>
      <c r="F202" s="483"/>
      <c r="G202" s="482"/>
      <c r="J202" s="482"/>
      <c r="K202" s="482"/>
      <c r="M202" s="497">
        <f>_xll.qlCalendarAdvance(Calendar,M201,"1M","f",,Trigger)</f>
        <v>48134</v>
      </c>
      <c r="N202" s="488">
        <f>_xll.qlCalendarAdvance(Calendar,M202,"3M","f",,Trigger)</f>
        <v>48226</v>
      </c>
      <c r="O202" s="490" t="str">
        <f>_xll.qlMakeDatedOIS(,M202,N202,OvernightIndex,0,,,,EvaluationDate)</f>
        <v>obj_00819#0001</v>
      </c>
      <c r="P202" s="490" t="b">
        <f>_xll.qlInstrumentSetPricingEngine(O202,OisEngine)</f>
        <v>1</v>
      </c>
      <c r="Q202" s="489">
        <f>_xll.qlIndexFixing("euribor6m",_xll.qlInterestRateIndexFixingDate("Euribor6M",M202),TRUE,AllTriggers)</f>
        <v>2.4672627446344145E-2</v>
      </c>
      <c r="R202" s="489">
        <f>_xll.qlOvernightIndexedSwapFairRate(O202,AllTriggers)</f>
        <v>2.3503322504392642E-2</v>
      </c>
      <c r="S202" s="491">
        <f t="shared" si="7"/>
        <v>1.1693049419515024E-3</v>
      </c>
    </row>
    <row r="203" spans="5:19" ht="11.25" customHeight="1" x14ac:dyDescent="0.2">
      <c r="E203" s="483"/>
      <c r="F203" s="483"/>
      <c r="G203" s="482"/>
      <c r="J203" s="482"/>
      <c r="K203" s="482"/>
      <c r="M203" s="497">
        <f>_xll.qlCalendarAdvance(Calendar,M202,"1M","f",,Trigger)</f>
        <v>48165</v>
      </c>
      <c r="N203" s="488">
        <f>_xll.qlCalendarAdvance(Calendar,M203,"3M","f",,Trigger)</f>
        <v>48257</v>
      </c>
      <c r="O203" s="490" t="str">
        <f>_xll.qlMakeDatedOIS(,M203,N203,OvernightIndex,0,,,,EvaluationDate)</f>
        <v>obj_00551#0001</v>
      </c>
      <c r="P203" s="490" t="b">
        <f>_xll.qlInstrumentSetPricingEngine(O203,OisEngine)</f>
        <v>1</v>
      </c>
      <c r="Q203" s="489">
        <f>_xll.qlIndexFixing("euribor6m",_xll.qlInterestRateIndexFixingDate("Euribor6M",M203),TRUE,AllTriggers)</f>
        <v>2.4653238247399539E-2</v>
      </c>
      <c r="R203" s="489">
        <f>_xll.qlOvernightIndexedSwapFairRate(O203,AllTriggers)</f>
        <v>2.3503322504392646E-2</v>
      </c>
      <c r="S203" s="491">
        <f t="shared" si="7"/>
        <v>1.1499157430068935E-3</v>
      </c>
    </row>
    <row r="204" spans="5:19" ht="11.25" customHeight="1" x14ac:dyDescent="0.2">
      <c r="E204" s="483"/>
      <c r="F204" s="483"/>
      <c r="G204" s="482"/>
      <c r="J204" s="482"/>
      <c r="K204" s="482"/>
      <c r="M204" s="497">
        <f>_xll.qlCalendarAdvance(Calendar,M203,"1M","f",,Trigger)</f>
        <v>48197</v>
      </c>
      <c r="N204" s="488">
        <f>_xll.qlCalendarAdvance(Calendar,M204,"3M","f",,Trigger)</f>
        <v>48288</v>
      </c>
      <c r="O204" s="490" t="str">
        <f>_xll.qlMakeDatedOIS(,M204,N204,OvernightIndex,0,,,,EvaluationDate)</f>
        <v>obj_00807#0001</v>
      </c>
      <c r="P204" s="490" t="b">
        <f>_xll.qlInstrumentSetPricingEngine(O204,OisEngine)</f>
        <v>1</v>
      </c>
      <c r="Q204" s="489">
        <f>_xll.qlIndexFixing("euribor6m",_xll.qlInterestRateIndexFixingDate("Euribor6M",M204),TRUE,AllTriggers)</f>
        <v>2.4633952543595392E-2</v>
      </c>
      <c r="R204" s="489">
        <f>_xll.qlOvernightIndexedSwapFairRate(O204,AllTriggers)</f>
        <v>2.35025568217282E-2</v>
      </c>
      <c r="S204" s="491">
        <f t="shared" si="7"/>
        <v>1.1313957218671913E-3</v>
      </c>
    </row>
    <row r="205" spans="5:19" ht="11.25" customHeight="1" x14ac:dyDescent="0.2">
      <c r="E205" s="483"/>
      <c r="F205" s="483"/>
      <c r="G205" s="482"/>
      <c r="J205" s="482"/>
      <c r="K205" s="482"/>
      <c r="M205" s="497">
        <f>_xll.qlCalendarAdvance(Calendar,M204,"1M","f",,Trigger)</f>
        <v>48228</v>
      </c>
      <c r="N205" s="488">
        <f>_xll.qlCalendarAdvance(Calendar,M205,"3M","f",,Trigger)</f>
        <v>48319</v>
      </c>
      <c r="O205" s="490" t="str">
        <f>_xll.qlMakeDatedOIS(,M205,N205,OvernightIndex,0,,,,EvaluationDate)</f>
        <v>obj_007f4#0001</v>
      </c>
      <c r="P205" s="490" t="b">
        <f>_xll.qlInstrumentSetPricingEngine(O205,OisEngine)</f>
        <v>1</v>
      </c>
      <c r="Q205" s="489">
        <f>_xll.qlIndexFixing("euribor6m",_xll.qlInterestRateIndexFixingDate("Euribor6M",M205),TRUE,AllTriggers)</f>
        <v>2.4613907623780941E-2</v>
      </c>
      <c r="R205" s="489">
        <f>_xll.qlOvernightIndexedSwapFairRate(O205,AllTriggers)</f>
        <v>2.3502556821727319E-2</v>
      </c>
      <c r="S205" s="491">
        <f t="shared" si="7"/>
        <v>1.111350802053622E-3</v>
      </c>
    </row>
    <row r="206" spans="5:19" ht="11.25" customHeight="1" x14ac:dyDescent="0.2">
      <c r="E206" s="483"/>
      <c r="F206" s="483"/>
      <c r="G206" s="482"/>
      <c r="J206" s="482"/>
      <c r="K206" s="482"/>
      <c r="M206" s="497">
        <f>_xll.qlCalendarAdvance(Calendar,M205,"1M","f",,Trigger)</f>
        <v>48260</v>
      </c>
      <c r="N206" s="488">
        <f>_xll.qlCalendarAdvance(Calendar,M206,"3M","f",,Trigger)</f>
        <v>48351</v>
      </c>
      <c r="O206" s="490" t="str">
        <f>_xll.qlMakeDatedOIS(,M206,N206,OvernightIndex,0,,,,EvaluationDate)</f>
        <v>obj_00555#0001</v>
      </c>
      <c r="P206" s="490" t="b">
        <f>_xll.qlInstrumentSetPricingEngine(O206,OisEngine)</f>
        <v>1</v>
      </c>
      <c r="Q206" s="489">
        <f>_xll.qlIndexFixing("euribor6m",_xll.qlInterestRateIndexFixingDate("Euribor6M",M206),TRUE,AllTriggers)</f>
        <v>2.4593409392888486E-2</v>
      </c>
      <c r="R206" s="489">
        <f>_xll.qlOvernightIndexedSwapFairRate(O206,AllTriggers)</f>
        <v>2.3502556821727319E-2</v>
      </c>
      <c r="S206" s="491">
        <f t="shared" si="7"/>
        <v>1.0908525711611668E-3</v>
      </c>
    </row>
    <row r="207" spans="5:19" ht="11.25" customHeight="1" x14ac:dyDescent="0.2">
      <c r="E207" s="483"/>
      <c r="F207" s="483"/>
      <c r="G207" s="482"/>
      <c r="J207" s="482"/>
      <c r="K207" s="482"/>
      <c r="M207" s="497">
        <f>_xll.qlCalendarAdvance(Calendar,M206,"1M","f",,Trigger)</f>
        <v>48289</v>
      </c>
      <c r="N207" s="488">
        <f>_xll.qlCalendarAdvance(Calendar,M207,"3M","f",,Trigger)</f>
        <v>48381</v>
      </c>
      <c r="O207" s="490" t="str">
        <f>_xll.qlMakeDatedOIS(,M207,N207,OvernightIndex,0,,,,EvaluationDate)</f>
        <v>obj_00557#0001</v>
      </c>
      <c r="P207" s="490" t="b">
        <f>_xll.qlInstrumentSetPricingEngine(O207,OisEngine)</f>
        <v>1</v>
      </c>
      <c r="Q207" s="489">
        <f>_xll.qlIndexFixing("euribor6m",_xll.qlInterestRateIndexFixingDate("Euribor6M",M207),TRUE,AllTriggers)</f>
        <v>2.4575533830646902E-2</v>
      </c>
      <c r="R207" s="489">
        <f>_xll.qlOvernightIndexedSwapFairRate(O207,AllTriggers)</f>
        <v>2.3503322504392642E-2</v>
      </c>
      <c r="S207" s="491">
        <f t="shared" si="7"/>
        <v>1.0722113262542597E-3</v>
      </c>
    </row>
    <row r="208" spans="5:19" ht="11.25" customHeight="1" x14ac:dyDescent="0.2">
      <c r="E208" s="483"/>
      <c r="F208" s="483"/>
      <c r="G208" s="482"/>
      <c r="J208" s="482"/>
      <c r="K208" s="482"/>
      <c r="M208" s="497">
        <f>_xll.qlCalendarAdvance(Calendar,M207,"1M","f",,Trigger)</f>
        <v>48320</v>
      </c>
      <c r="N208" s="488">
        <f>_xll.qlCalendarAdvance(Calendar,M208,"3M","f",,Trigger)</f>
        <v>48411</v>
      </c>
      <c r="O208" s="490" t="str">
        <f>_xll.qlMakeDatedOIS(,M208,N208,OvernightIndex,0,,,,EvaluationDate)</f>
        <v>obj_00889#0001</v>
      </c>
      <c r="P208" s="490" t="b">
        <f>_xll.qlInstrumentSetPricingEngine(O208,OisEngine)</f>
        <v>1</v>
      </c>
      <c r="Q208" s="489">
        <f>_xll.qlIndexFixing("euribor6m",_xll.qlInterestRateIndexFixingDate("Euribor6M",M208),TRUE,AllTriggers)</f>
        <v>2.4555515341988295E-2</v>
      </c>
      <c r="R208" s="489">
        <f>_xll.qlOvernightIndexedSwapFairRate(O208,AllTriggers)</f>
        <v>2.3502556821727319E-2</v>
      </c>
      <c r="S208" s="491">
        <f t="shared" si="7"/>
        <v>1.0529585202609763E-3</v>
      </c>
    </row>
    <row r="209" spans="5:19" ht="11.25" customHeight="1" x14ac:dyDescent="0.2">
      <c r="E209" s="483"/>
      <c r="F209" s="483"/>
      <c r="G209" s="482"/>
      <c r="J209" s="482"/>
      <c r="K209" s="482"/>
      <c r="M209" s="497">
        <f>_xll.qlCalendarAdvance(Calendar,M208,"1M","f",,Trigger)</f>
        <v>48351</v>
      </c>
      <c r="N209" s="488">
        <f>_xll.qlCalendarAdvance(Calendar,M209,"3M","f",,Trigger)</f>
        <v>48443</v>
      </c>
      <c r="O209" s="490" t="str">
        <f>_xll.qlMakeDatedOIS(,M209,N209,OvernightIndex,0,,,,EvaluationDate)</f>
        <v>obj_0055a#0001</v>
      </c>
      <c r="P209" s="490" t="b">
        <f>_xll.qlInstrumentSetPricingEngine(O209,OisEngine)</f>
        <v>1</v>
      </c>
      <c r="Q209" s="489">
        <f>_xll.qlIndexFixing("euribor6m",_xll.qlInterestRateIndexFixingDate("Euribor6M",M209),TRUE,AllTriggers)</f>
        <v>2.4534177374079744E-2</v>
      </c>
      <c r="R209" s="489">
        <f>_xll.qlOvernightIndexedSwapFairRate(O209,AllTriggers)</f>
        <v>2.3503322504393517E-2</v>
      </c>
      <c r="S209" s="491">
        <f t="shared" si="7"/>
        <v>1.030854869686227E-3</v>
      </c>
    </row>
    <row r="210" spans="5:19" ht="11.25" customHeight="1" x14ac:dyDescent="0.2">
      <c r="E210" s="483"/>
      <c r="F210" s="483"/>
      <c r="G210" s="482"/>
      <c r="J210" s="482"/>
      <c r="K210" s="482"/>
      <c r="M210" s="497">
        <f>_xll.qlCalendarAdvance(Calendar,M209,"1M","f",,Trigger)</f>
        <v>48382</v>
      </c>
      <c r="N210" s="488">
        <f>_xll.qlCalendarAdvance(Calendar,M210,"3M","f",,Trigger)</f>
        <v>48474</v>
      </c>
      <c r="O210" s="490" t="str">
        <f>_xll.qlMakeDatedOIS(,M210,N210,OvernightIndex,0,,,,EvaluationDate)</f>
        <v>obj_0055c#0001</v>
      </c>
      <c r="P210" s="490" t="b">
        <f>_xll.qlInstrumentSetPricingEngine(O210,OisEngine)</f>
        <v>1</v>
      </c>
      <c r="Q210" s="489">
        <f>_xll.qlIndexFixing("euribor6m",_xll.qlInterestRateIndexFixingDate("Euribor6M",M210),TRUE,AllTriggers)</f>
        <v>2.4512523499737544E-2</v>
      </c>
      <c r="R210" s="489">
        <f>_xll.qlOvernightIndexedSwapFairRate(O210,AllTriggers)</f>
        <v>2.3503322504393513E-2</v>
      </c>
      <c r="S210" s="491">
        <f t="shared" si="7"/>
        <v>1.0092009953440312E-3</v>
      </c>
    </row>
    <row r="211" spans="5:19" ht="11.25" customHeight="1" x14ac:dyDescent="0.2">
      <c r="E211" s="483"/>
      <c r="F211" s="483"/>
      <c r="G211" s="482"/>
      <c r="J211" s="482"/>
      <c r="K211" s="482"/>
      <c r="M211" s="497">
        <f>_xll.qlCalendarAdvance(Calendar,M210,"1M","f",,Trigger)</f>
        <v>48414</v>
      </c>
      <c r="N211" s="488">
        <f>_xll.qlCalendarAdvance(Calendar,M211,"3M","f",,Trigger)</f>
        <v>48506</v>
      </c>
      <c r="O211" s="490" t="str">
        <f>_xll.qlMakeDatedOIS(,M211,N211,OvernightIndex,0,,,,EvaluationDate)</f>
        <v>obj_0055e#0001</v>
      </c>
      <c r="P211" s="490" t="b">
        <f>_xll.qlInstrumentSetPricingEngine(O211,OisEngine)</f>
        <v>1</v>
      </c>
      <c r="Q211" s="489">
        <f>_xll.qlIndexFixing("euribor6m",_xll.qlInterestRateIndexFixingDate("Euribor6M",M211),TRUE,AllTriggers)</f>
        <v>2.4490804845978521E-2</v>
      </c>
      <c r="R211" s="489">
        <f>_xll.qlOvernightIndexedSwapFairRate(O211,AllTriggers)</f>
        <v>2.3503322504392646E-2</v>
      </c>
      <c r="S211" s="491">
        <f t="shared" si="7"/>
        <v>9.874823415858755E-4</v>
      </c>
    </row>
    <row r="212" spans="5:19" ht="11.25" customHeight="1" x14ac:dyDescent="0.2">
      <c r="E212" s="483"/>
      <c r="F212" s="483"/>
      <c r="G212" s="482"/>
      <c r="J212" s="482"/>
      <c r="K212" s="482"/>
      <c r="M212" s="497">
        <f>_xll.qlCalendarAdvance(Calendar,M211,"1M","f",,Trigger)</f>
        <v>48445</v>
      </c>
      <c r="N212" s="488">
        <f>_xll.qlCalendarAdvance(Calendar,M212,"3M","f",,Trigger)</f>
        <v>48537</v>
      </c>
      <c r="O212" s="490" t="str">
        <f>_xll.qlMakeDatedOIS(,M212,N212,OvernightIndex,0,,,,EvaluationDate)</f>
        <v>obj_00882#0001</v>
      </c>
      <c r="P212" s="490" t="b">
        <f>_xll.qlInstrumentSetPricingEngine(O212,OisEngine)</f>
        <v>1</v>
      </c>
      <c r="Q212" s="489">
        <f>_xll.qlIndexFixing("euribor6m",_xll.qlInterestRateIndexFixingDate("Euribor6M",M212),TRUE,AllTriggers)</f>
        <v>2.4469899270502873E-2</v>
      </c>
      <c r="R212" s="489">
        <f>_xll.qlOvernightIndexedSwapFairRate(O212,AllTriggers)</f>
        <v>2.3503322504393517E-2</v>
      </c>
      <c r="S212" s="491">
        <f t="shared" si="7"/>
        <v>9.6657676610935675E-4</v>
      </c>
    </row>
    <row r="213" spans="5:19" ht="11.25" customHeight="1" x14ac:dyDescent="0.2">
      <c r="E213" s="483"/>
      <c r="F213" s="483"/>
      <c r="G213" s="482"/>
      <c r="J213" s="482"/>
      <c r="K213" s="482"/>
      <c r="M213" s="497">
        <f>_xll.qlCalendarAdvance(Calendar,M212,"1M","f",,Trigger)</f>
        <v>48477</v>
      </c>
      <c r="N213" s="488">
        <f>_xll.qlCalendarAdvance(Calendar,M213,"3M","f",,Trigger)</f>
        <v>48568</v>
      </c>
      <c r="O213" s="490" t="str">
        <f>_xll.qlMakeDatedOIS(,M213,N213,OvernightIndex,0,,,,EvaluationDate)</f>
        <v>obj_00561#0001</v>
      </c>
      <c r="P213" s="490" t="b">
        <f>_xll.qlInstrumentSetPricingEngine(O213,OisEngine)</f>
        <v>1</v>
      </c>
      <c r="Q213" s="489">
        <f>_xll.qlIndexFixing("euribor6m",_xll.qlInterestRateIndexFixingDate("Euribor6M",M213),TRUE,AllTriggers)</f>
        <v>2.4445150512239274E-2</v>
      </c>
      <c r="R213" s="489">
        <f>_xll.qlOvernightIndexedSwapFairRate(O213,AllTriggers)</f>
        <v>2.3502556821728197E-2</v>
      </c>
      <c r="S213" s="491">
        <f t="shared" si="7"/>
        <v>9.4259369051107739E-4</v>
      </c>
    </row>
    <row r="214" spans="5:19" ht="11.25" customHeight="1" x14ac:dyDescent="0.2">
      <c r="E214" s="483"/>
      <c r="F214" s="483"/>
      <c r="G214" s="482"/>
      <c r="J214" s="482"/>
      <c r="K214" s="482"/>
      <c r="M214" s="497">
        <f>_xll.qlCalendarAdvance(Calendar,M213,"1M","f",,Trigger)</f>
        <v>48507</v>
      </c>
      <c r="N214" s="488">
        <f>_xll.qlCalendarAdvance(Calendar,M214,"3M","f",,Trigger)</f>
        <v>48599</v>
      </c>
      <c r="O214" s="490" t="str">
        <f>_xll.qlMakeDatedOIS(,M214,N214,OvernightIndex,0,,,,EvaluationDate)</f>
        <v>obj_00563#0001</v>
      </c>
      <c r="P214" s="490" t="b">
        <f>_xll.qlInstrumentSetPricingEngine(O214,OisEngine)</f>
        <v>1</v>
      </c>
      <c r="Q214" s="489">
        <f>_xll.qlIndexFixing("euribor6m",_xll.qlInterestRateIndexFixingDate("Euribor6M",M214),TRUE,AllTriggers)</f>
        <v>2.442338476298183E-2</v>
      </c>
      <c r="R214" s="489">
        <f>_xll.qlOvernightIndexedSwapFairRate(O214,AllTriggers)</f>
        <v>2.3503322504393517E-2</v>
      </c>
      <c r="S214" s="491">
        <f t="shared" si="7"/>
        <v>9.2006225858831323E-4</v>
      </c>
    </row>
    <row r="215" spans="5:19" ht="11.25" customHeight="1" x14ac:dyDescent="0.2">
      <c r="E215" s="483"/>
      <c r="F215" s="483"/>
      <c r="G215" s="482"/>
      <c r="J215" s="482"/>
      <c r="K215" s="482"/>
      <c r="M215" s="497">
        <f>_xll.qlCalendarAdvance(Calendar,M214,"1M","f",,Trigger)</f>
        <v>48540</v>
      </c>
      <c r="N215" s="488">
        <f>_xll.qlCalendarAdvance(Calendar,M215,"3M","f",,Trigger)</f>
        <v>48632</v>
      </c>
      <c r="O215" s="490" t="str">
        <f>_xll.qlMakeDatedOIS(,M215,N215,OvernightIndex,0,,,,EvaluationDate)</f>
        <v>obj_00565#0001</v>
      </c>
      <c r="P215" s="490" t="b">
        <f>_xll.qlInstrumentSetPricingEngine(O215,OisEngine)</f>
        <v>1</v>
      </c>
      <c r="Q215" s="489">
        <f>_xll.qlIndexFixing("euribor6m",_xll.qlInterestRateIndexFixingDate("Euribor6M",M215),TRUE,AllTriggers)</f>
        <v>2.4399086398460501E-2</v>
      </c>
      <c r="R215" s="489">
        <f>_xll.qlOvernightIndexedSwapFairRate(O215,AllTriggers)</f>
        <v>2.3503322504393517E-2</v>
      </c>
      <c r="S215" s="491">
        <f t="shared" si="7"/>
        <v>8.9576389406698445E-4</v>
      </c>
    </row>
    <row r="216" spans="5:19" ht="11.25" customHeight="1" x14ac:dyDescent="0.2">
      <c r="E216" s="483"/>
      <c r="F216" s="483"/>
      <c r="G216" s="482"/>
      <c r="J216" s="482"/>
      <c r="K216" s="482"/>
      <c r="M216" s="497">
        <f>_xll.qlCalendarAdvance(Calendar,M215,"1M","f",,Trigger)</f>
        <v>48570</v>
      </c>
      <c r="N216" s="488">
        <f>_xll.qlCalendarAdvance(Calendar,M216,"3M","f",,Trigger)</f>
        <v>48660</v>
      </c>
      <c r="O216" s="490" t="str">
        <f>_xll.qlMakeDatedOIS(,M216,N216,OvernightIndex,0,,,,EvaluationDate)</f>
        <v>obj_00892#0001</v>
      </c>
      <c r="P216" s="490" t="b">
        <f>_xll.qlInstrumentSetPricingEngine(O216,OisEngine)</f>
        <v>1</v>
      </c>
      <c r="Q216" s="489">
        <f>_xll.qlIndexFixing("euribor6m",_xll.qlInterestRateIndexFixingDate("Euribor6M",M216),TRUE,AllTriggers)</f>
        <v>2.4376673314207339E-2</v>
      </c>
      <c r="R216" s="489">
        <f>_xll.qlOvernightIndexedSwapFairRate(O216,AllTriggers)</f>
        <v>2.350179117230411E-2</v>
      </c>
      <c r="S216" s="491">
        <f t="shared" si="7"/>
        <v>8.7488214190322919E-4</v>
      </c>
    </row>
    <row r="217" spans="5:19" ht="11.25" customHeight="1" x14ac:dyDescent="0.2">
      <c r="E217" s="483"/>
      <c r="F217" s="483"/>
      <c r="G217" s="482"/>
      <c r="J217" s="482"/>
      <c r="K217" s="482"/>
      <c r="M217" s="497">
        <f>_xll.qlCalendarAdvance(Calendar,M216,"1M","f",,Trigger)</f>
        <v>48603</v>
      </c>
      <c r="N217" s="488">
        <f>_xll.qlCalendarAdvance(Calendar,M217,"3M","f",,Trigger)</f>
        <v>48694</v>
      </c>
      <c r="O217" s="490" t="str">
        <f>_xll.qlMakeDatedOIS(,M217,N217,OvernightIndex,0,,,,EvaluationDate)</f>
        <v>obj_00568#0001</v>
      </c>
      <c r="P217" s="490" t="b">
        <f>_xll.qlInstrumentSetPricingEngine(O217,OisEngine)</f>
        <v>1</v>
      </c>
      <c r="Q217" s="489">
        <f>_xll.qlIndexFixing("euribor6m",_xll.qlInterestRateIndexFixingDate("Euribor6M",M217),TRUE,AllTriggers)</f>
        <v>2.4351662906132665E-2</v>
      </c>
      <c r="R217" s="489">
        <f>_xll.qlOvernightIndexedSwapFairRate(O217,AllTriggers)</f>
        <v>2.3502556821728197E-2</v>
      </c>
      <c r="S217" s="491">
        <f t="shared" si="7"/>
        <v>8.491060844044683E-4</v>
      </c>
    </row>
    <row r="218" spans="5:19" ht="11.25" customHeight="1" x14ac:dyDescent="0.2">
      <c r="E218" s="483"/>
      <c r="F218" s="483"/>
      <c r="G218" s="482"/>
      <c r="J218" s="482"/>
      <c r="K218" s="482"/>
      <c r="M218" s="497">
        <f>_xll.qlCalendarAdvance(Calendar,M217,"1M","f",,Trigger)</f>
        <v>48634</v>
      </c>
      <c r="N218" s="488">
        <f>_xll.qlCalendarAdvance(Calendar,M218,"3M","f",,Trigger)</f>
        <v>48723</v>
      </c>
      <c r="O218" s="490" t="str">
        <f>_xll.qlMakeDatedOIS(,M218,N218,OvernightIndex,0,,,,EvaluationDate)</f>
        <v>obj_0056a#0001</v>
      </c>
      <c r="P218" s="490" t="b">
        <f>_xll.qlInstrumentSetPricingEngine(O218,OisEngine)</f>
        <v>1</v>
      </c>
      <c r="Q218" s="489">
        <f>_xll.qlIndexFixing("euribor6m",_xll.qlInterestRateIndexFixingDate("Euribor6M",M218),TRUE,AllTriggers)</f>
        <v>2.4327402102853297E-2</v>
      </c>
      <c r="R218" s="489">
        <f>_xll.qlOvernightIndexedSwapFairRate(O218,AllTriggers)</f>
        <v>2.3501025556120839E-2</v>
      </c>
      <c r="S218" s="491">
        <f t="shared" si="7"/>
        <v>8.2637654673245811E-4</v>
      </c>
    </row>
    <row r="219" spans="5:19" ht="11.25" customHeight="1" x14ac:dyDescent="0.2">
      <c r="E219" s="483"/>
      <c r="F219" s="483"/>
      <c r="G219" s="482"/>
      <c r="J219" s="482"/>
      <c r="K219" s="482"/>
      <c r="M219" s="497">
        <f>_xll.qlCalendarAdvance(Calendar,M218,"1M","f",,Trigger)</f>
        <v>48662</v>
      </c>
      <c r="N219" s="488">
        <f>_xll.qlCalendarAdvance(Calendar,M219,"3M","f",,Trigger)</f>
        <v>48754</v>
      </c>
      <c r="O219" s="490" t="str">
        <f>_xll.qlMakeDatedOIS(,M219,N219,OvernightIndex,0,,,,EvaluationDate)</f>
        <v>obj_0056c#0001</v>
      </c>
      <c r="P219" s="490" t="b">
        <f>_xll.qlInstrumentSetPricingEngine(O219,OisEngine)</f>
        <v>1</v>
      </c>
      <c r="Q219" s="489">
        <f>_xll.qlIndexFixing("euribor6m",_xll.qlInterestRateIndexFixingDate("Euribor6M",M219),TRUE,AllTriggers)</f>
        <v>2.4307697288425318E-2</v>
      </c>
      <c r="R219" s="489">
        <f>_xll.qlOvernightIndexedSwapFairRate(O219,AllTriggers)</f>
        <v>2.3503322504392646E-2</v>
      </c>
      <c r="S219" s="491">
        <f t="shared" si="7"/>
        <v>8.0437478403267218E-4</v>
      </c>
    </row>
    <row r="220" spans="5:19" ht="11.25" customHeight="1" x14ac:dyDescent="0.2">
      <c r="E220" s="483"/>
      <c r="F220" s="483"/>
      <c r="G220" s="482"/>
      <c r="J220" s="482"/>
      <c r="K220" s="482"/>
      <c r="M220" s="497">
        <f>_xll.qlCalendarAdvance(Calendar,M219,"1M","f",,Trigger)</f>
        <v>48694</v>
      </c>
      <c r="N220" s="488">
        <f>_xll.qlCalendarAdvance(Calendar,M220,"3M","f",,Trigger)</f>
        <v>48785</v>
      </c>
      <c r="O220" s="490" t="str">
        <f>_xll.qlMakeDatedOIS(,M220,N220,OvernightIndex,0,,,,EvaluationDate)</f>
        <v>obj_00875#0001</v>
      </c>
      <c r="P220" s="490" t="b">
        <f>_xll.qlInstrumentSetPricingEngine(O220,OisEngine)</f>
        <v>1</v>
      </c>
      <c r="Q220" s="489">
        <f>_xll.qlIndexFixing("euribor6m",_xll.qlInterestRateIndexFixingDate("Euribor6M",M220),TRUE,AllTriggers)</f>
        <v>2.4281175491968923E-2</v>
      </c>
      <c r="R220" s="489">
        <f>_xll.qlOvernightIndexedSwapFairRate(O220,AllTriggers)</f>
        <v>2.3502556821728197E-2</v>
      </c>
      <c r="S220" s="491">
        <f t="shared" si="7"/>
        <v>7.7861867024072579E-4</v>
      </c>
    </row>
    <row r="221" spans="5:19" ht="11.25" customHeight="1" x14ac:dyDescent="0.2">
      <c r="E221" s="483"/>
      <c r="F221" s="483"/>
      <c r="G221" s="482"/>
      <c r="J221" s="482"/>
      <c r="K221" s="482"/>
      <c r="M221" s="497">
        <f>_xll.qlCalendarAdvance(Calendar,M220,"1M","f",,Trigger)</f>
        <v>48724</v>
      </c>
      <c r="N221" s="488">
        <f>_xll.qlCalendarAdvance(Calendar,M221,"3M","f",,Trigger)</f>
        <v>48816</v>
      </c>
      <c r="O221" s="490" t="str">
        <f>_xll.qlMakeDatedOIS(,M221,N221,OvernightIndex,0,,,,EvaluationDate)</f>
        <v>obj_00825#0001</v>
      </c>
      <c r="P221" s="490" t="b">
        <f>_xll.qlInstrumentSetPricingEngine(O221,OisEngine)</f>
        <v>1</v>
      </c>
      <c r="Q221" s="489">
        <f>_xll.qlIndexFixing("euribor6m",_xll.qlInterestRateIndexFixingDate("Euribor6M",M221),TRUE,AllTriggers)</f>
        <v>2.4257579486601694E-2</v>
      </c>
      <c r="R221" s="489">
        <f>_xll.qlOvernightIndexedSwapFairRate(O221,AllTriggers)</f>
        <v>2.3503322504393517E-2</v>
      </c>
      <c r="S221" s="491">
        <f t="shared" si="7"/>
        <v>7.5425698220817766E-4</v>
      </c>
    </row>
    <row r="222" spans="5:19" ht="11.25" customHeight="1" x14ac:dyDescent="0.2">
      <c r="E222" s="483"/>
      <c r="F222" s="483"/>
      <c r="G222" s="482"/>
      <c r="J222" s="482"/>
      <c r="K222" s="482"/>
      <c r="M222" s="497">
        <f>_xll.qlCalendarAdvance(Calendar,M221,"1M","f",,Trigger)</f>
        <v>48757</v>
      </c>
      <c r="N222" s="488">
        <f>_xll.qlCalendarAdvance(Calendar,M222,"3M","f",,Trigger)</f>
        <v>48849</v>
      </c>
      <c r="O222" s="490" t="str">
        <f>_xll.qlMakeDatedOIS(,M222,N222,OvernightIndex,0,,,,EvaluationDate)</f>
        <v>obj_00570#0001</v>
      </c>
      <c r="P222" s="490" t="b">
        <f>_xll.qlInstrumentSetPricingEngine(O222,OisEngine)</f>
        <v>1</v>
      </c>
      <c r="Q222" s="489">
        <f>_xll.qlIndexFixing("euribor6m",_xll.qlInterestRateIndexFixingDate("Euribor6M",M222),TRUE,AllTriggers)</f>
        <v>2.4230415301411425E-2</v>
      </c>
      <c r="R222" s="489">
        <f>_xll.qlOvernightIndexedSwapFairRate(O222,AllTriggers)</f>
        <v>2.3503322504393513E-2</v>
      </c>
      <c r="S222" s="491">
        <f t="shared" si="7"/>
        <v>7.270927970179121E-4</v>
      </c>
    </row>
    <row r="223" spans="5:19" ht="11.25" customHeight="1" x14ac:dyDescent="0.2">
      <c r="E223" s="483"/>
      <c r="F223" s="483"/>
      <c r="G223" s="482"/>
      <c r="J223" s="482"/>
      <c r="K223" s="482"/>
      <c r="M223" s="497">
        <f>_xll.qlCalendarAdvance(Calendar,M222,"1M","f",,Trigger)</f>
        <v>48787</v>
      </c>
      <c r="N223" s="488">
        <f>_xll.qlCalendarAdvance(Calendar,M223,"3M","f",,Trigger)</f>
        <v>48879</v>
      </c>
      <c r="O223" s="490" t="str">
        <f>_xll.qlMakeDatedOIS(,M223,N223,OvernightIndex,0,,,,EvaluationDate)</f>
        <v>obj_00572#0001</v>
      </c>
      <c r="P223" s="490" t="b">
        <f>_xll.qlInstrumentSetPricingEngine(O223,OisEngine)</f>
        <v>1</v>
      </c>
      <c r="Q223" s="489">
        <f>_xll.qlIndexFixing("euribor6m",_xll.qlInterestRateIndexFixingDate("Euribor6M",M223),TRUE,AllTriggers)</f>
        <v>2.4206157858017815E-2</v>
      </c>
      <c r="R223" s="489">
        <f>_xll.qlOvernightIndexedSwapFairRate(O223,AllTriggers)</f>
        <v>2.3503322504392649E-2</v>
      </c>
      <c r="S223" s="491">
        <f t="shared" si="7"/>
        <v>7.0283535362516622E-4</v>
      </c>
    </row>
    <row r="224" spans="5:19" ht="11.25" customHeight="1" x14ac:dyDescent="0.2">
      <c r="E224" s="483"/>
      <c r="F224" s="483"/>
      <c r="G224" s="482"/>
      <c r="J224" s="482"/>
      <c r="K224" s="482"/>
      <c r="M224" s="497">
        <f>_xll.qlCalendarAdvance(Calendar,M223,"1M","f",,Trigger)</f>
        <v>48820</v>
      </c>
      <c r="N224" s="488">
        <f>_xll.qlCalendarAdvance(Calendar,M224,"3M","f",,Trigger)</f>
        <v>48912</v>
      </c>
      <c r="O224" s="490" t="str">
        <f>_xll.qlMakeDatedOIS(,M224,N224,OvernightIndex,0,,,,EvaluationDate)</f>
        <v>obj_00574#0001</v>
      </c>
      <c r="P224" s="490" t="b">
        <f>_xll.qlInstrumentSetPricingEngine(O224,OisEngine)</f>
        <v>1</v>
      </c>
      <c r="Q224" s="489">
        <f>_xll.qlIndexFixing("euribor6m",_xll.qlInterestRateIndexFixingDate("Euribor6M",M224),TRUE,AllTriggers)</f>
        <v>2.4178295993988536E-2</v>
      </c>
      <c r="R224" s="489">
        <f>_xll.qlOvernightIndexedSwapFairRate(O224,AllTriggers)</f>
        <v>2.3503322504392649E-2</v>
      </c>
      <c r="S224" s="491">
        <f t="shared" si="7"/>
        <v>6.7497348959588699E-4</v>
      </c>
    </row>
    <row r="225" spans="5:19" ht="11.25" customHeight="1" x14ac:dyDescent="0.2">
      <c r="E225" s="483"/>
      <c r="F225" s="483"/>
      <c r="G225" s="482"/>
      <c r="J225" s="482"/>
      <c r="K225" s="482"/>
      <c r="M225" s="497">
        <f>_xll.qlCalendarAdvance(Calendar,M224,"1M","f",,Trigger)</f>
        <v>48851</v>
      </c>
      <c r="N225" s="488">
        <f>_xll.qlCalendarAdvance(Calendar,M225,"3M","f",,Trigger)</f>
        <v>48942</v>
      </c>
      <c r="O225" s="490" t="str">
        <f>_xll.qlMakeDatedOIS(,M225,N225,OvernightIndex,0,,,,EvaluationDate)</f>
        <v>obj_00860#0001</v>
      </c>
      <c r="P225" s="490" t="b">
        <f>_xll.qlInstrumentSetPricingEngine(O225,OisEngine)</f>
        <v>1</v>
      </c>
      <c r="Q225" s="489">
        <f>_xll.qlIndexFixing("euribor6m",_xll.qlInterestRateIndexFixingDate("Euribor6M",M225),TRUE,AllTriggers)</f>
        <v>2.4151396206735416E-2</v>
      </c>
      <c r="R225" s="489">
        <f>_xll.qlOvernightIndexedSwapFairRate(O225,AllTriggers)</f>
        <v>2.3502556821728197E-2</v>
      </c>
      <c r="S225" s="491">
        <f t="shared" si="7"/>
        <v>6.4883938500721883E-4</v>
      </c>
    </row>
    <row r="226" spans="5:19" ht="11.25" customHeight="1" x14ac:dyDescent="0.2">
      <c r="E226" s="483"/>
      <c r="F226" s="483"/>
      <c r="G226" s="482"/>
      <c r="J226" s="482"/>
      <c r="K226" s="482"/>
      <c r="M226" s="497">
        <f>_xll.qlCalendarAdvance(Calendar,M225,"1M","f",,Trigger)</f>
        <v>48883</v>
      </c>
      <c r="N226" s="488">
        <f>_xll.qlCalendarAdvance(Calendar,M226,"3M","f",,Trigger)</f>
        <v>48975</v>
      </c>
      <c r="O226" s="490" t="str">
        <f>_xll.qlMakeDatedOIS(,M226,N226,OvernightIndex,0,,,,EvaluationDate)</f>
        <v>obj_00577#0001</v>
      </c>
      <c r="P226" s="490" t="b">
        <f>_xll.qlInstrumentSetPricingEngine(O226,OisEngine)</f>
        <v>1</v>
      </c>
      <c r="Q226" s="489">
        <f>_xll.qlIndexFixing("euribor6m",_xll.qlInterestRateIndexFixingDate("Euribor6M",M226),TRUE,AllTriggers)</f>
        <v>2.4123336554394848E-2</v>
      </c>
      <c r="R226" s="489">
        <f>_xll.qlOvernightIndexedSwapFairRate(O226,AllTriggers)</f>
        <v>2.350332250439351E-2</v>
      </c>
      <c r="S226" s="491">
        <f t="shared" si="7"/>
        <v>6.2001405000133847E-4</v>
      </c>
    </row>
    <row r="227" spans="5:19" ht="11.25" customHeight="1" x14ac:dyDescent="0.2">
      <c r="E227" s="483"/>
      <c r="F227" s="483"/>
      <c r="G227" s="482"/>
      <c r="J227" s="482"/>
      <c r="K227" s="482"/>
      <c r="M227" s="497">
        <f>_xll.qlCalendarAdvance(Calendar,M226,"1M","f",,Trigger)</f>
        <v>48913</v>
      </c>
      <c r="N227" s="488">
        <f>_xll.qlCalendarAdvance(Calendar,M227,"3M","f",,Trigger)</f>
        <v>49003</v>
      </c>
      <c r="O227" s="490" t="str">
        <f>_xll.qlMakeDatedOIS(,M227,N227,OvernightIndex,0,,,,EvaluationDate)</f>
        <v>obj_00579#0001</v>
      </c>
      <c r="P227" s="490" t="b">
        <f>_xll.qlInstrumentSetPricingEngine(O227,OisEngine)</f>
        <v>1</v>
      </c>
      <c r="Q227" s="489">
        <f>_xll.qlIndexFixing("euribor6m",_xll.qlInterestRateIndexFixingDate("Euribor6M",M227),TRUE,AllTriggers)</f>
        <v>2.4098510972184434E-2</v>
      </c>
      <c r="R227" s="489">
        <f>_xll.qlOvernightIndexedSwapFairRate(O227,AllTriggers)</f>
        <v>2.350179117230411E-2</v>
      </c>
      <c r="S227" s="491">
        <f t="shared" si="7"/>
        <v>5.967197998803242E-4</v>
      </c>
    </row>
    <row r="228" spans="5:19" ht="11.25" customHeight="1" x14ac:dyDescent="0.2">
      <c r="E228" s="483"/>
      <c r="F228" s="483"/>
      <c r="G228" s="482"/>
      <c r="J228" s="482"/>
      <c r="K228" s="482"/>
      <c r="M228" s="497">
        <f>_xll.qlCalendarAdvance(Calendar,M227,"1M","f",,Trigger)</f>
        <v>48943</v>
      </c>
      <c r="N228" s="488">
        <f>_xll.qlCalendarAdvance(Calendar,M228,"3M","f",,Trigger)</f>
        <v>49033</v>
      </c>
      <c r="O228" s="490" t="str">
        <f>_xll.qlMakeDatedOIS(,M228,N228,OvernightIndex,0,,,,EvaluationDate)</f>
        <v>obj_00806#0001</v>
      </c>
      <c r="P228" s="490" t="b">
        <f>_xll.qlInstrumentSetPricingEngine(O228,OisEngine)</f>
        <v>1</v>
      </c>
      <c r="Q228" s="489">
        <f>_xll.qlIndexFixing("euribor6m",_xll.qlInterestRateIndexFixingDate("Euribor6M",M228),TRUE,AllTriggers)</f>
        <v>2.4072266233718016E-2</v>
      </c>
      <c r="R228" s="489">
        <f>_xll.qlOvernightIndexedSwapFairRate(O228,AllTriggers)</f>
        <v>2.350179117230411E-2</v>
      </c>
      <c r="S228" s="491">
        <f t="shared" si="7"/>
        <v>5.7047506141390605E-4</v>
      </c>
    </row>
    <row r="229" spans="5:19" ht="11.25" customHeight="1" x14ac:dyDescent="0.2">
      <c r="E229" s="483"/>
      <c r="F229" s="483"/>
      <c r="G229" s="482"/>
      <c r="J229" s="482"/>
      <c r="K229" s="482"/>
      <c r="M229" s="497">
        <f>_xll.qlCalendarAdvance(Calendar,M228,"1M","f",,Trigger)</f>
        <v>48974</v>
      </c>
      <c r="N229" s="488">
        <f>_xll.qlCalendarAdvance(Calendar,M229,"3M","f",,Trigger)</f>
        <v>49066</v>
      </c>
      <c r="O229" s="490" t="str">
        <f>_xll.qlMakeDatedOIS(,M229,N229,OvernightIndex,0,,,,EvaluationDate)</f>
        <v>obj_0057c#0001</v>
      </c>
      <c r="P229" s="490" t="b">
        <f>_xll.qlInstrumentSetPricingEngine(O229,OisEngine)</f>
        <v>1</v>
      </c>
      <c r="Q229" s="489">
        <f>_xll.qlIndexFixing("euribor6m",_xll.qlInterestRateIndexFixingDate("Euribor6M",M229),TRUE,AllTriggers)</f>
        <v>2.4044822996564928E-2</v>
      </c>
      <c r="R229" s="489">
        <f>_xll.qlOvernightIndexedSwapFairRate(O229,AllTriggers)</f>
        <v>2.3503322504393513E-2</v>
      </c>
      <c r="S229" s="491">
        <f t="shared" si="7"/>
        <v>5.4150049217141505E-4</v>
      </c>
    </row>
    <row r="230" spans="5:19" ht="11.25" customHeight="1" x14ac:dyDescent="0.2">
      <c r="E230" s="483"/>
      <c r="F230" s="483"/>
      <c r="G230" s="482"/>
      <c r="J230" s="482"/>
      <c r="K230" s="482"/>
      <c r="M230" s="497">
        <f>_xll.qlCalendarAdvance(Calendar,M229,"1M","f",,Trigger)</f>
        <v>49003</v>
      </c>
      <c r="N230" s="488">
        <f>_xll.qlCalendarAdvance(Calendar,M230,"3M","f",,Trigger)</f>
        <v>49093</v>
      </c>
      <c r="O230" s="490" t="str">
        <f>_xll.qlMakeDatedOIS(,M230,N230,OvernightIndex,0,,,,EvaluationDate)</f>
        <v>obj_0057e#0001</v>
      </c>
      <c r="P230" s="490" t="b">
        <f>_xll.qlInstrumentSetPricingEngine(O230,OisEngine)</f>
        <v>1</v>
      </c>
      <c r="Q230" s="489">
        <f>_xll.qlIndexFixing("euribor6m",_xll.qlInterestRateIndexFixingDate("Euribor6M",M230),TRUE,AllTriggers)</f>
        <v>2.4019537369311905E-2</v>
      </c>
      <c r="R230" s="489">
        <f>_xll.qlOvernightIndexedSwapFairRate(O230,AllTriggers)</f>
        <v>2.3501791172304106E-2</v>
      </c>
      <c r="S230" s="491">
        <f t="shared" si="7"/>
        <v>5.1774619700779845E-4</v>
      </c>
    </row>
    <row r="231" spans="5:19" ht="11.25" customHeight="1" x14ac:dyDescent="0.2">
      <c r="E231" s="483"/>
      <c r="F231" s="483"/>
      <c r="G231" s="482"/>
      <c r="J231" s="482"/>
      <c r="K231" s="482"/>
      <c r="M231" s="497">
        <f>_xll.qlCalendarAdvance(Calendar,M230,"1M","f",,Trigger)</f>
        <v>49031</v>
      </c>
      <c r="N231" s="488">
        <f>_xll.qlCalendarAdvance(Calendar,M231,"3M","f",,Trigger)</f>
        <v>49123</v>
      </c>
      <c r="O231" s="490" t="str">
        <f>_xll.qlMakeDatedOIS(,M231,N231,OvernightIndex,0,,,,EvaluationDate)</f>
        <v>obj_007f3#0001</v>
      </c>
      <c r="P231" s="490" t="b">
        <f>_xll.qlInstrumentSetPricingEngine(O231,OisEngine)</f>
        <v>1</v>
      </c>
      <c r="Q231" s="489">
        <f>_xll.qlIndexFixing("euribor6m",_xll.qlInterestRateIndexFixingDate("Euribor6M",M231),TRUE,AllTriggers)</f>
        <v>2.3994178393935358E-2</v>
      </c>
      <c r="R231" s="489">
        <f>_xll.qlOvernightIndexedSwapFairRate(O231,AllTriggers)</f>
        <v>2.350332250439351E-2</v>
      </c>
      <c r="S231" s="491">
        <f t="shared" si="7"/>
        <v>4.9085588954184828E-4</v>
      </c>
    </row>
    <row r="232" spans="5:19" ht="11.25" customHeight="1" x14ac:dyDescent="0.2">
      <c r="E232" s="483"/>
      <c r="F232" s="483"/>
      <c r="G232" s="482"/>
      <c r="J232" s="482"/>
      <c r="K232" s="482"/>
      <c r="M232" s="497">
        <f>_xll.qlCalendarAdvance(Calendar,M231,"1M","f",,Trigger)</f>
        <v>49062</v>
      </c>
      <c r="N232" s="488">
        <f>_xll.qlCalendarAdvance(Calendar,M232,"3M","f",,Trigger)</f>
        <v>49153</v>
      </c>
      <c r="O232" s="490" t="str">
        <f>_xll.qlMakeDatedOIS(,M232,N232,OvernightIndex,0,,,,EvaluationDate)</f>
        <v>obj_0089f#0001</v>
      </c>
      <c r="P232" s="490" t="b">
        <f>_xll.qlInstrumentSetPricingEngine(O232,OisEngine)</f>
        <v>1</v>
      </c>
      <c r="Q232" s="489">
        <f>_xll.qlIndexFixing("euribor6m",_xll.qlInterestRateIndexFixingDate("Euribor6M",M232),TRUE,AllTriggers)</f>
        <v>2.3966495139808287E-2</v>
      </c>
      <c r="R232" s="489">
        <f>_xll.qlOvernightIndexedSwapFairRate(O232,AllTriggers)</f>
        <v>2.3502556821728193E-2</v>
      </c>
      <c r="S232" s="491">
        <f t="shared" si="7"/>
        <v>4.6393831808009406E-4</v>
      </c>
    </row>
    <row r="233" spans="5:19" ht="11.25" customHeight="1" x14ac:dyDescent="0.2">
      <c r="E233" s="483"/>
      <c r="F233" s="483"/>
      <c r="G233" s="482"/>
      <c r="J233" s="482"/>
      <c r="K233" s="482"/>
      <c r="M233" s="497">
        <f>_xll.qlCalendarAdvance(Calendar,M232,"1M","f",,Trigger)</f>
        <v>49093</v>
      </c>
      <c r="N233" s="488">
        <f>_xll.qlCalendarAdvance(Calendar,M233,"3M","f",,Trigger)</f>
        <v>49185</v>
      </c>
      <c r="O233" s="490" t="str">
        <f>_xll.qlMakeDatedOIS(,M233,N233,OvernightIndex,0,,,,EvaluationDate)</f>
        <v>obj_00582#0001</v>
      </c>
      <c r="P233" s="490" t="b">
        <f>_xll.qlInstrumentSetPricingEngine(O233,OisEngine)</f>
        <v>1</v>
      </c>
      <c r="Q233" s="489">
        <f>_xll.qlIndexFixing("euribor6m",_xll.qlInterestRateIndexFixingDate("Euribor6M",M233),TRUE,AllTriggers)</f>
        <v>2.3937276804465543E-2</v>
      </c>
      <c r="R233" s="489">
        <f>_xll.qlOvernightIndexedSwapFairRate(O233,AllTriggers)</f>
        <v>2.3503322504393517E-2</v>
      </c>
      <c r="S233" s="491">
        <f t="shared" si="7"/>
        <v>4.3395430007202654E-4</v>
      </c>
    </row>
    <row r="234" spans="5:19" ht="11.25" customHeight="1" x14ac:dyDescent="0.2">
      <c r="E234" s="483"/>
      <c r="F234" s="483"/>
      <c r="G234" s="482"/>
      <c r="J234" s="482"/>
      <c r="K234" s="482"/>
      <c r="M234" s="497">
        <f>_xll.qlCalendarAdvance(Calendar,M233,"1M","f",,Trigger)</f>
        <v>49124</v>
      </c>
      <c r="N234" s="488">
        <f>_xll.qlCalendarAdvance(Calendar,M234,"3M","f",,Trigger)</f>
        <v>49216</v>
      </c>
      <c r="O234" s="490" t="str">
        <f>_xll.qlMakeDatedOIS(,M234,N234,OvernightIndex,0,,,,EvaluationDate)</f>
        <v>obj_00898#0001</v>
      </c>
      <c r="P234" s="490" t="b">
        <f>_xll.qlInstrumentSetPricingEngine(O234,OisEngine)</f>
        <v>1</v>
      </c>
      <c r="Q234" s="489">
        <f>_xll.qlIndexFixing("euribor6m",_xll.qlInterestRateIndexFixingDate("Euribor6M",M234),TRUE,AllTriggers)</f>
        <v>2.3908261546064069E-2</v>
      </c>
      <c r="R234" s="489">
        <f>_xll.qlOvernightIndexedSwapFairRate(O234,AllTriggers)</f>
        <v>2.3268712337989814E-2</v>
      </c>
      <c r="S234" s="491">
        <f t="shared" si="7"/>
        <v>6.3954920807425542E-4</v>
      </c>
    </row>
    <row r="235" spans="5:19" ht="11.25" customHeight="1" x14ac:dyDescent="0.2">
      <c r="E235" s="483"/>
      <c r="F235" s="483"/>
      <c r="G235" s="482"/>
      <c r="J235" s="482"/>
      <c r="K235" s="482"/>
      <c r="M235" s="497">
        <f>_xll.qlCalendarAdvance(Calendar,M234,"1M","f",,Trigger)</f>
        <v>49156</v>
      </c>
      <c r="N235" s="488">
        <f>_xll.qlCalendarAdvance(Calendar,M235,"3M","f",,Trigger)</f>
        <v>49248</v>
      </c>
      <c r="O235" s="490" t="str">
        <f>_xll.qlMakeDatedOIS(,M235,N235,OvernightIndex,0,,,,EvaluationDate)</f>
        <v>obj_00585#0001</v>
      </c>
      <c r="P235" s="490" t="b">
        <f>_xll.qlInstrumentSetPricingEngine(O235,OisEngine)</f>
        <v>1</v>
      </c>
      <c r="Q235" s="489">
        <f>_xll.qlIndexFixing("euribor6m",_xll.qlInterestRateIndexFixingDate("Euribor6M",M235),TRUE,AllTriggers)</f>
        <v>2.3878916706084694E-2</v>
      </c>
      <c r="R235" s="489">
        <f>_xll.qlOvernightIndexedSwapFairRate(O235,AllTriggers)</f>
        <v>2.2851662121350372E-2</v>
      </c>
      <c r="S235" s="491">
        <f t="shared" si="7"/>
        <v>1.0272545847343217E-3</v>
      </c>
    </row>
    <row r="236" spans="5:19" ht="11.25" customHeight="1" x14ac:dyDescent="0.2">
      <c r="E236" s="483"/>
      <c r="F236" s="483"/>
      <c r="G236" s="482"/>
      <c r="J236" s="482"/>
      <c r="K236" s="482"/>
      <c r="M236" s="497">
        <f>_xll.qlCalendarAdvance(Calendar,M235,"1M","f",,Trigger)</f>
        <v>49187</v>
      </c>
      <c r="N236" s="488">
        <f>_xll.qlCalendarAdvance(Calendar,M236,"3M","f",,Trigger)</f>
        <v>49278</v>
      </c>
      <c r="O236" s="490" t="str">
        <f>_xll.qlMakeDatedOIS(,M236,N236,OvernightIndex,0,,,,EvaluationDate)</f>
        <v>obj_00587#0001</v>
      </c>
      <c r="P236" s="490" t="b">
        <f>_xll.qlInstrumentSetPricingEngine(O236,OisEngine)</f>
        <v>1</v>
      </c>
      <c r="Q236" s="489">
        <f>_xll.qlIndexFixing("euribor6m",_xll.qlInterestRateIndexFixingDate("Euribor6M",M236),TRUE,AllTriggers)</f>
        <v>2.3849217070482338E-2</v>
      </c>
      <c r="R236" s="489">
        <f>_xll.qlOvernightIndexedSwapFairRate(O236,AllTriggers)</f>
        <v>2.2448563403297022E-2</v>
      </c>
      <c r="S236" s="491">
        <f t="shared" si="7"/>
        <v>1.4006536671853156E-3</v>
      </c>
    </row>
    <row r="237" spans="5:19" ht="11.25" customHeight="1" x14ac:dyDescent="0.2">
      <c r="E237" s="483"/>
      <c r="F237" s="483"/>
      <c r="G237" s="482"/>
      <c r="J237" s="482"/>
      <c r="K237" s="482"/>
      <c r="M237" s="497">
        <f>_xll.qlCalendarAdvance(Calendar,M236,"1M","f",,Trigger)</f>
        <v>49219</v>
      </c>
      <c r="N237" s="488">
        <f>_xll.qlCalendarAdvance(Calendar,M237,"3M","f",,Trigger)</f>
        <v>49311</v>
      </c>
      <c r="O237" s="490" t="str">
        <f>_xll.qlMakeDatedOIS(,M237,N237,OvernightIndex,0,,,,EvaluationDate)</f>
        <v>obj_00589#0001</v>
      </c>
      <c r="P237" s="490" t="b">
        <f>_xll.qlInstrumentSetPricingEngine(O237,OisEngine)</f>
        <v>1</v>
      </c>
      <c r="Q237" s="489">
        <f>_xll.qlIndexFixing("euribor6m",_xll.qlInterestRateIndexFixingDate("Euribor6M",M237),TRUE,AllTriggers)</f>
        <v>2.3819997538798956E-2</v>
      </c>
      <c r="R237" s="489">
        <f>_xll.qlOvernightIndexedSwapFairRate(O237,AllTriggers)</f>
        <v>2.2304350767360419E-2</v>
      </c>
      <c r="S237" s="491">
        <f t="shared" si="7"/>
        <v>1.515646771438537E-3</v>
      </c>
    </row>
    <row r="238" spans="5:19" ht="11.25" customHeight="1" x14ac:dyDescent="0.2">
      <c r="E238" s="483"/>
      <c r="F238" s="483"/>
      <c r="G238" s="482"/>
      <c r="J238" s="482"/>
      <c r="K238" s="482"/>
      <c r="M238" s="497">
        <f>_xll.qlCalendarAdvance(Calendar,M237,"1M","f",,Trigger)</f>
        <v>49250</v>
      </c>
      <c r="N238" s="488">
        <f>_xll.qlCalendarAdvance(Calendar,M238,"3M","f",,Trigger)</f>
        <v>49342</v>
      </c>
      <c r="O238" s="490" t="str">
        <f>_xll.qlMakeDatedOIS(,M238,N238,OvernightIndex,0,,,,EvaluationDate)</f>
        <v>obj_0058b#0001</v>
      </c>
      <c r="P238" s="490" t="b">
        <f>_xll.qlInstrumentSetPricingEngine(O238,OisEngine)</f>
        <v>1</v>
      </c>
      <c r="Q238" s="489">
        <f>_xll.qlIndexFixing("euribor6m",_xll.qlInterestRateIndexFixingDate("Euribor6M",M238),TRUE,AllTriggers)</f>
        <v>2.3791178070312044E-2</v>
      </c>
      <c r="R238" s="489">
        <f>_xll.qlOvernightIndexedSwapFairRate(O238,AllTriggers)</f>
        <v>2.2304350767359551E-2</v>
      </c>
      <c r="S238" s="491">
        <f t="shared" si="7"/>
        <v>1.4868273029524925E-3</v>
      </c>
    </row>
    <row r="239" spans="5:19" ht="11.25" customHeight="1" x14ac:dyDescent="0.2">
      <c r="E239" s="483"/>
      <c r="F239" s="483"/>
      <c r="G239" s="482"/>
      <c r="J239" s="482"/>
      <c r="K239" s="482"/>
      <c r="M239" s="497">
        <f>_xll.qlCalendarAdvance(Calendar,M238,"1M","f",,Trigger)</f>
        <v>49282</v>
      </c>
      <c r="N239" s="488">
        <f>_xll.qlCalendarAdvance(Calendar,M239,"3M","f",,Trigger)</f>
        <v>49373</v>
      </c>
      <c r="O239" s="490" t="str">
        <f>_xll.qlMakeDatedOIS(,M239,N239,OvernightIndex,0,,,,EvaluationDate)</f>
        <v>obj_0058d#0001</v>
      </c>
      <c r="P239" s="490" t="b">
        <f>_xll.qlInstrumentSetPricingEngine(O239,OisEngine)</f>
        <v>1</v>
      </c>
      <c r="Q239" s="489">
        <f>_xll.qlIndexFixing("euribor6m",_xll.qlInterestRateIndexFixingDate("Euribor6M",M239),TRUE,AllTriggers)</f>
        <v>2.3762226600434845E-2</v>
      </c>
      <c r="R239" s="489">
        <f>_xll.qlOvernightIndexedSwapFairRate(O239,AllTriggers)</f>
        <v>2.2303661140557152E-2</v>
      </c>
      <c r="S239" s="491">
        <f t="shared" si="7"/>
        <v>1.4585654598776934E-3</v>
      </c>
    </row>
    <row r="240" spans="5:19" ht="11.25" customHeight="1" x14ac:dyDescent="0.2">
      <c r="E240" s="483"/>
      <c r="F240" s="483"/>
      <c r="G240" s="482"/>
      <c r="J240" s="482"/>
      <c r="K240" s="482"/>
      <c r="M240" s="497">
        <f>_xll.qlCalendarAdvance(Calendar,M239,"1M","f",,Trigger)</f>
        <v>49313</v>
      </c>
      <c r="N240" s="488">
        <f>_xll.qlCalendarAdvance(Calendar,M240,"3M","f",,Trigger)</f>
        <v>49403</v>
      </c>
      <c r="O240" s="490" t="str">
        <f>_xll.qlMakeDatedOIS(,M240,N240,OvernightIndex,0,,,,EvaluationDate)</f>
        <v>obj_0058f#0001</v>
      </c>
      <c r="P240" s="490" t="b">
        <f>_xll.qlInstrumentSetPricingEngine(O240,OisEngine)</f>
        <v>1</v>
      </c>
      <c r="Q240" s="489">
        <f>_xll.qlIndexFixing("euribor6m",_xll.qlInterestRateIndexFixingDate("Euribor6M",M240),TRUE,AllTriggers)</f>
        <v>2.3733666589856289E-2</v>
      </c>
      <c r="R240" s="489">
        <f>_xll.qlOvernightIndexedSwapFairRate(O240,AllTriggers)</f>
        <v>2.230297154217098E-2</v>
      </c>
      <c r="S240" s="491">
        <f t="shared" si="7"/>
        <v>1.4306950476853098E-3</v>
      </c>
    </row>
    <row r="241" spans="5:19" ht="11.25" customHeight="1" x14ac:dyDescent="0.2">
      <c r="E241" s="483"/>
      <c r="F241" s="483"/>
      <c r="G241" s="482"/>
      <c r="J241" s="482"/>
      <c r="K241" s="482"/>
      <c r="M241" s="497">
        <f>_xll.qlCalendarAdvance(Calendar,M240,"1M","f",,Trigger)</f>
        <v>49345</v>
      </c>
      <c r="N241" s="488">
        <f>_xll.qlCalendarAdvance(Calendar,M241,"3M","f",,Trigger)</f>
        <v>49436</v>
      </c>
      <c r="O241" s="490" t="str">
        <f>_xll.qlMakeDatedOIS(,M241,N241,OvernightIndex,0,,,,EvaluationDate)</f>
        <v>obj_0083e#0001</v>
      </c>
      <c r="P241" s="490" t="b">
        <f>_xll.qlInstrumentSetPricingEngine(O241,OisEngine)</f>
        <v>1</v>
      </c>
      <c r="Q241" s="489">
        <f>_xll.qlIndexFixing("euribor6m",_xll.qlInterestRateIndexFixingDate("Euribor6M",M241),TRUE,AllTriggers)</f>
        <v>2.3704983784684944E-2</v>
      </c>
      <c r="R241" s="489">
        <f>_xll.qlOvernightIndexedSwapFairRate(O241,AllTriggers)</f>
        <v>2.2303661140557152E-2</v>
      </c>
      <c r="S241" s="491">
        <f t="shared" si="7"/>
        <v>1.4013226441277928E-3</v>
      </c>
    </row>
    <row r="242" spans="5:19" ht="11.25" customHeight="1" x14ac:dyDescent="0.2">
      <c r="E242" s="483"/>
      <c r="F242" s="483"/>
      <c r="G242" s="482"/>
      <c r="J242" s="482"/>
      <c r="K242" s="482"/>
      <c r="M242" s="497">
        <f>_xll.qlCalendarAdvance(Calendar,M241,"1M","f",,Trigger)</f>
        <v>49373</v>
      </c>
      <c r="N242" s="488">
        <f>_xll.qlCalendarAdvance(Calendar,M242,"3M","f",,Trigger)</f>
        <v>49465</v>
      </c>
      <c r="O242" s="490" t="str">
        <f>_xll.qlMakeDatedOIS(,M242,N242,OvernightIndex,0,,,,EvaluationDate)</f>
        <v>obj_00592#0001</v>
      </c>
      <c r="P242" s="490" t="b">
        <f>_xll.qlInstrumentSetPricingEngine(O242,OisEngine)</f>
        <v>1</v>
      </c>
      <c r="Q242" s="489">
        <f>_xll.qlIndexFixing("euribor6m",_xll.qlInterestRateIndexFixingDate("Euribor6M",M242),TRUE,AllTriggers)</f>
        <v>2.3680366806516157E-2</v>
      </c>
      <c r="R242" s="489">
        <f>_xll.qlOvernightIndexedSwapFairRate(O242,AllTriggers)</f>
        <v>2.2304350767359551E-2</v>
      </c>
      <c r="S242" s="491">
        <f t="shared" si="7"/>
        <v>1.3760160391566058E-3</v>
      </c>
    </row>
    <row r="243" spans="5:19" ht="11.25" customHeight="1" x14ac:dyDescent="0.2">
      <c r="E243" s="483"/>
      <c r="F243" s="483"/>
      <c r="G243" s="482"/>
      <c r="J243" s="482"/>
      <c r="K243" s="482"/>
      <c r="M243" s="497">
        <f>_xll.qlCalendarAdvance(Calendar,M242,"1M","f",,Trigger)</f>
        <v>49404</v>
      </c>
      <c r="N243" s="488">
        <f>_xll.qlCalendarAdvance(Calendar,M243,"3M","f",,Trigger)</f>
        <v>49495</v>
      </c>
      <c r="O243" s="490" t="str">
        <f>_xll.qlMakeDatedOIS(,M243,N243,OvernightIndex,0,,,,EvaluationDate)</f>
        <v>obj_00594#0001</v>
      </c>
      <c r="P243" s="490" t="b">
        <f>_xll.qlInstrumentSetPricingEngine(O243,OisEngine)</f>
        <v>1</v>
      </c>
      <c r="Q243" s="489">
        <f>_xll.qlIndexFixing("euribor6m",_xll.qlInterestRateIndexFixingDate("Euribor6M",M243),TRUE,AllTriggers)</f>
        <v>2.3652181897169149E-2</v>
      </c>
      <c r="R243" s="489">
        <f>_xll.qlOvernightIndexedSwapFairRate(O243,AllTriggers)</f>
        <v>2.2303661140558026E-2</v>
      </c>
      <c r="S243" s="491">
        <f t="shared" si="7"/>
        <v>1.3485207566111233E-3</v>
      </c>
    </row>
    <row r="244" spans="5:19" ht="11.25" customHeight="1" x14ac:dyDescent="0.2">
      <c r="E244" s="483"/>
      <c r="F244" s="483"/>
      <c r="G244" s="482"/>
      <c r="J244" s="482"/>
      <c r="K244" s="482"/>
      <c r="M244" s="497">
        <f>_xll.qlCalendarAdvance(Calendar,M243,"1M","f",,Trigger)</f>
        <v>49436</v>
      </c>
      <c r="N244" s="488">
        <f>_xll.qlCalendarAdvance(Calendar,M244,"3M","f",,Trigger)</f>
        <v>49528</v>
      </c>
      <c r="O244" s="490" t="str">
        <f>_xll.qlMakeDatedOIS(,M244,N244,OvernightIndex,0,,,,EvaluationDate)</f>
        <v>obj_00596#0001</v>
      </c>
      <c r="P244" s="490" t="b">
        <f>_xll.qlInstrumentSetPricingEngine(O244,OisEngine)</f>
        <v>1</v>
      </c>
      <c r="Q244" s="489">
        <f>_xll.qlIndexFixing("euribor6m",_xll.qlInterestRateIndexFixingDate("Euribor6M",M244),TRUE,AllTriggers)</f>
        <v>2.3623887759817986E-2</v>
      </c>
      <c r="R244" s="489">
        <f>_xll.qlOvernightIndexedSwapFairRate(O244,AllTriggers)</f>
        <v>2.2304350767360422E-2</v>
      </c>
      <c r="S244" s="491">
        <f t="shared" si="7"/>
        <v>1.3195369924575637E-3</v>
      </c>
    </row>
    <row r="245" spans="5:19" ht="11.25" customHeight="1" x14ac:dyDescent="0.2">
      <c r="E245" s="483"/>
      <c r="F245" s="483"/>
      <c r="G245" s="482"/>
      <c r="J245" s="482"/>
      <c r="K245" s="482"/>
      <c r="M245" s="497">
        <f>_xll.qlCalendarAdvance(Calendar,M244,"1M","f",,Trigger)</f>
        <v>49467</v>
      </c>
      <c r="N245" s="488">
        <f>_xll.qlCalendarAdvance(Calendar,M245,"3M","f",,Trigger)</f>
        <v>49559</v>
      </c>
      <c r="O245" s="490" t="str">
        <f>_xll.qlMakeDatedOIS(,M245,N245,OvernightIndex,0,,,,EvaluationDate)</f>
        <v>obj_00598#0001</v>
      </c>
      <c r="P245" s="490" t="b">
        <f>_xll.qlInstrumentSetPricingEngine(O245,OisEngine)</f>
        <v>1</v>
      </c>
      <c r="Q245" s="489">
        <f>_xll.qlIndexFixing("euribor6m",_xll.qlInterestRateIndexFixingDate("Euribor6M",M245),TRUE,AllTriggers)</f>
        <v>2.3595962190221205E-2</v>
      </c>
      <c r="R245" s="489">
        <f>_xll.qlOvernightIndexedSwapFairRate(O245,AllTriggers)</f>
        <v>2.2304350767360419E-2</v>
      </c>
      <c r="S245" s="491">
        <f t="shared" si="7"/>
        <v>1.2916114228607861E-3</v>
      </c>
    </row>
    <row r="246" spans="5:19" ht="11.25" customHeight="1" x14ac:dyDescent="0.2">
      <c r="E246" s="483"/>
      <c r="F246" s="483"/>
      <c r="G246" s="482"/>
      <c r="J246" s="482"/>
      <c r="K246" s="482"/>
      <c r="M246" s="497">
        <f>_xll.qlCalendarAdvance(Calendar,M245,"1M","f",,Trigger)</f>
        <v>49499</v>
      </c>
      <c r="N246" s="488">
        <f>_xll.qlCalendarAdvance(Calendar,M246,"3M","f",,Trigger)</f>
        <v>49591</v>
      </c>
      <c r="O246" s="490" t="str">
        <f>_xll.qlMakeDatedOIS(,M246,N246,OvernightIndex,0,,,,EvaluationDate)</f>
        <v>obj_00874#0001</v>
      </c>
      <c r="P246" s="490" t="b">
        <f>_xll.qlInstrumentSetPricingEngine(O246,OisEngine)</f>
        <v>1</v>
      </c>
      <c r="Q246" s="489">
        <f>_xll.qlIndexFixing("euribor6m",_xll.qlInterestRateIndexFixingDate("Euribor6M",M246),TRUE,AllTriggers)</f>
        <v>2.3567936811487458E-2</v>
      </c>
      <c r="R246" s="489">
        <f>_xll.qlOvernightIndexedSwapFairRate(O246,AllTriggers)</f>
        <v>2.2304350767359551E-2</v>
      </c>
      <c r="S246" s="491">
        <f t="shared" si="7"/>
        <v>1.2635860441279068E-3</v>
      </c>
    </row>
    <row r="247" spans="5:19" ht="11.25" customHeight="1" x14ac:dyDescent="0.2">
      <c r="E247" s="483"/>
      <c r="F247" s="483"/>
      <c r="G247" s="482"/>
      <c r="J247" s="482"/>
      <c r="K247" s="482"/>
      <c r="M247" s="497">
        <f>_xll.qlCalendarAdvance(Calendar,M246,"1M","f",,Trigger)</f>
        <v>49530</v>
      </c>
      <c r="N247" s="488">
        <f>_xll.qlCalendarAdvance(Calendar,M247,"3M","f",,Trigger)</f>
        <v>49622</v>
      </c>
      <c r="O247" s="490" t="str">
        <f>_xll.qlMakeDatedOIS(,M247,N247,OvernightIndex,0,,,,EvaluationDate)</f>
        <v>obj_0059b#0001</v>
      </c>
      <c r="P247" s="490" t="b">
        <f>_xll.qlInstrumentSetPricingEngine(O247,OisEngine)</f>
        <v>1</v>
      </c>
      <c r="Q247" s="489">
        <f>_xll.qlIndexFixing("euribor6m",_xll.qlInterestRateIndexFixingDate("Euribor6M",M247),TRUE,AllTriggers)</f>
        <v>2.3541256751290231E-2</v>
      </c>
      <c r="R247" s="489">
        <f>_xll.qlOvernightIndexedSwapFairRate(O247,AllTriggers)</f>
        <v>2.2304350767359551E-2</v>
      </c>
      <c r="S247" s="491">
        <f t="shared" si="7"/>
        <v>1.2369059839306799E-3</v>
      </c>
    </row>
    <row r="248" spans="5:19" ht="11.25" customHeight="1" x14ac:dyDescent="0.2">
      <c r="E248" s="483"/>
      <c r="F248" s="483"/>
      <c r="G248" s="482"/>
      <c r="J248" s="482"/>
      <c r="K248" s="482"/>
      <c r="M248" s="497">
        <f>_xll.qlCalendarAdvance(Calendar,M247,"1M","f",,Trigger)</f>
        <v>49562</v>
      </c>
      <c r="N248" s="488">
        <f>_xll.qlCalendarAdvance(Calendar,M248,"3M","f",,Trigger)</f>
        <v>49653</v>
      </c>
      <c r="O248" s="490" t="str">
        <f>_xll.qlMakeDatedOIS(,M248,N248,OvernightIndex,0,,,,EvaluationDate)</f>
        <v>obj_0059d#0001</v>
      </c>
      <c r="P248" s="490" t="b">
        <f>_xll.qlInstrumentSetPricingEngine(O248,OisEngine)</f>
        <v>1</v>
      </c>
      <c r="Q248" s="489">
        <f>_xll.qlIndexFixing("euribor6m",_xll.qlInterestRateIndexFixingDate("Euribor6M",M248),TRUE,AllTriggers)</f>
        <v>2.3511855881510613E-2</v>
      </c>
      <c r="R248" s="489">
        <f>_xll.qlOvernightIndexedSwapFairRate(O248,AllTriggers)</f>
        <v>2.2303661140558029E-2</v>
      </c>
      <c r="S248" s="491">
        <f t="shared" si="7"/>
        <v>1.2081947409525833E-3</v>
      </c>
    </row>
    <row r="249" spans="5:19" ht="11.25" customHeight="1" x14ac:dyDescent="0.2">
      <c r="E249" s="483"/>
      <c r="F249" s="483"/>
      <c r="G249" s="482"/>
      <c r="J249" s="482"/>
      <c r="K249" s="482"/>
      <c r="M249" s="497">
        <f>_xll.qlCalendarAdvance(Calendar,M248,"1M","f",,Trigger)</f>
        <v>49592</v>
      </c>
      <c r="N249" s="488">
        <f>_xll.qlCalendarAdvance(Calendar,M249,"3M","f",,Trigger)</f>
        <v>49684</v>
      </c>
      <c r="O249" s="490" t="str">
        <f>_xll.qlMakeDatedOIS(,M249,N249,OvernightIndex,0,,,,EvaluationDate)</f>
        <v>obj_0059f#0001</v>
      </c>
      <c r="P249" s="490" t="b">
        <f>_xll.qlInstrumentSetPricingEngine(O249,OisEngine)</f>
        <v>1</v>
      </c>
      <c r="Q249" s="489">
        <f>_xll.qlIndexFixing("euribor6m",_xll.qlInterestRateIndexFixingDate("Euribor6M",M249),TRUE,AllTriggers)</f>
        <v>2.3485978323530887E-2</v>
      </c>
      <c r="R249" s="489">
        <f>_xll.qlOvernightIndexedSwapFairRate(O249,AllTriggers)</f>
        <v>2.2304350767360415E-2</v>
      </c>
      <c r="S249" s="491">
        <f t="shared" si="7"/>
        <v>1.1816275561704719E-3</v>
      </c>
    </row>
    <row r="250" spans="5:19" ht="11.25" customHeight="1" x14ac:dyDescent="0.2">
      <c r="E250" s="483"/>
      <c r="F250" s="483"/>
      <c r="G250" s="482"/>
      <c r="J250" s="482"/>
      <c r="K250" s="482"/>
      <c r="M250" s="497">
        <f>_xll.qlCalendarAdvance(Calendar,M249,"1M","f",,Trigger)</f>
        <v>49625</v>
      </c>
      <c r="N250" s="488">
        <f>_xll.qlCalendarAdvance(Calendar,M250,"3M","f",,Trigger)</f>
        <v>49717</v>
      </c>
      <c r="O250" s="490" t="str">
        <f>_xll.qlMakeDatedOIS(,M250,N250,OvernightIndex,0,,,,EvaluationDate)</f>
        <v>obj_0086b#0001</v>
      </c>
      <c r="P250" s="490" t="b">
        <f>_xll.qlInstrumentSetPricingEngine(O250,OisEngine)</f>
        <v>1</v>
      </c>
      <c r="Q250" s="489">
        <f>_xll.qlIndexFixing("euribor6m",_xll.qlInterestRateIndexFixingDate("Euribor6M",M250),TRUE,AllTriggers)</f>
        <v>2.3456959736182652E-2</v>
      </c>
      <c r="R250" s="489">
        <f>_xll.qlOvernightIndexedSwapFairRate(O250,AllTriggers)</f>
        <v>2.2304350767359551E-2</v>
      </c>
      <c r="S250" s="491">
        <f t="shared" si="7"/>
        <v>1.152608968823101E-3</v>
      </c>
    </row>
    <row r="251" spans="5:19" ht="11.25" customHeight="1" x14ac:dyDescent="0.2">
      <c r="E251" s="483"/>
      <c r="F251" s="483"/>
      <c r="G251" s="482"/>
      <c r="J251" s="482"/>
      <c r="K251" s="482"/>
      <c r="M251" s="497">
        <f>_xll.qlCalendarAdvance(Calendar,M250,"1M","f",,Trigger)</f>
        <v>49655</v>
      </c>
      <c r="N251" s="488">
        <f>_xll.qlCalendarAdvance(Calendar,M251,"3M","f",,Trigger)</f>
        <v>49746</v>
      </c>
      <c r="O251" s="490" t="str">
        <f>_xll.qlMakeDatedOIS(,M251,N251,OvernightIndex,0,,,,EvaluationDate)</f>
        <v>obj_005a2#0001</v>
      </c>
      <c r="P251" s="490" t="b">
        <f>_xll.qlInstrumentSetPricingEngine(O251,OisEngine)</f>
        <v>1</v>
      </c>
      <c r="Q251" s="489">
        <f>_xll.qlIndexFixing("euribor6m",_xll.qlInterestRateIndexFixingDate("Euribor6M",M251),TRUE,AllTriggers)</f>
        <v>2.3431334205630591E-2</v>
      </c>
      <c r="R251" s="489">
        <f>_xll.qlOvernightIndexedSwapFairRate(O251,AllTriggers)</f>
        <v>2.2303661140557152E-2</v>
      </c>
      <c r="S251" s="491">
        <f t="shared" si="7"/>
        <v>1.1276730650734389E-3</v>
      </c>
    </row>
    <row r="252" spans="5:19" ht="11.25" customHeight="1" x14ac:dyDescent="0.2">
      <c r="E252" s="483"/>
      <c r="F252" s="483"/>
      <c r="G252" s="482"/>
      <c r="J252" s="482"/>
      <c r="K252" s="482"/>
      <c r="M252" s="497">
        <f>_xll.qlCalendarAdvance(Calendar,M251,"1M","f",,Trigger)</f>
        <v>49688</v>
      </c>
      <c r="N252" s="488">
        <f>_xll.qlCalendarAdvance(Calendar,M252,"3M","f",,Trigger)</f>
        <v>49780</v>
      </c>
      <c r="O252" s="490" t="str">
        <f>_xll.qlMakeDatedOIS(,M252,N252,OvernightIndex,0,,,,EvaluationDate)</f>
        <v>obj_005a4#0001</v>
      </c>
      <c r="P252" s="490" t="b">
        <f>_xll.qlInstrumentSetPricingEngine(O252,OisEngine)</f>
        <v>1</v>
      </c>
      <c r="Q252" s="489">
        <f>_xll.qlIndexFixing("euribor6m",_xll.qlInterestRateIndexFixingDate("Euribor6M",M252),TRUE,AllTriggers)</f>
        <v>2.3402591472373412E-2</v>
      </c>
      <c r="R252" s="489">
        <f>_xll.qlOvernightIndexedSwapFairRate(O252,AllTriggers)</f>
        <v>2.2304350767359548E-2</v>
      </c>
      <c r="S252" s="491">
        <f t="shared" si="7"/>
        <v>1.0982407050138636E-3</v>
      </c>
    </row>
    <row r="253" spans="5:19" ht="11.25" customHeight="1" x14ac:dyDescent="0.2">
      <c r="E253" s="483"/>
      <c r="F253" s="483"/>
      <c r="G253" s="482"/>
      <c r="J253" s="482"/>
      <c r="K253" s="482"/>
      <c r="M253" s="497">
        <f>_xll.qlCalendarAdvance(Calendar,M252,"1M","f",,Trigger)</f>
        <v>49719</v>
      </c>
      <c r="N253" s="488">
        <f>_xll.qlCalendarAdvance(Calendar,M253,"3M","f",,Trigger)</f>
        <v>49809</v>
      </c>
      <c r="O253" s="490" t="str">
        <f>_xll.qlMakeDatedOIS(,M253,N253,OvernightIndex,0,,,,EvaluationDate)</f>
        <v>obj_005a6#0001</v>
      </c>
      <c r="P253" s="490" t="b">
        <f>_xll.qlInstrumentSetPricingEngine(O253,OisEngine)</f>
        <v>1</v>
      </c>
      <c r="Q253" s="489">
        <f>_xll.qlIndexFixing("euribor6m",_xll.qlInterestRateIndexFixingDate("Euribor6M",M253),TRUE,AllTriggers)</f>
        <v>2.3376032604175534E-2</v>
      </c>
      <c r="R253" s="489">
        <f>_xll.qlOvernightIndexedSwapFairRate(O253,AllTriggers)</f>
        <v>2.2302971542171864E-2</v>
      </c>
      <c r="S253" s="491">
        <f t="shared" si="7"/>
        <v>1.0730610620036697E-3</v>
      </c>
    </row>
    <row r="254" spans="5:19" ht="11.25" customHeight="1" x14ac:dyDescent="0.2">
      <c r="E254" s="483"/>
      <c r="F254" s="483"/>
      <c r="G254" s="482"/>
      <c r="J254" s="482"/>
      <c r="K254" s="482"/>
      <c r="M254" s="497">
        <f>_xll.qlCalendarAdvance(Calendar,M253,"1M","f",,Trigger)</f>
        <v>49748</v>
      </c>
      <c r="N254" s="488">
        <f>_xll.qlCalendarAdvance(Calendar,M254,"3M","f",,Trigger)</f>
        <v>49842</v>
      </c>
      <c r="O254" s="490" t="str">
        <f>_xll.qlMakeDatedOIS(,M254,N254,OvernightIndex,0,,,,EvaluationDate)</f>
        <v>obj_005a8#0001</v>
      </c>
      <c r="P254" s="490" t="b">
        <f>_xll.qlInstrumentSetPricingEngine(O254,OisEngine)</f>
        <v>1</v>
      </c>
      <c r="Q254" s="489">
        <f>_xll.qlIndexFixing("euribor6m",_xll.qlInterestRateIndexFixingDate("Euribor6M",M254),TRUE,AllTriggers)</f>
        <v>2.3352295938117367E-2</v>
      </c>
      <c r="R254" s="489">
        <f>_xll.qlOvernightIndexedSwapFairRate(O254,AllTriggers)</f>
        <v>2.230573010621998E-2</v>
      </c>
      <c r="S254" s="491">
        <f t="shared" si="7"/>
        <v>1.0465658318973871E-3</v>
      </c>
    </row>
    <row r="255" spans="5:19" ht="11.25" customHeight="1" x14ac:dyDescent="0.2">
      <c r="E255" s="483"/>
      <c r="F255" s="483"/>
      <c r="G255" s="482"/>
      <c r="J255" s="482"/>
      <c r="K255" s="482"/>
      <c r="M255" s="497">
        <f>_xll.qlCalendarAdvance(Calendar,M254,"1M","f",,Trigger)</f>
        <v>49780</v>
      </c>
      <c r="N255" s="488">
        <f>_xll.qlCalendarAdvance(Calendar,M255,"3M","f",,Trigger)</f>
        <v>49871</v>
      </c>
      <c r="O255" s="490" t="str">
        <f>_xll.qlMakeDatedOIS(,M255,N255,OvernightIndex,0,,,,EvaluationDate)</f>
        <v>obj_005aa#0001</v>
      </c>
      <c r="P255" s="490" t="b">
        <f>_xll.qlInstrumentSetPricingEngine(O255,OisEngine)</f>
        <v>1</v>
      </c>
      <c r="Q255" s="489">
        <f>_xll.qlIndexFixing("euribor6m",_xll.qlInterestRateIndexFixingDate("Euribor6M",M255),TRUE,AllTriggers)</f>
        <v>2.3324476121879861E-2</v>
      </c>
      <c r="R255" s="489">
        <f>_xll.qlOvernightIndexedSwapFairRate(O255,AllTriggers)</f>
        <v>2.2303661140558029E-2</v>
      </c>
      <c r="S255" s="491">
        <f t="shared" si="7"/>
        <v>1.0208149813218312E-3</v>
      </c>
    </row>
    <row r="256" spans="5:19" ht="11.25" customHeight="1" x14ac:dyDescent="0.2">
      <c r="E256" s="483"/>
      <c r="F256" s="483"/>
      <c r="G256" s="482"/>
      <c r="J256" s="482"/>
      <c r="K256" s="482"/>
      <c r="M256" s="497">
        <f>_xll.qlCalendarAdvance(Calendar,M255,"1M","f",,Trigger)</f>
        <v>49810</v>
      </c>
      <c r="N256" s="488">
        <f>_xll.qlCalendarAdvance(Calendar,M256,"3M","f",,Trigger)</f>
        <v>49902</v>
      </c>
      <c r="O256" s="490" t="str">
        <f>_xll.qlMakeDatedOIS(,M256,N256,OvernightIndex,0,,,,EvaluationDate)</f>
        <v>obj_00818#0001</v>
      </c>
      <c r="P256" s="490" t="b">
        <f>_xll.qlInstrumentSetPricingEngine(O256,OisEngine)</f>
        <v>1</v>
      </c>
      <c r="Q256" s="489">
        <f>_xll.qlIndexFixing("euribor6m",_xll.qlInterestRateIndexFixingDate("Euribor6M",M256),TRUE,AllTriggers)</f>
        <v>2.3300134706632159E-2</v>
      </c>
      <c r="R256" s="489">
        <f>_xll.qlOvernightIndexedSwapFairRate(O256,AllTriggers)</f>
        <v>2.2304350767359551E-2</v>
      </c>
      <c r="S256" s="491">
        <f t="shared" si="7"/>
        <v>9.9578393927260769E-4</v>
      </c>
    </row>
    <row r="257" spans="5:19" ht="11.25" customHeight="1" x14ac:dyDescent="0.2">
      <c r="E257" s="483"/>
      <c r="F257" s="483"/>
      <c r="G257" s="482"/>
      <c r="J257" s="482"/>
      <c r="K257" s="482"/>
      <c r="M257" s="497">
        <f>_xll.qlCalendarAdvance(Calendar,M256,"1M","f",,Trigger)</f>
        <v>49842</v>
      </c>
      <c r="N257" s="488">
        <f>_xll.qlCalendarAdvance(Calendar,M257,"3M","f",,Trigger)</f>
        <v>49934</v>
      </c>
      <c r="O257" s="490" t="str">
        <f>_xll.qlMakeDatedOIS(,M257,N257,OvernightIndex,0,,,,EvaluationDate)</f>
        <v>obj_00857#0001</v>
      </c>
      <c r="P257" s="490" t="b">
        <f>_xll.qlInstrumentSetPricingEngine(O257,OisEngine)</f>
        <v>1</v>
      </c>
      <c r="Q257" s="489">
        <f>_xll.qlIndexFixing("euribor6m",_xll.qlInterestRateIndexFixingDate("Euribor6M",M257),TRUE,AllTriggers)</f>
        <v>2.3272245448030072E-2</v>
      </c>
      <c r="R257" s="489">
        <f>_xll.qlOvernightIndexedSwapFairRate(O257,AllTriggers)</f>
        <v>2.2304350767359551E-2</v>
      </c>
      <c r="S257" s="491">
        <f t="shared" si="7"/>
        <v>9.6789468067052034E-4</v>
      </c>
    </row>
    <row r="258" spans="5:19" ht="11.25" customHeight="1" x14ac:dyDescent="0.2">
      <c r="E258" s="483"/>
      <c r="F258" s="483"/>
      <c r="G258" s="482"/>
      <c r="J258" s="482"/>
      <c r="K258" s="482"/>
      <c r="M258" s="497">
        <f>_xll.qlCalendarAdvance(Calendar,M257,"1M","f",,Trigger)</f>
        <v>49872</v>
      </c>
      <c r="N258" s="488">
        <f>_xll.qlCalendarAdvance(Calendar,M258,"3M","f",,Trigger)</f>
        <v>49964</v>
      </c>
      <c r="O258" s="490" t="str">
        <f>_xll.qlMakeDatedOIS(,M258,N258,OvernightIndex,0,,,,EvaluationDate)</f>
        <v>obj_005ae#0001</v>
      </c>
      <c r="P258" s="490" t="b">
        <f>_xll.qlInstrumentSetPricingEngine(O258,OisEngine)</f>
        <v>1</v>
      </c>
      <c r="Q258" s="489">
        <f>_xll.qlIndexFixing("euribor6m",_xll.qlInterestRateIndexFixingDate("Euribor6M",M258),TRUE,AllTriggers)</f>
        <v>2.3247488581750814E-2</v>
      </c>
      <c r="R258" s="489">
        <f>_xll.qlOvernightIndexedSwapFairRate(O258,AllTriggers)</f>
        <v>2.2304350767360422E-2</v>
      </c>
      <c r="S258" s="491">
        <f t="shared" si="7"/>
        <v>9.4313781439039207E-4</v>
      </c>
    </row>
    <row r="259" spans="5:19" ht="11.25" customHeight="1" x14ac:dyDescent="0.2">
      <c r="E259" s="483"/>
      <c r="F259" s="483"/>
      <c r="G259" s="482"/>
      <c r="J259" s="482"/>
      <c r="K259" s="482"/>
      <c r="M259" s="497">
        <f>_xll.qlCalendarAdvance(Calendar,M258,"1M","f",,Trigger)</f>
        <v>49905</v>
      </c>
      <c r="N259" s="488">
        <f>_xll.qlCalendarAdvance(Calendar,M259,"3M","f",,Trigger)</f>
        <v>49997</v>
      </c>
      <c r="O259" s="490" t="str">
        <f>_xll.qlMakeDatedOIS(,M259,N259,OvernightIndex,0,,,,EvaluationDate)</f>
        <v>obj_005b0#0001</v>
      </c>
      <c r="P259" s="490" t="b">
        <f>_xll.qlInstrumentSetPricingEngine(O259,OisEngine)</f>
        <v>1</v>
      </c>
      <c r="Q259" s="489">
        <f>_xll.qlIndexFixing("euribor6m",_xll.qlInterestRateIndexFixingDate("Euribor6M",M259),TRUE,AllTriggers)</f>
        <v>2.3220028896738461E-2</v>
      </c>
      <c r="R259" s="489">
        <f>_xll.qlOvernightIndexedSwapFairRate(O259,AllTriggers)</f>
        <v>2.2304350767359551E-2</v>
      </c>
      <c r="S259" s="491">
        <f t="shared" ref="S259:S322" si="8">Q259-R259</f>
        <v>9.1567812937890999E-4</v>
      </c>
    </row>
    <row r="260" spans="5:19" ht="11.25" customHeight="1" x14ac:dyDescent="0.2">
      <c r="E260" s="483"/>
      <c r="F260" s="483"/>
      <c r="G260" s="482"/>
      <c r="J260" s="482"/>
      <c r="K260" s="482"/>
      <c r="M260" s="497">
        <f>_xll.qlCalendarAdvance(Calendar,M259,"1M","f",,Trigger)</f>
        <v>49936</v>
      </c>
      <c r="N260" s="488">
        <f>_xll.qlCalendarAdvance(Calendar,M260,"3M","f",,Trigger)</f>
        <v>50027</v>
      </c>
      <c r="O260" s="490" t="str">
        <f>_xll.qlMakeDatedOIS(,M260,N260,OvernightIndex,0,,,,EvaluationDate)</f>
        <v>obj_007f2#0001</v>
      </c>
      <c r="P260" s="490" t="b">
        <f>_xll.qlInstrumentSetPricingEngine(O260,OisEngine)</f>
        <v>1</v>
      </c>
      <c r="Q260" s="489">
        <f>_xll.qlIndexFixing("euribor6m",_xll.qlInterestRateIndexFixingDate("Euribor6M",M260),TRUE,AllTriggers)</f>
        <v>2.3193365272218085E-2</v>
      </c>
      <c r="R260" s="489">
        <f>_xll.qlOvernightIndexedSwapFairRate(O260,AllTriggers)</f>
        <v>2.2303661140557145E-2</v>
      </c>
      <c r="S260" s="491">
        <f t="shared" si="8"/>
        <v>8.8970413166094067E-4</v>
      </c>
    </row>
    <row r="261" spans="5:19" ht="11.25" customHeight="1" x14ac:dyDescent="0.2">
      <c r="E261" s="483"/>
      <c r="F261" s="483"/>
      <c r="G261" s="482"/>
      <c r="J261" s="482"/>
      <c r="K261" s="482"/>
      <c r="M261" s="497">
        <f>_xll.qlCalendarAdvance(Calendar,M260,"1M","f",,Trigger)</f>
        <v>49968</v>
      </c>
      <c r="N261" s="488">
        <f>_xll.qlCalendarAdvance(Calendar,M261,"3M","f",,Trigger)</f>
        <v>50060</v>
      </c>
      <c r="O261" s="490" t="str">
        <f>_xll.qlMakeDatedOIS(,M261,N261,OvernightIndex,0,,,,EvaluationDate)</f>
        <v>obj_005b3#0001</v>
      </c>
      <c r="P261" s="490" t="b">
        <f>_xll.qlInstrumentSetPricingEngine(O261,OisEngine)</f>
        <v>1</v>
      </c>
      <c r="Q261" s="489">
        <f>_xll.qlIndexFixing("euribor6m",_xll.qlInterestRateIndexFixingDate("Euribor6M",M261),TRUE,AllTriggers)</f>
        <v>2.316734035242464E-2</v>
      </c>
      <c r="R261" s="489">
        <f>_xll.qlOvernightIndexedSwapFairRate(O261,AllTriggers)</f>
        <v>2.2304350767359548E-2</v>
      </c>
      <c r="S261" s="491">
        <f t="shared" si="8"/>
        <v>8.6298958506509163E-4</v>
      </c>
    </row>
    <row r="262" spans="5:19" ht="11.25" customHeight="1" x14ac:dyDescent="0.2">
      <c r="E262" s="483"/>
      <c r="F262" s="483"/>
      <c r="G262" s="482"/>
      <c r="J262" s="482"/>
      <c r="K262" s="482"/>
      <c r="M262" s="497">
        <f>_xll.qlCalendarAdvance(Calendar,M261,"1M","f",,Trigger)</f>
        <v>49999</v>
      </c>
      <c r="N262" s="488">
        <f>_xll.qlCalendarAdvance(Calendar,M262,"3M","f",,Trigger)</f>
        <v>50091</v>
      </c>
      <c r="O262" s="490" t="str">
        <f>_xll.qlMakeDatedOIS(,M262,N262,OvernightIndex,0,,,,EvaluationDate)</f>
        <v>obj_005b5#0001</v>
      </c>
      <c r="P262" s="490" t="b">
        <f>_xll.qlInstrumentSetPricingEngine(O262,OisEngine)</f>
        <v>1</v>
      </c>
      <c r="Q262" s="489">
        <f>_xll.qlIndexFixing("euribor6m",_xll.qlInterestRateIndexFixingDate("Euribor6M",M262),TRUE,AllTriggers)</f>
        <v>2.314160140299967E-2</v>
      </c>
      <c r="R262" s="489">
        <f>_xll.qlOvernightIndexedSwapFairRate(O262,AllTriggers)</f>
        <v>2.2304350767359551E-2</v>
      </c>
      <c r="S262" s="491">
        <f t="shared" si="8"/>
        <v>8.3725063564011812E-4</v>
      </c>
    </row>
    <row r="263" spans="5:19" ht="11.25" customHeight="1" x14ac:dyDescent="0.2">
      <c r="E263" s="483"/>
      <c r="F263" s="483"/>
      <c r="G263" s="482"/>
      <c r="J263" s="482"/>
      <c r="K263" s="482"/>
      <c r="M263" s="497">
        <f>_xll.qlCalendarAdvance(Calendar,M262,"1M","f",,Trigger)</f>
        <v>50031</v>
      </c>
      <c r="N263" s="488">
        <f>_xll.qlCalendarAdvance(Calendar,M263,"3M","f",,Trigger)</f>
        <v>50122</v>
      </c>
      <c r="O263" s="490" t="str">
        <f>_xll.qlMakeDatedOIS(,M263,N263,OvernightIndex,0,,,,EvaluationDate)</f>
        <v>obj_005b7#0001</v>
      </c>
      <c r="P263" s="490" t="b">
        <f>_xll.qlInstrumentSetPricingEngine(O263,OisEngine)</f>
        <v>1</v>
      </c>
      <c r="Q263" s="489">
        <f>_xll.qlIndexFixing("euribor6m",_xll.qlInterestRateIndexFixingDate("Euribor6M",M263),TRUE,AllTriggers)</f>
        <v>2.3115845367820728E-2</v>
      </c>
      <c r="R263" s="489">
        <f>_xll.qlOvernightIndexedSwapFairRate(O263,AllTriggers)</f>
        <v>2.2303661140557148E-2</v>
      </c>
      <c r="S263" s="491">
        <f t="shared" si="8"/>
        <v>8.1218422726358E-4</v>
      </c>
    </row>
    <row r="264" spans="5:19" ht="11.25" customHeight="1" x14ac:dyDescent="0.2">
      <c r="E264" s="483"/>
      <c r="F264" s="483"/>
      <c r="G264" s="482"/>
      <c r="J264" s="482"/>
      <c r="K264" s="482"/>
      <c r="M264" s="497">
        <f>_xll.qlCalendarAdvance(Calendar,M263,"1M","f",,Trigger)</f>
        <v>50062</v>
      </c>
      <c r="N264" s="488">
        <f>_xll.qlCalendarAdvance(Calendar,M264,"3M","f",,Trigger)</f>
        <v>50152</v>
      </c>
      <c r="O264" s="490" t="str">
        <f>_xll.qlMakeDatedOIS(,M264,N264,OvernightIndex,0,,,,EvaluationDate)</f>
        <v>obj_005b9#0001</v>
      </c>
      <c r="P264" s="490" t="b">
        <f>_xll.qlInstrumentSetPricingEngine(O264,OisEngine)</f>
        <v>1</v>
      </c>
      <c r="Q264" s="489">
        <f>_xll.qlIndexFixing("euribor6m",_xll.qlInterestRateIndexFixingDate("Euribor6M",M264),TRUE,AllTriggers)</f>
        <v>2.3090365125841901E-2</v>
      </c>
      <c r="R264" s="489">
        <f>_xll.qlOvernightIndexedSwapFairRate(O264,AllTriggers)</f>
        <v>2.230297154217098E-2</v>
      </c>
      <c r="S264" s="491">
        <f t="shared" si="8"/>
        <v>7.8739358367092144E-4</v>
      </c>
    </row>
    <row r="265" spans="5:19" ht="11.25" customHeight="1" x14ac:dyDescent="0.2">
      <c r="E265" s="483"/>
      <c r="F265" s="483"/>
      <c r="G265" s="482"/>
      <c r="J265" s="482"/>
      <c r="K265" s="482"/>
      <c r="M265" s="497">
        <f>_xll.qlCalendarAdvance(Calendar,M264,"1M","f",,Trigger)</f>
        <v>50094</v>
      </c>
      <c r="N265" s="488">
        <f>_xll.qlCalendarAdvance(Calendar,M265,"3M","f",,Trigger)</f>
        <v>50185</v>
      </c>
      <c r="O265" s="490" t="str">
        <f>_xll.qlMakeDatedOIS(,M265,N265,OvernightIndex,0,,,,EvaluationDate)</f>
        <v>obj_005bb#0001</v>
      </c>
      <c r="P265" s="490" t="b">
        <f>_xll.qlInstrumentSetPricingEngine(O265,OisEngine)</f>
        <v>1</v>
      </c>
      <c r="Q265" s="489">
        <f>_xll.qlIndexFixing("euribor6m",_xll.qlInterestRateIndexFixingDate("Euribor6M",M265),TRUE,AllTriggers)</f>
        <v>2.3064877995357166E-2</v>
      </c>
      <c r="R265" s="489">
        <f>_xll.qlOvernightIndexedSwapFairRate(O265,AllTriggers)</f>
        <v>2.2303661140558029E-2</v>
      </c>
      <c r="S265" s="491">
        <f t="shared" si="8"/>
        <v>7.6121685479913631E-4</v>
      </c>
    </row>
    <row r="266" spans="5:19" ht="11.25" customHeight="1" x14ac:dyDescent="0.2">
      <c r="E266" s="483"/>
      <c r="F266" s="483"/>
      <c r="G266" s="482"/>
      <c r="J266" s="482"/>
      <c r="K266" s="482"/>
      <c r="M266" s="497">
        <f>_xll.qlCalendarAdvance(Calendar,M265,"1M","f",,Trigger)</f>
        <v>50122</v>
      </c>
      <c r="N266" s="488">
        <f>_xll.qlCalendarAdvance(Calendar,M266,"3M","f",,Trigger)</f>
        <v>50214</v>
      </c>
      <c r="O266" s="490" t="str">
        <f>_xll.qlMakeDatedOIS(,M266,N266,OvernightIndex,0,,,,EvaluationDate)</f>
        <v>obj_005bd#0001</v>
      </c>
      <c r="P266" s="490" t="b">
        <f>_xll.qlInstrumentSetPricingEngine(O266,OisEngine)</f>
        <v>1</v>
      </c>
      <c r="Q266" s="489">
        <f>_xll.qlIndexFixing("euribor6m",_xll.qlInterestRateIndexFixingDate("Euribor6M",M266),TRUE,AllTriggers)</f>
        <v>2.3043067323675941E-2</v>
      </c>
      <c r="R266" s="489">
        <f>_xll.qlOvernightIndexedSwapFairRate(O266,AllTriggers)</f>
        <v>2.2304350767359548E-2</v>
      </c>
      <c r="S266" s="491">
        <f t="shared" si="8"/>
        <v>7.3871655631639263E-4</v>
      </c>
    </row>
    <row r="267" spans="5:19" ht="11.25" customHeight="1" x14ac:dyDescent="0.2">
      <c r="E267" s="483"/>
      <c r="F267" s="483"/>
      <c r="G267" s="482"/>
      <c r="J267" s="482"/>
      <c r="K267" s="482"/>
      <c r="M267" s="497">
        <f>_xll.qlCalendarAdvance(Calendar,M266,"1M","f",,Trigger)</f>
        <v>50153</v>
      </c>
      <c r="N267" s="488">
        <f>_xll.qlCalendarAdvance(Calendar,M267,"3M","f",,Trigger)</f>
        <v>50244</v>
      </c>
      <c r="O267" s="490" t="str">
        <f>_xll.qlMakeDatedOIS(,M267,N267,OvernightIndex,0,,,,EvaluationDate)</f>
        <v>obj_005bf#0001</v>
      </c>
      <c r="P267" s="490" t="b">
        <f>_xll.qlInstrumentSetPricingEngine(O267,OisEngine)</f>
        <v>1</v>
      </c>
      <c r="Q267" s="489">
        <f>_xll.qlIndexFixing("euribor6m",_xll.qlInterestRateIndexFixingDate("Euribor6M",M267),TRUE,AllTriggers)</f>
        <v>2.3017961583809778E-2</v>
      </c>
      <c r="R267" s="489">
        <f>_xll.qlOvernightIndexedSwapFairRate(O267,AllTriggers)</f>
        <v>2.2303661140557152E-2</v>
      </c>
      <c r="S267" s="491">
        <f t="shared" si="8"/>
        <v>7.1430044325262662E-4</v>
      </c>
    </row>
    <row r="268" spans="5:19" ht="11.25" customHeight="1" x14ac:dyDescent="0.2">
      <c r="E268" s="483"/>
      <c r="F268" s="483"/>
      <c r="G268" s="482"/>
      <c r="J268" s="482"/>
      <c r="K268" s="482"/>
      <c r="M268" s="497">
        <f>_xll.qlCalendarAdvance(Calendar,M267,"1M","f",,Trigger)</f>
        <v>50185</v>
      </c>
      <c r="N268" s="488">
        <f>_xll.qlCalendarAdvance(Calendar,M268,"3M","f",,Trigger)</f>
        <v>50277</v>
      </c>
      <c r="O268" s="490" t="str">
        <f>_xll.qlMakeDatedOIS(,M268,N268,OvernightIndex,0,,,,EvaluationDate)</f>
        <v>obj_005c1#0001</v>
      </c>
      <c r="P268" s="490" t="b">
        <f>_xll.qlInstrumentSetPricingEngine(O268,OisEngine)</f>
        <v>1</v>
      </c>
      <c r="Q268" s="489">
        <f>_xll.qlIndexFixing("euribor6m",_xll.qlInterestRateIndexFixingDate("Euribor6M",M268),TRUE,AllTriggers)</f>
        <v>2.2992863978139554E-2</v>
      </c>
      <c r="R268" s="489">
        <f>_xll.qlOvernightIndexedSwapFairRate(O268,AllTriggers)</f>
        <v>2.2304350767359551E-2</v>
      </c>
      <c r="S268" s="491">
        <f t="shared" si="8"/>
        <v>6.885132107800028E-4</v>
      </c>
    </row>
    <row r="269" spans="5:19" ht="11.25" customHeight="1" x14ac:dyDescent="0.2">
      <c r="E269" s="483"/>
      <c r="F269" s="483"/>
      <c r="G269" s="482"/>
      <c r="J269" s="482"/>
      <c r="K269" s="482"/>
      <c r="M269" s="497">
        <f>_xll.qlCalendarAdvance(Calendar,M268,"1M","f",,Trigger)</f>
        <v>50216</v>
      </c>
      <c r="N269" s="488">
        <f>_xll.qlCalendarAdvance(Calendar,M269,"3M","f",,Trigger)</f>
        <v>50308</v>
      </c>
      <c r="O269" s="490" t="str">
        <f>_xll.qlMakeDatedOIS(,M269,N269,OvernightIndex,0,,,,EvaluationDate)</f>
        <v>obj_005c3#0001</v>
      </c>
      <c r="P269" s="490" t="b">
        <f>_xll.qlInstrumentSetPricingEngine(O269,OisEngine)</f>
        <v>1</v>
      </c>
      <c r="Q269" s="489">
        <f>_xll.qlIndexFixing("euribor6m",_xll.qlInterestRateIndexFixingDate("Euribor6M",M269),TRUE,AllTriggers)</f>
        <v>2.296902967426662E-2</v>
      </c>
      <c r="R269" s="489">
        <f>_xll.qlOvernightIndexedSwapFairRate(O269,AllTriggers)</f>
        <v>2.2304350767359551E-2</v>
      </c>
      <c r="S269" s="491">
        <f t="shared" si="8"/>
        <v>6.6467890690706868E-4</v>
      </c>
    </row>
    <row r="270" spans="5:19" ht="11.25" customHeight="1" x14ac:dyDescent="0.2">
      <c r="E270" s="483"/>
      <c r="F270" s="483"/>
      <c r="G270" s="482"/>
      <c r="J270" s="482"/>
      <c r="K270" s="482"/>
      <c r="M270" s="497">
        <f>_xll.qlCalendarAdvance(Calendar,M269,"1M","f",,Trigger)</f>
        <v>50248</v>
      </c>
      <c r="N270" s="488">
        <f>_xll.qlCalendarAdvance(Calendar,M270,"3M","f",,Trigger)</f>
        <v>50340</v>
      </c>
      <c r="O270" s="490" t="str">
        <f>_xll.qlMakeDatedOIS(,M270,N270,OvernightIndex,0,,,,EvaluationDate)</f>
        <v>obj_005c5#0001</v>
      </c>
      <c r="P270" s="490" t="b">
        <f>_xll.qlInstrumentSetPricingEngine(O270,OisEngine)</f>
        <v>1</v>
      </c>
      <c r="Q270" s="489">
        <f>_xll.qlIndexFixing("euribor6m",_xll.qlInterestRateIndexFixingDate("Euribor6M",M270),TRUE,AllTriggers)</f>
        <v>2.2943188227165116E-2</v>
      </c>
      <c r="R270" s="489">
        <f>_xll.qlOvernightIndexedSwapFairRate(O270,AllTriggers)</f>
        <v>2.2304350767359551E-2</v>
      </c>
      <c r="S270" s="491">
        <f t="shared" si="8"/>
        <v>6.3883745980556489E-4</v>
      </c>
    </row>
    <row r="271" spans="5:19" ht="11.25" customHeight="1" x14ac:dyDescent="0.2">
      <c r="E271" s="483"/>
      <c r="F271" s="483"/>
      <c r="G271" s="482"/>
      <c r="J271" s="482"/>
      <c r="K271" s="482"/>
      <c r="M271" s="497">
        <f>_xll.qlCalendarAdvance(Calendar,M270,"1M","f",,Trigger)</f>
        <v>50279</v>
      </c>
      <c r="N271" s="488">
        <f>_xll.qlCalendarAdvance(Calendar,M271,"3M","f",,Trigger)</f>
        <v>50371</v>
      </c>
      <c r="O271" s="490" t="str">
        <f>_xll.qlMakeDatedOIS(,M271,N271,OvernightIndex,0,,,,EvaluationDate)</f>
        <v>obj_005c7#0001</v>
      </c>
      <c r="P271" s="490" t="b">
        <f>_xll.qlInstrumentSetPricingEngine(O271,OisEngine)</f>
        <v>1</v>
      </c>
      <c r="Q271" s="489">
        <f>_xll.qlIndexFixing("euribor6m",_xll.qlInterestRateIndexFixingDate("Euribor6M",M271),TRUE,AllTriggers)</f>
        <v>2.2918599626482024E-2</v>
      </c>
      <c r="R271" s="489">
        <f>_xll.qlOvernightIndexedSwapFairRate(O271,AllTriggers)</f>
        <v>2.2304350767359555E-2</v>
      </c>
      <c r="S271" s="491">
        <f t="shared" si="8"/>
        <v>6.1424885912246888E-4</v>
      </c>
    </row>
    <row r="272" spans="5:19" ht="11.25" customHeight="1" x14ac:dyDescent="0.2">
      <c r="E272" s="483"/>
      <c r="F272" s="483"/>
      <c r="G272" s="482"/>
      <c r="J272" s="482"/>
      <c r="K272" s="482"/>
      <c r="M272" s="497">
        <f>_xll.qlCalendarAdvance(Calendar,M271,"1M","f",,Trigger)</f>
        <v>50311</v>
      </c>
      <c r="N272" s="488">
        <f>_xll.qlCalendarAdvance(Calendar,M272,"3M","f",,Trigger)</f>
        <v>50402</v>
      </c>
      <c r="O272" s="490" t="str">
        <f>_xll.qlMakeDatedOIS(,M272,N272,OvernightIndex,0,,,,EvaluationDate)</f>
        <v>obj_005c9#0001</v>
      </c>
      <c r="P272" s="490" t="b">
        <f>_xll.qlInstrumentSetPricingEngine(O272,OisEngine)</f>
        <v>1</v>
      </c>
      <c r="Q272" s="489">
        <f>_xll.qlIndexFixing("euribor6m",_xll.qlInterestRateIndexFixingDate("Euribor6M",M272),TRUE,AllTriggers)</f>
        <v>2.289336166957336E-2</v>
      </c>
      <c r="R272" s="489">
        <f>_xll.qlOvernightIndexedSwapFairRate(O272,AllTriggers)</f>
        <v>2.2303661140558029E-2</v>
      </c>
      <c r="S272" s="491">
        <f t="shared" si="8"/>
        <v>5.897005290153301E-4</v>
      </c>
    </row>
    <row r="273" spans="5:19" ht="11.25" customHeight="1" x14ac:dyDescent="0.2">
      <c r="E273" s="483"/>
      <c r="F273" s="483"/>
      <c r="G273" s="482"/>
      <c r="J273" s="482"/>
      <c r="K273" s="482"/>
      <c r="M273" s="497">
        <f>_xll.qlCalendarAdvance(Calendar,M272,"1M","f",,Trigger)</f>
        <v>50341</v>
      </c>
      <c r="N273" s="488">
        <f>_xll.qlCalendarAdvance(Calendar,M273,"3M","f",,Trigger)</f>
        <v>50433</v>
      </c>
      <c r="O273" s="490" t="str">
        <f>_xll.qlMakeDatedOIS(,M273,N273,OvernightIndex,0,,,,EvaluationDate)</f>
        <v>obj_005cb#0001</v>
      </c>
      <c r="P273" s="490" t="b">
        <f>_xll.qlInstrumentSetPricingEngine(O273,OisEngine)</f>
        <v>1</v>
      </c>
      <c r="Q273" s="489">
        <f>_xll.qlIndexFixing("euribor6m",_xll.qlInterestRateIndexFixingDate("Euribor6M",M273),TRUE,AllTriggers)</f>
        <v>2.2870142124854755E-2</v>
      </c>
      <c r="R273" s="489">
        <f>_xll.qlOvernightIndexedSwapFairRate(O273,AllTriggers)</f>
        <v>2.2304350767360419E-2</v>
      </c>
      <c r="S273" s="491">
        <f t="shared" si="8"/>
        <v>5.6579135749433573E-4</v>
      </c>
    </row>
    <row r="274" spans="5:19" ht="11.25" customHeight="1" x14ac:dyDescent="0.2">
      <c r="E274" s="483"/>
      <c r="F274" s="483"/>
      <c r="G274" s="482"/>
      <c r="J274" s="482"/>
      <c r="K274" s="482"/>
      <c r="M274" s="497">
        <f>_xll.qlCalendarAdvance(Calendar,M273,"1M","f",,Trigger)</f>
        <v>50374</v>
      </c>
      <c r="N274" s="488">
        <f>_xll.qlCalendarAdvance(Calendar,M274,"3M","f",,Trigger)</f>
        <v>50465</v>
      </c>
      <c r="O274" s="490" t="str">
        <f>_xll.qlMakeDatedOIS(,M274,N274,OvernightIndex,0,,,,EvaluationDate)</f>
        <v>obj_005cd#0001</v>
      </c>
      <c r="P274" s="490" t="b">
        <f>_xll.qlInstrumentSetPricingEngine(O274,OisEngine)</f>
        <v>1</v>
      </c>
      <c r="Q274" s="489">
        <f>_xll.qlIndexFixing("euribor6m",_xll.qlInterestRateIndexFixingDate("Euribor6M",M274),TRUE,AllTriggers)</f>
        <v>2.2844738758817207E-2</v>
      </c>
      <c r="R274" s="489">
        <f>_xll.qlOvernightIndexedSwapFairRate(O274,AllTriggers)</f>
        <v>2.2303661140558022E-2</v>
      </c>
      <c r="S274" s="491">
        <f t="shared" si="8"/>
        <v>5.4107761825918435E-4</v>
      </c>
    </row>
    <row r="275" spans="5:19" ht="11.25" customHeight="1" x14ac:dyDescent="0.2">
      <c r="E275" s="483"/>
      <c r="F275" s="483"/>
      <c r="G275" s="482"/>
      <c r="J275" s="482"/>
      <c r="K275" s="482"/>
      <c r="M275" s="497">
        <f>_xll.qlCalendarAdvance(Calendar,M274,"1M","f",,Trigger)</f>
        <v>50404</v>
      </c>
      <c r="N275" s="488">
        <f>_xll.qlCalendarAdvance(Calendar,M275,"3M","f",,Trigger)</f>
        <v>50494</v>
      </c>
      <c r="O275" s="490" t="str">
        <f>_xll.qlMakeDatedOIS(,M275,N275,OvernightIndex,0,,,,EvaluationDate)</f>
        <v>obj_005cf#0001</v>
      </c>
      <c r="P275" s="490" t="b">
        <f>_xll.qlInstrumentSetPricingEngine(O275,OisEngine)</f>
        <v>1</v>
      </c>
      <c r="Q275" s="489">
        <f>_xll.qlIndexFixing("euribor6m",_xll.qlInterestRateIndexFixingDate("Euribor6M",M275),TRUE,AllTriggers)</f>
        <v>2.2821770360798962E-2</v>
      </c>
      <c r="R275" s="489">
        <f>_xll.qlOvernightIndexedSwapFairRate(O275,AllTriggers)</f>
        <v>2.230297154217098E-2</v>
      </c>
      <c r="S275" s="491">
        <f t="shared" si="8"/>
        <v>5.1879881862798224E-4</v>
      </c>
    </row>
    <row r="276" spans="5:19" ht="11.25" customHeight="1" x14ac:dyDescent="0.2">
      <c r="E276" s="483"/>
      <c r="F276" s="483"/>
      <c r="G276" s="482"/>
      <c r="J276" s="482"/>
      <c r="K276" s="482"/>
      <c r="M276" s="497">
        <f>_xll.qlCalendarAdvance(Calendar,M275,"1M","f",,Trigger)</f>
        <v>50437</v>
      </c>
      <c r="N276" s="488">
        <f>_xll.qlCalendarAdvance(Calendar,M276,"3M","f",,Trigger)</f>
        <v>50528</v>
      </c>
      <c r="O276" s="490" t="str">
        <f>_xll.qlMakeDatedOIS(,M276,N276,OvernightIndex,0,,,,EvaluationDate)</f>
        <v>obj_005d1#0001</v>
      </c>
      <c r="P276" s="490" t="b">
        <f>_xll.qlInstrumentSetPricingEngine(O276,OisEngine)</f>
        <v>1</v>
      </c>
      <c r="Q276" s="489">
        <f>_xll.qlIndexFixing("euribor6m",_xll.qlInterestRateIndexFixingDate("Euribor6M",M276),TRUE,AllTriggers)</f>
        <v>2.2796643246129566E-2</v>
      </c>
      <c r="R276" s="489">
        <f>_xll.qlOvernightIndexedSwapFairRate(O276,AllTriggers)</f>
        <v>2.2303661140557152E-2</v>
      </c>
      <c r="S276" s="491">
        <f t="shared" si="8"/>
        <v>4.9298210557241484E-4</v>
      </c>
    </row>
    <row r="277" spans="5:19" ht="11.25" customHeight="1" x14ac:dyDescent="0.2">
      <c r="E277" s="483"/>
      <c r="F277" s="483"/>
      <c r="G277" s="482"/>
      <c r="J277" s="482"/>
      <c r="K277" s="482"/>
      <c r="M277" s="497">
        <f>_xll.qlCalendarAdvance(Calendar,M276,"1M","f",,Trigger)</f>
        <v>50465</v>
      </c>
      <c r="N277" s="488">
        <f>_xll.qlCalendarAdvance(Calendar,M277,"3M","f",,Trigger)</f>
        <v>50557</v>
      </c>
      <c r="O277" s="490" t="str">
        <f>_xll.qlMakeDatedOIS(,M277,N277,OvernightIndex,0,,,,EvaluationDate)</f>
        <v>obj_005d3#0001</v>
      </c>
      <c r="P277" s="490" t="b">
        <f>_xll.qlInstrumentSetPricingEngine(O277,OisEngine)</f>
        <v>1</v>
      </c>
      <c r="Q277" s="489">
        <f>_xll.qlIndexFixing("euribor6m",_xll.qlInterestRateIndexFixingDate("Euribor6M",M277),TRUE,AllTriggers)</f>
        <v>2.2776120693528606E-2</v>
      </c>
      <c r="R277" s="489">
        <f>_xll.qlOvernightIndexedSwapFairRate(O277,AllTriggers)</f>
        <v>2.2304350767359551E-2</v>
      </c>
      <c r="S277" s="491">
        <f t="shared" si="8"/>
        <v>4.71769926169055E-4</v>
      </c>
    </row>
    <row r="278" spans="5:19" ht="11.25" customHeight="1" x14ac:dyDescent="0.2">
      <c r="E278" s="483"/>
      <c r="F278" s="483"/>
      <c r="G278" s="482"/>
      <c r="J278" s="482"/>
      <c r="K278" s="482"/>
      <c r="M278" s="497">
        <f>_xll.qlCalendarAdvance(Calendar,M277,"1M","f",,Trigger)</f>
        <v>50496</v>
      </c>
      <c r="N278" s="488">
        <f>_xll.qlCalendarAdvance(Calendar,M278,"3M","f",,Trigger)</f>
        <v>50587</v>
      </c>
      <c r="O278" s="490" t="str">
        <f>_xll.qlMakeDatedOIS(,M278,N278,OvernightIndex,0,,,,EvaluationDate)</f>
        <v>obj_005d5#0001</v>
      </c>
      <c r="P278" s="490" t="b">
        <f>_xll.qlInstrumentSetPricingEngine(O278,OisEngine)</f>
        <v>1</v>
      </c>
      <c r="Q278" s="489">
        <f>_xll.qlIndexFixing("euribor6m",_xll.qlInterestRateIndexFixingDate("Euribor6M",M278),TRUE,AllTriggers)</f>
        <v>2.2752422169438988E-2</v>
      </c>
      <c r="R278" s="489">
        <f>_xll.qlOvernightIndexedSwapFairRate(O278,AllTriggers)</f>
        <v>2.2303661140557152E-2</v>
      </c>
      <c r="S278" s="491">
        <f t="shared" si="8"/>
        <v>4.487610288818368E-4</v>
      </c>
    </row>
    <row r="279" spans="5:19" ht="11.25" customHeight="1" x14ac:dyDescent="0.2">
      <c r="E279" s="483"/>
      <c r="F279" s="483"/>
      <c r="G279" s="482"/>
      <c r="J279" s="482"/>
      <c r="K279" s="482"/>
      <c r="M279" s="497">
        <f>_xll.qlCalendarAdvance(Calendar,M278,"1M","f",,Trigger)</f>
        <v>50528</v>
      </c>
      <c r="N279" s="488">
        <f>_xll.qlCalendarAdvance(Calendar,M279,"3M","f",,Trigger)</f>
        <v>50620</v>
      </c>
      <c r="O279" s="490" t="str">
        <f>_xll.qlMakeDatedOIS(,M279,N279,OvernightIndex,0,,,,EvaluationDate)</f>
        <v>obj_005d7#0001</v>
      </c>
      <c r="P279" s="490" t="b">
        <f>_xll.qlInstrumentSetPricingEngine(O279,OisEngine)</f>
        <v>1</v>
      </c>
      <c r="Q279" s="489">
        <f>_xll.qlIndexFixing("euribor6m",_xll.qlInterestRateIndexFixingDate("Euribor6M",M279),TRUE,AllTriggers)</f>
        <v>2.2728789333337846E-2</v>
      </c>
      <c r="R279" s="489">
        <f>_xll.qlOvernightIndexedSwapFairRate(O279,AllTriggers)</f>
        <v>2.2304350767360419E-2</v>
      </c>
      <c r="S279" s="491">
        <f t="shared" si="8"/>
        <v>4.2443856597742732E-4</v>
      </c>
    </row>
    <row r="280" spans="5:19" ht="11.25" customHeight="1" x14ac:dyDescent="0.2">
      <c r="E280" s="483"/>
      <c r="F280" s="483"/>
      <c r="G280" s="482"/>
      <c r="J280" s="482"/>
      <c r="K280" s="482"/>
      <c r="M280" s="497">
        <f>_xll.qlCalendarAdvance(Calendar,M279,"1M","f",,Trigger)</f>
        <v>50559</v>
      </c>
      <c r="N280" s="488">
        <f>_xll.qlCalendarAdvance(Calendar,M280,"3M","f",,Trigger)</f>
        <v>50651</v>
      </c>
      <c r="O280" s="490" t="str">
        <f>_xll.qlMakeDatedOIS(,M280,N280,OvernightIndex,0,,,,EvaluationDate)</f>
        <v>obj_005d9#0001</v>
      </c>
      <c r="P280" s="490" t="b">
        <f>_xll.qlInstrumentSetPricingEngine(O280,OisEngine)</f>
        <v>1</v>
      </c>
      <c r="Q280" s="489">
        <f>_xll.qlIndexFixing("euribor6m",_xll.qlInterestRateIndexFixingDate("Euribor6M",M280),TRUE,AllTriggers)</f>
        <v>2.2705349089747296E-2</v>
      </c>
      <c r="R280" s="489">
        <f>_xll.qlOvernightIndexedSwapFairRate(O280,AllTriggers)</f>
        <v>2.2304350767359548E-2</v>
      </c>
      <c r="S280" s="491">
        <f t="shared" si="8"/>
        <v>4.0099832238774807E-4</v>
      </c>
    </row>
    <row r="281" spans="5:19" ht="11.25" customHeight="1" x14ac:dyDescent="0.2">
      <c r="E281" s="483"/>
      <c r="F281" s="483"/>
      <c r="G281" s="482"/>
      <c r="J281" s="482"/>
      <c r="K281" s="482"/>
      <c r="M281" s="497">
        <f>_xll.qlCalendarAdvance(Calendar,M280,"1M","f",,Trigger)</f>
        <v>50591</v>
      </c>
      <c r="N281" s="488">
        <f>_xll.qlCalendarAdvance(Calendar,M281,"3M","f",,Trigger)</f>
        <v>50683</v>
      </c>
      <c r="O281" s="490" t="str">
        <f>_xll.qlMakeDatedOIS(,M281,N281,OvernightIndex,0,,,,EvaluationDate)</f>
        <v>obj_005db#0001</v>
      </c>
      <c r="P281" s="490" t="b">
        <f>_xll.qlInstrumentSetPricingEngine(O281,OisEngine)</f>
        <v>1</v>
      </c>
      <c r="Q281" s="489">
        <f>_xll.qlIndexFixing("euribor6m",_xll.qlInterestRateIndexFixingDate("Euribor6M",M281),TRUE,AllTriggers)</f>
        <v>2.2681985356905056E-2</v>
      </c>
      <c r="R281" s="489">
        <f>_xll.qlOvernightIndexedSwapFairRate(O281,AllTriggers)</f>
        <v>2.2304350767360422E-2</v>
      </c>
      <c r="S281" s="491">
        <f t="shared" si="8"/>
        <v>3.7763458954463355E-4</v>
      </c>
    </row>
    <row r="282" spans="5:19" ht="11.25" customHeight="1" x14ac:dyDescent="0.2">
      <c r="E282" s="483"/>
      <c r="F282" s="483"/>
      <c r="G282" s="482"/>
      <c r="J282" s="482"/>
      <c r="K282" s="482"/>
      <c r="M282" s="497">
        <f>_xll.qlCalendarAdvance(Calendar,M281,"1M","f",,Trigger)</f>
        <v>50622</v>
      </c>
      <c r="N282" s="488">
        <f>_xll.qlCalendarAdvance(Calendar,M282,"3M","f",,Trigger)</f>
        <v>50714</v>
      </c>
      <c r="O282" s="490" t="str">
        <f>_xll.qlMakeDatedOIS(,M282,N282,OvernightIndex,0,,,,EvaluationDate)</f>
        <v>obj_005dd#0001</v>
      </c>
      <c r="P282" s="490" t="b">
        <f>_xll.qlInstrumentSetPricingEngine(O282,OisEngine)</f>
        <v>1</v>
      </c>
      <c r="Q282" s="489">
        <f>_xll.qlIndexFixing("euribor6m",_xll.qlInterestRateIndexFixingDate("Euribor6M",M282),TRUE,AllTriggers)</f>
        <v>2.2659838663494993E-2</v>
      </c>
      <c r="R282" s="489">
        <f>_xll.qlOvernightIndexedSwapFairRate(O282,AllTriggers)</f>
        <v>2.2304350767359551E-2</v>
      </c>
      <c r="S282" s="491">
        <f t="shared" si="8"/>
        <v>3.5548789613544171E-4</v>
      </c>
    </row>
    <row r="283" spans="5:19" ht="11.25" customHeight="1" x14ac:dyDescent="0.2">
      <c r="E283" s="483"/>
      <c r="F283" s="483"/>
      <c r="G283" s="482"/>
      <c r="J283" s="482"/>
      <c r="K283" s="482"/>
      <c r="M283" s="497">
        <f>_xll.qlCalendarAdvance(Calendar,M282,"1M","f",,Trigger)</f>
        <v>50654</v>
      </c>
      <c r="N283" s="488">
        <f>_xll.qlCalendarAdvance(Calendar,M283,"3M","f",,Trigger)</f>
        <v>50745</v>
      </c>
      <c r="O283" s="490" t="str">
        <f>_xll.qlMakeDatedOIS(,M283,N283,OvernightIndex,0,,,,EvaluationDate)</f>
        <v>obj_005df#0001</v>
      </c>
      <c r="P283" s="490" t="b">
        <f>_xll.qlInstrumentSetPricingEngine(O283,OisEngine)</f>
        <v>1</v>
      </c>
      <c r="Q283" s="489">
        <f>_xll.qlIndexFixing("euribor6m",_xll.qlInterestRateIndexFixingDate("Euribor6M",M283),TRUE,AllTriggers)</f>
        <v>2.2635017274770439E-2</v>
      </c>
      <c r="R283" s="489">
        <f>_xll.qlOvernightIndexedSwapFairRate(O283,AllTriggers)</f>
        <v>2.2303661140557152E-2</v>
      </c>
      <c r="S283" s="491">
        <f t="shared" si="8"/>
        <v>3.3135613421328772E-4</v>
      </c>
    </row>
    <row r="284" spans="5:19" ht="11.25" customHeight="1" x14ac:dyDescent="0.2">
      <c r="E284" s="483"/>
      <c r="F284" s="483"/>
      <c r="G284" s="482"/>
      <c r="J284" s="482"/>
      <c r="K284" s="482"/>
      <c r="M284" s="497">
        <f>_xll.qlCalendarAdvance(Calendar,M283,"1M","f",,Trigger)</f>
        <v>50684</v>
      </c>
      <c r="N284" s="488">
        <f>_xll.qlCalendarAdvance(Calendar,M284,"3M","f",,Trigger)</f>
        <v>50776</v>
      </c>
      <c r="O284" s="490" t="str">
        <f>_xll.qlMakeDatedOIS(,M284,N284,OvernightIndex,0,,,,EvaluationDate)</f>
        <v>obj_005e1#0001</v>
      </c>
      <c r="P284" s="490" t="b">
        <f>_xll.qlInstrumentSetPricingEngine(O284,OisEngine)</f>
        <v>1</v>
      </c>
      <c r="Q284" s="489">
        <f>_xll.qlIndexFixing("euribor6m",_xll.qlInterestRateIndexFixingDate("Euribor6M",M284),TRUE,AllTriggers)</f>
        <v>2.2613164867648809E-2</v>
      </c>
      <c r="R284" s="489">
        <f>_xll.qlOvernightIndexedSwapFairRate(O284,AllTriggers)</f>
        <v>2.2304350767359548E-2</v>
      </c>
      <c r="S284" s="491">
        <f t="shared" si="8"/>
        <v>3.0881410028926054E-4</v>
      </c>
    </row>
    <row r="285" spans="5:19" ht="11.25" customHeight="1" x14ac:dyDescent="0.2">
      <c r="E285" s="483"/>
      <c r="F285" s="483"/>
      <c r="G285" s="482"/>
      <c r="J285" s="482"/>
      <c r="K285" s="482"/>
      <c r="M285" s="497">
        <f>_xll.qlCalendarAdvance(Calendar,M284,"1M","f",,Trigger)</f>
        <v>50717</v>
      </c>
      <c r="N285" s="488">
        <f>_xll.qlCalendarAdvance(Calendar,M285,"3M","f",,Trigger)</f>
        <v>50809</v>
      </c>
      <c r="O285" s="490" t="str">
        <f>_xll.qlMakeDatedOIS(,M285,N285,OvernightIndex,0,,,,EvaluationDate)</f>
        <v>obj_005e3#0001</v>
      </c>
      <c r="P285" s="490" t="b">
        <f>_xll.qlInstrumentSetPricingEngine(O285,OisEngine)</f>
        <v>1</v>
      </c>
      <c r="Q285" s="489">
        <f>_xll.qlIndexFixing("euribor6m",_xll.qlInterestRateIndexFixingDate("Euribor6M",M285),TRUE,AllTriggers)</f>
        <v>2.2589265299835667E-2</v>
      </c>
      <c r="R285" s="489">
        <f>_xll.qlOvernightIndexedSwapFairRate(O285,AllTriggers)</f>
        <v>2.2304350767359555E-2</v>
      </c>
      <c r="S285" s="491">
        <f t="shared" si="8"/>
        <v>2.8491453247611251E-4</v>
      </c>
    </row>
    <row r="286" spans="5:19" ht="11.25" customHeight="1" x14ac:dyDescent="0.2">
      <c r="E286" s="483"/>
      <c r="F286" s="483"/>
      <c r="G286" s="482"/>
      <c r="J286" s="482"/>
      <c r="K286" s="482"/>
      <c r="M286" s="497">
        <f>_xll.qlCalendarAdvance(Calendar,M285,"1M","f",,Trigger)</f>
        <v>50747</v>
      </c>
      <c r="N286" s="488">
        <f>_xll.qlCalendarAdvance(Calendar,M286,"3M","f",,Trigger)</f>
        <v>50837</v>
      </c>
      <c r="O286" s="490" t="str">
        <f>_xll.qlMakeDatedOIS(,M286,N286,OvernightIndex,0,,,,EvaluationDate)</f>
        <v>obj_005e5#0001</v>
      </c>
      <c r="P286" s="490" t="b">
        <f>_xll.qlInstrumentSetPricingEngine(O286,OisEngine)</f>
        <v>1</v>
      </c>
      <c r="Q286" s="489">
        <f>_xll.qlIndexFixing("euribor6m",_xll.qlInterestRateIndexFixingDate("Euribor6M",M286),TRUE,AllTriggers)</f>
        <v>2.2567663943077836E-2</v>
      </c>
      <c r="R286" s="489">
        <f>_xll.qlOvernightIndexedSwapFairRate(O286,AllTriggers)</f>
        <v>2.230297154217098E-2</v>
      </c>
      <c r="S286" s="491">
        <f t="shared" si="8"/>
        <v>2.6469240090685672E-4</v>
      </c>
    </row>
    <row r="287" spans="5:19" ht="11.25" customHeight="1" x14ac:dyDescent="0.2">
      <c r="E287" s="483"/>
      <c r="F287" s="483"/>
      <c r="G287" s="482"/>
      <c r="J287" s="482"/>
      <c r="K287" s="482"/>
      <c r="M287" s="497">
        <f>_xll.qlCalendarAdvance(Calendar,M286,"1M","f",,Trigger)</f>
        <v>50780</v>
      </c>
      <c r="N287" s="488">
        <f>_xll.qlCalendarAdvance(Calendar,M287,"3M","f",,Trigger)</f>
        <v>50872</v>
      </c>
      <c r="O287" s="490" t="str">
        <f>_xll.qlMakeDatedOIS(,M287,N287,OvernightIndex,0,,,,EvaluationDate)</f>
        <v>obj_005e7#0001</v>
      </c>
      <c r="P287" s="490" t="b">
        <f>_xll.qlInstrumentSetPricingEngine(O287,OisEngine)</f>
        <v>1</v>
      </c>
      <c r="Q287" s="489">
        <f>_xll.qlIndexFixing("euribor6m",_xll.qlInterestRateIndexFixingDate("Euribor6M",M287),TRUE,AllTriggers)</f>
        <v>2.2544040521259117E-2</v>
      </c>
      <c r="R287" s="489">
        <f>_xll.qlOvernightIndexedSwapFairRate(O287,AllTriggers)</f>
        <v>2.2304350767359551E-2</v>
      </c>
      <c r="S287" s="491">
        <f t="shared" si="8"/>
        <v>2.3968975389956557E-4</v>
      </c>
    </row>
    <row r="288" spans="5:19" ht="11.25" customHeight="1" x14ac:dyDescent="0.2">
      <c r="E288" s="483"/>
      <c r="F288" s="483"/>
      <c r="G288" s="482"/>
      <c r="J288" s="482"/>
      <c r="K288" s="482"/>
      <c r="M288" s="497">
        <f>_xll.qlCalendarAdvance(Calendar,M287,"1M","f",,Trigger)</f>
        <v>50811</v>
      </c>
      <c r="N288" s="488">
        <f>_xll.qlCalendarAdvance(Calendar,M288,"3M","f",,Trigger)</f>
        <v>50900</v>
      </c>
      <c r="O288" s="490" t="str">
        <f>_xll.qlMakeDatedOIS(,M288,N288,OvernightIndex,0,,,,EvaluationDate)</f>
        <v>obj_0084f#0001</v>
      </c>
      <c r="P288" s="490" t="b">
        <f>_xll.qlInstrumentSetPricingEngine(O288,OisEngine)</f>
        <v>1</v>
      </c>
      <c r="Q288" s="489">
        <f>_xll.qlIndexFixing("euribor6m",_xll.qlInterestRateIndexFixingDate("Euribor6M",M288),TRUE,AllTriggers)</f>
        <v>2.2521631518673205E-2</v>
      </c>
      <c r="R288" s="489">
        <f>_xll.qlOvernightIndexedSwapFairRate(O288,AllTriggers)</f>
        <v>2.2302281972199658E-2</v>
      </c>
      <c r="S288" s="491">
        <f t="shared" si="8"/>
        <v>2.193495464735476E-4</v>
      </c>
    </row>
    <row r="289" spans="5:19" ht="11.25" customHeight="1" x14ac:dyDescent="0.2">
      <c r="E289" s="483"/>
      <c r="F289" s="483"/>
      <c r="G289" s="482"/>
      <c r="J289" s="482"/>
      <c r="K289" s="482"/>
      <c r="M289" s="497">
        <f>_xll.qlCalendarAdvance(Calendar,M288,"1M","f",,Trigger)</f>
        <v>50839</v>
      </c>
      <c r="N289" s="488">
        <f>_xll.qlCalendarAdvance(Calendar,M289,"3M","f",,Trigger)</f>
        <v>50931</v>
      </c>
      <c r="O289" s="490" t="str">
        <f>_xll.qlMakeDatedOIS(,M289,N289,OvernightIndex,0,,,,EvaluationDate)</f>
        <v>obj_005ea#0001</v>
      </c>
      <c r="P289" s="490" t="b">
        <f>_xll.qlInstrumentSetPricingEngine(O289,OisEngine)</f>
        <v>1</v>
      </c>
      <c r="Q289" s="489">
        <f>_xll.qlIndexFixing("euribor6m",_xll.qlInterestRateIndexFixingDate("Euribor6M",M289),TRUE,AllTriggers)</f>
        <v>2.2503564222184479E-2</v>
      </c>
      <c r="R289" s="489">
        <f>_xll.qlOvernightIndexedSwapFairRate(O289,AllTriggers)</f>
        <v>2.2304350767359551E-2</v>
      </c>
      <c r="S289" s="491">
        <f t="shared" si="8"/>
        <v>1.9921345482492789E-4</v>
      </c>
    </row>
    <row r="290" spans="5:19" ht="11.25" customHeight="1" x14ac:dyDescent="0.2">
      <c r="E290" s="483"/>
      <c r="F290" s="483"/>
      <c r="G290" s="482"/>
      <c r="J290" s="482"/>
      <c r="K290" s="482"/>
      <c r="M290" s="497">
        <f>_xll.qlCalendarAdvance(Calendar,M289,"1M","f",,Trigger)</f>
        <v>50872</v>
      </c>
      <c r="N290" s="488">
        <f>_xll.qlCalendarAdvance(Calendar,M290,"3M","f",,Trigger)</f>
        <v>50963</v>
      </c>
      <c r="O290" s="490" t="str">
        <f>_xll.qlMakeDatedOIS(,M290,N290,OvernightIndex,0,,,,EvaluationDate)</f>
        <v>obj_005ec#0001</v>
      </c>
      <c r="P290" s="490" t="b">
        <f>_xll.qlInstrumentSetPricingEngine(O290,OisEngine)</f>
        <v>1</v>
      </c>
      <c r="Q290" s="489">
        <f>_xll.qlIndexFixing("euribor6m",_xll.qlInterestRateIndexFixingDate("Euribor6M",M290),TRUE,AllTriggers)</f>
        <v>2.2479303802082129E-2</v>
      </c>
      <c r="R290" s="489">
        <f>_xll.qlOvernightIndexedSwapFairRate(O290,AllTriggers)</f>
        <v>2.2303661140557152E-2</v>
      </c>
      <c r="S290" s="491">
        <f t="shared" si="8"/>
        <v>1.7564266152497732E-4</v>
      </c>
    </row>
    <row r="291" spans="5:19" ht="11.25" customHeight="1" x14ac:dyDescent="0.2">
      <c r="E291" s="483"/>
      <c r="F291" s="483"/>
      <c r="G291" s="482"/>
      <c r="J291" s="482"/>
      <c r="K291" s="482"/>
      <c r="M291" s="497">
        <f>_xll.qlCalendarAdvance(Calendar,M290,"1M","f",,Trigger)</f>
        <v>50902</v>
      </c>
      <c r="N291" s="488">
        <f>_xll.qlCalendarAdvance(Calendar,M291,"3M","f",,Trigger)</f>
        <v>50994</v>
      </c>
      <c r="O291" s="490" t="str">
        <f>_xll.qlMakeDatedOIS(,M291,N291,OvernightIndex,0,,,,EvaluationDate)</f>
        <v>obj_005ee#0001</v>
      </c>
      <c r="P291" s="490" t="b">
        <f>_xll.qlInstrumentSetPricingEngine(O291,OisEngine)</f>
        <v>1</v>
      </c>
      <c r="Q291" s="489">
        <f>_xll.qlIndexFixing("euribor6m",_xll.qlInterestRateIndexFixingDate("Euribor6M",M291),TRUE,AllTriggers)</f>
        <v>2.2459442162107119E-2</v>
      </c>
      <c r="R291" s="489">
        <f>_xll.qlOvernightIndexedSwapFairRate(O291,AllTriggers)</f>
        <v>2.2304350767359555E-2</v>
      </c>
      <c r="S291" s="491">
        <f t="shared" si="8"/>
        <v>1.5509139474756406E-4</v>
      </c>
    </row>
    <row r="292" spans="5:19" ht="11.25" customHeight="1" x14ac:dyDescent="0.2">
      <c r="E292" s="483"/>
      <c r="F292" s="483"/>
      <c r="G292" s="482"/>
      <c r="J292" s="482"/>
      <c r="K292" s="482"/>
      <c r="M292" s="497">
        <f>_xll.qlCalendarAdvance(Calendar,M291,"1M","f",,Trigger)</f>
        <v>50934</v>
      </c>
      <c r="N292" s="488">
        <f>_xll.qlCalendarAdvance(Calendar,M292,"3M","f",,Trigger)</f>
        <v>51026</v>
      </c>
      <c r="O292" s="490" t="str">
        <f>_xll.qlMakeDatedOIS(,M292,N292,OvernightIndex,0,,,,EvaluationDate)</f>
        <v>obj_00848#0001</v>
      </c>
      <c r="P292" s="490" t="b">
        <f>_xll.qlInstrumentSetPricingEngine(O292,OisEngine)</f>
        <v>1</v>
      </c>
      <c r="Q292" s="489">
        <f>_xll.qlIndexFixing("euribor6m",_xll.qlInterestRateIndexFixingDate("Euribor6M",M292),TRUE,AllTriggers)</f>
        <v>2.2436303131452649E-2</v>
      </c>
      <c r="R292" s="489">
        <f>_xll.qlOvernightIndexedSwapFairRate(O292,AllTriggers)</f>
        <v>2.229585239653336E-2</v>
      </c>
      <c r="S292" s="491">
        <f t="shared" si="8"/>
        <v>1.4045073491928892E-4</v>
      </c>
    </row>
    <row r="293" spans="5:19" ht="11.25" customHeight="1" x14ac:dyDescent="0.2">
      <c r="E293" s="483"/>
      <c r="F293" s="483"/>
      <c r="G293" s="482"/>
      <c r="J293" s="482"/>
      <c r="K293" s="482"/>
      <c r="M293" s="497">
        <f>_xll.qlCalendarAdvance(Calendar,M292,"1M","f",,Trigger)</f>
        <v>50964</v>
      </c>
      <c r="N293" s="488">
        <f>_xll.qlCalendarAdvance(Calendar,M293,"3M","f",,Trigger)</f>
        <v>51056</v>
      </c>
      <c r="O293" s="490" t="str">
        <f>_xll.qlMakeDatedOIS(,M293,N293,OvernightIndex,0,,,,EvaluationDate)</f>
        <v>obj_0087a#0001</v>
      </c>
      <c r="P293" s="490" t="b">
        <f>_xll.qlInstrumentSetPricingEngine(O293,OisEngine)</f>
        <v>1</v>
      </c>
      <c r="Q293" s="489">
        <f>_xll.qlIndexFixing("euribor6m",_xll.qlInterestRateIndexFixingDate("Euribor6M",M293),TRUE,AllTriggers)</f>
        <v>2.241625149157021E-2</v>
      </c>
      <c r="R293" s="489">
        <f>_xll.qlOvernightIndexedSwapFairRate(O293,AllTriggers)</f>
        <v>2.2040909805351911E-2</v>
      </c>
      <c r="S293" s="491">
        <f t="shared" si="8"/>
        <v>3.7534168621829872E-4</v>
      </c>
    </row>
    <row r="294" spans="5:19" ht="11.25" customHeight="1" x14ac:dyDescent="0.2">
      <c r="E294" s="483"/>
      <c r="F294" s="483"/>
      <c r="G294" s="482"/>
      <c r="J294" s="482"/>
      <c r="K294" s="482"/>
      <c r="M294" s="497">
        <f>_xll.qlCalendarAdvance(Calendar,M293,"1M","f",,Trigger)</f>
        <v>50997</v>
      </c>
      <c r="N294" s="488">
        <f>_xll.qlCalendarAdvance(Calendar,M294,"3M","f",,Trigger)</f>
        <v>51089</v>
      </c>
      <c r="O294" s="490" t="str">
        <f>_xll.qlMakeDatedOIS(,M294,N294,OvernightIndex,0,,,,EvaluationDate)</f>
        <v>obj_005f2#0001</v>
      </c>
      <c r="P294" s="490" t="b">
        <f>_xll.qlInstrumentSetPricingEngine(O294,OisEngine)</f>
        <v>1</v>
      </c>
      <c r="Q294" s="489">
        <f>_xll.qlIndexFixing("euribor6m",_xll.qlInterestRateIndexFixingDate("Euribor6M",M294),TRUE,AllTriggers)</f>
        <v>2.2394176374351239E-2</v>
      </c>
      <c r="R294" s="489">
        <f>_xll.qlOvernightIndexedSwapFairRate(O294,AllTriggers)</f>
        <v>2.1760492030891917E-2</v>
      </c>
      <c r="S294" s="491">
        <f t="shared" si="8"/>
        <v>6.3368434345932242E-4</v>
      </c>
    </row>
    <row r="295" spans="5:19" ht="11.25" customHeight="1" x14ac:dyDescent="0.2">
      <c r="E295" s="483"/>
      <c r="F295" s="483"/>
      <c r="G295" s="482"/>
      <c r="J295" s="482"/>
      <c r="K295" s="482"/>
      <c r="M295" s="497">
        <f>_xll.qlCalendarAdvance(Calendar,M294,"1M","f",,Trigger)</f>
        <v>51028</v>
      </c>
      <c r="N295" s="488">
        <f>_xll.qlCalendarAdvance(Calendar,M295,"3M","f",,Trigger)</f>
        <v>51119</v>
      </c>
      <c r="O295" s="490" t="str">
        <f>_xll.qlMakeDatedOIS(,M295,N295,OvernightIndex,0,,,,EvaluationDate)</f>
        <v>obj_005f4#0001</v>
      </c>
      <c r="P295" s="490" t="b">
        <f>_xll.qlInstrumentSetPricingEngine(O295,OisEngine)</f>
        <v>1</v>
      </c>
      <c r="Q295" s="489">
        <f>_xll.qlIndexFixing("euribor6m",_xll.qlInterestRateIndexFixingDate("Euribor6M",M295),TRUE,AllTriggers)</f>
        <v>2.2373104374407898E-2</v>
      </c>
      <c r="R295" s="489">
        <f>_xll.qlOvernightIndexedSwapFairRate(O295,AllTriggers)</f>
        <v>2.1521935294827862E-2</v>
      </c>
      <c r="S295" s="491">
        <f t="shared" si="8"/>
        <v>8.5116907958003585E-4</v>
      </c>
    </row>
    <row r="296" spans="5:19" ht="11.25" customHeight="1" x14ac:dyDescent="0.2">
      <c r="E296" s="483"/>
      <c r="F296" s="483"/>
      <c r="G296" s="482"/>
      <c r="J296" s="482"/>
      <c r="K296" s="482"/>
      <c r="M296" s="497">
        <f>_xll.qlCalendarAdvance(Calendar,M295,"1M","f",,Trigger)</f>
        <v>51060</v>
      </c>
      <c r="N296" s="488">
        <f>_xll.qlCalendarAdvance(Calendar,M296,"3M","f",,Trigger)</f>
        <v>51152</v>
      </c>
      <c r="O296" s="490" t="str">
        <f>_xll.qlMakeDatedOIS(,M296,N296,OvernightIndex,0,,,,EvaluationDate)</f>
        <v>obj_00831#0001</v>
      </c>
      <c r="P296" s="490" t="b">
        <f>_xll.qlInstrumentSetPricingEngine(O296,OisEngine)</f>
        <v>1</v>
      </c>
      <c r="Q296" s="489">
        <f>_xll.qlIndexFixing("euribor6m",_xll.qlInterestRateIndexFixingDate("Euribor6M",M296),TRUE,AllTriggers)</f>
        <v>2.2352966416156191E-2</v>
      </c>
      <c r="R296" s="489">
        <f>_xll.qlOvernightIndexedSwapFairRate(O296,AllTriggers)</f>
        <v>2.1522577468721635E-2</v>
      </c>
      <c r="S296" s="491">
        <f t="shared" si="8"/>
        <v>8.3038894743455577E-4</v>
      </c>
    </row>
    <row r="297" spans="5:19" ht="11.25" customHeight="1" x14ac:dyDescent="0.2">
      <c r="E297" s="483"/>
      <c r="F297" s="483"/>
      <c r="G297" s="482"/>
      <c r="J297" s="482"/>
      <c r="K297" s="482"/>
      <c r="M297" s="497">
        <f>_xll.qlCalendarAdvance(Calendar,M296,"1M","f",,Trigger)</f>
        <v>51091</v>
      </c>
      <c r="N297" s="488">
        <f>_xll.qlCalendarAdvance(Calendar,M297,"3M","f",,Trigger)</f>
        <v>51183</v>
      </c>
      <c r="O297" s="490" t="str">
        <f>_xll.qlMakeDatedOIS(,M297,N297,OvernightIndex,0,,,,EvaluationDate)</f>
        <v>obj_005f7#0001</v>
      </c>
      <c r="P297" s="490" t="b">
        <f>_xll.qlInstrumentSetPricingEngine(O297,OisEngine)</f>
        <v>1</v>
      </c>
      <c r="Q297" s="489">
        <f>_xll.qlIndexFixing("euribor6m",_xll.qlInterestRateIndexFixingDate("Euribor6M",M297),TRUE,AllTriggers)</f>
        <v>2.2333167601184502E-2</v>
      </c>
      <c r="R297" s="489">
        <f>_xll.qlOvernightIndexedSwapFairRate(O297,AllTriggers)</f>
        <v>2.1522577468722506E-2</v>
      </c>
      <c r="S297" s="491">
        <f t="shared" si="8"/>
        <v>8.1059013246199615E-4</v>
      </c>
    </row>
    <row r="298" spans="5:19" ht="11.25" customHeight="1" x14ac:dyDescent="0.2">
      <c r="E298" s="483"/>
      <c r="F298" s="483"/>
      <c r="G298" s="482"/>
      <c r="J298" s="482"/>
      <c r="K298" s="482"/>
      <c r="M298" s="497">
        <f>_xll.qlCalendarAdvance(Calendar,M297,"1M","f",,Trigger)</f>
        <v>51123</v>
      </c>
      <c r="N298" s="488">
        <f>_xll.qlCalendarAdvance(Calendar,M298,"3M","f",,Trigger)</f>
        <v>51214</v>
      </c>
      <c r="O298" s="490" t="str">
        <f>_xll.qlMakeDatedOIS(,M298,N298,OvernightIndex,0,,,,EvaluationDate)</f>
        <v>obj_00824#0001</v>
      </c>
      <c r="P298" s="490" t="b">
        <f>_xll.qlInstrumentSetPricingEngine(O298,OisEngine)</f>
        <v>1</v>
      </c>
      <c r="Q298" s="489">
        <f>_xll.qlIndexFixing("euribor6m",_xll.qlInterestRateIndexFixingDate("Euribor6M",M298),TRUE,AllTriggers)</f>
        <v>2.2313994634990508E-2</v>
      </c>
      <c r="R298" s="489">
        <f>_xll.qlOvernightIndexedSwapFairRate(O298,AllTriggers)</f>
        <v>2.1521935294828744E-2</v>
      </c>
      <c r="S298" s="491">
        <f t="shared" si="8"/>
        <v>7.9205934016176455E-4</v>
      </c>
    </row>
    <row r="299" spans="5:19" ht="11.25" customHeight="1" x14ac:dyDescent="0.2">
      <c r="E299" s="483"/>
      <c r="F299" s="483"/>
      <c r="G299" s="482"/>
      <c r="J299" s="482"/>
      <c r="K299" s="482"/>
      <c r="M299" s="497">
        <f>_xll.qlCalendarAdvance(Calendar,M298,"1M","f",,Trigger)</f>
        <v>51154</v>
      </c>
      <c r="N299" s="488">
        <f>_xll.qlCalendarAdvance(Calendar,M299,"3M","f",,Trigger)</f>
        <v>51245</v>
      </c>
      <c r="O299" s="490" t="str">
        <f>_xll.qlMakeDatedOIS(,M299,N299,OvernightIndex,0,,,,EvaluationDate)</f>
        <v>obj_005fa#0001</v>
      </c>
      <c r="P299" s="490" t="b">
        <f>_xll.qlInstrumentSetPricingEngine(O299,OisEngine)</f>
        <v>1</v>
      </c>
      <c r="Q299" s="489">
        <f>_xll.qlIndexFixing("euribor6m",_xll.qlInterestRateIndexFixingDate("Euribor6M",M299),TRUE,AllTriggers)</f>
        <v>2.2295106061776374E-2</v>
      </c>
      <c r="R299" s="489">
        <f>_xll.qlOvernightIndexedSwapFairRate(O299,AllTriggers)</f>
        <v>2.152193529482874E-2</v>
      </c>
      <c r="S299" s="491">
        <f t="shared" si="8"/>
        <v>7.7317076694763398E-4</v>
      </c>
    </row>
    <row r="300" spans="5:19" ht="11.25" customHeight="1" x14ac:dyDescent="0.2">
      <c r="E300" s="483"/>
      <c r="F300" s="483"/>
      <c r="G300" s="482"/>
      <c r="J300" s="482"/>
      <c r="K300" s="482"/>
      <c r="M300" s="497">
        <f>_xll.qlCalendarAdvance(Calendar,M299,"1M","f",,Trigger)</f>
        <v>51186</v>
      </c>
      <c r="N300" s="488">
        <f>_xll.qlCalendarAdvance(Calendar,M300,"3M","f",,Trigger)</f>
        <v>51277</v>
      </c>
      <c r="O300" s="490" t="str">
        <f>_xll.qlMakeDatedOIS(,M300,N300,OvernightIndex,0,,,,EvaluationDate)</f>
        <v>obj_005fc#0001</v>
      </c>
      <c r="P300" s="490" t="b">
        <f>_xll.qlInstrumentSetPricingEngine(O300,OisEngine)</f>
        <v>1</v>
      </c>
      <c r="Q300" s="489">
        <f>_xll.qlIndexFixing("euribor6m",_xll.qlInterestRateIndexFixingDate("Euribor6M",M300),TRUE,AllTriggers)</f>
        <v>2.2276491336442033E-2</v>
      </c>
      <c r="R300" s="489">
        <f>_xll.qlOvernightIndexedSwapFairRate(O300,AllTriggers)</f>
        <v>2.1521935294827866E-2</v>
      </c>
      <c r="S300" s="491">
        <f t="shared" si="8"/>
        <v>7.5455604161416695E-4</v>
      </c>
    </row>
    <row r="301" spans="5:19" ht="11.25" customHeight="1" x14ac:dyDescent="0.2">
      <c r="E301" s="483"/>
      <c r="F301" s="483"/>
      <c r="G301" s="482"/>
      <c r="J301" s="482"/>
      <c r="K301" s="482"/>
      <c r="M301" s="497">
        <f>_xll.qlCalendarAdvance(Calendar,M300,"1M","f",,Trigger)</f>
        <v>51215</v>
      </c>
      <c r="N301" s="488">
        <f>_xll.qlCalendarAdvance(Calendar,M301,"3M","f",,Trigger)</f>
        <v>51307</v>
      </c>
      <c r="O301" s="490" t="str">
        <f>_xll.qlMakeDatedOIS(,M301,N301,OvernightIndex,0,,,,EvaluationDate)</f>
        <v>obj_005fe#0001</v>
      </c>
      <c r="P301" s="490" t="b">
        <f>_xll.qlInstrumentSetPricingEngine(O301,OisEngine)</f>
        <v>1</v>
      </c>
      <c r="Q301" s="489">
        <f>_xll.qlIndexFixing("euribor6m",_xll.qlInterestRateIndexFixingDate("Euribor6M",M301),TRUE,AllTriggers)</f>
        <v>2.2260865065079169E-2</v>
      </c>
      <c r="R301" s="489">
        <f>_xll.qlOvernightIndexedSwapFairRate(O301,AllTriggers)</f>
        <v>2.1522577468722506E-2</v>
      </c>
      <c r="S301" s="491">
        <f t="shared" si="8"/>
        <v>7.3828759635666263E-4</v>
      </c>
    </row>
    <row r="302" spans="5:19" ht="11.25" customHeight="1" x14ac:dyDescent="0.2">
      <c r="E302" s="483"/>
      <c r="F302" s="483"/>
      <c r="G302" s="482"/>
      <c r="J302" s="482"/>
      <c r="K302" s="482"/>
      <c r="M302" s="497">
        <f>_xll.qlCalendarAdvance(Calendar,M301,"1M","f",,Trigger)</f>
        <v>51246</v>
      </c>
      <c r="N302" s="488">
        <f>_xll.qlCalendarAdvance(Calendar,M302,"3M","f",,Trigger)</f>
        <v>51337</v>
      </c>
      <c r="O302" s="490" t="str">
        <f>_xll.qlMakeDatedOIS(,M302,N302,OvernightIndex,0,,,,EvaluationDate)</f>
        <v>obj_00600#0001</v>
      </c>
      <c r="P302" s="490" t="b">
        <f>_xll.qlInstrumentSetPricingEngine(O302,OisEngine)</f>
        <v>1</v>
      </c>
      <c r="Q302" s="489">
        <f>_xll.qlIndexFixing("euribor6m",_xll.qlInterestRateIndexFixingDate("Euribor6M",M302),TRUE,AllTriggers)</f>
        <v>2.2244149847993975E-2</v>
      </c>
      <c r="R302" s="489">
        <f>_xll.qlOvernightIndexedSwapFairRate(O302,AllTriggers)</f>
        <v>2.152193529482874E-2</v>
      </c>
      <c r="S302" s="491">
        <f t="shared" si="8"/>
        <v>7.2221455316523464E-4</v>
      </c>
    </row>
    <row r="303" spans="5:19" ht="11.25" customHeight="1" x14ac:dyDescent="0.2">
      <c r="E303" s="483"/>
      <c r="F303" s="483"/>
      <c r="G303" s="482"/>
      <c r="J303" s="482"/>
      <c r="K303" s="482"/>
      <c r="M303" s="497">
        <f>_xll.qlCalendarAdvance(Calendar,M302,"1M","f",,Trigger)</f>
        <v>51277</v>
      </c>
      <c r="N303" s="488">
        <f>_xll.qlCalendarAdvance(Calendar,M303,"3M","f",,Trigger)</f>
        <v>51369</v>
      </c>
      <c r="O303" s="490" t="str">
        <f>_xll.qlMakeDatedOIS(,M303,N303,OvernightIndex,0,,,,EvaluationDate)</f>
        <v>obj_00602#0001</v>
      </c>
      <c r="P303" s="490" t="b">
        <f>_xll.qlInstrumentSetPricingEngine(O303,OisEngine)</f>
        <v>1</v>
      </c>
      <c r="Q303" s="489">
        <f>_xll.qlIndexFixing("euribor6m",_xll.qlInterestRateIndexFixingDate("Euribor6M",M303),TRUE,AllTriggers)</f>
        <v>2.2227050213989515E-2</v>
      </c>
      <c r="R303" s="489">
        <f>_xll.qlOvernightIndexedSwapFairRate(O303,AllTriggers)</f>
        <v>2.1522577468722503E-2</v>
      </c>
      <c r="S303" s="491">
        <f t="shared" si="8"/>
        <v>7.0447274526701242E-4</v>
      </c>
    </row>
    <row r="304" spans="5:19" ht="11.25" customHeight="1" x14ac:dyDescent="0.2">
      <c r="E304" s="483"/>
      <c r="F304" s="483"/>
      <c r="G304" s="482"/>
      <c r="J304" s="482"/>
      <c r="K304" s="482"/>
      <c r="M304" s="497">
        <f>_xll.qlCalendarAdvance(Calendar,M303,"1M","f",,Trigger)</f>
        <v>51308</v>
      </c>
      <c r="N304" s="488">
        <f>_xll.qlCalendarAdvance(Calendar,M304,"3M","f",,Trigger)</f>
        <v>51400</v>
      </c>
      <c r="O304" s="490" t="str">
        <f>_xll.qlMakeDatedOIS(,M304,N304,OvernightIndex,0,,,,EvaluationDate)</f>
        <v>obj_0085f#0001</v>
      </c>
      <c r="P304" s="490" t="b">
        <f>_xll.qlInstrumentSetPricingEngine(O304,OisEngine)</f>
        <v>1</v>
      </c>
      <c r="Q304" s="489">
        <f>_xll.qlIndexFixing("euribor6m",_xll.qlInterestRateIndexFixingDate("Euribor6M",M304),TRUE,AllTriggers)</f>
        <v>2.2210392135857404E-2</v>
      </c>
      <c r="R304" s="489">
        <f>_xll.qlOvernightIndexedSwapFairRate(O304,AllTriggers)</f>
        <v>2.1522577468722499E-2</v>
      </c>
      <c r="S304" s="491">
        <f t="shared" si="8"/>
        <v>6.8781466713490474E-4</v>
      </c>
    </row>
    <row r="305" spans="5:19" ht="11.25" customHeight="1" x14ac:dyDescent="0.2">
      <c r="E305" s="483"/>
      <c r="F305" s="483"/>
      <c r="G305" s="482"/>
      <c r="J305" s="482"/>
      <c r="K305" s="482"/>
      <c r="M305" s="497">
        <f>_xll.qlCalendarAdvance(Calendar,M304,"1M","f",,Trigger)</f>
        <v>51340</v>
      </c>
      <c r="N305" s="488">
        <f>_xll.qlCalendarAdvance(Calendar,M305,"3M","f",,Trigger)</f>
        <v>51432</v>
      </c>
      <c r="O305" s="490" t="str">
        <f>_xll.qlMakeDatedOIS(,M305,N305,OvernightIndex,0,,,,EvaluationDate)</f>
        <v>obj_00605#0001</v>
      </c>
      <c r="P305" s="490" t="b">
        <f>_xll.qlInstrumentSetPricingEngine(O305,OisEngine)</f>
        <v>1</v>
      </c>
      <c r="Q305" s="489">
        <f>_xll.qlIndexFixing("euribor6m",_xll.qlInterestRateIndexFixingDate("Euribor6M",M305),TRUE,AllTriggers)</f>
        <v>2.2194550247255172E-2</v>
      </c>
      <c r="R305" s="489">
        <f>_xll.qlOvernightIndexedSwapFairRate(O305,AllTriggers)</f>
        <v>2.1522577468722506E-2</v>
      </c>
      <c r="S305" s="491">
        <f t="shared" si="8"/>
        <v>6.7197277853266527E-4</v>
      </c>
    </row>
    <row r="306" spans="5:19" ht="11.25" customHeight="1" x14ac:dyDescent="0.2">
      <c r="E306" s="483"/>
      <c r="F306" s="483"/>
      <c r="G306" s="482"/>
      <c r="J306" s="482"/>
      <c r="K306" s="482"/>
      <c r="M306" s="497">
        <f>_xll.qlCalendarAdvance(Calendar,M305,"1M","f",,Trigger)</f>
        <v>51371</v>
      </c>
      <c r="N306" s="488">
        <f>_xll.qlCalendarAdvance(Calendar,M306,"3M","f",,Trigger)</f>
        <v>51463</v>
      </c>
      <c r="O306" s="490" t="str">
        <f>_xll.qlMakeDatedOIS(,M306,N306,OvernightIndex,0,,,,EvaluationDate)</f>
        <v>obj_00607#0001</v>
      </c>
      <c r="P306" s="490" t="b">
        <f>_xll.qlInstrumentSetPricingEngine(O306,OisEngine)</f>
        <v>1</v>
      </c>
      <c r="Q306" s="489">
        <f>_xll.qlIndexFixing("euribor6m",_xll.qlInterestRateIndexFixingDate("Euribor6M",M306),TRUE,AllTriggers)</f>
        <v>2.2180136294948187E-2</v>
      </c>
      <c r="R306" s="489">
        <f>_xll.qlOvernightIndexedSwapFairRate(O306,AllTriggers)</f>
        <v>2.1522577468722503E-2</v>
      </c>
      <c r="S306" s="491">
        <f t="shared" si="8"/>
        <v>6.5755882622568415E-4</v>
      </c>
    </row>
    <row r="307" spans="5:19" ht="11.25" customHeight="1" x14ac:dyDescent="0.2">
      <c r="E307" s="483"/>
      <c r="F307" s="483"/>
      <c r="G307" s="482"/>
      <c r="J307" s="482"/>
      <c r="K307" s="482"/>
      <c r="M307" s="497">
        <f>_xll.qlCalendarAdvance(Calendar,M306,"1M","f",,Trigger)</f>
        <v>51403</v>
      </c>
      <c r="N307" s="488">
        <f>_xll.qlCalendarAdvance(Calendar,M307,"3M","f",,Trigger)</f>
        <v>51494</v>
      </c>
      <c r="O307" s="490" t="str">
        <f>_xll.qlMakeDatedOIS(,M307,N307,OvernightIndex,0,,,,EvaluationDate)</f>
        <v>obj_00609#0001</v>
      </c>
      <c r="P307" s="490" t="b">
        <f>_xll.qlInstrumentSetPricingEngine(O307,OisEngine)</f>
        <v>1</v>
      </c>
      <c r="Q307" s="489">
        <f>_xll.qlIndexFixing("euribor6m",_xll.qlInterestRateIndexFixingDate("Euribor6M",M307),TRUE,AllTriggers)</f>
        <v>2.2163022984424866E-2</v>
      </c>
      <c r="R307" s="489">
        <f>_xll.qlOvernightIndexedSwapFairRate(O307,AllTriggers)</f>
        <v>2.152193529482874E-2</v>
      </c>
      <c r="S307" s="491">
        <f t="shared" si="8"/>
        <v>6.4108768959612525E-4</v>
      </c>
    </row>
    <row r="308" spans="5:19" ht="11.25" customHeight="1" x14ac:dyDescent="0.2">
      <c r="E308" s="483"/>
      <c r="F308" s="483"/>
      <c r="G308" s="482"/>
      <c r="J308" s="482"/>
      <c r="K308" s="482"/>
      <c r="M308" s="497">
        <f>_xll.qlCalendarAdvance(Calendar,M307,"1M","f",,Trigger)</f>
        <v>51433</v>
      </c>
      <c r="N308" s="488">
        <f>_xll.qlCalendarAdvance(Calendar,M308,"3M","f",,Trigger)</f>
        <v>51525</v>
      </c>
      <c r="O308" s="490" t="str">
        <f>_xll.qlMakeDatedOIS(,M308,N308,OvernightIndex,0,,,,EvaluationDate)</f>
        <v>obj_00805#0001</v>
      </c>
      <c r="P308" s="490" t="b">
        <f>_xll.qlInstrumentSetPricingEngine(O308,OisEngine)</f>
        <v>1</v>
      </c>
      <c r="Q308" s="489">
        <f>_xll.qlIndexFixing("euribor6m",_xll.qlInterestRateIndexFixingDate("Euribor6M",M308),TRUE,AllTriggers)</f>
        <v>2.2149086251678989E-2</v>
      </c>
      <c r="R308" s="489">
        <f>_xll.qlOvernightIndexedSwapFairRate(O308,AllTriggers)</f>
        <v>2.1522577468722503E-2</v>
      </c>
      <c r="S308" s="491">
        <f t="shared" si="8"/>
        <v>6.2650878295648568E-4</v>
      </c>
    </row>
    <row r="309" spans="5:19" ht="11.25" customHeight="1" x14ac:dyDescent="0.2">
      <c r="E309" s="483"/>
      <c r="F309" s="483"/>
      <c r="G309" s="482"/>
      <c r="J309" s="482"/>
      <c r="K309" s="482"/>
      <c r="M309" s="497">
        <f>_xll.qlCalendarAdvance(Calendar,M308,"1M","f",,Trigger)</f>
        <v>51466</v>
      </c>
      <c r="N309" s="488">
        <f>_xll.qlCalendarAdvance(Calendar,M309,"3M","f",,Trigger)</f>
        <v>51558</v>
      </c>
      <c r="O309" s="490" t="str">
        <f>_xll.qlMakeDatedOIS(,M309,N309,OvernightIndex,0,,,,EvaluationDate)</f>
        <v>obj_0060c#0001</v>
      </c>
      <c r="P309" s="490" t="b">
        <f>_xll.qlInstrumentSetPricingEngine(O309,OisEngine)</f>
        <v>1</v>
      </c>
      <c r="Q309" s="489">
        <f>_xll.qlIndexFixing("euribor6m",_xll.qlInterestRateIndexFixingDate("Euribor6M",M309),TRUE,AllTriggers)</f>
        <v>2.2134246842353912E-2</v>
      </c>
      <c r="R309" s="489">
        <f>_xll.qlOvernightIndexedSwapFairRate(O309,AllTriggers)</f>
        <v>2.1522577468722503E-2</v>
      </c>
      <c r="S309" s="491">
        <f t="shared" si="8"/>
        <v>6.1166937363140925E-4</v>
      </c>
    </row>
    <row r="310" spans="5:19" ht="11.25" customHeight="1" x14ac:dyDescent="0.2">
      <c r="E310" s="483"/>
      <c r="F310" s="483"/>
      <c r="G310" s="482"/>
      <c r="J310" s="482"/>
      <c r="K310" s="482"/>
      <c r="M310" s="497">
        <f>_xll.qlCalendarAdvance(Calendar,M309,"1M","f",,Trigger)</f>
        <v>51497</v>
      </c>
      <c r="N310" s="488">
        <f>_xll.qlCalendarAdvance(Calendar,M310,"3M","f",,Trigger)</f>
        <v>51587</v>
      </c>
      <c r="O310" s="490" t="str">
        <f>_xll.qlMakeDatedOIS(,M310,N310,OvernightIndex,0,,,,EvaluationDate)</f>
        <v>obj_007f1#0001</v>
      </c>
      <c r="P310" s="490" t="b">
        <f>_xll.qlInstrumentSetPricingEngine(O310,OisEngine)</f>
        <v>1</v>
      </c>
      <c r="Q310" s="489">
        <f>_xll.qlIndexFixing("euribor6m",_xll.qlInterestRateIndexFixingDate("Euribor6M",M310),TRUE,AllTriggers)</f>
        <v>2.2120775341851091E-2</v>
      </c>
      <c r="R310" s="489">
        <f>_xll.qlOvernightIndexedSwapFairRate(O310,AllTriggers)</f>
        <v>2.1521293146470555E-2</v>
      </c>
      <c r="S310" s="491">
        <f t="shared" si="8"/>
        <v>5.9948219538053654E-4</v>
      </c>
    </row>
    <row r="311" spans="5:19" ht="11.25" customHeight="1" x14ac:dyDescent="0.2">
      <c r="E311" s="483"/>
      <c r="F311" s="483"/>
      <c r="G311" s="482"/>
      <c r="J311" s="482"/>
      <c r="K311" s="482"/>
      <c r="M311" s="497">
        <f>_xll.qlCalendarAdvance(Calendar,M310,"1M","f",,Trigger)</f>
        <v>51529</v>
      </c>
      <c r="N311" s="488">
        <f>_xll.qlCalendarAdvance(Calendar,M311,"3M","f",,Trigger)</f>
        <v>51620</v>
      </c>
      <c r="O311" s="490" t="str">
        <f>_xll.qlMakeDatedOIS(,M311,N311,OvernightIndex,0,,,,EvaluationDate)</f>
        <v>obj_0060f#0001</v>
      </c>
      <c r="P311" s="490" t="b">
        <f>_xll.qlInstrumentSetPricingEngine(O311,OisEngine)</f>
        <v>1</v>
      </c>
      <c r="Q311" s="489">
        <f>_xll.qlIndexFixing("euribor6m",_xll.qlInterestRateIndexFixingDate("Euribor6M",M311),TRUE,AllTriggers)</f>
        <v>2.2107345374834376E-2</v>
      </c>
      <c r="R311" s="489">
        <f>_xll.qlOvernightIndexedSwapFairRate(O311,AllTriggers)</f>
        <v>2.152193529482874E-2</v>
      </c>
      <c r="S311" s="491">
        <f t="shared" si="8"/>
        <v>5.8541008000563555E-4</v>
      </c>
    </row>
    <row r="312" spans="5:19" ht="11.25" customHeight="1" x14ac:dyDescent="0.2">
      <c r="E312" s="483"/>
      <c r="F312" s="483"/>
      <c r="G312" s="482"/>
      <c r="J312" s="482"/>
      <c r="K312" s="482"/>
      <c r="M312" s="497">
        <f>_xll.qlCalendarAdvance(Calendar,M311,"1M","f",,Trigger)</f>
        <v>51560</v>
      </c>
      <c r="N312" s="488">
        <f>_xll.qlCalendarAdvance(Calendar,M312,"3M","f",,Trigger)</f>
        <v>51649</v>
      </c>
      <c r="O312" s="490" t="str">
        <f>_xll.qlMakeDatedOIS(,M312,N312,OvernightIndex,0,,,,EvaluationDate)</f>
        <v>obj_00611#0001</v>
      </c>
      <c r="P312" s="490" t="b">
        <f>_xll.qlInstrumentSetPricingEngine(O312,OisEngine)</f>
        <v>1</v>
      </c>
      <c r="Q312" s="489">
        <f>_xll.qlIndexFixing("euribor6m",_xll.qlInterestRateIndexFixingDate("Euribor6M",M312),TRUE,AllTriggers)</f>
        <v>2.20952803212289E-2</v>
      </c>
      <c r="R312" s="489">
        <f>_xll.qlOvernightIndexedSwapFairRate(O312,AllTriggers)</f>
        <v>2.1520651023646468E-2</v>
      </c>
      <c r="S312" s="491">
        <f t="shared" si="8"/>
        <v>5.7462929758243103E-4</v>
      </c>
    </row>
    <row r="313" spans="5:19" ht="11.25" customHeight="1" x14ac:dyDescent="0.2">
      <c r="E313" s="483"/>
      <c r="F313" s="483"/>
      <c r="G313" s="482"/>
      <c r="J313" s="482"/>
      <c r="K313" s="482"/>
      <c r="M313" s="497">
        <f>_xll.qlCalendarAdvance(Calendar,M312,"1M","f",,Trigger)</f>
        <v>51588</v>
      </c>
      <c r="N313" s="488">
        <f>_xll.qlCalendarAdvance(Calendar,M313,"3M","f",,Trigger)</f>
        <v>51680</v>
      </c>
      <c r="O313" s="490" t="str">
        <f>_xll.qlMakeDatedOIS(,M313,N313,OvernightIndex,0,,,,EvaluationDate)</f>
        <v>obj_00613#0001</v>
      </c>
      <c r="P313" s="490" t="b">
        <f>_xll.qlInstrumentSetPricingEngine(O313,OisEngine)</f>
        <v>1</v>
      </c>
      <c r="Q313" s="489">
        <f>_xll.qlIndexFixing("euribor6m",_xll.qlInterestRateIndexFixingDate("Euribor6M",M313),TRUE,AllTriggers)</f>
        <v>2.2085812599859232E-2</v>
      </c>
      <c r="R313" s="489">
        <f>_xll.qlOvernightIndexedSwapFairRate(O313,AllTriggers)</f>
        <v>2.1522577468722503E-2</v>
      </c>
      <c r="S313" s="491">
        <f t="shared" si="8"/>
        <v>5.6323513113672868E-4</v>
      </c>
    </row>
    <row r="314" spans="5:19" ht="11.25" customHeight="1" x14ac:dyDescent="0.2">
      <c r="E314" s="483"/>
      <c r="F314" s="483"/>
      <c r="G314" s="482"/>
      <c r="J314" s="482"/>
      <c r="K314" s="482"/>
      <c r="M314" s="497">
        <f>_xll.qlCalendarAdvance(Calendar,M313,"1M","f",,Trigger)</f>
        <v>51620</v>
      </c>
      <c r="N314" s="488">
        <f>_xll.qlCalendarAdvance(Calendar,M314,"3M","f",,Trigger)</f>
        <v>51711</v>
      </c>
      <c r="O314" s="490" t="str">
        <f>_xll.qlMakeDatedOIS(,M314,N314,OvernightIndex,0,,,,EvaluationDate)</f>
        <v>obj_00615#0001</v>
      </c>
      <c r="P314" s="490" t="b">
        <f>_xll.qlInstrumentSetPricingEngine(O314,OisEngine)</f>
        <v>1</v>
      </c>
      <c r="Q314" s="489">
        <f>_xll.qlIndexFixing("euribor6m",_xll.qlInterestRateIndexFixingDate("Euribor6M",M314),TRUE,AllTriggers)</f>
        <v>2.2072293940650266E-2</v>
      </c>
      <c r="R314" s="489">
        <f>_xll.qlOvernightIndexedSwapFairRate(O314,AllTriggers)</f>
        <v>2.1521935294828744E-2</v>
      </c>
      <c r="S314" s="491">
        <f t="shared" si="8"/>
        <v>5.5035864582152205E-4</v>
      </c>
    </row>
    <row r="315" spans="5:19" ht="11.25" customHeight="1" x14ac:dyDescent="0.2">
      <c r="E315" s="483"/>
      <c r="F315" s="483"/>
      <c r="G315" s="482"/>
      <c r="J315" s="482"/>
      <c r="K315" s="482"/>
      <c r="M315" s="497">
        <f>_xll.qlCalendarAdvance(Calendar,M314,"1M","f",,Trigger)</f>
        <v>51650</v>
      </c>
      <c r="N315" s="488">
        <f>_xll.qlCalendarAdvance(Calendar,M315,"3M","f",,Trigger)</f>
        <v>51742</v>
      </c>
      <c r="O315" s="490" t="str">
        <f>_xll.qlMakeDatedOIS(,M315,N315,OvernightIndex,0,,,,EvaluationDate)</f>
        <v>obj_00617#0001</v>
      </c>
      <c r="P315" s="490" t="b">
        <f>_xll.qlInstrumentSetPricingEngine(O315,OisEngine)</f>
        <v>1</v>
      </c>
      <c r="Q315" s="489">
        <f>_xll.qlIndexFixing("euribor6m",_xll.qlInterestRateIndexFixingDate("Euribor6M",M315),TRUE,AllTriggers)</f>
        <v>2.2061941746926321E-2</v>
      </c>
      <c r="R315" s="489">
        <f>_xll.qlOvernightIndexedSwapFairRate(O315,AllTriggers)</f>
        <v>2.1522577468722506E-2</v>
      </c>
      <c r="S315" s="491">
        <f t="shared" si="8"/>
        <v>5.3936427820381466E-4</v>
      </c>
    </row>
    <row r="316" spans="5:19" ht="11.25" customHeight="1" x14ac:dyDescent="0.2">
      <c r="E316" s="483"/>
      <c r="F316" s="483"/>
      <c r="G316" s="482"/>
      <c r="J316" s="482"/>
      <c r="K316" s="482"/>
      <c r="M316" s="497">
        <f>_xll.qlCalendarAdvance(Calendar,M315,"1M","f",,Trigger)</f>
        <v>51683</v>
      </c>
      <c r="N316" s="488">
        <f>_xll.qlCalendarAdvance(Calendar,M316,"3M","f",,Trigger)</f>
        <v>51775</v>
      </c>
      <c r="O316" s="490" t="str">
        <f>_xll.qlMakeDatedOIS(,M316,N316,OvernightIndex,0,,,,EvaluationDate)</f>
        <v>obj_00888#0001</v>
      </c>
      <c r="P316" s="490" t="b">
        <f>_xll.qlInstrumentSetPricingEngine(O316,OisEngine)</f>
        <v>1</v>
      </c>
      <c r="Q316" s="489">
        <f>_xll.qlIndexFixing("euribor6m",_xll.qlInterestRateIndexFixingDate("Euribor6M",M316),TRUE,AllTriggers)</f>
        <v>2.2051009315540149E-2</v>
      </c>
      <c r="R316" s="489">
        <f>_xll.qlOvernightIndexedSwapFairRate(O316,AllTriggers)</f>
        <v>2.1522577468722506E-2</v>
      </c>
      <c r="S316" s="491">
        <f t="shared" si="8"/>
        <v>5.2843184681764313E-4</v>
      </c>
    </row>
    <row r="317" spans="5:19" ht="11.25" customHeight="1" x14ac:dyDescent="0.2">
      <c r="E317" s="483"/>
      <c r="F317" s="483"/>
      <c r="G317" s="482"/>
      <c r="J317" s="482"/>
      <c r="K317" s="482"/>
      <c r="M317" s="497">
        <f>_xll.qlCalendarAdvance(Calendar,M316,"1M","f",,Trigger)</f>
        <v>51714</v>
      </c>
      <c r="N317" s="488">
        <f>_xll.qlCalendarAdvance(Calendar,M317,"3M","f",,Trigger)</f>
        <v>51806</v>
      </c>
      <c r="O317" s="490" t="str">
        <f>_xll.qlMakeDatedOIS(,M317,N317,OvernightIndex,0,,,,EvaluationDate)</f>
        <v>obj_00881#0001</v>
      </c>
      <c r="P317" s="490" t="b">
        <f>_xll.qlInstrumentSetPricingEngine(O317,OisEngine)</f>
        <v>1</v>
      </c>
      <c r="Q317" s="489">
        <f>_xll.qlIndexFixing("euribor6m",_xll.qlInterestRateIndexFixingDate("Euribor6M",M317),TRUE,AllTriggers)</f>
        <v>2.2041252508157562E-2</v>
      </c>
      <c r="R317" s="489">
        <f>_xll.qlOvernightIndexedSwapFairRate(O317,AllTriggers)</f>
        <v>2.152257746872251E-2</v>
      </c>
      <c r="S317" s="491">
        <f t="shared" si="8"/>
        <v>5.1867503943505214E-4</v>
      </c>
    </row>
    <row r="318" spans="5:19" ht="11.25" customHeight="1" x14ac:dyDescent="0.2">
      <c r="E318" s="483"/>
      <c r="F318" s="483"/>
      <c r="G318" s="482"/>
      <c r="J318" s="482"/>
      <c r="K318" s="482"/>
      <c r="M318" s="497">
        <f>_xll.qlCalendarAdvance(Calendar,M317,"1M","f",,Trigger)</f>
        <v>51746</v>
      </c>
      <c r="N318" s="488">
        <f>_xll.qlCalendarAdvance(Calendar,M318,"3M","f",,Trigger)</f>
        <v>51837</v>
      </c>
      <c r="O318" s="490" t="str">
        <f>_xll.qlMakeDatedOIS(,M318,N318,OvernightIndex,0,,,,EvaluationDate)</f>
        <v>obj_0061b#0001</v>
      </c>
      <c r="P318" s="490" t="b">
        <f>_xll.qlInstrumentSetPricingEngine(O318,OisEngine)</f>
        <v>1</v>
      </c>
      <c r="Q318" s="489">
        <f>_xll.qlIndexFixing("euribor6m",_xll.qlInterestRateIndexFixingDate("Euribor6M",M318),TRUE,AllTriggers)</f>
        <v>2.2029033119391764E-2</v>
      </c>
      <c r="R318" s="489">
        <f>_xll.qlOvernightIndexedSwapFairRate(O318,AllTriggers)</f>
        <v>2.1521935294827862E-2</v>
      </c>
      <c r="S318" s="491">
        <f t="shared" si="8"/>
        <v>5.0709782456390129E-4</v>
      </c>
    </row>
    <row r="319" spans="5:19" ht="11.25" customHeight="1" x14ac:dyDescent="0.2">
      <c r="E319" s="483"/>
      <c r="F319" s="483"/>
      <c r="G319" s="482"/>
      <c r="J319" s="482"/>
      <c r="K319" s="482"/>
      <c r="M319" s="497">
        <f>_xll.qlCalendarAdvance(Calendar,M318,"1M","f",,Trigger)</f>
        <v>51776</v>
      </c>
      <c r="N319" s="488">
        <f>_xll.qlCalendarAdvance(Calendar,M319,"3M","f",,Trigger)</f>
        <v>51868</v>
      </c>
      <c r="O319" s="490" t="str">
        <f>_xll.qlMakeDatedOIS(,M319,N319,OvernightIndex,0,,,,EvaluationDate)</f>
        <v>obj_0061d#0001</v>
      </c>
      <c r="P319" s="490" t="b">
        <f>_xll.qlInstrumentSetPricingEngine(O319,OisEngine)</f>
        <v>1</v>
      </c>
      <c r="Q319" s="489">
        <f>_xll.qlIndexFixing("euribor6m",_xll.qlInterestRateIndexFixingDate("Euribor6M",M319),TRUE,AllTriggers)</f>
        <v>2.201995629835192E-2</v>
      </c>
      <c r="R319" s="489">
        <f>_xll.qlOvernightIndexedSwapFairRate(O319,AllTriggers)</f>
        <v>2.1522577468722503E-2</v>
      </c>
      <c r="S319" s="491">
        <f t="shared" si="8"/>
        <v>4.9737882962941696E-4</v>
      </c>
    </row>
    <row r="320" spans="5:19" ht="11.25" customHeight="1" x14ac:dyDescent="0.2">
      <c r="E320" s="483"/>
      <c r="F320" s="483"/>
      <c r="G320" s="482"/>
      <c r="J320" s="482"/>
      <c r="K320" s="482"/>
      <c r="M320" s="497">
        <f>_xll.qlCalendarAdvance(Calendar,M319,"1M","f",,Trigger)</f>
        <v>51809</v>
      </c>
      <c r="N320" s="488">
        <f>_xll.qlCalendarAdvance(Calendar,M320,"3M","f",,Trigger)</f>
        <v>51901</v>
      </c>
      <c r="O320" s="490" t="str">
        <f>_xll.qlMakeDatedOIS(,M320,N320,OvernightIndex,0,,,,EvaluationDate)</f>
        <v>obj_0061f#0001</v>
      </c>
      <c r="P320" s="490" t="b">
        <f>_xll.qlInstrumentSetPricingEngine(O320,OisEngine)</f>
        <v>1</v>
      </c>
      <c r="Q320" s="489">
        <f>_xll.qlIndexFixing("euribor6m",_xll.qlInterestRateIndexFixingDate("Euribor6M",M320),TRUE,AllTriggers)</f>
        <v>2.2010462696942738E-2</v>
      </c>
      <c r="R320" s="489">
        <f>_xll.qlOvernightIndexedSwapFairRate(O320,AllTriggers)</f>
        <v>2.1522577468722506E-2</v>
      </c>
      <c r="S320" s="491">
        <f t="shared" si="8"/>
        <v>4.8788522822023131E-4</v>
      </c>
    </row>
    <row r="321" spans="5:19" ht="11.25" customHeight="1" x14ac:dyDescent="0.2">
      <c r="E321" s="483"/>
      <c r="F321" s="483"/>
      <c r="G321" s="482"/>
      <c r="J321" s="482"/>
      <c r="K321" s="482"/>
      <c r="M321" s="497">
        <f>_xll.qlCalendarAdvance(Calendar,M320,"1M","f",,Trigger)</f>
        <v>51839</v>
      </c>
      <c r="N321" s="488">
        <f>_xll.qlCalendarAdvance(Calendar,M321,"3M","f",,Trigger)</f>
        <v>51929</v>
      </c>
      <c r="O321" s="490" t="str">
        <f>_xll.qlMakeDatedOIS(,M321,N321,OvernightIndex,0,,,,EvaluationDate)</f>
        <v>obj_00621#0001</v>
      </c>
      <c r="P321" s="490" t="b">
        <f>_xll.qlInstrumentSetPricingEngine(O321,OisEngine)</f>
        <v>1</v>
      </c>
      <c r="Q321" s="489">
        <f>_xll.qlIndexFixing("euribor6m",_xll.qlInterestRateIndexFixingDate("Euribor6M",M321),TRUE,AllTriggers)</f>
        <v>2.200227841854269E-2</v>
      </c>
      <c r="R321" s="489">
        <f>_xll.qlOvernightIndexedSwapFairRate(O321,AllTriggers)</f>
        <v>2.1521293146470555E-2</v>
      </c>
      <c r="S321" s="491">
        <f t="shared" si="8"/>
        <v>4.809852720721354E-4</v>
      </c>
    </row>
    <row r="322" spans="5:19" ht="11.25" customHeight="1" x14ac:dyDescent="0.2">
      <c r="E322" s="483"/>
      <c r="F322" s="483"/>
      <c r="G322" s="482"/>
      <c r="J322" s="482"/>
      <c r="K322" s="482"/>
      <c r="M322" s="497">
        <f>_xll.qlCalendarAdvance(Calendar,M321,"1M","f",,Trigger)</f>
        <v>51872</v>
      </c>
      <c r="N322" s="488">
        <f>_xll.qlCalendarAdvance(Calendar,M322,"3M","f",,Trigger)</f>
        <v>51964</v>
      </c>
      <c r="O322" s="490" t="str">
        <f>_xll.qlMakeDatedOIS(,M322,N322,OvernightIndex,0,,,,EvaluationDate)</f>
        <v>obj_00623#0001</v>
      </c>
      <c r="P322" s="490" t="b">
        <f>_xll.qlInstrumentSetPricingEngine(O322,OisEngine)</f>
        <v>1</v>
      </c>
      <c r="Q322" s="489">
        <f>_xll.qlIndexFixing("euribor6m",_xll.qlInterestRateIndexFixingDate("Euribor6M",M322),TRUE,AllTriggers)</f>
        <v>2.1993766601043505E-2</v>
      </c>
      <c r="R322" s="489">
        <f>_xll.qlOvernightIndexedSwapFairRate(O322,AllTriggers)</f>
        <v>2.1522577468722506E-2</v>
      </c>
      <c r="S322" s="491">
        <f t="shared" si="8"/>
        <v>4.7118913232099824E-4</v>
      </c>
    </row>
    <row r="323" spans="5:19" ht="11.25" customHeight="1" x14ac:dyDescent="0.2">
      <c r="E323" s="483"/>
      <c r="F323" s="483"/>
      <c r="G323" s="482"/>
      <c r="J323" s="482"/>
      <c r="K323" s="482"/>
      <c r="M323" s="497">
        <f>_xll.qlCalendarAdvance(Calendar,M322,"1M","f",,Trigger)</f>
        <v>51903</v>
      </c>
      <c r="N323" s="488">
        <f>_xll.qlCalendarAdvance(Calendar,M323,"3M","f",,Trigger)</f>
        <v>51992</v>
      </c>
      <c r="O323" s="490" t="str">
        <f>_xll.qlMakeDatedOIS(,M323,N323,OvernightIndex,0,,,,EvaluationDate)</f>
        <v>obj_00625#0001</v>
      </c>
      <c r="P323" s="490" t="b">
        <f>_xll.qlInstrumentSetPricingEngine(O323,OisEngine)</f>
        <v>1</v>
      </c>
      <c r="Q323" s="489">
        <f>_xll.qlIndexFixing("euribor6m",_xll.qlInterestRateIndexFixingDate("Euribor6M",M323),TRUE,AllTriggers)</f>
        <v>2.1985680870799783E-2</v>
      </c>
      <c r="R323" s="489">
        <f>_xll.qlOvernightIndexedSwapFairRate(O323,AllTriggers)</f>
        <v>2.1520651023647367E-2</v>
      </c>
      <c r="S323" s="491">
        <f t="shared" ref="S323:S386" si="9">Q323-R323</f>
        <v>4.6502984715241641E-4</v>
      </c>
    </row>
    <row r="324" spans="5:19" ht="11.25" customHeight="1" x14ac:dyDescent="0.2">
      <c r="E324" s="483"/>
      <c r="F324" s="483"/>
      <c r="G324" s="482"/>
      <c r="J324" s="482"/>
      <c r="K324" s="482"/>
      <c r="M324" s="497">
        <f>_xll.qlCalendarAdvance(Calendar,M323,"1M","f",,Trigger)</f>
        <v>51931</v>
      </c>
      <c r="N324" s="488">
        <f>_xll.qlCalendarAdvance(Calendar,M324,"3M","f",,Trigger)</f>
        <v>52023</v>
      </c>
      <c r="O324" s="490" t="str">
        <f>_xll.qlMakeDatedOIS(,M324,N324,OvernightIndex,0,,,,EvaluationDate)</f>
        <v>obj_00891#0001</v>
      </c>
      <c r="P324" s="490" t="b">
        <f>_xll.qlInstrumentSetPricingEngine(O324,OisEngine)</f>
        <v>1</v>
      </c>
      <c r="Q324" s="489">
        <f>_xll.qlIndexFixing("euribor6m",_xll.qlInterestRateIndexFixingDate("Euribor6M",M324),TRUE,AllTriggers)</f>
        <v>2.1982089664489553E-2</v>
      </c>
      <c r="R324" s="489">
        <f>_xll.qlOvernightIndexedSwapFairRate(O324,AllTriggers)</f>
        <v>2.1522577468722506E-2</v>
      </c>
      <c r="S324" s="491">
        <f t="shared" si="9"/>
        <v>4.5951219576704713E-4</v>
      </c>
    </row>
    <row r="325" spans="5:19" ht="11.25" customHeight="1" x14ac:dyDescent="0.2">
      <c r="E325" s="483"/>
      <c r="F325" s="483"/>
      <c r="G325" s="482"/>
      <c r="J325" s="482"/>
      <c r="K325" s="482"/>
      <c r="M325" s="497">
        <f>_xll.qlCalendarAdvance(Calendar,M324,"1M","f",,Trigger)</f>
        <v>51964</v>
      </c>
      <c r="N325" s="488">
        <f>_xll.qlCalendarAdvance(Calendar,M325,"3M","f",,Trigger)</f>
        <v>52055</v>
      </c>
      <c r="O325" s="490" t="str">
        <f>_xll.qlMakeDatedOIS(,M325,N325,OvernightIndex,0,,,,EvaluationDate)</f>
        <v>obj_00628#0001</v>
      </c>
      <c r="P325" s="490" t="b">
        <f>_xll.qlInstrumentSetPricingEngine(O325,OisEngine)</f>
        <v>1</v>
      </c>
      <c r="Q325" s="489">
        <f>_xll.qlIndexFixing("euribor6m",_xll.qlInterestRateIndexFixingDate("Euribor6M",M325),TRUE,AllTriggers)</f>
        <v>2.1973323974669438E-2</v>
      </c>
      <c r="R325" s="489">
        <f>_xll.qlOvernightIndexedSwapFairRate(O325,AllTriggers)</f>
        <v>2.1521935294827869E-2</v>
      </c>
      <c r="S325" s="491">
        <f t="shared" si="9"/>
        <v>4.5138867984156894E-4</v>
      </c>
    </row>
    <row r="326" spans="5:19" ht="11.25" customHeight="1" x14ac:dyDescent="0.2">
      <c r="E326" s="483"/>
      <c r="F326" s="483"/>
      <c r="G326" s="482"/>
      <c r="J326" s="482"/>
      <c r="K326" s="482"/>
      <c r="M326" s="497">
        <f>_xll.qlCalendarAdvance(Calendar,M325,"1M","f",,Trigger)</f>
        <v>51994</v>
      </c>
      <c r="N326" s="488">
        <f>_xll.qlCalendarAdvance(Calendar,M326,"3M","f",,Trigger)</f>
        <v>52086</v>
      </c>
      <c r="O326" s="490" t="str">
        <f>_xll.qlMakeDatedOIS(,M326,N326,OvernightIndex,0,,,,EvaluationDate)</f>
        <v>obj_00873#0001</v>
      </c>
      <c r="P326" s="490" t="b">
        <f>_xll.qlInstrumentSetPricingEngine(O326,OisEngine)</f>
        <v>1</v>
      </c>
      <c r="Q326" s="489">
        <f>_xll.qlIndexFixing("euribor6m",_xll.qlInterestRateIndexFixingDate("Euribor6M",M326),TRUE,AllTriggers)</f>
        <v>2.1969079428462119E-2</v>
      </c>
      <c r="R326" s="489">
        <f>_xll.qlOvernightIndexedSwapFairRate(O326,AllTriggers)</f>
        <v>2.1522577468722506E-2</v>
      </c>
      <c r="S326" s="491">
        <f t="shared" si="9"/>
        <v>4.4650195973961262E-4</v>
      </c>
    </row>
    <row r="327" spans="5:19" ht="11.25" customHeight="1" x14ac:dyDescent="0.2">
      <c r="E327" s="483"/>
      <c r="F327" s="483"/>
      <c r="G327" s="482"/>
      <c r="J327" s="482"/>
      <c r="K327" s="482"/>
      <c r="M327" s="497">
        <f>_xll.qlCalendarAdvance(Calendar,M326,"1M","f",,Trigger)</f>
        <v>52026</v>
      </c>
      <c r="N327" s="488">
        <f>_xll.qlCalendarAdvance(Calendar,M327,"3M","f",,Trigger)</f>
        <v>52118</v>
      </c>
      <c r="O327" s="490" t="str">
        <f>_xll.qlMakeDatedOIS(,M327,N327,OvernightIndex,0,,,,EvaluationDate)</f>
        <v>obj_0062b#0001</v>
      </c>
      <c r="P327" s="490" t="b">
        <f>_xll.qlInstrumentSetPricingEngine(O327,OisEngine)</f>
        <v>1</v>
      </c>
      <c r="Q327" s="489">
        <f>_xll.qlIndexFixing("euribor6m",_xll.qlInterestRateIndexFixingDate("Euribor6M",M327),TRUE,AllTriggers)</f>
        <v>2.1961430229468913E-2</v>
      </c>
      <c r="R327" s="489">
        <f>_xll.qlOvernightIndexedSwapFairRate(O327,AllTriggers)</f>
        <v>2.152257746872251E-2</v>
      </c>
      <c r="S327" s="491">
        <f t="shared" si="9"/>
        <v>4.3885276074640336E-4</v>
      </c>
    </row>
    <row r="328" spans="5:19" ht="11.25" customHeight="1" x14ac:dyDescent="0.2">
      <c r="E328" s="483"/>
      <c r="F328" s="483"/>
      <c r="G328" s="482"/>
      <c r="J328" s="482"/>
      <c r="K328" s="482"/>
      <c r="M328" s="497">
        <f>_xll.qlCalendarAdvance(Calendar,M327,"1M","f",,Trigger)</f>
        <v>52056</v>
      </c>
      <c r="N328" s="488">
        <f>_xll.qlCalendarAdvance(Calendar,M328,"3M","f",,Trigger)</f>
        <v>52148</v>
      </c>
      <c r="O328" s="490" t="str">
        <f>_xll.qlMakeDatedOIS(,M328,N328,OvernightIndex,0,,,,EvaluationDate)</f>
        <v>obj_0062d#0001</v>
      </c>
      <c r="P328" s="490" t="b">
        <f>_xll.qlInstrumentSetPricingEngine(O328,OisEngine)</f>
        <v>1</v>
      </c>
      <c r="Q328" s="489">
        <f>_xll.qlIndexFixing("euribor6m",_xll.qlInterestRateIndexFixingDate("Euribor6M",M328),TRUE,AllTriggers)</f>
        <v>2.1956919731306652E-2</v>
      </c>
      <c r="R328" s="489">
        <f>_xll.qlOvernightIndexedSwapFairRate(O328,AllTriggers)</f>
        <v>2.152257746872251E-2</v>
      </c>
      <c r="S328" s="491">
        <f t="shared" si="9"/>
        <v>4.3434226258414269E-4</v>
      </c>
    </row>
    <row r="329" spans="5:19" ht="11.25" customHeight="1" x14ac:dyDescent="0.2">
      <c r="E329" s="483"/>
      <c r="F329" s="483"/>
      <c r="G329" s="482"/>
      <c r="J329" s="482"/>
      <c r="K329" s="482"/>
      <c r="M329" s="497">
        <f>_xll.qlCalendarAdvance(Calendar,M328,"1M","f",,Trigger)</f>
        <v>52089</v>
      </c>
      <c r="N329" s="488">
        <f>_xll.qlCalendarAdvance(Calendar,M329,"3M","f",,Trigger)</f>
        <v>52181</v>
      </c>
      <c r="O329" s="490" t="str">
        <f>_xll.qlMakeDatedOIS(,M329,N329,OvernightIndex,0,,,,EvaluationDate)</f>
        <v>obj_0062f#0001</v>
      </c>
      <c r="P329" s="490" t="b">
        <f>_xll.qlInstrumentSetPricingEngine(O329,OisEngine)</f>
        <v>1</v>
      </c>
      <c r="Q329" s="489">
        <f>_xll.qlIndexFixing("euribor6m",_xll.qlInterestRateIndexFixingDate("Euribor6M",M329),TRUE,AllTriggers)</f>
        <v>2.1951804410186487E-2</v>
      </c>
      <c r="R329" s="489">
        <f>_xll.qlOvernightIndexedSwapFairRate(O329,AllTriggers)</f>
        <v>2.1522577468723374E-2</v>
      </c>
      <c r="S329" s="491">
        <f t="shared" si="9"/>
        <v>4.2922694146311363E-4</v>
      </c>
    </row>
    <row r="330" spans="5:19" ht="11.25" customHeight="1" x14ac:dyDescent="0.2">
      <c r="E330" s="483"/>
      <c r="F330" s="483"/>
      <c r="G330" s="482"/>
      <c r="J330" s="482"/>
      <c r="K330" s="482"/>
      <c r="M330" s="497">
        <f>_xll.qlCalendarAdvance(Calendar,M329,"1M","f",,Trigger)</f>
        <v>52120</v>
      </c>
      <c r="N330" s="488">
        <f>_xll.qlCalendarAdvance(Calendar,M330,"3M","f",,Trigger)</f>
        <v>52211</v>
      </c>
      <c r="O330" s="490" t="str">
        <f>_xll.qlMakeDatedOIS(,M330,N330,OvernightIndex,0,,,,EvaluationDate)</f>
        <v>obj_00631#0001</v>
      </c>
      <c r="P330" s="490" t="b">
        <f>_xll.qlInstrumentSetPricingEngine(O330,OisEngine)</f>
        <v>1</v>
      </c>
      <c r="Q330" s="489">
        <f>_xll.qlIndexFixing("euribor6m",_xll.qlInterestRateIndexFixingDate("Euribor6M",M330),TRUE,AllTriggers)</f>
        <v>2.1945645943083378E-2</v>
      </c>
      <c r="R330" s="489">
        <f>_xll.qlOvernightIndexedSwapFairRate(O330,AllTriggers)</f>
        <v>2.152193529482874E-2</v>
      </c>
      <c r="S330" s="491">
        <f t="shared" si="9"/>
        <v>4.2371064825463822E-4</v>
      </c>
    </row>
    <row r="331" spans="5:19" ht="11.25" customHeight="1" x14ac:dyDescent="0.2">
      <c r="E331" s="483"/>
      <c r="F331" s="483"/>
      <c r="G331" s="482"/>
      <c r="J331" s="482"/>
      <c r="K331" s="482"/>
      <c r="M331" s="497">
        <f>_xll.qlCalendarAdvance(Calendar,M330,"1M","f",,Trigger)</f>
        <v>52152</v>
      </c>
      <c r="N331" s="488">
        <f>_xll.qlCalendarAdvance(Calendar,M331,"3M","f",,Trigger)</f>
        <v>52244</v>
      </c>
      <c r="O331" s="490" t="str">
        <f>_xll.qlMakeDatedOIS(,M331,N331,OvernightIndex,0,,,,EvaluationDate)</f>
        <v>obj_00633#0001</v>
      </c>
      <c r="P331" s="490" t="b">
        <f>_xll.qlInstrumentSetPricingEngine(O331,OisEngine)</f>
        <v>1</v>
      </c>
      <c r="Q331" s="489">
        <f>_xll.qlIndexFixing("euribor6m",_xll.qlInterestRateIndexFixingDate("Euribor6M",M331),TRUE,AllTriggers)</f>
        <v>2.1942237665683539E-2</v>
      </c>
      <c r="R331" s="489">
        <f>_xll.qlOvernightIndexedSwapFairRate(O331,AllTriggers)</f>
        <v>2.1522577468722506E-2</v>
      </c>
      <c r="S331" s="491">
        <f t="shared" si="9"/>
        <v>4.1966019696103307E-4</v>
      </c>
    </row>
    <row r="332" spans="5:19" ht="11.25" customHeight="1" x14ac:dyDescent="0.2">
      <c r="E332" s="483"/>
      <c r="F332" s="483"/>
      <c r="G332" s="482"/>
      <c r="J332" s="482"/>
      <c r="K332" s="482"/>
      <c r="M332" s="497">
        <f>_xll.qlCalendarAdvance(Calendar,M331,"1M","f",,Trigger)</f>
        <v>52183</v>
      </c>
      <c r="N332" s="488">
        <f>_xll.qlCalendarAdvance(Calendar,M332,"3M","f",,Trigger)</f>
        <v>52275</v>
      </c>
      <c r="O332" s="490" t="str">
        <f>_xll.qlMakeDatedOIS(,M332,N332,OvernightIndex,0,,,,EvaluationDate)</f>
        <v>obj_00635#0001</v>
      </c>
      <c r="P332" s="490" t="b">
        <f>_xll.qlInstrumentSetPricingEngine(O332,OisEngine)</f>
        <v>1</v>
      </c>
      <c r="Q332" s="489">
        <f>_xll.qlIndexFixing("euribor6m",_xll.qlInterestRateIndexFixingDate("Euribor6M",M332),TRUE,AllTriggers)</f>
        <v>2.1938187466679818E-2</v>
      </c>
      <c r="R332" s="489">
        <f>_xll.qlOvernightIndexedSwapFairRate(O332,AllTriggers)</f>
        <v>2.1522577468722506E-2</v>
      </c>
      <c r="S332" s="491">
        <f t="shared" si="9"/>
        <v>4.1560999795731135E-4</v>
      </c>
    </row>
    <row r="333" spans="5:19" ht="11.25" customHeight="1" x14ac:dyDescent="0.2">
      <c r="E333" s="483"/>
      <c r="F333" s="483"/>
      <c r="G333" s="482"/>
      <c r="J333" s="482"/>
      <c r="K333" s="482"/>
      <c r="M333" s="497">
        <f>_xll.qlCalendarAdvance(Calendar,M332,"1M","f",,Trigger)</f>
        <v>52215</v>
      </c>
      <c r="N333" s="488">
        <f>_xll.qlCalendarAdvance(Calendar,M333,"3M","f",,Trigger)</f>
        <v>52306</v>
      </c>
      <c r="O333" s="490" t="str">
        <f>_xll.qlMakeDatedOIS(,M333,N333,OvernightIndex,0,,,,EvaluationDate)</f>
        <v>obj_00637#0001</v>
      </c>
      <c r="P333" s="490" t="b">
        <f>_xll.qlInstrumentSetPricingEngine(O333,OisEngine)</f>
        <v>1</v>
      </c>
      <c r="Q333" s="489">
        <f>_xll.qlIndexFixing("euribor6m",_xll.qlInterestRateIndexFixingDate("Euribor6M",M333),TRUE,AllTriggers)</f>
        <v>2.1935745550072286E-2</v>
      </c>
      <c r="R333" s="489">
        <f>_xll.qlOvernightIndexedSwapFairRate(O333,AllTriggers)</f>
        <v>2.1521935294827862E-2</v>
      </c>
      <c r="S333" s="491">
        <f t="shared" si="9"/>
        <v>4.1381025524442339E-4</v>
      </c>
    </row>
    <row r="334" spans="5:19" ht="11.25" customHeight="1" x14ac:dyDescent="0.2">
      <c r="E334" s="483"/>
      <c r="F334" s="483"/>
      <c r="G334" s="482"/>
      <c r="J334" s="482"/>
      <c r="K334" s="482"/>
      <c r="M334" s="497">
        <f>_xll.qlCalendarAdvance(Calendar,M333,"1M","f",,Trigger)</f>
        <v>52246</v>
      </c>
      <c r="N334" s="488">
        <f>_xll.qlCalendarAdvance(Calendar,M334,"3M","f",,Trigger)</f>
        <v>52336</v>
      </c>
      <c r="O334" s="490" t="str">
        <f>_xll.qlMakeDatedOIS(,M334,N334,OvernightIndex,0,,,,EvaluationDate)</f>
        <v>obj_00639#0001</v>
      </c>
      <c r="P334" s="490" t="b">
        <f>_xll.qlInstrumentSetPricingEngine(O334,OisEngine)</f>
        <v>1</v>
      </c>
      <c r="Q334" s="489">
        <f>_xll.qlIndexFixing("euribor6m",_xll.qlInterestRateIndexFixingDate("Euribor6M",M334),TRUE,AllTriggers)</f>
        <v>2.193260300182949E-2</v>
      </c>
      <c r="R334" s="489">
        <f>_xll.qlOvernightIndexedSwapFairRate(O334,AllTriggers)</f>
        <v>2.1521293146471443E-2</v>
      </c>
      <c r="S334" s="491">
        <f t="shared" si="9"/>
        <v>4.1130985535804687E-4</v>
      </c>
    </row>
    <row r="335" spans="5:19" ht="11.25" customHeight="1" x14ac:dyDescent="0.2">
      <c r="E335" s="483"/>
      <c r="F335" s="483"/>
      <c r="G335" s="482"/>
      <c r="J335" s="482"/>
      <c r="K335" s="482"/>
      <c r="M335" s="497">
        <f>_xll.qlCalendarAdvance(Calendar,M334,"1M","f",,Trigger)</f>
        <v>52278</v>
      </c>
      <c r="N335" s="488">
        <f>_xll.qlCalendarAdvance(Calendar,M335,"3M","f",,Trigger)</f>
        <v>52369</v>
      </c>
      <c r="O335" s="490" t="str">
        <f>_xll.qlMakeDatedOIS(,M335,N335,OvernightIndex,0,,,,EvaluationDate)</f>
        <v>obj_0063b#0001</v>
      </c>
      <c r="P335" s="490" t="b">
        <f>_xll.qlInstrumentSetPricingEngine(O335,OisEngine)</f>
        <v>1</v>
      </c>
      <c r="Q335" s="489">
        <f>_xll.qlIndexFixing("euribor6m",_xll.qlInterestRateIndexFixingDate("Euribor6M",M335),TRUE,AllTriggers)</f>
        <v>2.1931127550962142E-2</v>
      </c>
      <c r="R335" s="489">
        <f>_xll.qlOvernightIndexedSwapFairRate(O335,AllTriggers)</f>
        <v>2.1521935294829618E-2</v>
      </c>
      <c r="S335" s="491">
        <f t="shared" si="9"/>
        <v>4.0919225613252411E-4</v>
      </c>
    </row>
    <row r="336" spans="5:19" ht="11.25" customHeight="1" x14ac:dyDescent="0.2">
      <c r="E336" s="483"/>
      <c r="F336" s="483"/>
      <c r="G336" s="482"/>
      <c r="J336" s="482"/>
      <c r="K336" s="482"/>
      <c r="M336" s="497">
        <f>_xll.qlCalendarAdvance(Calendar,M335,"1M","f",,Trigger)</f>
        <v>52306</v>
      </c>
      <c r="N336" s="488">
        <f>_xll.qlCalendarAdvance(Calendar,M336,"3M","f",,Trigger)</f>
        <v>52398</v>
      </c>
      <c r="O336" s="490" t="str">
        <f>_xll.qlMakeDatedOIS(,M336,N336,OvernightIndex,0,,,,EvaluationDate)</f>
        <v>obj_0063d#0001</v>
      </c>
      <c r="P336" s="490" t="b">
        <f>_xll.qlInstrumentSetPricingEngine(O336,OisEngine)</f>
        <v>1</v>
      </c>
      <c r="Q336" s="489">
        <f>_xll.qlIndexFixing("euribor6m",_xll.qlInterestRateIndexFixingDate("Euribor6M",M336),TRUE,AllTriggers)</f>
        <v>2.1930977106362302E-2</v>
      </c>
      <c r="R336" s="489">
        <f>_xll.qlOvernightIndexedSwapFairRate(O336,AllTriggers)</f>
        <v>2.1522577468722503E-2</v>
      </c>
      <c r="S336" s="491">
        <f t="shared" si="9"/>
        <v>4.0839963763979886E-4</v>
      </c>
    </row>
    <row r="337" spans="5:19" ht="11.25" customHeight="1" x14ac:dyDescent="0.2">
      <c r="E337" s="483"/>
      <c r="F337" s="483"/>
      <c r="G337" s="482"/>
      <c r="J337" s="482"/>
      <c r="K337" s="482"/>
      <c r="M337" s="497">
        <f>_xll.qlCalendarAdvance(Calendar,M336,"1M","f",,Trigger)</f>
        <v>52337</v>
      </c>
      <c r="N337" s="488">
        <f>_xll.qlCalendarAdvance(Calendar,M337,"3M","f",,Trigger)</f>
        <v>52428</v>
      </c>
      <c r="O337" s="490" t="str">
        <f>_xll.qlMakeDatedOIS(,M337,N337,OvernightIndex,0,,,,EvaluationDate)</f>
        <v>obj_0063f#0001</v>
      </c>
      <c r="P337" s="490" t="b">
        <f>_xll.qlInstrumentSetPricingEngine(O337,OisEngine)</f>
        <v>1</v>
      </c>
      <c r="Q337" s="489">
        <f>_xll.qlIndexFixing("euribor6m",_xll.qlInterestRateIndexFixingDate("Euribor6M",M337),TRUE,AllTriggers)</f>
        <v>2.1929159527566734E-2</v>
      </c>
      <c r="R337" s="489">
        <f>_xll.qlOvernightIndexedSwapFairRate(O337,AllTriggers)</f>
        <v>2.152193529482874E-2</v>
      </c>
      <c r="S337" s="491">
        <f t="shared" si="9"/>
        <v>4.0722423273799324E-4</v>
      </c>
    </row>
    <row r="338" spans="5:19" ht="11.25" customHeight="1" x14ac:dyDescent="0.2">
      <c r="E338" s="483"/>
      <c r="F338" s="483"/>
      <c r="G338" s="482"/>
      <c r="J338" s="482"/>
      <c r="K338" s="482"/>
      <c r="M338" s="497">
        <f>_xll.qlCalendarAdvance(Calendar,M337,"1M","f",,Trigger)</f>
        <v>52369</v>
      </c>
      <c r="N338" s="488">
        <f>_xll.qlCalendarAdvance(Calendar,M338,"3M","f",,Trigger)</f>
        <v>52461</v>
      </c>
      <c r="O338" s="490" t="str">
        <f>_xll.qlMakeDatedOIS(,M338,N338,OvernightIndex,0,,,,EvaluationDate)</f>
        <v>obj_00641#0001</v>
      </c>
      <c r="P338" s="490" t="b">
        <f>_xll.qlInstrumentSetPricingEngine(O338,OisEngine)</f>
        <v>1</v>
      </c>
      <c r="Q338" s="489">
        <f>_xll.qlIndexFixing("euribor6m",_xll.qlInterestRateIndexFixingDate("Euribor6M",M338),TRUE,AllTriggers)</f>
        <v>2.1929095662485087E-2</v>
      </c>
      <c r="R338" s="489">
        <f>_xll.qlOvernightIndexedSwapFairRate(O338,AllTriggers)</f>
        <v>2.152257746872251E-2</v>
      </c>
      <c r="S338" s="491">
        <f t="shared" si="9"/>
        <v>4.0651819376257697E-4</v>
      </c>
    </row>
    <row r="339" spans="5:19" ht="11.25" customHeight="1" x14ac:dyDescent="0.2">
      <c r="E339" s="483"/>
      <c r="F339" s="483"/>
      <c r="G339" s="482"/>
      <c r="J339" s="482"/>
      <c r="K339" s="482"/>
      <c r="M339" s="497">
        <f>_xll.qlCalendarAdvance(Calendar,M338,"1M","f",,Trigger)</f>
        <v>52400</v>
      </c>
      <c r="N339" s="488">
        <f>_xll.qlCalendarAdvance(Calendar,M339,"3M","f",,Trigger)</f>
        <v>52492</v>
      </c>
      <c r="O339" s="490" t="str">
        <f>_xll.qlMakeDatedOIS(,M339,N339,OvernightIndex,0,,,,EvaluationDate)</f>
        <v>obj_00643#0001</v>
      </c>
      <c r="P339" s="490" t="b">
        <f>_xll.qlInstrumentSetPricingEngine(O339,OisEngine)</f>
        <v>1</v>
      </c>
      <c r="Q339" s="489">
        <f>_xll.qlIndexFixing("euribor6m",_xll.qlInterestRateIndexFixingDate("Euribor6M",M339),TRUE,AllTriggers)</f>
        <v>2.1928185552459394E-2</v>
      </c>
      <c r="R339" s="489">
        <f>_xll.qlOvernightIndexedSwapFairRate(O339,AllTriggers)</f>
        <v>2.1522577468721639E-2</v>
      </c>
      <c r="S339" s="491">
        <f t="shared" si="9"/>
        <v>4.0560808373775459E-4</v>
      </c>
    </row>
    <row r="340" spans="5:19" ht="11.25" customHeight="1" x14ac:dyDescent="0.2">
      <c r="E340" s="483"/>
      <c r="F340" s="483"/>
      <c r="G340" s="482"/>
      <c r="J340" s="482"/>
      <c r="K340" s="482"/>
      <c r="M340" s="497">
        <f>_xll.qlCalendarAdvance(Calendar,M339,"1M","f",,Trigger)</f>
        <v>52432</v>
      </c>
      <c r="N340" s="488">
        <f>_xll.qlCalendarAdvance(Calendar,M340,"3M","f",,Trigger)</f>
        <v>52524</v>
      </c>
      <c r="O340" s="490" t="str">
        <f>_xll.qlMakeDatedOIS(,M340,N340,OvernightIndex,0,,,,EvaluationDate)</f>
        <v>obj_00645#0001</v>
      </c>
      <c r="P340" s="490" t="b">
        <f>_xll.qlInstrumentSetPricingEngine(O340,OisEngine)</f>
        <v>1</v>
      </c>
      <c r="Q340" s="489">
        <f>_xll.qlIndexFixing("euribor6m",_xll.qlInterestRateIndexFixingDate("Euribor6M",M340),TRUE,AllTriggers)</f>
        <v>2.192908853971836E-2</v>
      </c>
      <c r="R340" s="489">
        <f>_xll.qlOvernightIndexedSwapFairRate(O340,AllTriggers)</f>
        <v>2.1522577468722506E-2</v>
      </c>
      <c r="S340" s="491">
        <f t="shared" si="9"/>
        <v>4.0651107099585332E-4</v>
      </c>
    </row>
    <row r="341" spans="5:19" ht="11.25" customHeight="1" x14ac:dyDescent="0.2">
      <c r="E341" s="483"/>
      <c r="F341" s="483"/>
      <c r="G341" s="482"/>
      <c r="J341" s="482"/>
      <c r="K341" s="482"/>
      <c r="M341" s="497">
        <f>_xll.qlCalendarAdvance(Calendar,M340,"1M","f",,Trigger)</f>
        <v>52463</v>
      </c>
      <c r="N341" s="488">
        <f>_xll.qlCalendarAdvance(Calendar,M341,"3M","f",,Trigger)</f>
        <v>52555</v>
      </c>
      <c r="O341" s="490" t="str">
        <f>_xll.qlMakeDatedOIS(,M341,N341,OvernightIndex,0,,,,EvaluationDate)</f>
        <v>obj_0086a#0001</v>
      </c>
      <c r="P341" s="490" t="b">
        <f>_xll.qlInstrumentSetPricingEngine(O341,OisEngine)</f>
        <v>1</v>
      </c>
      <c r="Q341" s="489">
        <f>_xll.qlIndexFixing("euribor6m",_xll.qlInterestRateIndexFixingDate("Euribor6M",M341),TRUE,AllTriggers)</f>
        <v>2.1931148258056202E-2</v>
      </c>
      <c r="R341" s="489">
        <f>_xll.qlOvernightIndexedSwapFairRate(O341,AllTriggers)</f>
        <v>2.1522577468722506E-2</v>
      </c>
      <c r="S341" s="491">
        <f t="shared" si="9"/>
        <v>4.0857078933369609E-4</v>
      </c>
    </row>
    <row r="342" spans="5:19" ht="11.25" customHeight="1" x14ac:dyDescent="0.2">
      <c r="E342" s="483"/>
      <c r="F342" s="483"/>
      <c r="G342" s="482"/>
      <c r="J342" s="482"/>
      <c r="K342" s="482"/>
      <c r="M342" s="497">
        <f>_xll.qlCalendarAdvance(Calendar,M341,"1M","f",,Trigger)</f>
        <v>52495</v>
      </c>
      <c r="N342" s="488">
        <f>_xll.qlCalendarAdvance(Calendar,M342,"3M","f",,Trigger)</f>
        <v>52586</v>
      </c>
      <c r="O342" s="490" t="str">
        <f>_xll.qlMakeDatedOIS(,M342,N342,OvernightIndex,0,,,,EvaluationDate)</f>
        <v>obj_00648#0001</v>
      </c>
      <c r="P342" s="490" t="b">
        <f>_xll.qlInstrumentSetPricingEngine(O342,OisEngine)</f>
        <v>1</v>
      </c>
      <c r="Q342" s="489">
        <f>_xll.qlIndexFixing("euribor6m",_xll.qlInterestRateIndexFixingDate("Euribor6M",M342),TRUE,AllTriggers)</f>
        <v>2.1929566063240161E-2</v>
      </c>
      <c r="R342" s="489">
        <f>_xll.qlOvernightIndexedSwapFairRate(O342,AllTriggers)</f>
        <v>2.152193529482874E-2</v>
      </c>
      <c r="S342" s="491">
        <f t="shared" si="9"/>
        <v>4.076307684114204E-4</v>
      </c>
    </row>
    <row r="343" spans="5:19" ht="11.25" customHeight="1" x14ac:dyDescent="0.2">
      <c r="E343" s="483"/>
      <c r="F343" s="483"/>
      <c r="G343" s="482"/>
      <c r="J343" s="482"/>
      <c r="K343" s="482"/>
      <c r="M343" s="497">
        <f>_xll.qlCalendarAdvance(Calendar,M342,"1M","f",,Trigger)</f>
        <v>52525</v>
      </c>
      <c r="N343" s="488">
        <f>_xll.qlCalendarAdvance(Calendar,M343,"3M","f",,Trigger)</f>
        <v>52617</v>
      </c>
      <c r="O343" s="490" t="str">
        <f>_xll.qlMakeDatedOIS(,M343,N343,OvernightIndex,0,,,,EvaluationDate)</f>
        <v>obj_0064a#0001</v>
      </c>
      <c r="P343" s="490" t="b">
        <f>_xll.qlInstrumentSetPricingEngine(O343,OisEngine)</f>
        <v>1</v>
      </c>
      <c r="Q343" s="489">
        <f>_xll.qlIndexFixing("euribor6m",_xll.qlInterestRateIndexFixingDate("Euribor6M",M343),TRUE,AllTriggers)</f>
        <v>2.1931801548113118E-2</v>
      </c>
      <c r="R343" s="489">
        <f>_xll.qlOvernightIndexedSwapFairRate(O343,AllTriggers)</f>
        <v>2.1522577468721635E-2</v>
      </c>
      <c r="S343" s="491">
        <f t="shared" si="9"/>
        <v>4.0922407939148267E-4</v>
      </c>
    </row>
    <row r="344" spans="5:19" ht="11.25" customHeight="1" x14ac:dyDescent="0.2">
      <c r="E344" s="483"/>
      <c r="F344" s="483"/>
      <c r="G344" s="482"/>
      <c r="J344" s="482"/>
      <c r="K344" s="482"/>
      <c r="M344" s="497">
        <f>_xll.qlCalendarAdvance(Calendar,M343,"1M","f",,Trigger)</f>
        <v>52558</v>
      </c>
      <c r="N344" s="488">
        <f>_xll.qlCalendarAdvance(Calendar,M344,"3M","f",,Trigger)</f>
        <v>52650</v>
      </c>
      <c r="O344" s="490" t="str">
        <f>_xll.qlMakeDatedOIS(,M344,N344,OvernightIndex,0,,,,EvaluationDate)</f>
        <v>obj_0064c#0001</v>
      </c>
      <c r="P344" s="490" t="b">
        <f>_xll.qlInstrumentSetPricingEngine(O344,OisEngine)</f>
        <v>1</v>
      </c>
      <c r="Q344" s="489">
        <f>_xll.qlIndexFixing("euribor6m",_xll.qlInterestRateIndexFixingDate("Euribor6M",M344),TRUE,AllTriggers)</f>
        <v>2.1933277386920625E-2</v>
      </c>
      <c r="R344" s="489">
        <f>_xll.qlOvernightIndexedSwapFairRate(O344,AllTriggers)</f>
        <v>2.1522577468721635E-2</v>
      </c>
      <c r="S344" s="491">
        <f t="shared" si="9"/>
        <v>4.1069991819898954E-4</v>
      </c>
    </row>
    <row r="345" spans="5:19" ht="11.25" customHeight="1" x14ac:dyDescent="0.2">
      <c r="E345" s="483"/>
      <c r="F345" s="483"/>
      <c r="G345" s="482"/>
      <c r="J345" s="482"/>
      <c r="K345" s="482"/>
      <c r="M345" s="497">
        <f>_xll.qlCalendarAdvance(Calendar,M344,"1M","f",,Trigger)</f>
        <v>52588</v>
      </c>
      <c r="N345" s="488">
        <f>_xll.qlCalendarAdvance(Calendar,M345,"3M","f",,Trigger)</f>
        <v>52679</v>
      </c>
      <c r="O345" s="490" t="str">
        <f>_xll.qlMakeDatedOIS(,M345,N345,OvernightIndex,0,,,,EvaluationDate)</f>
        <v>obj_0064e#0001</v>
      </c>
      <c r="P345" s="490" t="b">
        <f>_xll.qlInstrumentSetPricingEngine(O345,OisEngine)</f>
        <v>1</v>
      </c>
      <c r="Q345" s="489">
        <f>_xll.qlIndexFixing("euribor6m",_xll.qlInterestRateIndexFixingDate("Euribor6M",M345),TRUE,AllTriggers)</f>
        <v>2.1936420457048446E-2</v>
      </c>
      <c r="R345" s="489">
        <f>_xll.qlOvernightIndexedSwapFairRate(O345,AllTriggers)</f>
        <v>2.1521935294828737E-2</v>
      </c>
      <c r="S345" s="491">
        <f t="shared" si="9"/>
        <v>4.1448516221970905E-4</v>
      </c>
    </row>
    <row r="346" spans="5:19" ht="11.25" customHeight="1" x14ac:dyDescent="0.2">
      <c r="E346" s="483"/>
      <c r="F346" s="483"/>
      <c r="G346" s="482"/>
      <c r="J346" s="482"/>
      <c r="K346" s="482"/>
      <c r="M346" s="497">
        <f>_xll.qlCalendarAdvance(Calendar,M345,"1M","f",,Trigger)</f>
        <v>52621</v>
      </c>
      <c r="N346" s="488">
        <f>_xll.qlCalendarAdvance(Calendar,M346,"3M","f",,Trigger)</f>
        <v>52712</v>
      </c>
      <c r="O346" s="490" t="str">
        <f>_xll.qlMakeDatedOIS(,M346,N346,OvernightIndex,0,,,,EvaluationDate)</f>
        <v>obj_00650#0001</v>
      </c>
      <c r="P346" s="490" t="b">
        <f>_xll.qlInstrumentSetPricingEngine(O346,OisEngine)</f>
        <v>1</v>
      </c>
      <c r="Q346" s="489">
        <f>_xll.qlIndexFixing("euribor6m",_xll.qlInterestRateIndexFixingDate("Euribor6M",M346),TRUE,AllTriggers)</f>
        <v>2.1938862820163576E-2</v>
      </c>
      <c r="R346" s="489">
        <f>_xll.qlOvernightIndexedSwapFairRate(O346,AllTriggers)</f>
        <v>2.1521935294827862E-2</v>
      </c>
      <c r="S346" s="491">
        <f t="shared" si="9"/>
        <v>4.1692752533571339E-4</v>
      </c>
    </row>
    <row r="347" spans="5:19" ht="11.25" customHeight="1" x14ac:dyDescent="0.2">
      <c r="E347" s="483"/>
      <c r="F347" s="483"/>
      <c r="G347" s="482"/>
      <c r="J347" s="482"/>
      <c r="K347" s="482"/>
      <c r="M347" s="497">
        <f>_xll.qlCalendarAdvance(Calendar,M346,"1M","f",,Trigger)</f>
        <v>52652</v>
      </c>
      <c r="N347" s="488">
        <f>_xll.qlCalendarAdvance(Calendar,M347,"3M","f",,Trigger)</f>
        <v>52742</v>
      </c>
      <c r="O347" s="490" t="str">
        <f>_xll.qlMakeDatedOIS(,M347,N347,OvernightIndex,0,,,,EvaluationDate)</f>
        <v>obj_00652#0001</v>
      </c>
      <c r="P347" s="490" t="b">
        <f>_xll.qlInstrumentSetPricingEngine(O347,OisEngine)</f>
        <v>1</v>
      </c>
      <c r="Q347" s="489">
        <f>_xll.qlIndexFixing("euribor6m",_xll.qlInterestRateIndexFixingDate("Euribor6M",M347),TRUE,AllTriggers)</f>
        <v>2.1942299188758087E-2</v>
      </c>
      <c r="R347" s="489">
        <f>_xll.qlOvernightIndexedSwapFairRate(O347,AllTriggers)</f>
        <v>2.1521293146470555E-2</v>
      </c>
      <c r="S347" s="491">
        <f t="shared" si="9"/>
        <v>4.2100604228753266E-4</v>
      </c>
    </row>
    <row r="348" spans="5:19" ht="11.25" customHeight="1" x14ac:dyDescent="0.2">
      <c r="E348" s="483"/>
      <c r="F348" s="483"/>
      <c r="G348" s="482"/>
      <c r="J348" s="482"/>
      <c r="K348" s="482"/>
      <c r="M348" s="497">
        <f>_xll.qlCalendarAdvance(Calendar,M347,"1M","f",,Trigger)</f>
        <v>52681</v>
      </c>
      <c r="N348" s="488">
        <f>_xll.qlCalendarAdvance(Calendar,M348,"3M","f",,Trigger)</f>
        <v>52775</v>
      </c>
      <c r="O348" s="490" t="str">
        <f>_xll.qlMakeDatedOIS(,M348,N348,OvernightIndex,0,,,,EvaluationDate)</f>
        <v>obj_00817#0001</v>
      </c>
      <c r="P348" s="490" t="b">
        <f>_xll.qlInstrumentSetPricingEngine(O348,OisEngine)</f>
        <v>1</v>
      </c>
      <c r="Q348" s="489">
        <f>_xll.qlIndexFixing("euribor6m",_xll.qlInterestRateIndexFixingDate("Euribor6M",M348),TRUE,AllTriggers)</f>
        <v>2.1948143702091555E-2</v>
      </c>
      <c r="R348" s="489">
        <f>_xll.qlOvernightIndexedSwapFairRate(O348,AllTriggers)</f>
        <v>2.152386189312154E-2</v>
      </c>
      <c r="S348" s="491">
        <f t="shared" si="9"/>
        <v>4.2428180897001455E-4</v>
      </c>
    </row>
    <row r="349" spans="5:19" ht="11.25" customHeight="1" x14ac:dyDescent="0.2">
      <c r="E349" s="483"/>
      <c r="F349" s="483"/>
      <c r="G349" s="482"/>
      <c r="J349" s="482"/>
      <c r="K349" s="482"/>
      <c r="M349" s="497">
        <f>_xll.qlCalendarAdvance(Calendar,M348,"1M","f",,Trigger)</f>
        <v>52712</v>
      </c>
      <c r="N349" s="488">
        <f>_xll.qlCalendarAdvance(Calendar,M349,"3M","f",,Trigger)</f>
        <v>52803</v>
      </c>
      <c r="O349" s="490" t="str">
        <f>_xll.qlMakeDatedOIS(,M349,N349,OvernightIndex,0,,,,EvaluationDate)</f>
        <v>obj_00804#0001</v>
      </c>
      <c r="P349" s="490" t="b">
        <f>_xll.qlInstrumentSetPricingEngine(O349,OisEngine)</f>
        <v>1</v>
      </c>
      <c r="Q349" s="489">
        <f>_xll.qlIndexFixing("euribor6m",_xll.qlInterestRateIndexFixingDate("Euribor6M",M349),TRUE,AllTriggers)</f>
        <v>2.1950972038917098E-2</v>
      </c>
      <c r="R349" s="489">
        <f>_xll.qlOvernightIndexedSwapFairRate(O349,AllTriggers)</f>
        <v>2.152193529482874E-2</v>
      </c>
      <c r="S349" s="491">
        <f t="shared" si="9"/>
        <v>4.290367440883576E-4</v>
      </c>
    </row>
    <row r="350" spans="5:19" ht="11.25" customHeight="1" x14ac:dyDescent="0.2">
      <c r="E350" s="483"/>
      <c r="F350" s="483"/>
      <c r="G350" s="482"/>
      <c r="J350" s="482"/>
      <c r="K350" s="482"/>
      <c r="M350" s="497">
        <f>_xll.qlCalendarAdvance(Calendar,M349,"1M","f",,Trigger)</f>
        <v>52742</v>
      </c>
      <c r="N350" s="488">
        <f>_xll.qlCalendarAdvance(Calendar,M350,"3M","f",,Trigger)</f>
        <v>52834</v>
      </c>
      <c r="O350" s="490" t="str">
        <f>_xll.qlMakeDatedOIS(,M350,N350,OvernightIndex,0,,,,EvaluationDate)</f>
        <v>obj_00656#0001</v>
      </c>
      <c r="P350" s="490" t="b">
        <f>_xll.qlInstrumentSetPricingEngine(O350,OisEngine)</f>
        <v>1</v>
      </c>
      <c r="Q350" s="489">
        <f>_xll.qlIndexFixing("euribor6m",_xll.qlInterestRateIndexFixingDate("Euribor6M",M350),TRUE,AllTriggers)</f>
        <v>2.1956282684999207E-2</v>
      </c>
      <c r="R350" s="489">
        <f>_xll.qlOvernightIndexedSwapFairRate(O350,AllTriggers)</f>
        <v>2.1522577468721635E-2</v>
      </c>
      <c r="S350" s="491">
        <f t="shared" si="9"/>
        <v>4.3370521627757175E-4</v>
      </c>
    </row>
    <row r="351" spans="5:19" ht="11.25" customHeight="1" x14ac:dyDescent="0.2">
      <c r="E351" s="483"/>
      <c r="F351" s="483"/>
      <c r="G351" s="482"/>
      <c r="J351" s="482"/>
      <c r="K351" s="482"/>
      <c r="M351" s="497">
        <f>_xll.qlCalendarAdvance(Calendar,M350,"1M","f",,Trigger)</f>
        <v>52775</v>
      </c>
      <c r="N351" s="488">
        <f>_xll.qlCalendarAdvance(Calendar,M351,"3M","f",,Trigger)</f>
        <v>52867</v>
      </c>
      <c r="O351" s="490" t="str">
        <f>_xll.qlMakeDatedOIS(,M351,N351,OvernightIndex,0,,,,EvaluationDate)</f>
        <v>obj_00658#0001</v>
      </c>
      <c r="P351" s="490" t="b">
        <f>_xll.qlInstrumentSetPricingEngine(O351,OisEngine)</f>
        <v>1</v>
      </c>
      <c r="Q351" s="489">
        <f>_xll.qlIndexFixing("euribor6m",_xll.qlInterestRateIndexFixingDate("Euribor6M",M351),TRUE,AllTriggers)</f>
        <v>2.1960951377874474E-2</v>
      </c>
      <c r="R351" s="489">
        <f>_xll.qlOvernightIndexedSwapFairRate(O351,AllTriggers)</f>
        <v>2.1620218850014125E-2</v>
      </c>
      <c r="S351" s="491">
        <f t="shared" si="9"/>
        <v>3.4073252786034902E-4</v>
      </c>
    </row>
    <row r="352" spans="5:19" ht="11.25" customHeight="1" x14ac:dyDescent="0.2">
      <c r="E352" s="483"/>
      <c r="F352" s="483"/>
      <c r="G352" s="482"/>
      <c r="J352" s="482"/>
      <c r="K352" s="482"/>
      <c r="M352" s="497">
        <f>_xll.qlCalendarAdvance(Calendar,M351,"1M","f",,Trigger)</f>
        <v>52805</v>
      </c>
      <c r="N352" s="488">
        <f>_xll.qlCalendarAdvance(Calendar,M352,"3M","f",,Trigger)</f>
        <v>52897</v>
      </c>
      <c r="O352" s="490" t="str">
        <f>_xll.qlMakeDatedOIS(,M352,N352,OvernightIndex,0,,,,EvaluationDate)</f>
        <v>obj_007f0#0001</v>
      </c>
      <c r="P352" s="490" t="b">
        <f>_xll.qlInstrumentSetPricingEngine(O352,OisEngine)</f>
        <v>1</v>
      </c>
      <c r="Q352" s="489">
        <f>_xll.qlIndexFixing("euribor6m",_xll.qlInterestRateIndexFixingDate("Euribor6M",M352),TRUE,AllTriggers)</f>
        <v>2.1966979776006538E-2</v>
      </c>
      <c r="R352" s="489">
        <f>_xll.qlOvernightIndexedSwapFairRate(O352,AllTriggers)</f>
        <v>2.1815508881949431E-2</v>
      </c>
      <c r="S352" s="491">
        <f t="shared" si="9"/>
        <v>1.514708940571069E-4</v>
      </c>
    </row>
    <row r="353" spans="5:19" ht="11.25" customHeight="1" x14ac:dyDescent="0.2">
      <c r="E353" s="483"/>
      <c r="F353" s="483"/>
      <c r="G353" s="482"/>
      <c r="J353" s="482"/>
      <c r="K353" s="482"/>
      <c r="M353" s="497">
        <f>_xll.qlCalendarAdvance(Calendar,M352,"1M","f",,Trigger)</f>
        <v>52838</v>
      </c>
      <c r="N353" s="488">
        <f>_xll.qlCalendarAdvance(Calendar,M353,"3M","f",,Trigger)</f>
        <v>52930</v>
      </c>
      <c r="O353" s="490" t="str">
        <f>_xll.qlMakeDatedOIS(,M353,N353,OvernightIndex,0,,,,EvaluationDate)</f>
        <v>obj_0065b#0001</v>
      </c>
      <c r="P353" s="490" t="b">
        <f>_xll.qlInstrumentSetPricingEngine(O353,OisEngine)</f>
        <v>1</v>
      </c>
      <c r="Q353" s="489">
        <f>_xll.qlIndexFixing("euribor6m",_xll.qlInterestRateIndexFixingDate("Euribor6M",M353),TRUE,AllTriggers)</f>
        <v>2.1972344399819786E-2</v>
      </c>
      <c r="R353" s="489">
        <f>_xll.qlOvernightIndexedSwapFairRate(O353,AllTriggers)</f>
        <v>2.2030339112365759E-2</v>
      </c>
      <c r="S353" s="491">
        <f t="shared" si="9"/>
        <v>-5.7994712545972327E-5</v>
      </c>
    </row>
    <row r="354" spans="5:19" ht="11.25" customHeight="1" x14ac:dyDescent="0.2">
      <c r="E354" s="483"/>
      <c r="F354" s="483"/>
      <c r="G354" s="482"/>
      <c r="J354" s="482"/>
      <c r="K354" s="482"/>
      <c r="M354" s="497">
        <f>_xll.qlCalendarAdvance(Calendar,M353,"1M","f",,Trigger)</f>
        <v>52869</v>
      </c>
      <c r="N354" s="488">
        <f>_xll.qlCalendarAdvance(Calendar,M354,"3M","f",,Trigger)</f>
        <v>52960</v>
      </c>
      <c r="O354" s="490" t="str">
        <f>_xll.qlMakeDatedOIS(,M354,N354,OvernightIndex,0,,,,EvaluationDate)</f>
        <v>obj_0065d#0001</v>
      </c>
      <c r="P354" s="490" t="b">
        <f>_xll.qlInstrumentSetPricingEngine(O354,OisEngine)</f>
        <v>1</v>
      </c>
      <c r="Q354" s="489">
        <f>_xll.qlIndexFixing("euribor6m",_xll.qlInterestRateIndexFixingDate("Euribor6M",M354),TRUE,AllTriggers)</f>
        <v>2.1976842853332301E-2</v>
      </c>
      <c r="R354" s="489">
        <f>_xll.qlOvernightIndexedSwapFairRate(O354,AllTriggers)</f>
        <v>2.2120804377927055E-2</v>
      </c>
      <c r="S354" s="491">
        <f t="shared" si="9"/>
        <v>-1.4396152459475453E-4</v>
      </c>
    </row>
    <row r="355" spans="5:19" ht="11.25" customHeight="1" x14ac:dyDescent="0.2">
      <c r="E355" s="483"/>
      <c r="F355" s="483"/>
      <c r="G355" s="482"/>
      <c r="J355" s="482"/>
      <c r="K355" s="482"/>
      <c r="M355" s="497">
        <f>_xll.qlCalendarAdvance(Calendar,M354,"1M","f",,Trigger)</f>
        <v>52901</v>
      </c>
      <c r="N355" s="488">
        <f>_xll.qlCalendarAdvance(Calendar,M355,"3M","f",,Trigger)</f>
        <v>52993</v>
      </c>
      <c r="O355" s="490" t="str">
        <f>_xll.qlMakeDatedOIS(,M355,N355,OvernightIndex,0,,,,EvaluationDate)</f>
        <v>obj_0065f#0001</v>
      </c>
      <c r="P355" s="490" t="b">
        <f>_xll.qlInstrumentSetPricingEngine(O355,OisEngine)</f>
        <v>1</v>
      </c>
      <c r="Q355" s="489">
        <f>_xll.qlIndexFixing("euribor6m",_xll.qlInterestRateIndexFixingDate("Euribor6M",M355),TRUE,AllTriggers)</f>
        <v>2.1981792346847096E-2</v>
      </c>
      <c r="R355" s="489">
        <f>_xll.qlOvernightIndexedSwapFairRate(O355,AllTriggers)</f>
        <v>2.2121482753559227E-2</v>
      </c>
      <c r="S355" s="491">
        <f t="shared" si="9"/>
        <v>-1.3969040671213059E-4</v>
      </c>
    </row>
    <row r="356" spans="5:19" ht="11.25" customHeight="1" x14ac:dyDescent="0.2">
      <c r="E356" s="483"/>
      <c r="F356" s="483"/>
      <c r="G356" s="482"/>
      <c r="J356" s="482"/>
      <c r="K356" s="482"/>
      <c r="M356" s="497">
        <f>_xll.qlCalendarAdvance(Calendar,M355,"1M","f",,Trigger)</f>
        <v>52931</v>
      </c>
      <c r="N356" s="488">
        <f>_xll.qlCalendarAdvance(Calendar,M356,"3M","f",,Trigger)</f>
        <v>53021</v>
      </c>
      <c r="O356" s="490" t="str">
        <f>_xll.qlMakeDatedOIS(,M356,N356,OvernightIndex,0,,,,EvaluationDate)</f>
        <v>obj_00661#0001</v>
      </c>
      <c r="P356" s="490" t="b">
        <f>_xll.qlInstrumentSetPricingEngine(O356,OisEngine)</f>
        <v>1</v>
      </c>
      <c r="Q356" s="489">
        <f>_xll.qlIndexFixing("euribor6m",_xll.qlInterestRateIndexFixingDate("Euribor6M",M356),TRUE,AllTriggers)</f>
        <v>2.1990475376204469E-2</v>
      </c>
      <c r="R356" s="489">
        <f>_xll.qlOvernightIndexedSwapFairRate(O356,AllTriggers)</f>
        <v>2.2120126030019449E-2</v>
      </c>
      <c r="S356" s="491">
        <f t="shared" si="9"/>
        <v>-1.2965065381497984E-4</v>
      </c>
    </row>
    <row r="357" spans="5:19" ht="11.25" customHeight="1" x14ac:dyDescent="0.2">
      <c r="E357" s="483"/>
      <c r="F357" s="483"/>
      <c r="G357" s="482"/>
      <c r="J357" s="482"/>
      <c r="K357" s="482"/>
      <c r="M357" s="497">
        <f>_xll.qlCalendarAdvance(Calendar,M356,"1M","f",,Trigger)</f>
        <v>52961</v>
      </c>
      <c r="N357" s="488">
        <f>_xll.qlCalendarAdvance(Calendar,M357,"3M","f",,Trigger)</f>
        <v>53051</v>
      </c>
      <c r="O357" s="490" t="str">
        <f>_xll.qlMakeDatedOIS(,M357,N357,OvernightIndex,0,,,,EvaluationDate)</f>
        <v>obj_0089e#0001</v>
      </c>
      <c r="P357" s="490" t="b">
        <f>_xll.qlInstrumentSetPricingEngine(O357,OisEngine)</f>
        <v>1</v>
      </c>
      <c r="Q357" s="489">
        <f>_xll.qlIndexFixing("euribor6m",_xll.qlInterestRateIndexFixingDate("Euribor6M",M357),TRUE,AllTriggers)</f>
        <v>2.1997073424438837E-2</v>
      </c>
      <c r="R357" s="489">
        <f>_xll.qlOvernightIndexedSwapFairRate(O357,AllTriggers)</f>
        <v>2.2120126030018561E-2</v>
      </c>
      <c r="S357" s="491">
        <f t="shared" si="9"/>
        <v>-1.2305260557972375E-4</v>
      </c>
    </row>
    <row r="358" spans="5:19" ht="11.25" customHeight="1" x14ac:dyDescent="0.2">
      <c r="E358" s="483"/>
      <c r="F358" s="483"/>
      <c r="G358" s="482"/>
      <c r="J358" s="482"/>
      <c r="K358" s="482"/>
      <c r="M358" s="497">
        <f>_xll.qlCalendarAdvance(Calendar,M357,"1M","f",,Trigger)</f>
        <v>52992</v>
      </c>
      <c r="N358" s="488">
        <f>_xll.qlCalendarAdvance(Calendar,M358,"3M","f",,Trigger)</f>
        <v>53084</v>
      </c>
      <c r="O358" s="490" t="str">
        <f>_xll.qlMakeDatedOIS(,M358,N358,OvernightIndex,0,,,,EvaluationDate)</f>
        <v>obj_00664#0001</v>
      </c>
      <c r="P358" s="490" t="b">
        <f>_xll.qlInstrumentSetPricingEngine(O358,OisEngine)</f>
        <v>1</v>
      </c>
      <c r="Q358" s="489">
        <f>_xll.qlIndexFixing("euribor6m",_xll.qlInterestRateIndexFixingDate("Euribor6M",M358),TRUE,AllTriggers)</f>
        <v>2.2004148468303449E-2</v>
      </c>
      <c r="R358" s="489">
        <f>_xll.qlOvernightIndexedSwapFairRate(O358,AllTriggers)</f>
        <v>2.2121482753559223E-2</v>
      </c>
      <c r="S358" s="491">
        <f t="shared" si="9"/>
        <v>-1.1733428525577405E-4</v>
      </c>
    </row>
    <row r="359" spans="5:19" ht="11.25" customHeight="1" x14ac:dyDescent="0.2">
      <c r="E359" s="483"/>
      <c r="F359" s="483"/>
      <c r="G359" s="482"/>
      <c r="J359" s="482"/>
      <c r="K359" s="482"/>
      <c r="M359" s="497">
        <f>_xll.qlCalendarAdvance(Calendar,M358,"1M","f",,Trigger)</f>
        <v>53021</v>
      </c>
      <c r="N359" s="488">
        <f>_xll.qlCalendarAdvance(Calendar,M359,"3M","f",,Trigger)</f>
        <v>53111</v>
      </c>
      <c r="O359" s="490" t="str">
        <f>_xll.qlMakeDatedOIS(,M359,N359,OvernightIndex,0,,,,EvaluationDate)</f>
        <v>obj_00666#0001</v>
      </c>
      <c r="P359" s="490" t="b">
        <f>_xll.qlInstrumentSetPricingEngine(O359,OisEngine)</f>
        <v>1</v>
      </c>
      <c r="Q359" s="489">
        <f>_xll.qlIndexFixing("euribor6m",_xll.qlInterestRateIndexFixingDate("Euribor6M",M359),TRUE,AllTriggers)</f>
        <v>2.2012593257536236E-2</v>
      </c>
      <c r="R359" s="489">
        <f>_xll.qlOvernightIndexedSwapFairRate(O359,AllTriggers)</f>
        <v>2.2120126030018561E-2</v>
      </c>
      <c r="S359" s="491">
        <f t="shared" si="9"/>
        <v>-1.075327724823251E-4</v>
      </c>
    </row>
    <row r="360" spans="5:19" ht="11.25" customHeight="1" x14ac:dyDescent="0.2">
      <c r="E360" s="483"/>
      <c r="F360" s="483"/>
      <c r="G360" s="482"/>
      <c r="J360" s="482"/>
      <c r="K360" s="482"/>
      <c r="M360" s="497">
        <f>_xll.qlCalendarAdvance(Calendar,M359,"1M","f",,Trigger)</f>
        <v>53049</v>
      </c>
      <c r="N360" s="488">
        <f>_xll.qlCalendarAdvance(Calendar,M360,"3M","f",,Trigger)</f>
        <v>53141</v>
      </c>
      <c r="O360" s="490" t="str">
        <f>_xll.qlMakeDatedOIS(,M360,N360,OvernightIndex,0,,,,EvaluationDate)</f>
        <v>obj_00897#0001</v>
      </c>
      <c r="P360" s="490" t="b">
        <f>_xll.qlInstrumentSetPricingEngine(O360,OisEngine)</f>
        <v>1</v>
      </c>
      <c r="Q360" s="489">
        <f>_xll.qlIndexFixing("euribor6m",_xll.qlInterestRateIndexFixingDate("Euribor6M",M360),TRUE,AllTriggers)</f>
        <v>2.2019437407999127E-2</v>
      </c>
      <c r="R360" s="489">
        <f>_xll.qlOvernightIndexedSwapFairRate(O360,AllTriggers)</f>
        <v>2.2121482753559223E-2</v>
      </c>
      <c r="S360" s="491">
        <f t="shared" si="9"/>
        <v>-1.0204534556009642E-4</v>
      </c>
    </row>
    <row r="361" spans="5:19" ht="11.25" customHeight="1" x14ac:dyDescent="0.2">
      <c r="E361" s="483"/>
      <c r="F361" s="483"/>
      <c r="G361" s="482"/>
      <c r="J361" s="482"/>
      <c r="K361" s="482"/>
      <c r="M361" s="497">
        <f>_xll.qlCalendarAdvance(Calendar,M360,"1M","f",,Trigger)</f>
        <v>53080</v>
      </c>
      <c r="N361" s="488">
        <f>_xll.qlCalendarAdvance(Calendar,M361,"3M","f",,Trigger)</f>
        <v>53171</v>
      </c>
      <c r="O361" s="490" t="str">
        <f>_xll.qlMakeDatedOIS(,M361,N361,OvernightIndex,0,,,,EvaluationDate)</f>
        <v>obj_00669#0001</v>
      </c>
      <c r="P361" s="490" t="b">
        <f>_xll.qlInstrumentSetPricingEngine(O361,OisEngine)</f>
        <v>1</v>
      </c>
      <c r="Q361" s="489">
        <f>_xll.qlIndexFixing("euribor6m",_xll.qlInterestRateIndexFixingDate("Euribor6M",M361),TRUE,AllTriggers)</f>
        <v>2.2028871556702533E-2</v>
      </c>
      <c r="R361" s="489">
        <f>_xll.qlOvernightIndexedSwapFairRate(O361,AllTriggers)</f>
        <v>2.2120804377927055E-2</v>
      </c>
      <c r="S361" s="491">
        <f t="shared" si="9"/>
        <v>-9.1932821224521843E-5</v>
      </c>
    </row>
    <row r="362" spans="5:19" ht="11.25" customHeight="1" x14ac:dyDescent="0.2">
      <c r="E362" s="483"/>
      <c r="F362" s="483"/>
      <c r="G362" s="482"/>
      <c r="J362" s="482"/>
      <c r="K362" s="482"/>
      <c r="M362" s="497">
        <f>_xll.qlCalendarAdvance(Calendar,M361,"1M","f",,Trigger)</f>
        <v>53111</v>
      </c>
      <c r="N362" s="488">
        <f>_xll.qlCalendarAdvance(Calendar,M362,"3M","f",,Trigger)</f>
        <v>53203</v>
      </c>
      <c r="O362" s="490" t="str">
        <f>_xll.qlMakeDatedOIS(,M362,N362,OvernightIndex,0,,,,EvaluationDate)</f>
        <v>obj_0066b#0001</v>
      </c>
      <c r="P362" s="490" t="b">
        <f>_xll.qlInstrumentSetPricingEngine(O362,OisEngine)</f>
        <v>1</v>
      </c>
      <c r="Q362" s="489">
        <f>_xll.qlIndexFixing("euribor6m",_xll.qlInterestRateIndexFixingDate("Euribor6M",M362),TRUE,AllTriggers)</f>
        <v>2.2035350972678176E-2</v>
      </c>
      <c r="R362" s="489">
        <f>_xll.qlOvernightIndexedSwapFairRate(O362,AllTriggers)</f>
        <v>2.2121482753559223E-2</v>
      </c>
      <c r="S362" s="491">
        <f t="shared" si="9"/>
        <v>-8.6131780881047032E-5</v>
      </c>
    </row>
    <row r="363" spans="5:19" ht="11.25" customHeight="1" x14ac:dyDescent="0.2">
      <c r="E363" s="483"/>
      <c r="F363" s="483"/>
      <c r="G363" s="482"/>
      <c r="J363" s="482"/>
      <c r="K363" s="482"/>
      <c r="M363" s="497">
        <f>_xll.qlCalendarAdvance(Calendar,M362,"1M","f",,Trigger)</f>
        <v>53142</v>
      </c>
      <c r="N363" s="488">
        <f>_xll.qlCalendarAdvance(Calendar,M363,"3M","f",,Trigger)</f>
        <v>53234</v>
      </c>
      <c r="O363" s="490" t="str">
        <f>_xll.qlMakeDatedOIS(,M363,N363,OvernightIndex,0,,,,EvaluationDate)</f>
        <v>obj_0066d#0001</v>
      </c>
      <c r="P363" s="490" t="b">
        <f>_xll.qlInstrumentSetPricingEngine(O363,OisEngine)</f>
        <v>1</v>
      </c>
      <c r="Q363" s="489">
        <f>_xll.qlIndexFixing("euribor6m",_xll.qlInterestRateIndexFixingDate("Euribor6M",M363),TRUE,AllTriggers)</f>
        <v>2.2042886494216436E-2</v>
      </c>
      <c r="R363" s="489">
        <f>_xll.qlOvernightIndexedSwapFairRate(O363,AllTriggers)</f>
        <v>2.2121482753559227E-2</v>
      </c>
      <c r="S363" s="491">
        <f t="shared" si="9"/>
        <v>-7.859625934279052E-5</v>
      </c>
    </row>
    <row r="364" spans="5:19" ht="11.25" customHeight="1" x14ac:dyDescent="0.2">
      <c r="E364" s="483"/>
      <c r="F364" s="483"/>
      <c r="G364" s="482"/>
      <c r="J364" s="482"/>
      <c r="K364" s="482"/>
      <c r="M364" s="497">
        <f>_xll.qlCalendarAdvance(Calendar,M363,"1M","f",,Trigger)</f>
        <v>53174</v>
      </c>
      <c r="N364" s="488">
        <f>_xll.qlCalendarAdvance(Calendar,M364,"3M","f",,Trigger)</f>
        <v>53266</v>
      </c>
      <c r="O364" s="490" t="str">
        <f>_xll.qlMakeDatedOIS(,M364,N364,OvernightIndex,0,,,,EvaluationDate)</f>
        <v>obj_0066f#0001</v>
      </c>
      <c r="P364" s="490" t="b">
        <f>_xll.qlInstrumentSetPricingEngine(O364,OisEngine)</f>
        <v>1</v>
      </c>
      <c r="Q364" s="489">
        <f>_xll.qlIndexFixing("euribor6m",_xll.qlInterestRateIndexFixingDate("Euribor6M",M364),TRUE,AllTriggers)</f>
        <v>2.2052591918831525E-2</v>
      </c>
      <c r="R364" s="489">
        <f>_xll.qlOvernightIndexedSwapFairRate(O364,AllTriggers)</f>
        <v>2.2121482753558359E-2</v>
      </c>
      <c r="S364" s="491">
        <f t="shared" si="9"/>
        <v>-6.8890834726834799E-5</v>
      </c>
    </row>
    <row r="365" spans="5:19" ht="11.25" customHeight="1" x14ac:dyDescent="0.2">
      <c r="E365" s="483"/>
      <c r="F365" s="483"/>
      <c r="G365" s="482"/>
      <c r="J365" s="482"/>
      <c r="K365" s="482"/>
      <c r="M365" s="497">
        <f>_xll.qlCalendarAdvance(Calendar,M364,"1M","f",,Trigger)</f>
        <v>53205</v>
      </c>
      <c r="N365" s="488">
        <f>_xll.qlCalendarAdvance(Calendar,M365,"3M","f",,Trigger)</f>
        <v>53296</v>
      </c>
      <c r="O365" s="490" t="str">
        <f>_xll.qlMakeDatedOIS(,M365,N365,OvernightIndex,0,,,,EvaluationDate)</f>
        <v>obj_00671#0001</v>
      </c>
      <c r="P365" s="490" t="b">
        <f>_xll.qlInstrumentSetPricingEngine(O365,OisEngine)</f>
        <v>1</v>
      </c>
      <c r="Q365" s="489">
        <f>_xll.qlIndexFixing("euribor6m",_xll.qlInterestRateIndexFixingDate("Euribor6M",M365),TRUE,AllTriggers)</f>
        <v>2.2059003505367481E-2</v>
      </c>
      <c r="R365" s="489">
        <f>_xll.qlOvernightIndexedSwapFairRate(O365,AllTriggers)</f>
        <v>2.2120804377927052E-2</v>
      </c>
      <c r="S365" s="491">
        <f t="shared" si="9"/>
        <v>-6.180087255957048E-5</v>
      </c>
    </row>
    <row r="366" spans="5:19" ht="11.25" customHeight="1" x14ac:dyDescent="0.2">
      <c r="E366" s="483"/>
      <c r="F366" s="483"/>
      <c r="G366" s="482"/>
      <c r="J366" s="482"/>
      <c r="K366" s="482"/>
      <c r="M366" s="497">
        <f>_xll.qlCalendarAdvance(Calendar,M365,"1M","f",,Trigger)</f>
        <v>53237</v>
      </c>
      <c r="N366" s="488">
        <f>_xll.qlCalendarAdvance(Calendar,M366,"3M","f",,Trigger)</f>
        <v>53329</v>
      </c>
      <c r="O366" s="490" t="str">
        <f>_xll.qlMakeDatedOIS(,M366,N366,OvernightIndex,0,,,,EvaluationDate)</f>
        <v>obj_00673#0001</v>
      </c>
      <c r="P366" s="490" t="b">
        <f>_xll.qlInstrumentSetPricingEngine(O366,OisEngine)</f>
        <v>1</v>
      </c>
      <c r="Q366" s="489">
        <f>_xll.qlIndexFixing("euribor6m",_xll.qlInterestRateIndexFixingDate("Euribor6M",M366),TRUE,AllTriggers)</f>
        <v>2.2069256675697712E-2</v>
      </c>
      <c r="R366" s="489">
        <f>_xll.qlOvernightIndexedSwapFairRate(O366,AllTriggers)</f>
        <v>2.2121482753559223E-2</v>
      </c>
      <c r="S366" s="491">
        <f t="shared" si="9"/>
        <v>-5.2226077861511344E-5</v>
      </c>
    </row>
    <row r="367" spans="5:19" ht="11.25" customHeight="1" x14ac:dyDescent="0.2">
      <c r="E367" s="483"/>
      <c r="F367" s="483"/>
      <c r="G367" s="482"/>
      <c r="J367" s="482"/>
      <c r="K367" s="482"/>
      <c r="M367" s="497">
        <f>_xll.qlCalendarAdvance(Calendar,M366,"1M","f",,Trigger)</f>
        <v>53268</v>
      </c>
      <c r="N367" s="488">
        <f>_xll.qlCalendarAdvance(Calendar,M367,"3M","f",,Trigger)</f>
        <v>53360</v>
      </c>
      <c r="O367" s="490" t="str">
        <f>_xll.qlMakeDatedOIS(,M367,N367,OvernightIndex,0,,,,EvaluationDate)</f>
        <v>obj_00675#0001</v>
      </c>
      <c r="P367" s="490" t="b">
        <f>_xll.qlInstrumentSetPricingEngine(O367,OisEngine)</f>
        <v>1</v>
      </c>
      <c r="Q367" s="489">
        <f>_xll.qlIndexFixing("euribor6m",_xll.qlInterestRateIndexFixingDate("Euribor6M",M367),TRUE,AllTriggers)</f>
        <v>2.2077825712485916E-2</v>
      </c>
      <c r="R367" s="489">
        <f>_xll.qlOvernightIndexedSwapFairRate(O367,AllTriggers)</f>
        <v>2.2121482753560094E-2</v>
      </c>
      <c r="S367" s="491">
        <f t="shared" si="9"/>
        <v>-4.365704107417781E-5</v>
      </c>
    </row>
    <row r="368" spans="5:19" ht="11.25" customHeight="1" x14ac:dyDescent="0.2">
      <c r="E368" s="483"/>
      <c r="F368" s="483"/>
      <c r="G368" s="482"/>
      <c r="J368" s="482"/>
      <c r="K368" s="482"/>
      <c r="M368" s="497">
        <f>_xll.qlCalendarAdvance(Calendar,M367,"1M","f",,Trigger)</f>
        <v>53300</v>
      </c>
      <c r="N368" s="488">
        <f>_xll.qlCalendarAdvance(Calendar,M368,"3M","f",,Trigger)</f>
        <v>53391</v>
      </c>
      <c r="O368" s="490" t="str">
        <f>_xll.qlMakeDatedOIS(,M368,N368,OvernightIndex,0,,,,EvaluationDate)</f>
        <v>obj_00677#0001</v>
      </c>
      <c r="P368" s="490" t="b">
        <f>_xll.qlInstrumentSetPricingEngine(O368,OisEngine)</f>
        <v>1</v>
      </c>
      <c r="Q368" s="489">
        <f>_xll.qlIndexFixing("euribor6m",_xll.qlInterestRateIndexFixingDate("Euribor6M",M368),TRUE,AllTriggers)</f>
        <v>2.2088636764723158E-2</v>
      </c>
      <c r="R368" s="489">
        <f>_xll.qlOvernightIndexedSwapFairRate(O368,AllTriggers)</f>
        <v>2.2120804377927936E-2</v>
      </c>
      <c r="S368" s="491">
        <f t="shared" si="9"/>
        <v>-3.2167613204778234E-5</v>
      </c>
    </row>
    <row r="369" spans="5:19" ht="11.25" customHeight="1" x14ac:dyDescent="0.2">
      <c r="E369" s="483"/>
      <c r="F369" s="483"/>
      <c r="G369" s="482"/>
      <c r="J369" s="482"/>
      <c r="K369" s="482"/>
      <c r="M369" s="497">
        <f>_xll.qlCalendarAdvance(Calendar,M368,"1M","f",,Trigger)</f>
        <v>53331</v>
      </c>
      <c r="N369" s="488">
        <f>_xll.qlCalendarAdvance(Calendar,M369,"3M","f",,Trigger)</f>
        <v>53421</v>
      </c>
      <c r="O369" s="490" t="str">
        <f>_xll.qlMakeDatedOIS(,M369,N369,OvernightIndex,0,,,,EvaluationDate)</f>
        <v>obj_00679#0001</v>
      </c>
      <c r="P369" s="490" t="b">
        <f>_xll.qlInstrumentSetPricingEngine(O369,OisEngine)</f>
        <v>1</v>
      </c>
      <c r="Q369" s="489">
        <f>_xll.qlIndexFixing("euribor6m",_xll.qlInterestRateIndexFixingDate("Euribor6M",M369),TRUE,AllTriggers)</f>
        <v>2.2097727068494374E-2</v>
      </c>
      <c r="R369" s="489">
        <f>_xll.qlOvernightIndexedSwapFairRate(O369,AllTriggers)</f>
        <v>2.2120126030018561E-2</v>
      </c>
      <c r="S369" s="491">
        <f t="shared" si="9"/>
        <v>-2.2398961524186523E-5</v>
      </c>
    </row>
    <row r="370" spans="5:19" ht="11.25" customHeight="1" x14ac:dyDescent="0.2">
      <c r="E370" s="483"/>
      <c r="F370" s="483"/>
      <c r="G370" s="482"/>
      <c r="J370" s="482"/>
      <c r="K370" s="482"/>
      <c r="M370" s="497">
        <f>_xll.qlCalendarAdvance(Calendar,M369,"1M","f",,Trigger)</f>
        <v>53363</v>
      </c>
      <c r="N370" s="488">
        <f>_xll.qlCalendarAdvance(Calendar,M370,"3M","f",,Trigger)</f>
        <v>53454</v>
      </c>
      <c r="O370" s="490" t="str">
        <f>_xll.qlMakeDatedOIS(,M370,N370,OvernightIndex,0,,,,EvaluationDate)</f>
        <v>obj_0067b#0001</v>
      </c>
      <c r="P370" s="490" t="b">
        <f>_xll.qlInstrumentSetPricingEngine(O370,OisEngine)</f>
        <v>1</v>
      </c>
      <c r="Q370" s="489">
        <f>_xll.qlIndexFixing("euribor6m",_xll.qlInterestRateIndexFixingDate("Euribor6M",M370),TRUE,AllTriggers)</f>
        <v>2.2109096085890501E-2</v>
      </c>
      <c r="R370" s="489">
        <f>_xll.qlOvernightIndexedSwapFairRate(O370,AllTriggers)</f>
        <v>2.2120804377927055E-2</v>
      </c>
      <c r="S370" s="491">
        <f t="shared" si="9"/>
        <v>-1.1708292036553825E-5</v>
      </c>
    </row>
    <row r="371" spans="5:19" ht="11.25" customHeight="1" x14ac:dyDescent="0.2">
      <c r="E371" s="483"/>
      <c r="F371" s="483"/>
      <c r="G371" s="482"/>
      <c r="J371" s="482"/>
      <c r="K371" s="482"/>
      <c r="M371" s="497">
        <f>_xll.qlCalendarAdvance(Calendar,M370,"1M","f",,Trigger)</f>
        <v>53391</v>
      </c>
      <c r="N371" s="488">
        <f>_xll.qlCalendarAdvance(Calendar,M371,"3M","f",,Trigger)</f>
        <v>53483</v>
      </c>
      <c r="O371" s="490" t="str">
        <f>_xll.qlMakeDatedOIS(,M371,N371,OvernightIndex,0,,,,EvaluationDate)</f>
        <v>obj_0067d#0001</v>
      </c>
      <c r="P371" s="490" t="b">
        <f>_xll.qlInstrumentSetPricingEngine(O371,OisEngine)</f>
        <v>1</v>
      </c>
      <c r="Q371" s="489">
        <f>_xll.qlIndexFixing("euribor6m",_xll.qlInterestRateIndexFixingDate("Euribor6M",M371),TRUE,AllTriggers)</f>
        <v>2.2120238936623255E-2</v>
      </c>
      <c r="R371" s="489">
        <f>_xll.qlOvernightIndexedSwapFairRate(O371,AllTriggers)</f>
        <v>2.2121482753558356E-2</v>
      </c>
      <c r="S371" s="491">
        <f t="shared" si="9"/>
        <v>-1.2438169351008943E-6</v>
      </c>
    </row>
    <row r="372" spans="5:19" ht="11.25" customHeight="1" x14ac:dyDescent="0.2">
      <c r="E372" s="483"/>
      <c r="F372" s="483"/>
      <c r="G372" s="482"/>
      <c r="J372" s="482"/>
      <c r="K372" s="482"/>
      <c r="M372" s="497">
        <f>_xll.qlCalendarAdvance(Calendar,M371,"1M","f",,Trigger)</f>
        <v>53422</v>
      </c>
      <c r="N372" s="488">
        <f>_xll.qlCalendarAdvance(Calendar,M372,"3M","f",,Trigger)</f>
        <v>53513</v>
      </c>
      <c r="O372" s="490" t="str">
        <f>_xll.qlMakeDatedOIS(,M372,N372,OvernightIndex,0,,,,EvaluationDate)</f>
        <v>obj_0067f#0001</v>
      </c>
      <c r="P372" s="490" t="b">
        <f>_xll.qlInstrumentSetPricingEngine(O372,OisEngine)</f>
        <v>1</v>
      </c>
      <c r="Q372" s="489">
        <f>_xll.qlIndexFixing("euribor6m",_xll.qlInterestRateIndexFixingDate("Euribor6M",M372),TRUE,AllTriggers)</f>
        <v>2.2130091549823701E-2</v>
      </c>
      <c r="R372" s="489">
        <f>_xll.qlOvernightIndexedSwapFairRate(O372,AllTriggers)</f>
        <v>2.2120804377926174E-2</v>
      </c>
      <c r="S372" s="491">
        <f t="shared" si="9"/>
        <v>9.2871718975276463E-6</v>
      </c>
    </row>
    <row r="373" spans="5:19" ht="11.25" customHeight="1" x14ac:dyDescent="0.2">
      <c r="E373" s="483"/>
      <c r="F373" s="483"/>
      <c r="G373" s="482"/>
      <c r="J373" s="482"/>
      <c r="K373" s="482"/>
      <c r="M373" s="497">
        <f>_xll.qlCalendarAdvance(Calendar,M372,"1M","f",,Trigger)</f>
        <v>53454</v>
      </c>
      <c r="N373" s="488">
        <f>_xll.qlCalendarAdvance(Calendar,M373,"3M","f",,Trigger)</f>
        <v>53546</v>
      </c>
      <c r="O373" s="490" t="str">
        <f>_xll.qlMakeDatedOIS(,M373,N373,OvernightIndex,0,,,,EvaluationDate)</f>
        <v>obj_00681#0001</v>
      </c>
      <c r="P373" s="490" t="b">
        <f>_xll.qlInstrumentSetPricingEngine(O373,OisEngine)</f>
        <v>1</v>
      </c>
      <c r="Q373" s="489">
        <f>_xll.qlIndexFixing("euribor6m",_xll.qlInterestRateIndexFixingDate("Euribor6M",M373),TRUE,AllTriggers)</f>
        <v>2.2142277033631419E-2</v>
      </c>
      <c r="R373" s="489">
        <f>_xll.qlOvernightIndexedSwapFairRate(O373,AllTriggers)</f>
        <v>2.2121482753559223E-2</v>
      </c>
      <c r="S373" s="491">
        <f t="shared" si="9"/>
        <v>2.0794280072195664E-5</v>
      </c>
    </row>
    <row r="374" spans="5:19" ht="11.25" customHeight="1" x14ac:dyDescent="0.2">
      <c r="E374" s="483"/>
      <c r="F374" s="483"/>
      <c r="G374" s="482"/>
      <c r="J374" s="482"/>
      <c r="K374" s="482"/>
      <c r="M374" s="497">
        <f>_xll.qlCalendarAdvance(Calendar,M373,"1M","f",,Trigger)</f>
        <v>53485</v>
      </c>
      <c r="N374" s="488">
        <f>_xll.qlCalendarAdvance(Calendar,M374,"3M","f",,Trigger)</f>
        <v>53577</v>
      </c>
      <c r="O374" s="490" t="str">
        <f>_xll.qlMakeDatedOIS(,M374,N374,OvernightIndex,0,,,,EvaluationDate)</f>
        <v>obj_0083d#0001</v>
      </c>
      <c r="P374" s="490" t="b">
        <f>_xll.qlInstrumentSetPricingEngine(O374,OisEngine)</f>
        <v>1</v>
      </c>
      <c r="Q374" s="489">
        <f>_xll.qlIndexFixing("euribor6m",_xll.qlInterestRateIndexFixingDate("Euribor6M",M374),TRUE,AllTriggers)</f>
        <v>2.2152650854040737E-2</v>
      </c>
      <c r="R374" s="489">
        <f>_xll.qlOvernightIndexedSwapFairRate(O374,AllTriggers)</f>
        <v>2.2121482753559223E-2</v>
      </c>
      <c r="S374" s="491">
        <f t="shared" si="9"/>
        <v>3.1168100481513555E-5</v>
      </c>
    </row>
    <row r="375" spans="5:19" ht="11.25" customHeight="1" x14ac:dyDescent="0.2">
      <c r="E375" s="483"/>
      <c r="F375" s="483"/>
      <c r="G375" s="482"/>
      <c r="J375" s="482"/>
      <c r="K375" s="482"/>
      <c r="M375" s="497">
        <f>_xll.qlCalendarAdvance(Calendar,M374,"1M","f",,Trigger)</f>
        <v>53517</v>
      </c>
      <c r="N375" s="488">
        <f>_xll.qlCalendarAdvance(Calendar,M375,"3M","f",,Trigger)</f>
        <v>53609</v>
      </c>
      <c r="O375" s="490" t="str">
        <f>_xll.qlMakeDatedOIS(,M375,N375,OvernightIndex,0,,,,EvaluationDate)</f>
        <v>obj_00684#0001</v>
      </c>
      <c r="P375" s="490" t="b">
        <f>_xll.qlInstrumentSetPricingEngine(O375,OisEngine)</f>
        <v>1</v>
      </c>
      <c r="Q375" s="489">
        <f>_xll.qlIndexFixing("euribor6m",_xll.qlInterestRateIndexFixingDate("Euribor6M",M375),TRUE,AllTriggers)</f>
        <v>2.2165394582232038E-2</v>
      </c>
      <c r="R375" s="489">
        <f>_xll.qlOvernightIndexedSwapFairRate(O375,AllTriggers)</f>
        <v>2.2121482753559227E-2</v>
      </c>
      <c r="S375" s="491">
        <f t="shared" si="9"/>
        <v>4.391182867281157E-5</v>
      </c>
    </row>
    <row r="376" spans="5:19" ht="11.25" customHeight="1" x14ac:dyDescent="0.2">
      <c r="E376" s="483"/>
      <c r="F376" s="483"/>
      <c r="G376" s="482"/>
      <c r="J376" s="482"/>
      <c r="K376" s="482"/>
      <c r="M376" s="497">
        <f>_xll.qlCalendarAdvance(Calendar,M375,"1M","f",,Trigger)</f>
        <v>53548</v>
      </c>
      <c r="N376" s="488">
        <f>_xll.qlCalendarAdvance(Calendar,M376,"3M","f",,Trigger)</f>
        <v>53640</v>
      </c>
      <c r="O376" s="490" t="str">
        <f>_xll.qlMakeDatedOIS(,M376,N376,OvernightIndex,0,,,,EvaluationDate)</f>
        <v>obj_00830#0001</v>
      </c>
      <c r="P376" s="490" t="b">
        <f>_xll.qlInstrumentSetPricingEngine(O376,OisEngine)</f>
        <v>1</v>
      </c>
      <c r="Q376" s="489">
        <f>_xll.qlIndexFixing("euribor6m",_xll.qlInterestRateIndexFixingDate("Euribor6M",M376),TRUE,AllTriggers)</f>
        <v>2.217891977666165E-2</v>
      </c>
      <c r="R376" s="489">
        <f>_xll.qlOvernightIndexedSwapFairRate(O376,AllTriggers)</f>
        <v>2.2121482753559227E-2</v>
      </c>
      <c r="S376" s="491">
        <f t="shared" si="9"/>
        <v>5.7437023102423213E-5</v>
      </c>
    </row>
    <row r="377" spans="5:19" ht="11.25" customHeight="1" x14ac:dyDescent="0.2">
      <c r="E377" s="483"/>
      <c r="F377" s="483"/>
      <c r="G377" s="482"/>
      <c r="J377" s="482"/>
      <c r="K377" s="482"/>
      <c r="M377" s="497">
        <f>_xll.qlCalendarAdvance(Calendar,M376,"1M","f",,Trigger)</f>
        <v>53580</v>
      </c>
      <c r="N377" s="488">
        <f>_xll.qlCalendarAdvance(Calendar,M377,"3M","f",,Trigger)</f>
        <v>53671</v>
      </c>
      <c r="O377" s="490" t="str">
        <f>_xll.qlMakeDatedOIS(,M377,N377,OvernightIndex,0,,,,EvaluationDate)</f>
        <v>obj_00687#0001</v>
      </c>
      <c r="P377" s="490" t="b">
        <f>_xll.qlInstrumentSetPricingEngine(O377,OisEngine)</f>
        <v>1</v>
      </c>
      <c r="Q377" s="489">
        <f>_xll.qlIndexFixing("euribor6m",_xll.qlInterestRateIndexFixingDate("Euribor6M",M377),TRUE,AllTriggers)</f>
        <v>2.2187828345086646E-2</v>
      </c>
      <c r="R377" s="489">
        <f>_xll.qlOvernightIndexedSwapFairRate(O377,AllTriggers)</f>
        <v>2.2120804377927933E-2</v>
      </c>
      <c r="S377" s="491">
        <f t="shared" si="9"/>
        <v>6.7023967158713615E-5</v>
      </c>
    </row>
    <row r="378" spans="5:19" ht="11.25" customHeight="1" x14ac:dyDescent="0.2">
      <c r="E378" s="483"/>
      <c r="F378" s="483"/>
      <c r="G378" s="482"/>
      <c r="J378" s="482"/>
      <c r="K378" s="482"/>
      <c r="M378" s="497">
        <f>_xll.qlCalendarAdvance(Calendar,M377,"1M","f",,Trigger)</f>
        <v>53610</v>
      </c>
      <c r="N378" s="488">
        <f>_xll.qlCalendarAdvance(Calendar,M378,"3M","f",,Trigger)</f>
        <v>53702</v>
      </c>
      <c r="O378" s="490" t="str">
        <f>_xll.qlMakeDatedOIS(,M378,N378,OvernightIndex,0,,,,EvaluationDate)</f>
        <v>obj_00689#0001</v>
      </c>
      <c r="P378" s="490" t="b">
        <f>_xll.qlInstrumentSetPricingEngine(O378,OisEngine)</f>
        <v>1</v>
      </c>
      <c r="Q378" s="489">
        <f>_xll.qlIndexFixing("euribor6m",_xll.qlInterestRateIndexFixingDate("Euribor6M",M378),TRUE,AllTriggers)</f>
        <v>2.2199720549902272E-2</v>
      </c>
      <c r="R378" s="489">
        <f>_xll.qlOvernightIndexedSwapFairRate(O378,AllTriggers)</f>
        <v>2.2121482753560094E-2</v>
      </c>
      <c r="S378" s="491">
        <f t="shared" si="9"/>
        <v>7.8237796342178062E-5</v>
      </c>
    </row>
    <row r="379" spans="5:19" ht="11.25" customHeight="1" x14ac:dyDescent="0.2">
      <c r="E379" s="483"/>
      <c r="F379" s="483"/>
      <c r="G379" s="482"/>
      <c r="J379" s="482"/>
      <c r="K379" s="482"/>
      <c r="M379" s="497">
        <f>_xll.qlCalendarAdvance(Calendar,M378,"1M","f",,Trigger)</f>
        <v>53643</v>
      </c>
      <c r="N379" s="488">
        <f>_xll.qlCalendarAdvance(Calendar,M379,"3M","f",,Trigger)</f>
        <v>53735</v>
      </c>
      <c r="O379" s="490" t="str">
        <f>_xll.qlMakeDatedOIS(,M379,N379,OvernightIndex,0,,,,EvaluationDate)</f>
        <v>obj_00823#0001</v>
      </c>
      <c r="P379" s="490" t="b">
        <f>_xll.qlInstrumentSetPricingEngine(O379,OisEngine)</f>
        <v>1</v>
      </c>
      <c r="Q379" s="489">
        <f>_xll.qlIndexFixing("euribor6m",_xll.qlInterestRateIndexFixingDate("Euribor6M",M379),TRUE,AllTriggers)</f>
        <v>2.2213084678468255E-2</v>
      </c>
      <c r="R379" s="489">
        <f>_xll.qlOvernightIndexedSwapFairRate(O379,AllTriggers)</f>
        <v>2.2121482753559223E-2</v>
      </c>
      <c r="S379" s="491">
        <f t="shared" si="9"/>
        <v>9.160192490903149E-5</v>
      </c>
    </row>
    <row r="380" spans="5:19" ht="11.25" customHeight="1" x14ac:dyDescent="0.2">
      <c r="E380" s="483"/>
      <c r="F380" s="483"/>
      <c r="G380" s="482"/>
      <c r="J380" s="482"/>
      <c r="K380" s="482"/>
      <c r="M380" s="497">
        <f>_xll.qlCalendarAdvance(Calendar,M379,"1M","f",,Trigger)</f>
        <v>53673</v>
      </c>
      <c r="N380" s="488">
        <f>_xll.qlCalendarAdvance(Calendar,M380,"3M","f",,Trigger)</f>
        <v>53763</v>
      </c>
      <c r="O380" s="490" t="str">
        <f>_xll.qlMakeDatedOIS(,M380,N380,OvernightIndex,0,,,,EvaluationDate)</f>
        <v>obj_0068c#0001</v>
      </c>
      <c r="P380" s="490" t="b">
        <f>_xll.qlInstrumentSetPricingEngine(O380,OisEngine)</f>
        <v>1</v>
      </c>
      <c r="Q380" s="489">
        <f>_xll.qlIndexFixing("euribor6m",_xll.qlInterestRateIndexFixingDate("Euribor6M",M380),TRUE,AllTriggers)</f>
        <v>2.2225490894064191E-2</v>
      </c>
      <c r="R380" s="489">
        <f>_xll.qlOvernightIndexedSwapFairRate(O380,AllTriggers)</f>
        <v>2.2120126030018561E-2</v>
      </c>
      <c r="S380" s="491">
        <f t="shared" si="9"/>
        <v>1.0536486404563034E-4</v>
      </c>
    </row>
    <row r="381" spans="5:19" ht="11.25" customHeight="1" x14ac:dyDescent="0.2">
      <c r="E381" s="483"/>
      <c r="F381" s="483"/>
      <c r="G381" s="482"/>
      <c r="J381" s="482"/>
      <c r="K381" s="482"/>
      <c r="M381" s="497">
        <f>_xll.qlCalendarAdvance(Calendar,M380,"1M","f",,Trigger)</f>
        <v>53706</v>
      </c>
      <c r="N381" s="488">
        <f>_xll.qlCalendarAdvance(Calendar,M381,"3M","f",,Trigger)</f>
        <v>53798</v>
      </c>
      <c r="O381" s="490" t="str">
        <f>_xll.qlMakeDatedOIS(,M381,N381,OvernightIndex,0,,,,EvaluationDate)</f>
        <v>obj_0085e#0001</v>
      </c>
      <c r="P381" s="490" t="b">
        <f>_xll.qlInstrumentSetPricingEngine(O381,OisEngine)</f>
        <v>1</v>
      </c>
      <c r="Q381" s="489">
        <f>_xll.qlIndexFixing("euribor6m",_xll.qlInterestRateIndexFixingDate("Euribor6M",M381),TRUE,AllTriggers)</f>
        <v>2.2239420445420082E-2</v>
      </c>
      <c r="R381" s="489">
        <f>_xll.qlOvernightIndexedSwapFairRate(O381,AllTriggers)</f>
        <v>2.2121482753559227E-2</v>
      </c>
      <c r="S381" s="491">
        <f t="shared" si="9"/>
        <v>1.1793769186085531E-4</v>
      </c>
    </row>
    <row r="382" spans="5:19" ht="11.25" customHeight="1" x14ac:dyDescent="0.2">
      <c r="E382" s="483"/>
      <c r="F382" s="483"/>
      <c r="G382" s="482"/>
      <c r="J382" s="482"/>
      <c r="K382" s="482"/>
      <c r="M382" s="497">
        <f>_xll.qlCalendarAdvance(Calendar,M381,"1M","f",,Trigger)</f>
        <v>53737</v>
      </c>
      <c r="N382" s="488">
        <f>_xll.qlCalendarAdvance(Calendar,M382,"3M","f",,Trigger)</f>
        <v>53826</v>
      </c>
      <c r="O382" s="490" t="str">
        <f>_xll.qlMakeDatedOIS(,M382,N382,OvernightIndex,0,,,,EvaluationDate)</f>
        <v>obj_00856#0001</v>
      </c>
      <c r="P382" s="490" t="b">
        <f>_xll.qlInstrumentSetPricingEngine(O382,OisEngine)</f>
        <v>1</v>
      </c>
      <c r="Q382" s="489">
        <f>_xll.qlIndexFixing("euribor6m",_xll.qlInterestRateIndexFixingDate("Euribor6M",M382),TRUE,AllTriggers)</f>
        <v>2.2251868824865382E-2</v>
      </c>
      <c r="R382" s="489">
        <f>_xll.qlOvernightIndexedSwapFairRate(O382,AllTriggers)</f>
        <v>2.2119447709834171E-2</v>
      </c>
      <c r="S382" s="491">
        <f t="shared" si="9"/>
        <v>1.3242111503121087E-4</v>
      </c>
    </row>
    <row r="383" spans="5:19" ht="11.25" customHeight="1" x14ac:dyDescent="0.2">
      <c r="E383" s="483"/>
      <c r="F383" s="483"/>
      <c r="G383" s="482"/>
      <c r="J383" s="482"/>
      <c r="K383" s="482"/>
      <c r="M383" s="497">
        <f>_xll.qlCalendarAdvance(Calendar,M382,"1M","f",,Trigger)</f>
        <v>53765</v>
      </c>
      <c r="N383" s="488">
        <f>_xll.qlCalendarAdvance(Calendar,M383,"3M","f",,Trigger)</f>
        <v>53857</v>
      </c>
      <c r="O383" s="490" t="str">
        <f>_xll.qlMakeDatedOIS(,M383,N383,OvernightIndex,0,,,,EvaluationDate)</f>
        <v>obj_00690#0001</v>
      </c>
      <c r="P383" s="490" t="b">
        <f>_xll.qlInstrumentSetPricingEngine(O383,OisEngine)</f>
        <v>1</v>
      </c>
      <c r="Q383" s="489">
        <f>_xll.qlIndexFixing("euribor6m",_xll.qlInterestRateIndexFixingDate("Euribor6M",M383),TRUE,AllTriggers)</f>
        <v>2.2268709692182923E-2</v>
      </c>
      <c r="R383" s="489">
        <f>_xll.qlOvernightIndexedSwapFairRate(O383,AllTriggers)</f>
        <v>2.2121482753559227E-2</v>
      </c>
      <c r="S383" s="491">
        <f t="shared" si="9"/>
        <v>1.4722693862369643E-4</v>
      </c>
    </row>
    <row r="384" spans="5:19" ht="11.25" customHeight="1" x14ac:dyDescent="0.2">
      <c r="E384" s="483"/>
      <c r="F384" s="483"/>
      <c r="G384" s="482"/>
      <c r="J384" s="482"/>
      <c r="K384" s="482"/>
      <c r="M384" s="497">
        <f>_xll.qlCalendarAdvance(Calendar,M383,"1M","f",,Trigger)</f>
        <v>53798</v>
      </c>
      <c r="N384" s="488">
        <f>_xll.qlCalendarAdvance(Calendar,M384,"3M","f",,Trigger)</f>
        <v>53889</v>
      </c>
      <c r="O384" s="490" t="str">
        <f>_xll.qlMakeDatedOIS(,M384,N384,OvernightIndex,0,,,,EvaluationDate)</f>
        <v>obj_00692#0001</v>
      </c>
      <c r="P384" s="490" t="b">
        <f>_xll.qlInstrumentSetPricingEngine(O384,OisEngine)</f>
        <v>1</v>
      </c>
      <c r="Q384" s="489">
        <f>_xll.qlIndexFixing("euribor6m",_xll.qlInterestRateIndexFixingDate("Euribor6M",M384),TRUE,AllTriggers)</f>
        <v>2.2280735096112312E-2</v>
      </c>
      <c r="R384" s="489">
        <f>_xll.qlOvernightIndexedSwapFairRate(O384,AllTriggers)</f>
        <v>2.2120804377927933E-2</v>
      </c>
      <c r="S384" s="491">
        <f t="shared" si="9"/>
        <v>1.5993071818437912E-4</v>
      </c>
    </row>
    <row r="385" spans="5:19" ht="11.25" customHeight="1" x14ac:dyDescent="0.2">
      <c r="E385" s="483"/>
      <c r="F385" s="483"/>
      <c r="G385" s="482"/>
      <c r="J385" s="482"/>
      <c r="K385" s="482"/>
      <c r="M385" s="497">
        <f>_xll.qlCalendarAdvance(Calendar,M384,"1M","f",,Trigger)</f>
        <v>53828</v>
      </c>
      <c r="N385" s="488">
        <f>_xll.qlCalendarAdvance(Calendar,M385,"3M","f",,Trigger)</f>
        <v>53920</v>
      </c>
      <c r="O385" s="490" t="str">
        <f>_xll.qlMakeDatedOIS(,M385,N385,OvernightIndex,0,,,,EvaluationDate)</f>
        <v>obj_00694#0001</v>
      </c>
      <c r="P385" s="490" t="b">
        <f>_xll.qlInstrumentSetPricingEngine(O385,OisEngine)</f>
        <v>1</v>
      </c>
      <c r="Q385" s="489">
        <f>_xll.qlIndexFixing("euribor6m",_xll.qlInterestRateIndexFixingDate("Euribor6M",M385),TRUE,AllTriggers)</f>
        <v>2.2297177192046994E-2</v>
      </c>
      <c r="R385" s="489">
        <f>_xll.qlOvernightIndexedSwapFairRate(O385,AllTriggers)</f>
        <v>2.2121482753559223E-2</v>
      </c>
      <c r="S385" s="491">
        <f t="shared" si="9"/>
        <v>1.7569443848777094E-4</v>
      </c>
    </row>
    <row r="386" spans="5:19" ht="11.25" customHeight="1" x14ac:dyDescent="0.2">
      <c r="E386" s="483"/>
      <c r="F386" s="483"/>
      <c r="G386" s="482"/>
      <c r="J386" s="482"/>
      <c r="K386" s="482"/>
      <c r="M386" s="497">
        <f>_xll.qlCalendarAdvance(Calendar,M385,"1M","f",,Trigger)</f>
        <v>53860</v>
      </c>
      <c r="N386" s="488">
        <f>_xll.qlCalendarAdvance(Calendar,M386,"3M","f",,Trigger)</f>
        <v>53952</v>
      </c>
      <c r="O386" s="490" t="str">
        <f>_xll.qlMakeDatedOIS(,M386,N386,OvernightIndex,0,,,,EvaluationDate)</f>
        <v>obj_00696#0001</v>
      </c>
      <c r="P386" s="490" t="b">
        <f>_xll.qlInstrumentSetPricingEngine(O386,OisEngine)</f>
        <v>1</v>
      </c>
      <c r="Q386" s="489">
        <f>_xll.qlIndexFixing("euribor6m",_xll.qlInterestRateIndexFixingDate("Euribor6M",M386),TRUE,AllTriggers)</f>
        <v>2.2309268368759669E-2</v>
      </c>
      <c r="R386" s="489">
        <f>_xll.qlOvernightIndexedSwapFairRate(O386,AllTriggers)</f>
        <v>2.2121482753559227E-2</v>
      </c>
      <c r="S386" s="491">
        <f t="shared" si="9"/>
        <v>1.8778561520044201E-4</v>
      </c>
    </row>
    <row r="387" spans="5:19" ht="11.25" customHeight="1" x14ac:dyDescent="0.2">
      <c r="E387" s="483"/>
      <c r="F387" s="483"/>
      <c r="G387" s="482"/>
      <c r="J387" s="482"/>
      <c r="K387" s="482"/>
      <c r="M387" s="497">
        <f>_xll.qlCalendarAdvance(Calendar,M386,"1M","f",,Trigger)</f>
        <v>53890</v>
      </c>
      <c r="N387" s="488">
        <f>_xll.qlCalendarAdvance(Calendar,M387,"3M","f",,Trigger)</f>
        <v>53982</v>
      </c>
      <c r="O387" s="490" t="str">
        <f>_xll.qlMakeDatedOIS(,M387,N387,OvernightIndex,0,,,,EvaluationDate)</f>
        <v>obj_00698#0001</v>
      </c>
      <c r="P387" s="490" t="b">
        <f>_xll.qlInstrumentSetPricingEngine(O387,OisEngine)</f>
        <v>1</v>
      </c>
      <c r="Q387" s="489">
        <f>_xll.qlIndexFixing("euribor6m",_xll.qlInterestRateIndexFixingDate("Euribor6M",M387),TRUE,AllTriggers)</f>
        <v>2.2324382334628828E-2</v>
      </c>
      <c r="R387" s="489">
        <f>_xll.qlOvernightIndexedSwapFairRate(O387,AllTriggers)</f>
        <v>2.2121482753559223E-2</v>
      </c>
      <c r="S387" s="491">
        <f t="shared" ref="S387:S450" si="10">Q387-R387</f>
        <v>2.0289958106960507E-4</v>
      </c>
    </row>
    <row r="388" spans="5:19" ht="11.25" customHeight="1" x14ac:dyDescent="0.2">
      <c r="E388" s="483"/>
      <c r="F388" s="483"/>
      <c r="G388" s="482"/>
      <c r="J388" s="482"/>
      <c r="K388" s="482"/>
      <c r="M388" s="497">
        <f>_xll.qlCalendarAdvance(Calendar,M387,"1M","f",,Trigger)</f>
        <v>53923</v>
      </c>
      <c r="N388" s="488">
        <f>_xll.qlCalendarAdvance(Calendar,M388,"3M","f",,Trigger)</f>
        <v>54015</v>
      </c>
      <c r="O388" s="490" t="str">
        <f>_xll.qlMakeDatedOIS(,M388,N388,OvernightIndex,0,,,,EvaluationDate)</f>
        <v>obj_007ef#0001</v>
      </c>
      <c r="P388" s="490" t="b">
        <f>_xll.qlInstrumentSetPricingEngine(O388,OisEngine)</f>
        <v>1</v>
      </c>
      <c r="Q388" s="489">
        <f>_xll.qlIndexFixing("euribor6m",_xll.qlInterestRateIndexFixingDate("Euribor6M",M388),TRUE,AllTriggers)</f>
        <v>2.2340270568140714E-2</v>
      </c>
      <c r="R388" s="489">
        <f>_xll.qlOvernightIndexedSwapFairRate(O388,AllTriggers)</f>
        <v>2.2121482753559223E-2</v>
      </c>
      <c r="S388" s="491">
        <f t="shared" si="10"/>
        <v>2.187878145814906E-4</v>
      </c>
    </row>
    <row r="389" spans="5:19" ht="11.25" customHeight="1" x14ac:dyDescent="0.2">
      <c r="E389" s="483"/>
      <c r="F389" s="483"/>
      <c r="G389" s="482"/>
      <c r="J389" s="482"/>
      <c r="K389" s="482"/>
      <c r="M389" s="497">
        <f>_xll.qlCalendarAdvance(Calendar,M388,"1M","f",,Trigger)</f>
        <v>53954</v>
      </c>
      <c r="N389" s="488">
        <f>_xll.qlCalendarAdvance(Calendar,M389,"3M","f",,Trigger)</f>
        <v>54045</v>
      </c>
      <c r="O389" s="490" t="str">
        <f>_xll.qlMakeDatedOIS(,M389,N389,OvernightIndex,0,,,,EvaluationDate)</f>
        <v>obj_0069b#0001</v>
      </c>
      <c r="P389" s="490" t="b">
        <f>_xll.qlInstrumentSetPricingEngine(O389,OisEngine)</f>
        <v>1</v>
      </c>
      <c r="Q389" s="489">
        <f>_xll.qlIndexFixing("euribor6m",_xll.qlInterestRateIndexFixingDate("Euribor6M",M389),TRUE,AllTriggers)</f>
        <v>2.2353580347177798E-2</v>
      </c>
      <c r="R389" s="489">
        <f>_xll.qlOvernightIndexedSwapFairRate(O389,AllTriggers)</f>
        <v>2.2120804377927055E-2</v>
      </c>
      <c r="S389" s="491">
        <f t="shared" si="10"/>
        <v>2.327759692507432E-4</v>
      </c>
    </row>
    <row r="390" spans="5:19" ht="11.25" customHeight="1" x14ac:dyDescent="0.2">
      <c r="E390" s="483"/>
      <c r="F390" s="483"/>
      <c r="G390" s="482"/>
      <c r="J390" s="482"/>
      <c r="K390" s="482"/>
      <c r="M390" s="497">
        <f>_xll.qlCalendarAdvance(Calendar,M389,"1M","f",,Trigger)</f>
        <v>53986</v>
      </c>
      <c r="N390" s="488">
        <f>_xll.qlCalendarAdvance(Calendar,M390,"3M","f",,Trigger)</f>
        <v>54078</v>
      </c>
      <c r="O390" s="490" t="str">
        <f>_xll.qlMakeDatedOIS(,M390,N390,OvernightIndex,0,,,,EvaluationDate)</f>
        <v>obj_0084e#0001</v>
      </c>
      <c r="P390" s="490" t="b">
        <f>_xll.qlInstrumentSetPricingEngine(O390,OisEngine)</f>
        <v>1</v>
      </c>
      <c r="Q390" s="489">
        <f>_xll.qlIndexFixing("euribor6m",_xll.qlInterestRateIndexFixingDate("Euribor6M",M390),TRUE,AllTriggers)</f>
        <v>2.2370477225415186E-2</v>
      </c>
      <c r="R390" s="489">
        <f>_xll.qlOvernightIndexedSwapFairRate(O390,AllTriggers)</f>
        <v>2.2121482753559223E-2</v>
      </c>
      <c r="S390" s="491">
        <f t="shared" si="10"/>
        <v>2.4899447185596293E-4</v>
      </c>
    </row>
    <row r="391" spans="5:19" ht="11.25" customHeight="1" x14ac:dyDescent="0.2">
      <c r="E391" s="483"/>
      <c r="F391" s="483"/>
      <c r="G391" s="482"/>
      <c r="J391" s="482"/>
      <c r="K391" s="482"/>
      <c r="M391" s="497">
        <f>_xll.qlCalendarAdvance(Calendar,M390,"1M","f",,Trigger)</f>
        <v>54017</v>
      </c>
      <c r="N391" s="488">
        <f>_xll.qlCalendarAdvance(Calendar,M391,"3M","f",,Trigger)</f>
        <v>54109</v>
      </c>
      <c r="O391" s="490" t="str">
        <f>_xll.qlMakeDatedOIS(,M391,N391,OvernightIndex,0,,,,EvaluationDate)</f>
        <v>obj_0069e#0001</v>
      </c>
      <c r="P391" s="490" t="b">
        <f>_xll.qlInstrumentSetPricingEngine(O391,OisEngine)</f>
        <v>1</v>
      </c>
      <c r="Q391" s="489">
        <f>_xll.qlIndexFixing("euribor6m",_xll.qlInterestRateIndexFixingDate("Euribor6M",M391),TRUE,AllTriggers)</f>
        <v>2.238524540474942E-2</v>
      </c>
      <c r="R391" s="489">
        <f>_xll.qlOvernightIndexedSwapFairRate(O391,AllTriggers)</f>
        <v>2.2121482753558356E-2</v>
      </c>
      <c r="S391" s="491">
        <f t="shared" si="10"/>
        <v>2.637626511910636E-4</v>
      </c>
    </row>
    <row r="392" spans="5:19" ht="11.25" customHeight="1" x14ac:dyDescent="0.2">
      <c r="E392" s="483"/>
      <c r="F392" s="483"/>
      <c r="G392" s="482"/>
      <c r="J392" s="482"/>
      <c r="K392" s="482"/>
      <c r="M392" s="497">
        <f>_xll.qlCalendarAdvance(Calendar,M391,"1M","f",,Trigger)</f>
        <v>54049</v>
      </c>
      <c r="N392" s="488">
        <f>_xll.qlCalendarAdvance(Calendar,M392,"3M","f",,Trigger)</f>
        <v>54140</v>
      </c>
      <c r="O392" s="490" t="str">
        <f>_xll.qlMakeDatedOIS(,M392,N392,OvernightIndex,0,,,,EvaluationDate)</f>
        <v>obj_006a0#0001</v>
      </c>
      <c r="P392" s="490" t="b">
        <f>_xll.qlInstrumentSetPricingEngine(O392,OisEngine)</f>
        <v>1</v>
      </c>
      <c r="Q392" s="489">
        <f>_xll.qlIndexFixing("euribor6m",_xll.qlInterestRateIndexFixingDate("Euribor6M",M392),TRUE,AllTriggers)</f>
        <v>2.2402701263428002E-2</v>
      </c>
      <c r="R392" s="489">
        <f>_xll.qlOvernightIndexedSwapFairRate(O392,AllTriggers)</f>
        <v>2.2120804377927055E-2</v>
      </c>
      <c r="S392" s="491">
        <f t="shared" si="10"/>
        <v>2.818968855009471E-4</v>
      </c>
    </row>
    <row r="393" spans="5:19" ht="11.25" customHeight="1" x14ac:dyDescent="0.2">
      <c r="E393" s="483"/>
      <c r="F393" s="483"/>
      <c r="G393" s="482"/>
      <c r="J393" s="482"/>
      <c r="K393" s="482"/>
      <c r="M393" s="497">
        <f>_xll.qlCalendarAdvance(Calendar,M392,"1M","f",,Trigger)</f>
        <v>54080</v>
      </c>
      <c r="N393" s="488">
        <f>_xll.qlCalendarAdvance(Calendar,M393,"3M","f",,Trigger)</f>
        <v>54171</v>
      </c>
      <c r="O393" s="490" t="str">
        <f>_xll.qlMakeDatedOIS(,M393,N393,OvernightIndex,0,,,,EvaluationDate)</f>
        <v>obj_006a2#0001</v>
      </c>
      <c r="P393" s="490" t="b">
        <f>_xll.qlInstrumentSetPricingEngine(O393,OisEngine)</f>
        <v>1</v>
      </c>
      <c r="Q393" s="489">
        <f>_xll.qlIndexFixing("euribor6m",_xll.qlInterestRateIndexFixingDate("Euribor6M",M393),TRUE,AllTriggers)</f>
        <v>2.2417990174566367E-2</v>
      </c>
      <c r="R393" s="489">
        <f>_xll.qlOvernightIndexedSwapFairRate(O393,AllTriggers)</f>
        <v>2.2120804377927052E-2</v>
      </c>
      <c r="S393" s="491">
        <f t="shared" si="10"/>
        <v>2.9718579663931544E-4</v>
      </c>
    </row>
    <row r="394" spans="5:19" ht="11.25" customHeight="1" x14ac:dyDescent="0.2">
      <c r="E394" s="483"/>
      <c r="F394" s="483"/>
      <c r="G394" s="482"/>
      <c r="J394" s="482"/>
      <c r="K394" s="482"/>
      <c r="M394" s="497">
        <f>_xll.qlCalendarAdvance(Calendar,M393,"1M","f",,Trigger)</f>
        <v>54112</v>
      </c>
      <c r="N394" s="488">
        <f>_xll.qlCalendarAdvance(Calendar,M394,"3M","f",,Trigger)</f>
        <v>54203</v>
      </c>
      <c r="O394" s="490" t="str">
        <f>_xll.qlMakeDatedOIS(,M394,N394,OvernightIndex,0,,,,EvaluationDate)</f>
        <v>obj_006a4#0001</v>
      </c>
      <c r="P394" s="490" t="b">
        <f>_xll.qlInstrumentSetPricingEngine(O394,OisEngine)</f>
        <v>1</v>
      </c>
      <c r="Q394" s="489">
        <f>_xll.qlIndexFixing("euribor6m",_xll.qlInterestRateIndexFixingDate("Euribor6M",M394),TRUE,AllTriggers)</f>
        <v>2.2435035950741984E-2</v>
      </c>
      <c r="R394" s="489">
        <f>_xll.qlOvernightIndexedSwapFairRate(O394,AllTriggers)</f>
        <v>2.2120804377927933E-2</v>
      </c>
      <c r="S394" s="491">
        <f t="shared" si="10"/>
        <v>3.1423157281405129E-4</v>
      </c>
    </row>
    <row r="395" spans="5:19" ht="11.25" customHeight="1" x14ac:dyDescent="0.2">
      <c r="E395" s="483"/>
      <c r="F395" s="483"/>
      <c r="G395" s="482"/>
      <c r="J395" s="482"/>
      <c r="K395" s="482"/>
      <c r="M395" s="497">
        <f>_xll.qlCalendarAdvance(Calendar,M394,"1M","f",,Trigger)</f>
        <v>54141</v>
      </c>
      <c r="N395" s="488">
        <f>_xll.qlCalendarAdvance(Calendar,M395,"3M","f",,Trigger)</f>
        <v>54233</v>
      </c>
      <c r="O395" s="490" t="str">
        <f>_xll.qlMakeDatedOIS(,M395,N395,OvernightIndex,0,,,,EvaluationDate)</f>
        <v>obj_006a6#0001</v>
      </c>
      <c r="P395" s="490" t="b">
        <f>_xll.qlInstrumentSetPricingEngine(O395,OisEngine)</f>
        <v>1</v>
      </c>
      <c r="Q395" s="489">
        <f>_xll.qlIndexFixing("euribor6m",_xll.qlInterestRateIndexFixingDate("Euribor6M",M395),TRUE,AllTriggers)</f>
        <v>2.2452672628245907E-2</v>
      </c>
      <c r="R395" s="489">
        <f>_xll.qlOvernightIndexedSwapFairRate(O395,AllTriggers)</f>
        <v>2.2121482753559223E-2</v>
      </c>
      <c r="S395" s="491">
        <f t="shared" si="10"/>
        <v>3.3118987468668329E-4</v>
      </c>
    </row>
    <row r="396" spans="5:19" ht="11.25" customHeight="1" x14ac:dyDescent="0.2">
      <c r="E396" s="483"/>
      <c r="F396" s="483"/>
      <c r="G396" s="482"/>
      <c r="J396" s="482"/>
      <c r="K396" s="482"/>
      <c r="M396" s="497">
        <f>_xll.qlCalendarAdvance(Calendar,M395,"1M","f",,Trigger)</f>
        <v>54172</v>
      </c>
      <c r="N396" s="488">
        <f>_xll.qlCalendarAdvance(Calendar,M396,"3M","f",,Trigger)</f>
        <v>54263</v>
      </c>
      <c r="O396" s="490" t="str">
        <f>_xll.qlMakeDatedOIS(,M396,N396,OvernightIndex,0,,,,EvaluationDate)</f>
        <v>obj_00880#0001</v>
      </c>
      <c r="P396" s="490" t="b">
        <f>_xll.qlInstrumentSetPricingEngine(O396,OisEngine)</f>
        <v>1</v>
      </c>
      <c r="Q396" s="489">
        <f>_xll.qlIndexFixing("euribor6m",_xll.qlInterestRateIndexFixingDate("Euribor6M",M396),TRUE,AllTriggers)</f>
        <v>2.2470686179396519E-2</v>
      </c>
      <c r="R396" s="489">
        <f>_xll.qlOvernightIndexedSwapFairRate(O396,AllTriggers)</f>
        <v>2.2120804377927055E-2</v>
      </c>
      <c r="S396" s="491">
        <f t="shared" si="10"/>
        <v>3.4988180146946352E-4</v>
      </c>
    </row>
    <row r="397" spans="5:19" ht="11.25" customHeight="1" x14ac:dyDescent="0.2">
      <c r="E397" s="483"/>
      <c r="F397" s="483"/>
      <c r="G397" s="482"/>
      <c r="J397" s="482"/>
      <c r="K397" s="482"/>
      <c r="M397" s="497">
        <f>_xll.qlCalendarAdvance(Calendar,M396,"1M","f",,Trigger)</f>
        <v>54203</v>
      </c>
      <c r="N397" s="488">
        <f>_xll.qlCalendarAdvance(Calendar,M397,"3M","f",,Trigger)</f>
        <v>54295</v>
      </c>
      <c r="O397" s="490" t="str">
        <f>_xll.qlMakeDatedOIS(,M397,N397,OvernightIndex,0,,,,EvaluationDate)</f>
        <v>obj_00890#0001</v>
      </c>
      <c r="P397" s="490" t="b">
        <f>_xll.qlInstrumentSetPricingEngine(O397,OisEngine)</f>
        <v>1</v>
      </c>
      <c r="Q397" s="489">
        <f>_xll.qlIndexFixing("euribor6m",_xll.qlInterestRateIndexFixingDate("Euribor6M",M397),TRUE,AllTriggers)</f>
        <v>2.2487001904178721E-2</v>
      </c>
      <c r="R397" s="489">
        <f>_xll.qlOvernightIndexedSwapFairRate(O397,AllTriggers)</f>
        <v>2.2121482753558356E-2</v>
      </c>
      <c r="S397" s="491">
        <f t="shared" si="10"/>
        <v>3.6551915062036505E-4</v>
      </c>
    </row>
    <row r="398" spans="5:19" ht="11.25" customHeight="1" x14ac:dyDescent="0.2">
      <c r="E398" s="483"/>
      <c r="F398" s="483"/>
      <c r="G398" s="482"/>
      <c r="J398" s="482"/>
      <c r="K398" s="482"/>
      <c r="M398" s="497">
        <f>_xll.qlCalendarAdvance(Calendar,M397,"1M","f",,Trigger)</f>
        <v>54234</v>
      </c>
      <c r="N398" s="488">
        <f>_xll.qlCalendarAdvance(Calendar,M398,"3M","f",,Trigger)</f>
        <v>54326</v>
      </c>
      <c r="O398" s="490" t="str">
        <f>_xll.qlMakeDatedOIS(,M398,N398,OvernightIndex,0,,,,EvaluationDate)</f>
        <v>obj_006aa#0001</v>
      </c>
      <c r="P398" s="490" t="b">
        <f>_xll.qlInstrumentSetPricingEngine(O398,OisEngine)</f>
        <v>1</v>
      </c>
      <c r="Q398" s="489">
        <f>_xll.qlIndexFixing("euribor6m",_xll.qlInterestRateIndexFixingDate("Euribor6M",M398),TRUE,AllTriggers)</f>
        <v>2.2506539466533866E-2</v>
      </c>
      <c r="R398" s="489">
        <f>_xll.qlOvernightIndexedSwapFairRate(O398,AllTriggers)</f>
        <v>2.2121482753559223E-2</v>
      </c>
      <c r="S398" s="491">
        <f t="shared" si="10"/>
        <v>3.8505671297464281E-4</v>
      </c>
    </row>
    <row r="399" spans="5:19" ht="11.25" customHeight="1" x14ac:dyDescent="0.2">
      <c r="E399" s="483"/>
      <c r="F399" s="483"/>
      <c r="G399" s="482"/>
      <c r="J399" s="482"/>
      <c r="K399" s="482"/>
      <c r="M399" s="497">
        <f>_xll.qlCalendarAdvance(Calendar,M398,"1M","f",,Trigger)</f>
        <v>54266</v>
      </c>
      <c r="N399" s="488">
        <f>_xll.qlCalendarAdvance(Calendar,M399,"3M","f",,Trigger)</f>
        <v>54358</v>
      </c>
      <c r="O399" s="490" t="str">
        <f>_xll.qlMakeDatedOIS(,M399,N399,OvernightIndex,0,,,,EvaluationDate)</f>
        <v>obj_006ac#0001</v>
      </c>
      <c r="P399" s="490" t="b">
        <f>_xll.qlInstrumentSetPricingEngine(O399,OisEngine)</f>
        <v>1</v>
      </c>
      <c r="Q399" s="489">
        <f>_xll.qlIndexFixing("euribor6m",_xll.qlInterestRateIndexFixingDate("Euribor6M",M399),TRUE,AllTriggers)</f>
        <v>2.2522956322582128E-2</v>
      </c>
      <c r="R399" s="489">
        <f>_xll.qlOvernightIndexedSwapFairRate(O399,AllTriggers)</f>
        <v>2.2121482753558359E-2</v>
      </c>
      <c r="S399" s="491">
        <f t="shared" si="10"/>
        <v>4.0147356902376849E-4</v>
      </c>
    </row>
    <row r="400" spans="5:19" ht="11.25" customHeight="1" x14ac:dyDescent="0.2">
      <c r="E400" s="483"/>
      <c r="F400" s="483"/>
      <c r="G400" s="482"/>
      <c r="J400" s="482"/>
      <c r="K400" s="482"/>
      <c r="M400" s="497">
        <f>_xll.qlCalendarAdvance(Calendar,M399,"1M","f",,Trigger)</f>
        <v>54297</v>
      </c>
      <c r="N400" s="488">
        <f>_xll.qlCalendarAdvance(Calendar,M400,"3M","f",,Trigger)</f>
        <v>54389</v>
      </c>
      <c r="O400" s="490" t="str">
        <f>_xll.qlMakeDatedOIS(,M400,N400,OvernightIndex,0,,,,EvaluationDate)</f>
        <v>obj_0088c#0001</v>
      </c>
      <c r="P400" s="490" t="b">
        <f>_xll.qlInstrumentSetPricingEngine(O400,OisEngine)</f>
        <v>1</v>
      </c>
      <c r="Q400" s="489">
        <f>_xll.qlIndexFixing("euribor6m",_xll.qlInterestRateIndexFixingDate("Euribor6M",M400),TRUE,AllTriggers)</f>
        <v>2.2540043719390404E-2</v>
      </c>
      <c r="R400" s="489">
        <f>_xll.qlOvernightIndexedSwapFairRate(O400,AllTriggers)</f>
        <v>2.2121482753559223E-2</v>
      </c>
      <c r="S400" s="491">
        <f t="shared" si="10"/>
        <v>4.1856096583118077E-4</v>
      </c>
    </row>
    <row r="401" spans="5:19" ht="11.25" customHeight="1" x14ac:dyDescent="0.2">
      <c r="E401" s="483"/>
      <c r="F401" s="483"/>
      <c r="G401" s="482"/>
      <c r="J401" s="482"/>
      <c r="K401" s="482"/>
      <c r="M401" s="497">
        <f>_xll.qlCalendarAdvance(Calendar,M400,"1M","f",,Trigger)</f>
        <v>54329</v>
      </c>
      <c r="N401" s="488">
        <f>_xll.qlCalendarAdvance(Calendar,M401,"3M","f",,Trigger)</f>
        <v>54420</v>
      </c>
      <c r="O401" s="490" t="str">
        <f>_xll.qlMakeDatedOIS(,M401,N401,OvernightIndex,0,,,,EvaluationDate)</f>
        <v>obj_006af#0001</v>
      </c>
      <c r="P401" s="490" t="b">
        <f>_xll.qlInstrumentSetPricingEngine(O401,OisEngine)</f>
        <v>1</v>
      </c>
      <c r="Q401" s="489">
        <f>_xll.qlIndexFixing("euribor6m",_xll.qlInterestRateIndexFixingDate("Euribor6M",M401),TRUE,AllTriggers)</f>
        <v>2.2557978013104153E-2</v>
      </c>
      <c r="R401" s="489">
        <f>_xll.qlOvernightIndexedSwapFairRate(O401,AllTriggers)</f>
        <v>2.2120804377926177E-2</v>
      </c>
      <c r="S401" s="491">
        <f t="shared" si="10"/>
        <v>4.3717363517797522E-4</v>
      </c>
    </row>
    <row r="402" spans="5:19" ht="11.25" customHeight="1" x14ac:dyDescent="0.2">
      <c r="E402" s="483"/>
      <c r="F402" s="483"/>
      <c r="G402" s="482"/>
      <c r="J402" s="482"/>
      <c r="K402" s="482"/>
      <c r="M402" s="497">
        <f>_xll.qlCalendarAdvance(Calendar,M401,"1M","f",,Trigger)</f>
        <v>54359</v>
      </c>
      <c r="N402" s="488">
        <f>_xll.qlCalendarAdvance(Calendar,M402,"3M","f",,Trigger)</f>
        <v>54451</v>
      </c>
      <c r="O402" s="490" t="str">
        <f>_xll.qlMakeDatedOIS(,M402,N402,OvernightIndex,0,,,,EvaluationDate)</f>
        <v>obj_00869#0001</v>
      </c>
      <c r="P402" s="490" t="b">
        <f>_xll.qlInstrumentSetPricingEngine(O402,OisEngine)</f>
        <v>1</v>
      </c>
      <c r="Q402" s="489">
        <f>_xll.qlIndexFixing("euribor6m",_xll.qlInterestRateIndexFixingDate("Euribor6M",M402),TRUE,AllTriggers)</f>
        <v>2.2575982712391234E-2</v>
      </c>
      <c r="R402" s="489">
        <f>_xll.qlOvernightIndexedSwapFairRate(O402,AllTriggers)</f>
        <v>2.2121482753558359E-2</v>
      </c>
      <c r="S402" s="491">
        <f t="shared" si="10"/>
        <v>4.5449995883287478E-4</v>
      </c>
    </row>
    <row r="403" spans="5:19" ht="11.25" customHeight="1" x14ac:dyDescent="0.2">
      <c r="E403" s="483"/>
      <c r="F403" s="483"/>
      <c r="G403" s="482"/>
      <c r="J403" s="482"/>
      <c r="K403" s="482"/>
      <c r="M403" s="497">
        <f>_xll.qlCalendarAdvance(Calendar,M402,"1M","f",,Trigger)</f>
        <v>54392</v>
      </c>
      <c r="N403" s="488">
        <f>_xll.qlCalendarAdvance(Calendar,M403,"3M","f",,Trigger)</f>
        <v>54483</v>
      </c>
      <c r="O403" s="490" t="str">
        <f>_xll.qlMakeDatedOIS(,M403,N403,OvernightIndex,0,,,,EvaluationDate)</f>
        <v>obj_006b2#0001</v>
      </c>
      <c r="P403" s="490" t="b">
        <f>_xll.qlInstrumentSetPricingEngine(O403,OisEngine)</f>
        <v>1</v>
      </c>
      <c r="Q403" s="489">
        <f>_xll.qlIndexFixing("euribor6m",_xll.qlInterestRateIndexFixingDate("Euribor6M",M403),TRUE,AllTriggers)</f>
        <v>2.2596070744478655E-2</v>
      </c>
      <c r="R403" s="489">
        <f>_xll.qlOvernightIndexedSwapFairRate(O403,AllTriggers)</f>
        <v>2.2120804377927055E-2</v>
      </c>
      <c r="S403" s="491">
        <f t="shared" si="10"/>
        <v>4.7526636655160007E-4</v>
      </c>
    </row>
    <row r="404" spans="5:19" ht="11.25" customHeight="1" x14ac:dyDescent="0.2">
      <c r="E404" s="483"/>
      <c r="F404" s="483"/>
      <c r="G404" s="482"/>
      <c r="J404" s="482"/>
      <c r="K404" s="482"/>
      <c r="M404" s="497">
        <f>_xll.qlCalendarAdvance(Calendar,M403,"1M","f",,Trigger)</f>
        <v>54422</v>
      </c>
      <c r="N404" s="488">
        <f>_xll.qlCalendarAdvance(Calendar,M404,"3M","f",,Trigger)</f>
        <v>54512</v>
      </c>
      <c r="O404" s="490" t="str">
        <f>_xll.qlMakeDatedOIS(,M404,N404,OvernightIndex,0,,,,EvaluationDate)</f>
        <v>obj_006b4#0001</v>
      </c>
      <c r="P404" s="490" t="b">
        <f>_xll.qlInstrumentSetPricingEngine(O404,OisEngine)</f>
        <v>1</v>
      </c>
      <c r="Q404" s="489">
        <f>_xll.qlIndexFixing("euribor6m",_xll.qlInterestRateIndexFixingDate("Euribor6M",M404),TRUE,AllTriggers)</f>
        <v>2.2614589747169997E-2</v>
      </c>
      <c r="R404" s="489">
        <f>_xll.qlOvernightIndexedSwapFairRate(O404,AllTriggers)</f>
        <v>2.2120126030019449E-2</v>
      </c>
      <c r="S404" s="491">
        <f t="shared" si="10"/>
        <v>4.9446371715054782E-4</v>
      </c>
    </row>
    <row r="405" spans="5:19" ht="11.25" customHeight="1" x14ac:dyDescent="0.2">
      <c r="E405" s="483"/>
      <c r="F405" s="483"/>
      <c r="G405" s="482"/>
      <c r="J405" s="482"/>
      <c r="K405" s="482"/>
      <c r="M405" s="497">
        <f>_xll.qlCalendarAdvance(Calendar,M404,"1M","f",,Trigger)</f>
        <v>54455</v>
      </c>
      <c r="N405" s="488">
        <f>_xll.qlCalendarAdvance(Calendar,M405,"3M","f",,Trigger)</f>
        <v>54546</v>
      </c>
      <c r="O405" s="490" t="str">
        <f>_xll.qlMakeDatedOIS(,M405,N405,OvernightIndex,0,,,,EvaluationDate)</f>
        <v>obj_00816#0001</v>
      </c>
      <c r="P405" s="490" t="b">
        <f>_xll.qlInstrumentSetPricingEngine(O405,OisEngine)</f>
        <v>1</v>
      </c>
      <c r="Q405" s="489">
        <f>_xll.qlIndexFixing("euribor6m",_xll.qlInterestRateIndexFixingDate("Euribor6M",M405),TRUE,AllTriggers)</f>
        <v>2.2635243529377135E-2</v>
      </c>
      <c r="R405" s="489">
        <f>_xll.qlOvernightIndexedSwapFairRate(O405,AllTriggers)</f>
        <v>2.2120804377927052E-2</v>
      </c>
      <c r="S405" s="491">
        <f t="shared" si="10"/>
        <v>5.1443915145008359E-4</v>
      </c>
    </row>
    <row r="406" spans="5:19" ht="11.25" customHeight="1" x14ac:dyDescent="0.2">
      <c r="E406" s="483"/>
      <c r="F406" s="483"/>
      <c r="G406" s="482"/>
      <c r="J406" s="482"/>
      <c r="K406" s="482"/>
      <c r="M406" s="497">
        <f>_xll.qlCalendarAdvance(Calendar,M405,"1M","f",,Trigger)</f>
        <v>54483</v>
      </c>
      <c r="N406" s="488">
        <f>_xll.qlCalendarAdvance(Calendar,M406,"3M","f",,Trigger)</f>
        <v>54575</v>
      </c>
      <c r="O406" s="490" t="str">
        <f>_xll.qlMakeDatedOIS(,M406,N406,OvernightIndex,0,,,,EvaluationDate)</f>
        <v>obj_006b7#0001</v>
      </c>
      <c r="P406" s="490" t="b">
        <f>_xll.qlInstrumentSetPricingEngine(O406,OisEngine)</f>
        <v>1</v>
      </c>
      <c r="Q406" s="489">
        <f>_xll.qlIndexFixing("euribor6m",_xll.qlInterestRateIndexFixingDate("Euribor6M",M406),TRUE,AllTriggers)</f>
        <v>2.2655066938727101E-2</v>
      </c>
      <c r="R406" s="489">
        <f>_xll.qlOvernightIndexedSwapFairRate(O406,AllTriggers)</f>
        <v>2.2121482753559223E-2</v>
      </c>
      <c r="S406" s="491">
        <f t="shared" si="10"/>
        <v>5.335841851678777E-4</v>
      </c>
    </row>
    <row r="407" spans="5:19" ht="11.25" customHeight="1" x14ac:dyDescent="0.2">
      <c r="E407" s="483"/>
      <c r="F407" s="483"/>
      <c r="G407" s="482"/>
      <c r="J407" s="482"/>
      <c r="K407" s="482"/>
      <c r="M407" s="497">
        <f>_xll.qlCalendarAdvance(Calendar,M406,"1M","f",,Trigger)</f>
        <v>54514</v>
      </c>
      <c r="N407" s="488">
        <f>_xll.qlCalendarAdvance(Calendar,M407,"3M","f",,Trigger)</f>
        <v>54605</v>
      </c>
      <c r="O407" s="490" t="str">
        <f>_xll.qlMakeDatedOIS(,M407,N407,OvernightIndex,0,,,,EvaluationDate)</f>
        <v>obj_00803#0001</v>
      </c>
      <c r="P407" s="490" t="b">
        <f>_xll.qlInstrumentSetPricingEngine(O407,OisEngine)</f>
        <v>1</v>
      </c>
      <c r="Q407" s="489">
        <f>_xll.qlIndexFixing("euribor6m",_xll.qlInterestRateIndexFixingDate("Euribor6M",M407),TRUE,AllTriggers)</f>
        <v>2.2673937066177926E-2</v>
      </c>
      <c r="R407" s="489">
        <f>_xll.qlOvernightIndexedSwapFairRate(O407,AllTriggers)</f>
        <v>2.2120804377927052E-2</v>
      </c>
      <c r="S407" s="491">
        <f t="shared" si="10"/>
        <v>5.5313268825087428E-4</v>
      </c>
    </row>
    <row r="408" spans="5:19" ht="11.25" customHeight="1" x14ac:dyDescent="0.2">
      <c r="E408" s="483"/>
      <c r="F408" s="483"/>
      <c r="G408" s="482"/>
      <c r="J408" s="482"/>
      <c r="K408" s="482"/>
      <c r="M408" s="497">
        <f>_xll.qlCalendarAdvance(Calendar,M407,"1M","f",,Trigger)</f>
        <v>54546</v>
      </c>
      <c r="N408" s="488">
        <f>_xll.qlCalendarAdvance(Calendar,M408,"3M","f",,Trigger)</f>
        <v>54638</v>
      </c>
      <c r="O408" s="490" t="str">
        <f>_xll.qlMakeDatedOIS(,M408,N408,OvernightIndex,0,,,,EvaluationDate)</f>
        <v>obj_006ba#0001</v>
      </c>
      <c r="P408" s="490" t="b">
        <f>_xll.qlInstrumentSetPricingEngine(O408,OisEngine)</f>
        <v>1</v>
      </c>
      <c r="Q408" s="489">
        <f>_xll.qlIndexFixing("euribor6m",_xll.qlInterestRateIndexFixingDate("Euribor6M",M408),TRUE,AllTriggers)</f>
        <v>2.2695649878701304E-2</v>
      </c>
      <c r="R408" s="489">
        <f>_xll.qlOvernightIndexedSwapFairRate(O408,AllTriggers)</f>
        <v>2.2121482753559227E-2</v>
      </c>
      <c r="S408" s="491">
        <f t="shared" si="10"/>
        <v>5.7416712514207768E-4</v>
      </c>
    </row>
    <row r="409" spans="5:19" ht="11.25" customHeight="1" x14ac:dyDescent="0.2">
      <c r="E409" s="483"/>
      <c r="F409" s="483"/>
      <c r="G409" s="482"/>
      <c r="J409" s="482"/>
      <c r="K409" s="482"/>
      <c r="M409" s="497">
        <f>_xll.qlCalendarAdvance(Calendar,M408,"1M","f",,Trigger)</f>
        <v>54577</v>
      </c>
      <c r="N409" s="488">
        <f>_xll.qlCalendarAdvance(Calendar,M409,"3M","f",,Trigger)</f>
        <v>54669</v>
      </c>
      <c r="O409" s="490" t="str">
        <f>_xll.qlMakeDatedOIS(,M409,N409,OvernightIndex,0,,,,EvaluationDate)</f>
        <v>obj_007ee#0001</v>
      </c>
      <c r="P409" s="490" t="b">
        <f>_xll.qlInstrumentSetPricingEngine(O409,OisEngine)</f>
        <v>1</v>
      </c>
      <c r="Q409" s="489">
        <f>_xll.qlIndexFixing("euribor6m",_xll.qlInterestRateIndexFixingDate("Euribor6M",M409),TRUE,AllTriggers)</f>
        <v>2.2714570913016024E-2</v>
      </c>
      <c r="R409" s="489">
        <f>_xll.qlOvernightIndexedSwapFairRate(O409,AllTriggers)</f>
        <v>2.2121482753559227E-2</v>
      </c>
      <c r="S409" s="491">
        <f t="shared" si="10"/>
        <v>5.9308815945679702E-4</v>
      </c>
    </row>
    <row r="410" spans="5:19" ht="11.25" customHeight="1" x14ac:dyDescent="0.2">
      <c r="E410" s="483"/>
      <c r="F410" s="483"/>
      <c r="G410" s="482"/>
      <c r="J410" s="482"/>
      <c r="K410" s="482"/>
      <c r="M410" s="497">
        <f>_xll.qlCalendarAdvance(Calendar,M409,"1M","f",,Trigger)</f>
        <v>54609</v>
      </c>
      <c r="N410" s="488">
        <f>_xll.qlCalendarAdvance(Calendar,M410,"3M","f",,Trigger)</f>
        <v>54701</v>
      </c>
      <c r="O410" s="490" t="str">
        <f>_xll.qlMakeDatedOIS(,M410,N410,OvernightIndex,0,,,,EvaluationDate)</f>
        <v>obj_006bd#0001</v>
      </c>
      <c r="P410" s="490" t="b">
        <f>_xll.qlInstrumentSetPricingEngine(O410,OisEngine)</f>
        <v>1</v>
      </c>
      <c r="Q410" s="489">
        <f>_xll.qlIndexFixing("euribor6m",_xll.qlInterestRateIndexFixingDate("Euribor6M",M410),TRUE,AllTriggers)</f>
        <v>2.2735905349700096E-2</v>
      </c>
      <c r="R410" s="489">
        <f>_xll.qlOvernightIndexedSwapFairRate(O410,AllTriggers)</f>
        <v>2.2121482753558356E-2</v>
      </c>
      <c r="S410" s="491">
        <f t="shared" si="10"/>
        <v>6.1442259614174002E-4</v>
      </c>
    </row>
    <row r="411" spans="5:19" ht="11.25" customHeight="1" x14ac:dyDescent="0.2">
      <c r="E411" s="483"/>
      <c r="F411" s="483"/>
      <c r="G411" s="482"/>
      <c r="J411" s="482"/>
      <c r="K411" s="482"/>
      <c r="M411" s="497">
        <f>_xll.qlCalendarAdvance(Calendar,M410,"1M","f",,Trigger)</f>
        <v>54640</v>
      </c>
      <c r="N411" s="488">
        <f>_xll.qlCalendarAdvance(Calendar,M411,"3M","f",,Trigger)</f>
        <v>54732</v>
      </c>
      <c r="O411" s="490" t="str">
        <f>_xll.qlMakeDatedOIS(,M411,N411,OvernightIndex,0,,,,EvaluationDate)</f>
        <v>obj_006bf#0001</v>
      </c>
      <c r="P411" s="490" t="b">
        <f>_xll.qlInstrumentSetPricingEngine(O411,OisEngine)</f>
        <v>1</v>
      </c>
      <c r="Q411" s="489">
        <f>_xll.qlIndexFixing("euribor6m",_xll.qlInterestRateIndexFixingDate("Euribor6M",M411),TRUE,AllTriggers)</f>
        <v>2.2757109553787104E-2</v>
      </c>
      <c r="R411" s="489">
        <f>_xll.qlOvernightIndexedSwapFairRate(O411,AllTriggers)</f>
        <v>2.2121482753558356E-2</v>
      </c>
      <c r="S411" s="491">
        <f t="shared" si="10"/>
        <v>6.356268002287481E-4</v>
      </c>
    </row>
    <row r="412" spans="5:19" ht="11.25" customHeight="1" x14ac:dyDescent="0.2">
      <c r="E412" s="483"/>
      <c r="F412" s="483"/>
      <c r="G412" s="482"/>
      <c r="J412" s="482"/>
      <c r="K412" s="482"/>
      <c r="M412" s="497">
        <f>_xll.qlCalendarAdvance(Calendar,M411,"1M","f",,Trigger)</f>
        <v>54672</v>
      </c>
      <c r="N412" s="488">
        <f>_xll.qlCalendarAdvance(Calendar,M412,"3M","f",,Trigger)</f>
        <v>54763</v>
      </c>
      <c r="O412" s="490" t="str">
        <f>_xll.qlMakeDatedOIS(,M412,N412,OvernightIndex,0,,,,EvaluationDate)</f>
        <v>obj_006c1#0001</v>
      </c>
      <c r="P412" s="490" t="b">
        <f>_xll.qlInstrumentSetPricingEngine(O412,OisEngine)</f>
        <v>1</v>
      </c>
      <c r="Q412" s="489">
        <f>_xll.qlIndexFixing("euribor6m",_xll.qlInterestRateIndexFixingDate("Euribor6M",M412),TRUE,AllTriggers)</f>
        <v>2.2772202128061678E-2</v>
      </c>
      <c r="R412" s="489">
        <f>_xll.qlOvernightIndexedSwapFairRate(O412,AllTriggers)</f>
        <v>2.2120804377927052E-2</v>
      </c>
      <c r="S412" s="491">
        <f t="shared" si="10"/>
        <v>6.5139775013462603E-4</v>
      </c>
    </row>
    <row r="413" spans="5:19" ht="11.25" customHeight="1" x14ac:dyDescent="0.2">
      <c r="E413" s="483"/>
      <c r="F413" s="483"/>
      <c r="G413" s="482"/>
      <c r="J413" s="482"/>
      <c r="K413" s="482"/>
      <c r="M413" s="497">
        <f>_xll.qlCalendarAdvance(Calendar,M412,"1M","f",,Trigger)</f>
        <v>54702</v>
      </c>
      <c r="N413" s="488">
        <f>_xll.qlCalendarAdvance(Calendar,M413,"3M","f",,Trigger)</f>
        <v>54794</v>
      </c>
      <c r="O413" s="490" t="str">
        <f>_xll.qlMakeDatedOIS(,M413,N413,OvernightIndex,0,,,,EvaluationDate)</f>
        <v>obj_00887#0001</v>
      </c>
      <c r="P413" s="490" t="b">
        <f>_xll.qlInstrumentSetPricingEngine(O413,OisEngine)</f>
        <v>1</v>
      </c>
      <c r="Q413" s="489">
        <f>_xll.qlIndexFixing("euribor6m",_xll.qlInterestRateIndexFixingDate("Euribor6M",M413),TRUE,AllTriggers)</f>
        <v>2.2789311240667898E-2</v>
      </c>
      <c r="R413" s="489">
        <f>_xll.qlOvernightIndexedSwapFairRate(O413,AllTriggers)</f>
        <v>2.2121482753559227E-2</v>
      </c>
      <c r="S413" s="491">
        <f t="shared" si="10"/>
        <v>6.6782848710867163E-4</v>
      </c>
    </row>
    <row r="414" spans="5:19" ht="11.25" customHeight="1" x14ac:dyDescent="0.2">
      <c r="E414" s="483"/>
      <c r="F414" s="483"/>
      <c r="G414" s="482"/>
      <c r="J414" s="482"/>
      <c r="K414" s="482"/>
      <c r="M414" s="497">
        <f>_xll.qlCalendarAdvance(Calendar,M413,"1M","f",,Trigger)</f>
        <v>54735</v>
      </c>
      <c r="N414" s="488">
        <f>_xll.qlCalendarAdvance(Calendar,M414,"3M","f",,Trigger)</f>
        <v>54827</v>
      </c>
      <c r="O414" s="490" t="str">
        <f>_xll.qlMakeDatedOIS(,M414,N414,OvernightIndex,0,,,,EvaluationDate)</f>
        <v>obj_006c4#0001</v>
      </c>
      <c r="P414" s="490" t="b">
        <f>_xll.qlInstrumentSetPricingEngine(O414,OisEngine)</f>
        <v>1</v>
      </c>
      <c r="Q414" s="489">
        <f>_xll.qlIndexFixing("euribor6m",_xll.qlInterestRateIndexFixingDate("Euribor6M",M414),TRUE,AllTriggers)</f>
        <v>2.2807158680352716E-2</v>
      </c>
      <c r="R414" s="489">
        <f>_xll.qlOvernightIndexedSwapFairRate(O414,AllTriggers)</f>
        <v>2.2121482753559227E-2</v>
      </c>
      <c r="S414" s="491">
        <f t="shared" si="10"/>
        <v>6.8567592679348935E-4</v>
      </c>
    </row>
    <row r="415" spans="5:19" ht="11.25" customHeight="1" x14ac:dyDescent="0.2">
      <c r="E415" s="483"/>
      <c r="F415" s="483"/>
      <c r="G415" s="482"/>
      <c r="J415" s="482"/>
      <c r="K415" s="482"/>
      <c r="M415" s="497">
        <f>_xll.qlCalendarAdvance(Calendar,M414,"1M","f",,Trigger)</f>
        <v>54765</v>
      </c>
      <c r="N415" s="488">
        <f>_xll.qlCalendarAdvance(Calendar,M415,"3M","f",,Trigger)</f>
        <v>54855</v>
      </c>
      <c r="O415" s="490" t="str">
        <f>_xll.qlMakeDatedOIS(,M415,N415,OvernightIndex,0,,,,EvaluationDate)</f>
        <v>obj_006c6#0001</v>
      </c>
      <c r="P415" s="490" t="b">
        <f>_xll.qlInstrumentSetPricingEngine(O415,OisEngine)</f>
        <v>1</v>
      </c>
      <c r="Q415" s="489">
        <f>_xll.qlIndexFixing("euribor6m",_xll.qlInterestRateIndexFixingDate("Euribor6M",M415),TRUE,AllTriggers)</f>
        <v>2.2822499365064707E-2</v>
      </c>
      <c r="R415" s="489">
        <f>_xll.qlOvernightIndexedSwapFairRate(O415,AllTriggers)</f>
        <v>2.2120126030018561E-2</v>
      </c>
      <c r="S415" s="491">
        <f t="shared" si="10"/>
        <v>7.0237333504614627E-4</v>
      </c>
    </row>
    <row r="416" spans="5:19" ht="11.25" customHeight="1" x14ac:dyDescent="0.2">
      <c r="E416" s="483"/>
      <c r="F416" s="483"/>
      <c r="G416" s="482"/>
      <c r="J416" s="482"/>
      <c r="K416" s="482"/>
      <c r="M416" s="497">
        <f>_xll.qlCalendarAdvance(Calendar,M415,"1M","f",,Trigger)</f>
        <v>54798</v>
      </c>
      <c r="N416" s="488">
        <f>_xll.qlCalendarAdvance(Calendar,M416,"3M","f",,Trigger)</f>
        <v>54890</v>
      </c>
      <c r="O416" s="490" t="str">
        <f>_xll.qlMakeDatedOIS(,M416,N416,OvernightIndex,0,,,,EvaluationDate)</f>
        <v>obj_006c8#0001</v>
      </c>
      <c r="P416" s="490" t="b">
        <f>_xll.qlInstrumentSetPricingEngine(O416,OisEngine)</f>
        <v>1</v>
      </c>
      <c r="Q416" s="489">
        <f>_xll.qlIndexFixing("euribor6m",_xll.qlInterestRateIndexFixingDate("Euribor6M",M416),TRUE,AllTriggers)</f>
        <v>2.2838401407879117E-2</v>
      </c>
      <c r="R416" s="489">
        <f>_xll.qlOvernightIndexedSwapFairRate(O416,AllTriggers)</f>
        <v>2.2121482753559223E-2</v>
      </c>
      <c r="S416" s="491">
        <f t="shared" si="10"/>
        <v>7.1691865431989382E-4</v>
      </c>
    </row>
    <row r="417" spans="5:19" ht="11.25" customHeight="1" x14ac:dyDescent="0.2">
      <c r="E417" s="483"/>
      <c r="F417" s="483"/>
      <c r="G417" s="482"/>
      <c r="J417" s="482"/>
      <c r="K417" s="482"/>
      <c r="M417" s="497">
        <f>_xll.qlCalendarAdvance(Calendar,M416,"1M","f",,Trigger)</f>
        <v>54829</v>
      </c>
      <c r="N417" s="488">
        <f>_xll.qlCalendarAdvance(Calendar,M417,"3M","f",,Trigger)</f>
        <v>54918</v>
      </c>
      <c r="O417" s="490" t="str">
        <f>_xll.qlMakeDatedOIS(,M417,N417,OvernightIndex,0,,,,EvaluationDate)</f>
        <v>obj_00847#0001</v>
      </c>
      <c r="P417" s="490" t="b">
        <f>_xll.qlInstrumentSetPricingEngine(O417,OisEngine)</f>
        <v>1</v>
      </c>
      <c r="Q417" s="489">
        <f>_xll.qlIndexFixing("euribor6m",_xll.qlInterestRateIndexFixingDate("Euribor6M",M417),TRUE,AllTriggers)</f>
        <v>2.2851484212235415E-2</v>
      </c>
      <c r="R417" s="489">
        <f>_xll.qlOvernightIndexedSwapFairRate(O417,AllTriggers)</f>
        <v>2.211944770983507E-2</v>
      </c>
      <c r="S417" s="491">
        <f t="shared" si="10"/>
        <v>7.3203650240034543E-4</v>
      </c>
    </row>
    <row r="418" spans="5:19" ht="11.25" customHeight="1" x14ac:dyDescent="0.2">
      <c r="E418" s="483"/>
      <c r="F418" s="483"/>
      <c r="G418" s="482"/>
      <c r="J418" s="482"/>
      <c r="K418" s="482"/>
      <c r="M418" s="497">
        <f>_xll.qlCalendarAdvance(Calendar,M417,"1M","f",,Trigger)</f>
        <v>54857</v>
      </c>
      <c r="N418" s="488">
        <f>_xll.qlCalendarAdvance(Calendar,M418,"3M","f",,Trigger)</f>
        <v>54949</v>
      </c>
      <c r="O418" s="490" t="str">
        <f>_xll.qlMakeDatedOIS(,M418,N418,OvernightIndex,0,,,,EvaluationDate)</f>
        <v>obj_0083c#0001</v>
      </c>
      <c r="P418" s="490" t="b">
        <f>_xll.qlInstrumentSetPricingEngine(O418,OisEngine)</f>
        <v>1</v>
      </c>
      <c r="Q418" s="489">
        <f>_xll.qlIndexFixing("euribor6m",_xll.qlInterestRateIndexFixingDate("Euribor6M",M418),TRUE,AllTriggers)</f>
        <v>2.2867949443261534E-2</v>
      </c>
      <c r="R418" s="489">
        <f>_xll.qlOvernightIndexedSwapFairRate(O418,AllTriggers)</f>
        <v>2.2121482753559223E-2</v>
      </c>
      <c r="S418" s="491">
        <f t="shared" si="10"/>
        <v>7.4646668970231034E-4</v>
      </c>
    </row>
    <row r="419" spans="5:19" ht="11.25" customHeight="1" x14ac:dyDescent="0.2">
      <c r="E419" s="483"/>
      <c r="F419" s="483"/>
      <c r="G419" s="482"/>
      <c r="J419" s="482"/>
      <c r="K419" s="482"/>
      <c r="M419" s="497">
        <f>_xll.qlCalendarAdvance(Calendar,M418,"1M","f",,Trigger)</f>
        <v>54890</v>
      </c>
      <c r="N419" s="488">
        <f>_xll.qlCalendarAdvance(Calendar,M419,"3M","f",,Trigger)</f>
        <v>54981</v>
      </c>
      <c r="O419" s="490" t="str">
        <f>_xll.qlMakeDatedOIS(,M419,N419,OvernightIndex,0,,,,EvaluationDate)</f>
        <v>obj_006cc#0001</v>
      </c>
      <c r="P419" s="490" t="b">
        <f>_xll.qlInstrumentSetPricingEngine(O419,OisEngine)</f>
        <v>1</v>
      </c>
      <c r="Q419" s="489">
        <f>_xll.qlIndexFixing("euribor6m",_xll.qlInterestRateIndexFixingDate("Euribor6M",M419),TRUE,AllTriggers)</f>
        <v>2.2878253598405101E-2</v>
      </c>
      <c r="R419" s="489">
        <f>_xll.qlOvernightIndexedSwapFairRate(O419,AllTriggers)</f>
        <v>2.2120804377927052E-2</v>
      </c>
      <c r="S419" s="491">
        <f t="shared" si="10"/>
        <v>7.5744922047804933E-4</v>
      </c>
    </row>
    <row r="420" spans="5:19" ht="11.25" customHeight="1" x14ac:dyDescent="0.2">
      <c r="E420" s="483"/>
      <c r="F420" s="483"/>
      <c r="G420" s="482"/>
      <c r="J420" s="482"/>
      <c r="K420" s="482"/>
      <c r="M420" s="497">
        <f>_xll.qlCalendarAdvance(Calendar,M419,"1M","f",,Trigger)</f>
        <v>54920</v>
      </c>
      <c r="N420" s="488">
        <f>_xll.qlCalendarAdvance(Calendar,M420,"3M","f",,Trigger)</f>
        <v>55012</v>
      </c>
      <c r="O420" s="490" t="str">
        <f>_xll.qlMakeDatedOIS(,M420,N420,OvernightIndex,0,,,,EvaluationDate)</f>
        <v>obj_006ce#0001</v>
      </c>
      <c r="P420" s="490" t="b">
        <f>_xll.qlInstrumentSetPricingEngine(O420,OisEngine)</f>
        <v>1</v>
      </c>
      <c r="Q420" s="489">
        <f>_xll.qlIndexFixing("euribor6m",_xll.qlInterestRateIndexFixingDate("Euribor6M",M420),TRUE,AllTriggers)</f>
        <v>2.2891887840879675E-2</v>
      </c>
      <c r="R420" s="489">
        <f>_xll.qlOvernightIndexedSwapFairRate(O420,AllTriggers)</f>
        <v>2.2121482753558356E-2</v>
      </c>
      <c r="S420" s="491">
        <f t="shared" si="10"/>
        <v>7.7040508732131863E-4</v>
      </c>
    </row>
    <row r="421" spans="5:19" ht="11.25" customHeight="1" x14ac:dyDescent="0.2">
      <c r="E421" s="483"/>
      <c r="F421" s="483"/>
      <c r="G421" s="482"/>
      <c r="J421" s="482"/>
      <c r="K421" s="482"/>
      <c r="M421" s="497">
        <f>_xll.qlCalendarAdvance(Calendar,M420,"1M","f",,Trigger)</f>
        <v>54952</v>
      </c>
      <c r="N421" s="488">
        <f>_xll.qlCalendarAdvance(Calendar,M421,"3M","f",,Trigger)</f>
        <v>55044</v>
      </c>
      <c r="O421" s="490" t="str">
        <f>_xll.qlMakeDatedOIS(,M421,N421,OvernightIndex,0,,,,EvaluationDate)</f>
        <v>obj_006d0#0001</v>
      </c>
      <c r="P421" s="490" t="b">
        <f>_xll.qlInstrumentSetPricingEngine(O421,OisEngine)</f>
        <v>1</v>
      </c>
      <c r="Q421" s="489">
        <f>_xll.qlIndexFixing("euribor6m",_xll.qlInterestRateIndexFixingDate("Euribor6M",M421),TRUE,AllTriggers)</f>
        <v>2.290000877351785E-2</v>
      </c>
      <c r="R421" s="489">
        <f>_xll.qlOvernightIndexedSwapFairRate(O421,AllTriggers)</f>
        <v>2.2121482753560094E-2</v>
      </c>
      <c r="S421" s="491">
        <f t="shared" si="10"/>
        <v>7.785260199577558E-4</v>
      </c>
    </row>
    <row r="422" spans="5:19" ht="11.25" customHeight="1" x14ac:dyDescent="0.2">
      <c r="E422" s="483"/>
      <c r="F422" s="483"/>
      <c r="G422" s="482"/>
      <c r="J422" s="482"/>
      <c r="K422" s="482"/>
      <c r="M422" s="497">
        <f>_xll.qlCalendarAdvance(Calendar,M421,"1M","f",,Trigger)</f>
        <v>54982</v>
      </c>
      <c r="N422" s="488">
        <f>_xll.qlCalendarAdvance(Calendar,M422,"3M","f",,Trigger)</f>
        <v>55074</v>
      </c>
      <c r="O422" s="490" t="str">
        <f>_xll.qlMakeDatedOIS(,M422,N422,OvernightIndex,0,,,,EvaluationDate)</f>
        <v>obj_006d2#0001</v>
      </c>
      <c r="P422" s="490" t="b">
        <f>_xll.qlInstrumentSetPricingEngine(O422,OisEngine)</f>
        <v>1</v>
      </c>
      <c r="Q422" s="489">
        <f>_xll.qlIndexFixing("euribor6m",_xll.qlInterestRateIndexFixingDate("Euribor6M",M422),TRUE,AllTriggers)</f>
        <v>2.2910102532325189E-2</v>
      </c>
      <c r="R422" s="489">
        <f>_xll.qlOvernightIndexedSwapFairRate(O422,AllTriggers)</f>
        <v>2.2121482753559223E-2</v>
      </c>
      <c r="S422" s="491">
        <f t="shared" si="10"/>
        <v>7.8861977876596573E-4</v>
      </c>
    </row>
    <row r="423" spans="5:19" ht="11.25" customHeight="1" x14ac:dyDescent="0.2">
      <c r="E423" s="483"/>
      <c r="F423" s="483"/>
      <c r="G423" s="482"/>
      <c r="J423" s="482"/>
      <c r="K423" s="482"/>
      <c r="M423" s="497">
        <f>_xll.qlCalendarAdvance(Calendar,M422,"1M","f",,Trigger)</f>
        <v>55015</v>
      </c>
      <c r="N423" s="488">
        <f>_xll.qlCalendarAdvance(Calendar,M423,"3M","f",,Trigger)</f>
        <v>55107</v>
      </c>
      <c r="O423" s="490" t="str">
        <f>_xll.qlMakeDatedOIS(,M423,N423,OvernightIndex,0,,,,EvaluationDate)</f>
        <v>obj_0082f#0001</v>
      </c>
      <c r="P423" s="490" t="b">
        <f>_xll.qlInstrumentSetPricingEngine(O423,OisEngine)</f>
        <v>1</v>
      </c>
      <c r="Q423" s="489">
        <f>_xll.qlIndexFixing("euribor6m",_xll.qlInterestRateIndexFixingDate("Euribor6M",M423),TRUE,AllTriggers)</f>
        <v>2.29192734300247E-2</v>
      </c>
      <c r="R423" s="489">
        <f>_xll.qlOvernightIndexedSwapFairRate(O423,AllTriggers)</f>
        <v>2.2121482753559227E-2</v>
      </c>
      <c r="S423" s="491">
        <f t="shared" si="10"/>
        <v>7.9779067646547352E-4</v>
      </c>
    </row>
    <row r="424" spans="5:19" ht="11.25" customHeight="1" x14ac:dyDescent="0.2">
      <c r="E424" s="483"/>
      <c r="F424" s="483"/>
      <c r="G424" s="482"/>
      <c r="J424" s="482"/>
      <c r="K424" s="482"/>
      <c r="M424" s="497">
        <f>_xll.qlCalendarAdvance(Calendar,M423,"1M","f",,Trigger)</f>
        <v>55046</v>
      </c>
      <c r="N424" s="488">
        <f>_xll.qlCalendarAdvance(Calendar,M424,"3M","f",,Trigger)</f>
        <v>55137</v>
      </c>
      <c r="O424" s="490" t="str">
        <f>_xll.qlMakeDatedOIS(,M424,N424,OvernightIndex,0,,,,EvaluationDate)</f>
        <v>obj_006d5#0001</v>
      </c>
      <c r="P424" s="490" t="b">
        <f>_xll.qlInstrumentSetPricingEngine(O424,OisEngine)</f>
        <v>1</v>
      </c>
      <c r="Q424" s="489">
        <f>_xll.qlIndexFixing("euribor6m",_xll.qlInterestRateIndexFixingDate("Euribor6M",M424),TRUE,AllTriggers)</f>
        <v>2.2924470001916986E-2</v>
      </c>
      <c r="R424" s="489">
        <f>_xll.qlOvernightIndexedSwapFairRate(O424,AllTriggers)</f>
        <v>2.2120804377927055E-2</v>
      </c>
      <c r="S424" s="491">
        <f t="shared" si="10"/>
        <v>8.0366562398993119E-4</v>
      </c>
    </row>
    <row r="425" spans="5:19" ht="11.25" customHeight="1" x14ac:dyDescent="0.2">
      <c r="E425" s="483"/>
      <c r="F425" s="483"/>
      <c r="G425" s="482"/>
      <c r="J425" s="482"/>
      <c r="K425" s="482"/>
      <c r="M425" s="497">
        <f>_xll.qlCalendarAdvance(Calendar,M424,"1M","f",,Trigger)</f>
        <v>55078</v>
      </c>
      <c r="N425" s="488">
        <f>_xll.qlCalendarAdvance(Calendar,M425,"3M","f",,Trigger)</f>
        <v>55170</v>
      </c>
      <c r="O425" s="490" t="str">
        <f>_xll.qlMakeDatedOIS(,M425,N425,OvernightIndex,0,,,,EvaluationDate)</f>
        <v>obj_00822#0001</v>
      </c>
      <c r="P425" s="490" t="b">
        <f>_xll.qlInstrumentSetPricingEngine(O425,OisEngine)</f>
        <v>1</v>
      </c>
      <c r="Q425" s="489">
        <f>_xll.qlIndexFixing("euribor6m",_xll.qlInterestRateIndexFixingDate("Euribor6M",M425),TRUE,AllTriggers)</f>
        <v>2.293232036434292E-2</v>
      </c>
      <c r="R425" s="489">
        <f>_xll.qlOvernightIndexedSwapFairRate(O425,AllTriggers)</f>
        <v>2.2121482753560098E-2</v>
      </c>
      <c r="S425" s="491">
        <f t="shared" si="10"/>
        <v>8.108376107828219E-4</v>
      </c>
    </row>
    <row r="426" spans="5:19" ht="11.25" customHeight="1" x14ac:dyDescent="0.2">
      <c r="E426" s="483"/>
      <c r="F426" s="483"/>
      <c r="G426" s="482"/>
      <c r="J426" s="482"/>
      <c r="K426" s="482"/>
      <c r="M426" s="497">
        <f>_xll.qlCalendarAdvance(Calendar,M425,"1M","f",,Trigger)</f>
        <v>55109</v>
      </c>
      <c r="N426" s="488">
        <f>_xll.qlCalendarAdvance(Calendar,M426,"3M","f",,Trigger)</f>
        <v>55201</v>
      </c>
      <c r="O426" s="490" t="str">
        <f>_xll.qlMakeDatedOIS(,M426,N426,OvernightIndex,0,,,,EvaluationDate)</f>
        <v>obj_006d8#0001</v>
      </c>
      <c r="P426" s="490" t="b">
        <f>_xll.qlInstrumentSetPricingEngine(O426,OisEngine)</f>
        <v>1</v>
      </c>
      <c r="Q426" s="489">
        <f>_xll.qlIndexFixing("euribor6m",_xll.qlInterestRateIndexFixingDate("Euribor6M",M426),TRUE,AllTriggers)</f>
        <v>2.2937405564472674E-2</v>
      </c>
      <c r="R426" s="489">
        <f>_xll.qlOvernightIndexedSwapFairRate(O426,AllTriggers)</f>
        <v>2.2121482753559223E-2</v>
      </c>
      <c r="S426" s="491">
        <f t="shared" si="10"/>
        <v>8.1592281091345115E-4</v>
      </c>
    </row>
    <row r="427" spans="5:19" ht="11.25" customHeight="1" x14ac:dyDescent="0.2">
      <c r="E427" s="483"/>
      <c r="F427" s="483"/>
      <c r="G427" s="482"/>
      <c r="J427" s="482"/>
      <c r="K427" s="482"/>
      <c r="M427" s="497">
        <f>_xll.qlCalendarAdvance(Calendar,M426,"1M","f",,Trigger)</f>
        <v>55141</v>
      </c>
      <c r="N427" s="488">
        <f>_xll.qlCalendarAdvance(Calendar,M427,"3M","f",,Trigger)</f>
        <v>55232</v>
      </c>
      <c r="O427" s="490" t="str">
        <f>_xll.qlMakeDatedOIS(,M427,N427,OvernightIndex,0,,,,EvaluationDate)</f>
        <v>obj_0085d#0001</v>
      </c>
      <c r="P427" s="490" t="b">
        <f>_xll.qlInstrumentSetPricingEngine(O427,OisEngine)</f>
        <v>1</v>
      </c>
      <c r="Q427" s="489">
        <f>_xll.qlIndexFixing("euribor6m",_xll.qlInterestRateIndexFixingDate("Euribor6M",M427),TRUE,AllTriggers)</f>
        <v>2.2943340479018661E-2</v>
      </c>
      <c r="R427" s="489">
        <f>_xll.qlOvernightIndexedSwapFairRate(O427,AllTriggers)</f>
        <v>2.2120804377927052E-2</v>
      </c>
      <c r="S427" s="491">
        <f t="shared" si="10"/>
        <v>8.2253610109160949E-4</v>
      </c>
    </row>
    <row r="428" spans="5:19" ht="11.25" customHeight="1" x14ac:dyDescent="0.2">
      <c r="E428" s="483"/>
      <c r="F428" s="483"/>
      <c r="G428" s="482"/>
      <c r="J428" s="482"/>
      <c r="K428" s="482"/>
      <c r="M428" s="497">
        <f>_xll.qlCalendarAdvance(Calendar,M427,"1M","f",,Trigger)</f>
        <v>55172</v>
      </c>
      <c r="N428" s="488">
        <f>_xll.qlCalendarAdvance(Calendar,M428,"3M","f",,Trigger)</f>
        <v>55262</v>
      </c>
      <c r="O428" s="490" t="str">
        <f>_xll.qlMakeDatedOIS(,M428,N428,OvernightIndex,0,,,,EvaluationDate)</f>
        <v>obj_006db#0001</v>
      </c>
      <c r="P428" s="490" t="b">
        <f>_xll.qlInstrumentSetPricingEngine(O428,OisEngine)</f>
        <v>1</v>
      </c>
      <c r="Q428" s="489">
        <f>_xll.qlIndexFixing("euribor6m",_xll.qlInterestRateIndexFixingDate("Euribor6M",M428),TRUE,AllTriggers)</f>
        <v>2.2946626737072533E-2</v>
      </c>
      <c r="R428" s="489">
        <f>_xll.qlOvernightIndexedSwapFairRate(O428,AllTriggers)</f>
        <v>2.2120126030019449E-2</v>
      </c>
      <c r="S428" s="491">
        <f t="shared" si="10"/>
        <v>8.2650070705308359E-4</v>
      </c>
    </row>
    <row r="429" spans="5:19" ht="11.25" customHeight="1" x14ac:dyDescent="0.2">
      <c r="E429" s="483"/>
      <c r="F429" s="483"/>
      <c r="G429" s="482"/>
      <c r="J429" s="482"/>
      <c r="K429" s="482"/>
      <c r="M429" s="497">
        <f>_xll.qlCalendarAdvance(Calendar,M428,"1M","f",,Trigger)</f>
        <v>55204</v>
      </c>
      <c r="N429" s="488">
        <f>_xll.qlCalendarAdvance(Calendar,M429,"3M","f",,Trigger)</f>
        <v>55295</v>
      </c>
      <c r="O429" s="490" t="str">
        <f>_xll.qlMakeDatedOIS(,M429,N429,OvernightIndex,0,,,,EvaluationDate)</f>
        <v>obj_00802#0001</v>
      </c>
      <c r="P429" s="490" t="b">
        <f>_xll.qlInstrumentSetPricingEngine(O429,OisEngine)</f>
        <v>1</v>
      </c>
      <c r="Q429" s="489">
        <f>_xll.qlIndexFixing("euribor6m",_xll.qlInterestRateIndexFixingDate("Euribor6M",M429),TRUE,AllTriggers)</f>
        <v>2.295064593971834E-2</v>
      </c>
      <c r="R429" s="489">
        <f>_xll.qlOvernightIndexedSwapFairRate(O429,AllTriggers)</f>
        <v>2.2120804377927052E-2</v>
      </c>
      <c r="S429" s="491">
        <f t="shared" si="10"/>
        <v>8.298415617912884E-4</v>
      </c>
    </row>
    <row r="430" spans="5:19" ht="11.25" customHeight="1" x14ac:dyDescent="0.2">
      <c r="E430" s="483"/>
      <c r="F430" s="483"/>
      <c r="G430" s="482"/>
      <c r="J430" s="482"/>
      <c r="K430" s="482"/>
      <c r="M430" s="497">
        <f>_xll.qlCalendarAdvance(Calendar,M429,"1M","f",,Trigger)</f>
        <v>55232</v>
      </c>
      <c r="N430" s="488">
        <f>_xll.qlCalendarAdvance(Calendar,M430,"3M","f",,Trigger)</f>
        <v>55324</v>
      </c>
      <c r="O430" s="490" t="str">
        <f>_xll.qlMakeDatedOIS(,M430,N430,OvernightIndex,0,,,,EvaluationDate)</f>
        <v>obj_007ed#0001</v>
      </c>
      <c r="P430" s="490" t="b">
        <f>_xll.qlInstrumentSetPricingEngine(O430,OisEngine)</f>
        <v>1</v>
      </c>
      <c r="Q430" s="489">
        <f>_xll.qlIndexFixing("euribor6m",_xll.qlInterestRateIndexFixingDate("Euribor6M",M430),TRUE,AllTriggers)</f>
        <v>2.2954189544518735E-2</v>
      </c>
      <c r="R430" s="489">
        <f>_xll.qlOvernightIndexedSwapFairRate(O430,AllTriggers)</f>
        <v>2.2121482753559223E-2</v>
      </c>
      <c r="S430" s="491">
        <f t="shared" si="10"/>
        <v>8.3270679095951219E-4</v>
      </c>
    </row>
    <row r="431" spans="5:19" ht="11.25" customHeight="1" x14ac:dyDescent="0.2">
      <c r="E431" s="483"/>
      <c r="F431" s="483"/>
      <c r="G431" s="482"/>
      <c r="J431" s="482"/>
      <c r="K431" s="482"/>
      <c r="M431" s="497">
        <f>_xll.qlCalendarAdvance(Calendar,M430,"1M","f",,Trigger)</f>
        <v>55263</v>
      </c>
      <c r="N431" s="488">
        <f>_xll.qlCalendarAdvance(Calendar,M431,"3M","f",,Trigger)</f>
        <v>55354</v>
      </c>
      <c r="O431" s="490" t="str">
        <f>_xll.qlMakeDatedOIS(,M431,N431,OvernightIndex,0,,,,EvaluationDate)</f>
        <v>obj_006df#0001</v>
      </c>
      <c r="P431" s="490" t="b">
        <f>_xll.qlInstrumentSetPricingEngine(O431,OisEngine)</f>
        <v>1</v>
      </c>
      <c r="Q431" s="489">
        <f>_xll.qlIndexFixing("euribor6m",_xll.qlInterestRateIndexFixingDate("Euribor6M",M431),TRUE,AllTriggers)</f>
        <v>2.2954849433577743E-2</v>
      </c>
      <c r="R431" s="489">
        <f>_xll.qlOvernightIndexedSwapFairRate(O431,AllTriggers)</f>
        <v>2.2120804377927052E-2</v>
      </c>
      <c r="S431" s="491">
        <f t="shared" si="10"/>
        <v>8.3404505565069093E-4</v>
      </c>
    </row>
    <row r="432" spans="5:19" ht="11.25" customHeight="1" x14ac:dyDescent="0.2">
      <c r="E432" s="483"/>
      <c r="F432" s="483"/>
      <c r="G432" s="482"/>
      <c r="J432" s="482"/>
      <c r="K432" s="482"/>
      <c r="M432" s="497">
        <f>_xll.qlCalendarAdvance(Calendar,M431,"1M","f",,Trigger)</f>
        <v>55295</v>
      </c>
      <c r="N432" s="488">
        <f>_xll.qlCalendarAdvance(Calendar,M432,"3M","f",,Trigger)</f>
        <v>55387</v>
      </c>
      <c r="O432" s="490" t="str">
        <f>_xll.qlMakeDatedOIS(,M432,N432,OvernightIndex,0,,,,EvaluationDate)</f>
        <v>obj_006e1#0001</v>
      </c>
      <c r="P432" s="490" t="b">
        <f>_xll.qlInstrumentSetPricingEngine(O432,OisEngine)</f>
        <v>1</v>
      </c>
      <c r="Q432" s="489">
        <f>_xll.qlIndexFixing("euribor6m",_xll.qlInterestRateIndexFixingDate("Euribor6M",M432),TRUE,AllTriggers)</f>
        <v>2.2956070602220078E-2</v>
      </c>
      <c r="R432" s="489">
        <f>_xll.qlOvernightIndexedSwapFairRate(O432,AllTriggers)</f>
        <v>2.2121482753559227E-2</v>
      </c>
      <c r="S432" s="491">
        <f t="shared" si="10"/>
        <v>8.3458784866085114E-4</v>
      </c>
    </row>
    <row r="433" spans="5:19" ht="11.25" customHeight="1" x14ac:dyDescent="0.2">
      <c r="E433" s="483"/>
      <c r="F433" s="483"/>
      <c r="G433" s="482"/>
      <c r="J433" s="482"/>
      <c r="K433" s="482"/>
      <c r="M433" s="497">
        <f>_xll.qlCalendarAdvance(Calendar,M432,"1M","f",,Trigger)</f>
        <v>55326</v>
      </c>
      <c r="N433" s="488">
        <f>_xll.qlCalendarAdvance(Calendar,M433,"3M","f",,Trigger)</f>
        <v>55418</v>
      </c>
      <c r="O433" s="490" t="str">
        <f>_xll.qlMakeDatedOIS(,M433,N433,OvernightIndex,0,,,,EvaluationDate)</f>
        <v>obj_0089d#0001</v>
      </c>
      <c r="P433" s="490" t="b">
        <f>_xll.qlInstrumentSetPricingEngine(O433,OisEngine)</f>
        <v>1</v>
      </c>
      <c r="Q433" s="489">
        <f>_xll.qlIndexFixing("euribor6m",_xll.qlInterestRateIndexFixingDate("Euribor6M",M433),TRUE,AllTriggers)</f>
        <v>2.2954931863387606E-2</v>
      </c>
      <c r="R433" s="489">
        <f>_xll.qlOvernightIndexedSwapFairRate(O433,AllTriggers)</f>
        <v>2.2121482753559223E-2</v>
      </c>
      <c r="S433" s="491">
        <f t="shared" si="10"/>
        <v>8.334491098283825E-4</v>
      </c>
    </row>
    <row r="434" spans="5:19" ht="11.25" customHeight="1" x14ac:dyDescent="0.2">
      <c r="E434" s="483"/>
      <c r="F434" s="483"/>
      <c r="G434" s="482"/>
      <c r="J434" s="482"/>
      <c r="K434" s="482"/>
      <c r="M434" s="497">
        <f>_xll.qlCalendarAdvance(Calendar,M433,"1M","f",,Trigger)</f>
        <v>55358</v>
      </c>
      <c r="N434" s="488">
        <f>_xll.qlCalendarAdvance(Calendar,M434,"3M","f",,Trigger)</f>
        <v>55450</v>
      </c>
      <c r="O434" s="490" t="str">
        <f>_xll.qlMakeDatedOIS(,M434,N434,OvernightIndex,0,,,,EvaluationDate)</f>
        <v>obj_00896#0001</v>
      </c>
      <c r="P434" s="490" t="b">
        <f>_xll.qlInstrumentSetPricingEngine(O434,OisEngine)</f>
        <v>1</v>
      </c>
      <c r="Q434" s="489">
        <f>_xll.qlIndexFixing("euribor6m",_xll.qlInterestRateIndexFixingDate("Euribor6M",M434),TRUE,AllTriggers)</f>
        <v>2.2954236472057982E-2</v>
      </c>
      <c r="R434" s="489">
        <f>_xll.qlOvernightIndexedSwapFairRate(O434,AllTriggers)</f>
        <v>2.2121482753559227E-2</v>
      </c>
      <c r="S434" s="491">
        <f t="shared" si="10"/>
        <v>8.327537184987556E-4</v>
      </c>
    </row>
    <row r="435" spans="5:19" ht="11.25" customHeight="1" x14ac:dyDescent="0.2">
      <c r="E435" s="483"/>
      <c r="F435" s="483"/>
      <c r="G435" s="482"/>
      <c r="J435" s="482"/>
      <c r="K435" s="482"/>
      <c r="M435" s="497">
        <f>_xll.qlCalendarAdvance(Calendar,M434,"1M","f",,Trigger)</f>
        <v>55389</v>
      </c>
      <c r="N435" s="488">
        <f>_xll.qlCalendarAdvance(Calendar,M435,"3M","f",,Trigger)</f>
        <v>55481</v>
      </c>
      <c r="O435" s="490" t="str">
        <f>_xll.qlMakeDatedOIS(,M435,N435,OvernightIndex,0,,,,EvaluationDate)</f>
        <v>obj_006e5#0001</v>
      </c>
      <c r="P435" s="490" t="b">
        <f>_xll.qlInstrumentSetPricingEngine(O435,OisEngine)</f>
        <v>1</v>
      </c>
      <c r="Q435" s="489">
        <f>_xll.qlIndexFixing("euribor6m",_xll.qlInterestRateIndexFixingDate("Euribor6M",M435),TRUE,AllTriggers)</f>
        <v>2.2953310865074291E-2</v>
      </c>
      <c r="R435" s="489">
        <f>_xll.qlOvernightIndexedSwapFairRate(O435,AllTriggers)</f>
        <v>2.2121482753559223E-2</v>
      </c>
      <c r="S435" s="491">
        <f t="shared" si="10"/>
        <v>8.3182811151506775E-4</v>
      </c>
    </row>
    <row r="436" spans="5:19" ht="11.25" customHeight="1" x14ac:dyDescent="0.2">
      <c r="E436" s="483"/>
      <c r="F436" s="483"/>
      <c r="G436" s="482"/>
      <c r="J436" s="482"/>
      <c r="K436" s="482"/>
      <c r="M436" s="497">
        <f>_xll.qlCalendarAdvance(Calendar,M435,"1M","f",,Trigger)</f>
        <v>55421</v>
      </c>
      <c r="N436" s="488">
        <f>_xll.qlCalendarAdvance(Calendar,M436,"3M","f",,Trigger)</f>
        <v>55514</v>
      </c>
      <c r="O436" s="490" t="str">
        <f>_xll.qlMakeDatedOIS(,M436,N436,OvernightIndex,0,,,,EvaluationDate)</f>
        <v>obj_006e7#0001</v>
      </c>
      <c r="P436" s="490" t="b">
        <f>_xll.qlInstrumentSetPricingEngine(O436,OisEngine)</f>
        <v>1</v>
      </c>
      <c r="Q436" s="489">
        <f>_xll.qlIndexFixing("euribor6m",_xll.qlInterestRateIndexFixingDate("Euribor6M",M436),TRUE,AllTriggers)</f>
        <v>2.2947375649789371E-2</v>
      </c>
      <c r="R436" s="489">
        <f>_xll.qlOvernightIndexedSwapFairRate(O436,AllTriggers)</f>
        <v>2.2122161156916384E-2</v>
      </c>
      <c r="S436" s="491">
        <f t="shared" si="10"/>
        <v>8.2521449287298668E-4</v>
      </c>
    </row>
    <row r="437" spans="5:19" ht="11.25" customHeight="1" x14ac:dyDescent="0.2">
      <c r="E437" s="483"/>
      <c r="F437" s="483"/>
      <c r="G437" s="482"/>
      <c r="J437" s="482"/>
      <c r="K437" s="482"/>
      <c r="M437" s="497">
        <f>_xll.qlCalendarAdvance(Calendar,M436,"1M","f",,Trigger)</f>
        <v>55451</v>
      </c>
      <c r="N437" s="488">
        <f>_xll.qlCalendarAdvance(Calendar,M437,"3M","f",,Trigger)</f>
        <v>55543</v>
      </c>
      <c r="O437" s="490" t="str">
        <f>_xll.qlMakeDatedOIS(,M437,N437,OvernightIndex,0,,,,EvaluationDate)</f>
        <v>obj_0083b#0001</v>
      </c>
      <c r="P437" s="490" t="b">
        <f>_xll.qlInstrumentSetPricingEngine(O437,OisEngine)</f>
        <v>1</v>
      </c>
      <c r="Q437" s="489">
        <f>_xll.qlIndexFixing("euribor6m",_xll.qlInterestRateIndexFixingDate("Euribor6M",M437),TRUE,AllTriggers)</f>
        <v>2.2944097534908427E-2</v>
      </c>
      <c r="R437" s="489">
        <f>_xll.qlOvernightIndexedSwapFairRate(O437,AllTriggers)</f>
        <v>2.2121482753559223E-2</v>
      </c>
      <c r="S437" s="491">
        <f t="shared" si="10"/>
        <v>8.2261478134920338E-4</v>
      </c>
    </row>
    <row r="438" spans="5:19" ht="11.25" customHeight="1" x14ac:dyDescent="0.2">
      <c r="E438" s="483"/>
      <c r="F438" s="483"/>
      <c r="G438" s="482"/>
      <c r="J438" s="482"/>
      <c r="K438" s="482"/>
      <c r="M438" s="497">
        <f>_xll.qlCalendarAdvance(Calendar,M437,"1M","f",,Trigger)</f>
        <v>55484</v>
      </c>
      <c r="N438" s="488">
        <f>_xll.qlCalendarAdvance(Calendar,M438,"3M","f",,Trigger)</f>
        <v>55576</v>
      </c>
      <c r="O438" s="490" t="str">
        <f>_xll.qlMakeDatedOIS(,M438,N438,OvernightIndex,0,,,,EvaluationDate)</f>
        <v>obj_006ea#0001</v>
      </c>
      <c r="P438" s="490" t="b">
        <f>_xll.qlInstrumentSetPricingEngine(O438,OisEngine)</f>
        <v>1</v>
      </c>
      <c r="Q438" s="489">
        <f>_xll.qlIndexFixing("euribor6m",_xll.qlInterestRateIndexFixingDate("Euribor6M",M438),TRUE,AllTriggers)</f>
        <v>2.2938171332391878E-2</v>
      </c>
      <c r="R438" s="489">
        <f>_xll.qlOvernightIndexedSwapFairRate(O438,AllTriggers)</f>
        <v>2.2121482753559227E-2</v>
      </c>
      <c r="S438" s="491">
        <f t="shared" si="10"/>
        <v>8.1668857883265139E-4</v>
      </c>
    </row>
    <row r="439" spans="5:19" ht="11.25" customHeight="1" x14ac:dyDescent="0.2">
      <c r="E439" s="483"/>
      <c r="F439" s="483"/>
      <c r="G439" s="482"/>
      <c r="J439" s="482"/>
      <c r="K439" s="482"/>
      <c r="M439" s="497">
        <f>_xll.qlCalendarAdvance(Calendar,M438,"1M","f",,Trigger)</f>
        <v>55514</v>
      </c>
      <c r="N439" s="488">
        <f>_xll.qlCalendarAdvance(Calendar,M439,"3M","f",,Trigger)</f>
        <v>55605</v>
      </c>
      <c r="O439" s="490" t="str">
        <f>_xll.qlMakeDatedOIS(,M439,N439,OvernightIndex,0,,,,EvaluationDate)</f>
        <v>obj_006ec#0001</v>
      </c>
      <c r="P439" s="490" t="b">
        <f>_xll.qlInstrumentSetPricingEngine(O439,OisEngine)</f>
        <v>1</v>
      </c>
      <c r="Q439" s="489">
        <f>_xll.qlIndexFixing("euribor6m",_xll.qlInterestRateIndexFixingDate("Euribor6M",M439),TRUE,AllTriggers)</f>
        <v>2.2933094162582348E-2</v>
      </c>
      <c r="R439" s="489">
        <f>_xll.qlOvernightIndexedSwapFairRate(O439,AllTriggers)</f>
        <v>2.2120804377927055E-2</v>
      </c>
      <c r="S439" s="491">
        <f t="shared" si="10"/>
        <v>8.1228978465529289E-4</v>
      </c>
    </row>
    <row r="440" spans="5:19" ht="11.25" customHeight="1" x14ac:dyDescent="0.2">
      <c r="E440" s="483"/>
      <c r="F440" s="483"/>
      <c r="G440" s="482"/>
      <c r="J440" s="482"/>
      <c r="K440" s="482"/>
      <c r="M440" s="497">
        <f>_xll.qlCalendarAdvance(Calendar,M439,"1M","f",,Trigger)</f>
        <v>55547</v>
      </c>
      <c r="N440" s="488">
        <f>_xll.qlCalendarAdvance(Calendar,M440,"3M","f",,Trigger)</f>
        <v>55638</v>
      </c>
      <c r="O440" s="490" t="str">
        <f>_xll.qlMakeDatedOIS(,M440,N440,OvernightIndex,0,,,,EvaluationDate)</f>
        <v>obj_006ee#0001</v>
      </c>
      <c r="P440" s="490" t="b">
        <f>_xll.qlInstrumentSetPricingEngine(O440,OisEngine)</f>
        <v>1</v>
      </c>
      <c r="Q440" s="489">
        <f>_xll.qlIndexFixing("euribor6m",_xll.qlInterestRateIndexFixingDate("Euribor6M",M440),TRUE,AllTriggers)</f>
        <v>2.2925252389806725E-2</v>
      </c>
      <c r="R440" s="489">
        <f>_xll.qlOvernightIndexedSwapFairRate(O440,AllTriggers)</f>
        <v>2.2120804377927052E-2</v>
      </c>
      <c r="S440" s="491">
        <f t="shared" si="10"/>
        <v>8.044480118796736E-4</v>
      </c>
    </row>
    <row r="441" spans="5:19" ht="11.25" customHeight="1" x14ac:dyDescent="0.2">
      <c r="E441" s="483"/>
      <c r="F441" s="483"/>
      <c r="G441" s="482"/>
      <c r="J441" s="482"/>
      <c r="K441" s="482"/>
      <c r="M441" s="497">
        <f>_xll.qlCalendarAdvance(Calendar,M440,"1M","f",,Trigger)</f>
        <v>55578</v>
      </c>
      <c r="N441" s="488">
        <f>_xll.qlCalendarAdvance(Calendar,M441,"3M","f",,Trigger)</f>
        <v>55668</v>
      </c>
      <c r="O441" s="490" t="str">
        <f>_xll.qlMakeDatedOIS(,M441,N441,OvernightIndex,0,,,,EvaluationDate)</f>
        <v>obj_006f0#0001</v>
      </c>
      <c r="P441" s="490" t="b">
        <f>_xll.qlInstrumentSetPricingEngine(O441,OisEngine)</f>
        <v>1</v>
      </c>
      <c r="Q441" s="489">
        <f>_xll.qlIndexFixing("euribor6m",_xll.qlInterestRateIndexFixingDate("Euribor6M",M441),TRUE,AllTriggers)</f>
        <v>2.291811238999393E-2</v>
      </c>
      <c r="R441" s="489">
        <f>_xll.qlOvernightIndexedSwapFairRate(O441,AllTriggers)</f>
        <v>2.2120126030019449E-2</v>
      </c>
      <c r="S441" s="491">
        <f t="shared" si="10"/>
        <v>7.9798635997448131E-4</v>
      </c>
    </row>
    <row r="442" spans="5:19" ht="11.25" customHeight="1" x14ac:dyDescent="0.2">
      <c r="E442" s="483"/>
      <c r="F442" s="483"/>
      <c r="G442" s="482"/>
      <c r="J442" s="482"/>
      <c r="K442" s="482"/>
      <c r="M442" s="497">
        <f>_xll.qlCalendarAdvance(Calendar,M441,"1M","f",,Trigger)</f>
        <v>55607</v>
      </c>
      <c r="N442" s="488">
        <f>_xll.qlCalendarAdvance(Calendar,M442,"3M","f",,Trigger)</f>
        <v>55701</v>
      </c>
      <c r="O442" s="490" t="str">
        <f>_xll.qlMakeDatedOIS(,M442,N442,OvernightIndex,0,,,,EvaluationDate)</f>
        <v>obj_006f2#0001</v>
      </c>
      <c r="P442" s="490" t="b">
        <f>_xll.qlInstrumentSetPricingEngine(O442,OisEngine)</f>
        <v>1</v>
      </c>
      <c r="Q442" s="489">
        <f>_xll.qlIndexFixing("euribor6m",_xll.qlInterestRateIndexFixingDate("Euribor6M",M442),TRUE,AllTriggers)</f>
        <v>2.291119366868416E-2</v>
      </c>
      <c r="R442" s="489">
        <f>_xll.qlOvernightIndexedSwapFairRate(O442,AllTriggers)</f>
        <v>2.2122839587999807E-2</v>
      </c>
      <c r="S442" s="491">
        <f t="shared" si="10"/>
        <v>7.8835408068435309E-4</v>
      </c>
    </row>
    <row r="443" spans="5:19" ht="11.25" customHeight="1" x14ac:dyDescent="0.2">
      <c r="E443" s="483"/>
      <c r="F443" s="483"/>
      <c r="G443" s="482"/>
      <c r="J443" s="482"/>
      <c r="K443" s="482"/>
      <c r="M443" s="497">
        <f>_xll.qlCalendarAdvance(Calendar,M442,"1M","f",,Trigger)</f>
        <v>55638</v>
      </c>
      <c r="N443" s="488">
        <f>_xll.qlCalendarAdvance(Calendar,M443,"3M","f",,Trigger)</f>
        <v>55729</v>
      </c>
      <c r="O443" s="490" t="str">
        <f>_xll.qlMakeDatedOIS(,M443,N443,OvernightIndex,0,,,,EvaluationDate)</f>
        <v>obj_006f4#0001</v>
      </c>
      <c r="P443" s="490" t="b">
        <f>_xll.qlInstrumentSetPricingEngine(O443,OisEngine)</f>
        <v>1</v>
      </c>
      <c r="Q443" s="489">
        <f>_xll.qlIndexFixing("euribor6m",_xll.qlInterestRateIndexFixingDate("Euribor6M",M443),TRUE,AllTriggers)</f>
        <v>2.2900585281410202E-2</v>
      </c>
      <c r="R443" s="489">
        <f>_xll.qlOvernightIndexedSwapFairRate(O443,AllTriggers)</f>
        <v>2.2120804377927933E-2</v>
      </c>
      <c r="S443" s="491">
        <f t="shared" si="10"/>
        <v>7.7978090348226892E-4</v>
      </c>
    </row>
    <row r="444" spans="5:19" ht="11.25" customHeight="1" x14ac:dyDescent="0.2">
      <c r="E444" s="483"/>
      <c r="F444" s="483"/>
      <c r="G444" s="482"/>
      <c r="J444" s="482"/>
      <c r="K444" s="482"/>
      <c r="M444" s="497">
        <f>_xll.qlCalendarAdvance(Calendar,M443,"1M","f",,Trigger)</f>
        <v>55668</v>
      </c>
      <c r="N444" s="488">
        <f>_xll.qlCalendarAdvance(Calendar,M444,"3M","f",,Trigger)</f>
        <v>55760</v>
      </c>
      <c r="O444" s="490" t="str">
        <f>_xll.qlMakeDatedOIS(,M444,N444,OvernightIndex,0,,,,EvaluationDate)</f>
        <v>obj_006f6#0001</v>
      </c>
      <c r="P444" s="490" t="b">
        <f>_xll.qlInstrumentSetPricingEngine(O444,OisEngine)</f>
        <v>1</v>
      </c>
      <c r="Q444" s="489">
        <f>_xll.qlIndexFixing("euribor6m",_xll.qlInterestRateIndexFixingDate("Euribor6M",M444),TRUE,AllTriggers)</f>
        <v>2.2891094613512779E-2</v>
      </c>
      <c r="R444" s="489">
        <f>_xll.qlOvernightIndexedSwapFairRate(O444,AllTriggers)</f>
        <v>2.2121482753558359E-2</v>
      </c>
      <c r="S444" s="491">
        <f t="shared" si="10"/>
        <v>7.6961185995442008E-4</v>
      </c>
    </row>
    <row r="445" spans="5:19" ht="11.25" customHeight="1" x14ac:dyDescent="0.2">
      <c r="E445" s="483"/>
      <c r="F445" s="483"/>
      <c r="G445" s="482"/>
      <c r="J445" s="482"/>
      <c r="K445" s="482"/>
      <c r="M445" s="497">
        <f>_xll.qlCalendarAdvance(Calendar,M444,"1M","f",,Trigger)</f>
        <v>55701</v>
      </c>
      <c r="N445" s="488">
        <f>_xll.qlCalendarAdvance(Calendar,M445,"3M","f",,Trigger)</f>
        <v>55793</v>
      </c>
      <c r="O445" s="490" t="str">
        <f>_xll.qlMakeDatedOIS(,M445,N445,OvernightIndex,0,,,,EvaluationDate)</f>
        <v>obj_00872#0001</v>
      </c>
      <c r="P445" s="490" t="b">
        <f>_xll.qlInstrumentSetPricingEngine(O445,OisEngine)</f>
        <v>1</v>
      </c>
      <c r="Q445" s="489">
        <f>_xll.qlIndexFixing("euribor6m",_xll.qlInterestRateIndexFixingDate("Euribor6M",M445),TRUE,AllTriggers)</f>
        <v>2.2879595661869846E-2</v>
      </c>
      <c r="R445" s="489">
        <f>_xll.qlOvernightIndexedSwapFairRate(O445,AllTriggers)</f>
        <v>2.2121482753559227E-2</v>
      </c>
      <c r="S445" s="491">
        <f t="shared" si="10"/>
        <v>7.5811290831061945E-4</v>
      </c>
    </row>
    <row r="446" spans="5:19" ht="11.25" customHeight="1" x14ac:dyDescent="0.2">
      <c r="E446" s="483"/>
      <c r="F446" s="483"/>
      <c r="G446" s="482"/>
      <c r="J446" s="482"/>
      <c r="K446" s="482"/>
      <c r="M446" s="497">
        <f>_xll.qlCalendarAdvance(Calendar,M445,"1M","f",,Trigger)</f>
        <v>55732</v>
      </c>
      <c r="N446" s="488">
        <f>_xll.qlCalendarAdvance(Calendar,M446,"3M","f",,Trigger)</f>
        <v>55824</v>
      </c>
      <c r="O446" s="490" t="str">
        <f>_xll.qlMakeDatedOIS(,M446,N446,OvernightIndex,0,,,,EvaluationDate)</f>
        <v>obj_006f9#0001</v>
      </c>
      <c r="P446" s="490" t="b">
        <f>_xll.qlInstrumentSetPricingEngine(O446,OisEngine)</f>
        <v>1</v>
      </c>
      <c r="Q446" s="489">
        <f>_xll.qlIndexFixing("euribor6m",_xll.qlInterestRateIndexFixingDate("Euribor6M",M446),TRUE,AllTriggers)</f>
        <v>2.2867865799814958E-2</v>
      </c>
      <c r="R446" s="489">
        <f>_xll.qlOvernightIndexedSwapFairRate(O446,AllTriggers)</f>
        <v>2.2121482753559223E-2</v>
      </c>
      <c r="S446" s="491">
        <f t="shared" si="10"/>
        <v>7.4638304625573512E-4</v>
      </c>
    </row>
    <row r="447" spans="5:19" ht="11.25" customHeight="1" x14ac:dyDescent="0.2">
      <c r="E447" s="483"/>
      <c r="F447" s="483"/>
      <c r="G447" s="482"/>
      <c r="J447" s="482"/>
      <c r="K447" s="482"/>
      <c r="M447" s="497">
        <f>_xll.qlCalendarAdvance(Calendar,M446,"1M","f",,Trigger)</f>
        <v>55764</v>
      </c>
      <c r="N447" s="488">
        <f>_xll.qlCalendarAdvance(Calendar,M447,"3M","f",,Trigger)</f>
        <v>55855</v>
      </c>
      <c r="O447" s="490" t="str">
        <f>_xll.qlMakeDatedOIS(,M447,N447,OvernightIndex,0,,,,EvaluationDate)</f>
        <v>obj_006fb#0001</v>
      </c>
      <c r="P447" s="490" t="b">
        <f>_xll.qlInstrumentSetPricingEngine(O447,OisEngine)</f>
        <v>1</v>
      </c>
      <c r="Q447" s="489">
        <f>_xll.qlIndexFixing("euribor6m",_xll.qlInterestRateIndexFixingDate("Euribor6M",M447),TRUE,AllTriggers)</f>
        <v>2.2852322051333775E-2</v>
      </c>
      <c r="R447" s="489">
        <f>_xll.qlOvernightIndexedSwapFairRate(O447,AllTriggers)</f>
        <v>2.2120804377927052E-2</v>
      </c>
      <c r="S447" s="491">
        <f t="shared" si="10"/>
        <v>7.3151767340672372E-4</v>
      </c>
    </row>
    <row r="448" spans="5:19" ht="11.25" customHeight="1" x14ac:dyDescent="0.2">
      <c r="E448" s="483"/>
      <c r="F448" s="483"/>
      <c r="G448" s="482"/>
      <c r="J448" s="482"/>
      <c r="K448" s="482"/>
      <c r="M448" s="497">
        <f>_xll.qlCalendarAdvance(Calendar,M447,"1M","f",,Trigger)</f>
        <v>55794</v>
      </c>
      <c r="N448" s="488">
        <f>_xll.qlCalendarAdvance(Calendar,M448,"3M","f",,Trigger)</f>
        <v>55886</v>
      </c>
      <c r="O448" s="490" t="str">
        <f>_xll.qlMakeDatedOIS(,M448,N448,OvernightIndex,0,,,,EvaluationDate)</f>
        <v>obj_006fd#0001</v>
      </c>
      <c r="P448" s="490" t="b">
        <f>_xll.qlInstrumentSetPricingEngine(O448,OisEngine)</f>
        <v>1</v>
      </c>
      <c r="Q448" s="489">
        <f>_xll.qlIndexFixing("euribor6m",_xll.qlInterestRateIndexFixingDate("Euribor6M",M448),TRUE,AllTriggers)</f>
        <v>2.2838772290713891E-2</v>
      </c>
      <c r="R448" s="489">
        <f>_xll.qlOvernightIndexedSwapFairRate(O448,AllTriggers)</f>
        <v>2.2121482753558359E-2</v>
      </c>
      <c r="S448" s="491">
        <f t="shared" si="10"/>
        <v>7.1728953715553129E-4</v>
      </c>
    </row>
    <row r="449" spans="5:19" ht="11.25" customHeight="1" x14ac:dyDescent="0.2">
      <c r="E449" s="483"/>
      <c r="F449" s="483"/>
      <c r="G449" s="482"/>
      <c r="J449" s="482"/>
      <c r="K449" s="482"/>
      <c r="M449" s="497">
        <f>_xll.qlCalendarAdvance(Calendar,M448,"1M","f",,Trigger)</f>
        <v>55827</v>
      </c>
      <c r="N449" s="488">
        <f>_xll.qlCalendarAdvance(Calendar,M449,"3M","f",,Trigger)</f>
        <v>55919</v>
      </c>
      <c r="O449" s="490" t="str">
        <f>_xll.qlMakeDatedOIS(,M449,N449,OvernightIndex,0,,,,EvaluationDate)</f>
        <v>obj_00868#0001</v>
      </c>
      <c r="P449" s="490" t="b">
        <f>_xll.qlInstrumentSetPricingEngine(O449,OisEngine)</f>
        <v>1</v>
      </c>
      <c r="Q449" s="489">
        <f>_xll.qlIndexFixing("euribor6m",_xll.qlInterestRateIndexFixingDate("Euribor6M",M449),TRUE,AllTriggers)</f>
        <v>2.2822894821332439E-2</v>
      </c>
      <c r="R449" s="489">
        <f>_xll.qlOvernightIndexedSwapFairRate(O449,AllTriggers)</f>
        <v>2.2121482753558356E-2</v>
      </c>
      <c r="S449" s="491">
        <f t="shared" si="10"/>
        <v>7.0141206777408344E-4</v>
      </c>
    </row>
    <row r="450" spans="5:19" ht="11.25" customHeight="1" x14ac:dyDescent="0.2">
      <c r="E450" s="483"/>
      <c r="F450" s="483"/>
      <c r="G450" s="482"/>
      <c r="J450" s="482"/>
      <c r="K450" s="482"/>
      <c r="M450" s="497">
        <f>_xll.qlCalendarAdvance(Calendar,M449,"1M","f",,Trigger)</f>
        <v>55857</v>
      </c>
      <c r="N450" s="488">
        <f>_xll.qlCalendarAdvance(Calendar,M450,"3M","f",,Trigger)</f>
        <v>55947</v>
      </c>
      <c r="O450" s="490" t="str">
        <f>_xll.qlMakeDatedOIS(,M450,N450,OvernightIndex,0,,,,EvaluationDate)</f>
        <v>obj_00815#0001</v>
      </c>
      <c r="P450" s="490" t="b">
        <f>_xll.qlInstrumentSetPricingEngine(O450,OisEngine)</f>
        <v>1</v>
      </c>
      <c r="Q450" s="489">
        <f>_xll.qlIndexFixing("euribor6m",_xll.qlInterestRateIndexFixingDate("Euribor6M",M450),TRUE,AllTriggers)</f>
        <v>2.28075764755819E-2</v>
      </c>
      <c r="R450" s="489">
        <f>_xll.qlOvernightIndexedSwapFairRate(O450,AllTriggers)</f>
        <v>2.2120126030019449E-2</v>
      </c>
      <c r="S450" s="491">
        <f t="shared" si="10"/>
        <v>6.8745044556245069E-4</v>
      </c>
    </row>
    <row r="451" spans="5:19" ht="11.25" customHeight="1" x14ac:dyDescent="0.2">
      <c r="E451" s="483"/>
      <c r="F451" s="483"/>
      <c r="G451" s="482"/>
      <c r="J451" s="482"/>
      <c r="K451" s="482"/>
      <c r="M451" s="497">
        <f>_xll.qlCalendarAdvance(Calendar,M450,"1M","f",,Trigger)</f>
        <v>55890</v>
      </c>
      <c r="N451" s="488">
        <f>_xll.qlCalendarAdvance(Calendar,M451,"3M","f",,Trigger)</f>
        <v>55982</v>
      </c>
      <c r="O451" s="490" t="str">
        <f>_xll.qlMakeDatedOIS(,M451,N451,OvernightIndex,0,,,,EvaluationDate)</f>
        <v>obj_00701#0001</v>
      </c>
      <c r="P451" s="490" t="b">
        <f>_xll.qlInstrumentSetPricingEngine(O451,OisEngine)</f>
        <v>1</v>
      </c>
      <c r="Q451" s="489">
        <f>_xll.qlIndexFixing("euribor6m",_xll.qlInterestRateIndexFixingDate("Euribor6M",M451),TRUE,AllTriggers)</f>
        <v>2.2789753608144173E-2</v>
      </c>
      <c r="R451" s="489">
        <f>_xll.qlOvernightIndexedSwapFairRate(O451,AllTriggers)</f>
        <v>2.2121482753560094E-2</v>
      </c>
      <c r="S451" s="491">
        <f t="shared" ref="S451:S514" si="11">Q451-R451</f>
        <v>6.6827085458407917E-4</v>
      </c>
    </row>
    <row r="452" spans="5:19" ht="11.25" customHeight="1" x14ac:dyDescent="0.2">
      <c r="E452" s="483"/>
      <c r="F452" s="483"/>
      <c r="G452" s="482"/>
      <c r="J452" s="482"/>
      <c r="K452" s="482"/>
      <c r="M452" s="497">
        <f>_xll.qlCalendarAdvance(Calendar,M451,"1M","f",,Trigger)</f>
        <v>55921</v>
      </c>
      <c r="N452" s="488">
        <f>_xll.qlCalendarAdvance(Calendar,M452,"3M","f",,Trigger)</f>
        <v>56010</v>
      </c>
      <c r="O452" s="490" t="str">
        <f>_xll.qlMakeDatedOIS(,M452,N452,OvernightIndex,0,,,,EvaluationDate)</f>
        <v>obj_00703#0001</v>
      </c>
      <c r="P452" s="490" t="b">
        <f>_xll.qlInstrumentSetPricingEngine(O452,OisEngine)</f>
        <v>1</v>
      </c>
      <c r="Q452" s="489">
        <f>_xll.qlIndexFixing("euribor6m",_xll.qlInterestRateIndexFixingDate("Euribor6M",M452),TRUE,AllTriggers)</f>
        <v>2.277167151281842E-2</v>
      </c>
      <c r="R452" s="489">
        <f>_xll.qlOvernightIndexedSwapFairRate(O452,AllTriggers)</f>
        <v>2.2119447709834168E-2</v>
      </c>
      <c r="S452" s="491">
        <f t="shared" si="11"/>
        <v>6.5222380298425239E-4</v>
      </c>
    </row>
    <row r="453" spans="5:19" ht="11.25" customHeight="1" x14ac:dyDescent="0.2">
      <c r="E453" s="483"/>
      <c r="F453" s="483"/>
      <c r="G453" s="482"/>
      <c r="J453" s="482"/>
      <c r="K453" s="482"/>
      <c r="M453" s="497">
        <f>_xll.qlCalendarAdvance(Calendar,M452,"1M","f",,Trigger)</f>
        <v>55949</v>
      </c>
      <c r="N453" s="488">
        <f>_xll.qlCalendarAdvance(Calendar,M453,"3M","f",,Trigger)</f>
        <v>56041</v>
      </c>
      <c r="O453" s="490" t="str">
        <f>_xll.qlMakeDatedOIS(,M453,N453,OvernightIndex,0,,,,EvaluationDate)</f>
        <v>obj_00855#0001</v>
      </c>
      <c r="P453" s="490" t="b">
        <f>_xll.qlInstrumentSetPricingEngine(O453,OisEngine)</f>
        <v>1</v>
      </c>
      <c r="Q453" s="489">
        <f>_xll.qlIndexFixing("euribor6m",_xll.qlInterestRateIndexFixingDate("Euribor6M",M453),TRUE,AllTriggers)</f>
        <v>2.2756933923951266E-2</v>
      </c>
      <c r="R453" s="489">
        <f>_xll.qlOvernightIndexedSwapFairRate(O453,AllTriggers)</f>
        <v>2.2121482753559223E-2</v>
      </c>
      <c r="S453" s="491">
        <f t="shared" si="11"/>
        <v>6.3545117039204291E-4</v>
      </c>
    </row>
    <row r="454" spans="5:19" ht="11.25" customHeight="1" x14ac:dyDescent="0.2">
      <c r="E454" s="483"/>
      <c r="F454" s="483"/>
      <c r="G454" s="482"/>
      <c r="J454" s="482"/>
      <c r="K454" s="482"/>
      <c r="M454" s="497">
        <f>_xll.qlCalendarAdvance(Calendar,M453,"1M","f",,Trigger)</f>
        <v>55982</v>
      </c>
      <c r="N454" s="488">
        <f>_xll.qlCalendarAdvance(Calendar,M454,"3M","f",,Trigger)</f>
        <v>56073</v>
      </c>
      <c r="O454" s="490" t="str">
        <f>_xll.qlMakeDatedOIS(,M454,N454,OvernightIndex,0,,,,EvaluationDate)</f>
        <v>obj_007ec#0001</v>
      </c>
      <c r="P454" s="490" t="b">
        <f>_xll.qlInstrumentSetPricingEngine(O454,OisEngine)</f>
        <v>1</v>
      </c>
      <c r="Q454" s="489">
        <f>_xll.qlIndexFixing("euribor6m",_xll.qlInterestRateIndexFixingDate("Euribor6M",M454),TRUE,AllTriggers)</f>
        <v>2.2735065396799956E-2</v>
      </c>
      <c r="R454" s="489">
        <f>_xll.qlOvernightIndexedSwapFairRate(O454,AllTriggers)</f>
        <v>2.2120804377926177E-2</v>
      </c>
      <c r="S454" s="491">
        <f t="shared" si="11"/>
        <v>6.142610188737789E-4</v>
      </c>
    </row>
    <row r="455" spans="5:19" ht="11.25" customHeight="1" x14ac:dyDescent="0.2">
      <c r="E455" s="483"/>
      <c r="F455" s="483"/>
      <c r="G455" s="482"/>
      <c r="J455" s="482"/>
      <c r="K455" s="482"/>
      <c r="M455" s="497">
        <f>_xll.qlCalendarAdvance(Calendar,M454,"1M","f",,Trigger)</f>
        <v>56012</v>
      </c>
      <c r="N455" s="488">
        <f>_xll.qlCalendarAdvance(Calendar,M455,"3M","f",,Trigger)</f>
        <v>56104</v>
      </c>
      <c r="O455" s="490" t="str">
        <f>_xll.qlMakeDatedOIS(,M455,N455,OvernightIndex,0,,,,EvaluationDate)</f>
        <v>obj_00707#0001</v>
      </c>
      <c r="P455" s="490" t="b">
        <f>_xll.qlInstrumentSetPricingEngine(O455,OisEngine)</f>
        <v>1</v>
      </c>
      <c r="Q455" s="489">
        <f>_xll.qlIndexFixing("euribor6m",_xll.qlInterestRateIndexFixingDate("Euribor6M",M455),TRUE,AllTriggers)</f>
        <v>2.2716473047631358E-2</v>
      </c>
      <c r="R455" s="489">
        <f>_xll.qlOvernightIndexedSwapFairRate(O455,AllTriggers)</f>
        <v>2.2121482753558356E-2</v>
      </c>
      <c r="S455" s="491">
        <f t="shared" si="11"/>
        <v>5.9499029407300216E-4</v>
      </c>
    </row>
    <row r="456" spans="5:19" ht="11.25" customHeight="1" x14ac:dyDescent="0.2">
      <c r="E456" s="483"/>
      <c r="F456" s="483"/>
      <c r="G456" s="482"/>
      <c r="J456" s="482"/>
      <c r="K456" s="482"/>
      <c r="M456" s="497">
        <f>_xll.qlCalendarAdvance(Calendar,M455,"1M","f",,Trigger)</f>
        <v>56044</v>
      </c>
      <c r="N456" s="488">
        <f>_xll.qlCalendarAdvance(Calendar,M456,"3M","f",,Trigger)</f>
        <v>56136</v>
      </c>
      <c r="O456" s="490" t="str">
        <f>_xll.qlMakeDatedOIS(,M456,N456,OvernightIndex,0,,,,EvaluationDate)</f>
        <v>obj_00709#0001</v>
      </c>
      <c r="P456" s="490" t="b">
        <f>_xll.qlInstrumentSetPricingEngine(O456,OisEngine)</f>
        <v>1</v>
      </c>
      <c r="Q456" s="489">
        <f>_xll.qlIndexFixing("euribor6m",_xll.qlInterestRateIndexFixingDate("Euribor6M",M456),TRUE,AllTriggers)</f>
        <v>2.269345590295168E-2</v>
      </c>
      <c r="R456" s="489">
        <f>_xll.qlOvernightIndexedSwapFairRate(O456,AllTriggers)</f>
        <v>2.2121482753558356E-2</v>
      </c>
      <c r="S456" s="491">
        <f t="shared" si="11"/>
        <v>5.7197314939332403E-4</v>
      </c>
    </row>
    <row r="457" spans="5:19" ht="11.25" customHeight="1" x14ac:dyDescent="0.2">
      <c r="E457" s="483"/>
      <c r="F457" s="483"/>
      <c r="G457" s="482"/>
      <c r="J457" s="482"/>
      <c r="K457" s="482"/>
      <c r="M457" s="497">
        <f>_xll.qlCalendarAdvance(Calendar,M456,"1M","f",,Trigger)</f>
        <v>56074</v>
      </c>
      <c r="N457" s="488">
        <f>_xll.qlCalendarAdvance(Calendar,M457,"3M","f",,Trigger)</f>
        <v>56166</v>
      </c>
      <c r="O457" s="490" t="str">
        <f>_xll.qlMakeDatedOIS(,M457,N457,OvernightIndex,0,,,,EvaluationDate)</f>
        <v>obj_0084d#0001</v>
      </c>
      <c r="P457" s="490" t="b">
        <f>_xll.qlInstrumentSetPricingEngine(O457,OisEngine)</f>
        <v>1</v>
      </c>
      <c r="Q457" s="489">
        <f>_xll.qlIndexFixing("euribor6m",_xll.qlInterestRateIndexFixingDate("Euribor6M",M457),TRUE,AllTriggers)</f>
        <v>2.2672363760564529E-2</v>
      </c>
      <c r="R457" s="489">
        <f>_xll.qlOvernightIndexedSwapFairRate(O457,AllTriggers)</f>
        <v>2.2121482753558356E-2</v>
      </c>
      <c r="S457" s="491">
        <f t="shared" si="11"/>
        <v>5.5088100700617301E-4</v>
      </c>
    </row>
    <row r="458" spans="5:19" ht="11.25" customHeight="1" x14ac:dyDescent="0.2">
      <c r="E458" s="483"/>
      <c r="F458" s="483"/>
      <c r="G458" s="482"/>
      <c r="J458" s="482"/>
      <c r="K458" s="482"/>
      <c r="M458" s="497">
        <f>_xll.qlCalendarAdvance(Calendar,M457,"1M","f",,Trigger)</f>
        <v>56107</v>
      </c>
      <c r="N458" s="488">
        <f>_xll.qlCalendarAdvance(Calendar,M458,"3M","f",,Trigger)</f>
        <v>56199</v>
      </c>
      <c r="O458" s="490" t="str">
        <f>_xll.qlMakeDatedOIS(,M458,N458,OvernightIndex,0,,,,EvaluationDate)</f>
        <v>obj_0070c#0001</v>
      </c>
      <c r="P458" s="490" t="b">
        <f>_xll.qlInstrumentSetPricingEngine(O458,OisEngine)</f>
        <v>1</v>
      </c>
      <c r="Q458" s="489">
        <f>_xll.qlIndexFixing("euribor6m",_xll.qlInterestRateIndexFixingDate("Euribor6M",M458),TRUE,AllTriggers)</f>
        <v>2.2647806959653967E-2</v>
      </c>
      <c r="R458" s="489">
        <f>_xll.qlOvernightIndexedSwapFairRate(O458,AllTriggers)</f>
        <v>2.2121482753559223E-2</v>
      </c>
      <c r="S458" s="491">
        <f t="shared" si="11"/>
        <v>5.2632420609474359E-4</v>
      </c>
    </row>
    <row r="459" spans="5:19" ht="11.25" customHeight="1" x14ac:dyDescent="0.2">
      <c r="E459" s="483"/>
      <c r="F459" s="483"/>
      <c r="G459" s="482"/>
      <c r="J459" s="482"/>
      <c r="K459" s="482"/>
      <c r="M459" s="497">
        <f>_xll.qlCalendarAdvance(Calendar,M458,"1M","f",,Trigger)</f>
        <v>56138</v>
      </c>
      <c r="N459" s="488">
        <f>_xll.qlCalendarAdvance(Calendar,M459,"3M","f",,Trigger)</f>
        <v>56229</v>
      </c>
      <c r="O459" s="490" t="str">
        <f>_xll.qlMakeDatedOIS(,M459,N459,OvernightIndex,0,,,,EvaluationDate)</f>
        <v>obj_00846#0001</v>
      </c>
      <c r="P459" s="490" t="b">
        <f>_xll.qlInstrumentSetPricingEngine(O459,OisEngine)</f>
        <v>1</v>
      </c>
      <c r="Q459" s="489">
        <f>_xll.qlIndexFixing("euribor6m",_xll.qlInterestRateIndexFixingDate("Euribor6M",M459),TRUE,AllTriggers)</f>
        <v>2.2622910270459647E-2</v>
      </c>
      <c r="R459" s="489">
        <f>_xll.qlOvernightIndexedSwapFairRate(O459,AllTriggers)</f>
        <v>2.2120804377927055E-2</v>
      </c>
      <c r="S459" s="491">
        <f t="shared" si="11"/>
        <v>5.0210589253259219E-4</v>
      </c>
    </row>
    <row r="460" spans="5:19" ht="11.25" customHeight="1" x14ac:dyDescent="0.2">
      <c r="E460" s="483"/>
      <c r="F460" s="483"/>
      <c r="G460" s="482"/>
      <c r="J460" s="482"/>
      <c r="K460" s="482"/>
      <c r="M460" s="497">
        <f>_xll.qlCalendarAdvance(Calendar,M459,"1M","f",,Trigger)</f>
        <v>56170</v>
      </c>
      <c r="N460" s="488">
        <f>_xll.qlCalendarAdvance(Calendar,M460,"3M","f",,Trigger)</f>
        <v>56262</v>
      </c>
      <c r="O460" s="490" t="str">
        <f>_xll.qlMakeDatedOIS(,M460,N460,OvernightIndex,0,,,,EvaluationDate)</f>
        <v>obj_0070f#0001</v>
      </c>
      <c r="P460" s="490" t="b">
        <f>_xll.qlInstrumentSetPricingEngine(O460,OisEngine)</f>
        <v>1</v>
      </c>
      <c r="Q460" s="489">
        <f>_xll.qlIndexFixing("euribor6m",_xll.qlInterestRateIndexFixingDate("Euribor6M",M460),TRUE,AllTriggers)</f>
        <v>2.2597529975563191E-2</v>
      </c>
      <c r="R460" s="489">
        <f>_xll.qlOvernightIndexedSwapFairRate(O460,AllTriggers)</f>
        <v>2.2121482753560094E-2</v>
      </c>
      <c r="S460" s="491">
        <f t="shared" si="11"/>
        <v>4.7604722200309674E-4</v>
      </c>
    </row>
    <row r="461" spans="5:19" ht="11.25" customHeight="1" x14ac:dyDescent="0.2">
      <c r="E461" s="483"/>
      <c r="F461" s="483"/>
      <c r="G461" s="482"/>
      <c r="J461" s="482"/>
      <c r="K461" s="482"/>
      <c r="M461" s="497">
        <f>_xll.qlCalendarAdvance(Calendar,M460,"1M","f",,Trigger)</f>
        <v>56201</v>
      </c>
      <c r="N461" s="488">
        <f>_xll.qlCalendarAdvance(Calendar,M461,"3M","f",,Trigger)</f>
        <v>56293</v>
      </c>
      <c r="O461" s="490" t="str">
        <f>_xll.qlMakeDatedOIS(,M461,N461,OvernightIndex,0,,,,EvaluationDate)</f>
        <v>obj_00711#0001</v>
      </c>
      <c r="P461" s="490" t="b">
        <f>_xll.qlInstrumentSetPricingEngine(O461,OisEngine)</f>
        <v>1</v>
      </c>
      <c r="Q461" s="489">
        <f>_xll.qlIndexFixing("euribor6m",_xll.qlInterestRateIndexFixingDate("Euribor6M",M461),TRUE,AllTriggers)</f>
        <v>2.2571470728308531E-2</v>
      </c>
      <c r="R461" s="489">
        <f>_xll.qlOvernightIndexedSwapFairRate(O461,AllTriggers)</f>
        <v>2.2121482753559223E-2</v>
      </c>
      <c r="S461" s="491">
        <f t="shared" si="11"/>
        <v>4.4998797474930796E-4</v>
      </c>
    </row>
    <row r="462" spans="5:19" ht="11.25" customHeight="1" x14ac:dyDescent="0.2">
      <c r="E462" s="483"/>
      <c r="F462" s="483"/>
      <c r="G462" s="482"/>
      <c r="J462" s="482"/>
      <c r="K462" s="482"/>
      <c r="M462" s="497">
        <f>_xll.qlCalendarAdvance(Calendar,M461,"1M","f",,Trigger)</f>
        <v>56233</v>
      </c>
      <c r="N462" s="488">
        <f>_xll.qlCalendarAdvance(Calendar,M462,"3M","f",,Trigger)</f>
        <v>56324</v>
      </c>
      <c r="O462" s="490" t="str">
        <f>_xll.qlMakeDatedOIS(,M462,N462,OvernightIndex,0,,,,EvaluationDate)</f>
        <v>obj_00713#0001</v>
      </c>
      <c r="P462" s="490" t="b">
        <f>_xll.qlInstrumentSetPricingEngine(O462,OisEngine)</f>
        <v>1</v>
      </c>
      <c r="Q462" s="489">
        <f>_xll.qlIndexFixing("euribor6m",_xll.qlInterestRateIndexFixingDate("Euribor6M",M462),TRUE,AllTriggers)</f>
        <v>2.2544171962551252E-2</v>
      </c>
      <c r="R462" s="489">
        <f>_xll.qlOvernightIndexedSwapFairRate(O462,AllTriggers)</f>
        <v>2.2120804377927933E-2</v>
      </c>
      <c r="S462" s="491">
        <f t="shared" si="11"/>
        <v>4.2336758462331939E-4</v>
      </c>
    </row>
    <row r="463" spans="5:19" ht="11.25" customHeight="1" x14ac:dyDescent="0.2">
      <c r="E463" s="483"/>
      <c r="F463" s="483"/>
      <c r="G463" s="482"/>
      <c r="J463" s="482"/>
      <c r="K463" s="482"/>
      <c r="M463" s="497">
        <f>_xll.qlCalendarAdvance(Calendar,M462,"1M","f",,Trigger)</f>
        <v>56264</v>
      </c>
      <c r="N463" s="488">
        <f>_xll.qlCalendarAdvance(Calendar,M463,"3M","f",,Trigger)</f>
        <v>56354</v>
      </c>
      <c r="O463" s="490" t="str">
        <f>_xll.qlMakeDatedOIS(,M463,N463,OvernightIndex,0,,,,EvaluationDate)</f>
        <v>obj_00879#0001</v>
      </c>
      <c r="P463" s="490" t="b">
        <f>_xll.qlInstrumentSetPricingEngine(O463,OisEngine)</f>
        <v>1</v>
      </c>
      <c r="Q463" s="489">
        <f>_xll.qlIndexFixing("euribor6m",_xll.qlInterestRateIndexFixingDate("Euribor6M",M463),TRUE,AllTriggers)</f>
        <v>2.2516318822889795E-2</v>
      </c>
      <c r="R463" s="489">
        <f>_xll.qlOvernightIndexedSwapFairRate(O463,AllTriggers)</f>
        <v>2.2120126030019449E-2</v>
      </c>
      <c r="S463" s="491">
        <f t="shared" si="11"/>
        <v>3.9619279287034584E-4</v>
      </c>
    </row>
    <row r="464" spans="5:19" ht="11.25" customHeight="1" x14ac:dyDescent="0.2">
      <c r="E464" s="483"/>
      <c r="F464" s="483"/>
      <c r="G464" s="482"/>
      <c r="J464" s="482"/>
      <c r="K464" s="482"/>
      <c r="M464" s="497">
        <f>_xll.qlCalendarAdvance(Calendar,M463,"1M","f",,Trigger)</f>
        <v>56296</v>
      </c>
      <c r="N464" s="488">
        <f>_xll.qlCalendarAdvance(Calendar,M464,"3M","f",,Trigger)</f>
        <v>56387</v>
      </c>
      <c r="O464" s="490" t="str">
        <f>_xll.qlMakeDatedOIS(,M464,N464,OvernightIndex,0,,,,EvaluationDate)</f>
        <v>obj_00716#0001</v>
      </c>
      <c r="P464" s="490" t="b">
        <f>_xll.qlInstrumentSetPricingEngine(O464,OisEngine)</f>
        <v>1</v>
      </c>
      <c r="Q464" s="489">
        <f>_xll.qlIndexFixing("euribor6m",_xll.qlInterestRateIndexFixingDate("Euribor6M",M464),TRUE,AllTriggers)</f>
        <v>2.2487101518517814E-2</v>
      </c>
      <c r="R464" s="489">
        <f>_xll.qlOvernightIndexedSwapFairRate(O464,AllTriggers)</f>
        <v>2.2120804377927052E-2</v>
      </c>
      <c r="S464" s="491">
        <f t="shared" si="11"/>
        <v>3.6629714059076279E-4</v>
      </c>
    </row>
    <row r="465" spans="5:19" ht="11.25" customHeight="1" x14ac:dyDescent="0.2">
      <c r="E465" s="483"/>
      <c r="F465" s="483"/>
      <c r="G465" s="482"/>
      <c r="J465" s="482"/>
      <c r="K465" s="482"/>
      <c r="M465" s="497">
        <f>_xll.qlCalendarAdvance(Calendar,M464,"1M","f",,Trigger)</f>
        <v>56324</v>
      </c>
      <c r="N465" s="488">
        <f>_xll.qlCalendarAdvance(Calendar,M465,"3M","f",,Trigger)</f>
        <v>56416</v>
      </c>
      <c r="O465" s="490" t="str">
        <f>_xll.qlMakeDatedOIS(,M465,N465,OvernightIndex,0,,,,EvaluationDate)</f>
        <v>obj_0082e#0001</v>
      </c>
      <c r="P465" s="490" t="b">
        <f>_xll.qlInstrumentSetPricingEngine(O465,OisEngine)</f>
        <v>1</v>
      </c>
      <c r="Q465" s="489">
        <f>_xll.qlIndexFixing("euribor6m",_xll.qlInterestRateIndexFixingDate("Euribor6M",M465),TRUE,AllTriggers)</f>
        <v>2.2460951009846134E-2</v>
      </c>
      <c r="R465" s="489">
        <f>_xll.qlOvernightIndexedSwapFairRate(O465,AllTriggers)</f>
        <v>2.2121482753558359E-2</v>
      </c>
      <c r="S465" s="491">
        <f t="shared" si="11"/>
        <v>3.3946825628777474E-4</v>
      </c>
    </row>
    <row r="466" spans="5:19" ht="11.25" customHeight="1" x14ac:dyDescent="0.2">
      <c r="E466" s="483"/>
      <c r="F466" s="483"/>
      <c r="G466" s="482"/>
      <c r="J466" s="482"/>
      <c r="K466" s="482"/>
      <c r="M466" s="497">
        <f>_xll.qlCalendarAdvance(Calendar,M465,"1M","f",,Trigger)</f>
        <v>56355</v>
      </c>
      <c r="N466" s="488">
        <f>_xll.qlCalendarAdvance(Calendar,M466,"3M","f",,Trigger)</f>
        <v>56446</v>
      </c>
      <c r="O466" s="490" t="str">
        <f>_xll.qlMakeDatedOIS(,M466,N466,OvernightIndex,0,,,,EvaluationDate)</f>
        <v>obj_00719#0001</v>
      </c>
      <c r="P466" s="490" t="b">
        <f>_xll.qlInstrumentSetPricingEngine(O466,OisEngine)</f>
        <v>1</v>
      </c>
      <c r="Q466" s="489">
        <f>_xll.qlIndexFixing("euribor6m",_xll.qlInterestRateIndexFixingDate("Euribor6M",M466),TRUE,AllTriggers)</f>
        <v>2.2430528892063938E-2</v>
      </c>
      <c r="R466" s="489">
        <f>_xll.qlOvernightIndexedSwapFairRate(O466,AllTriggers)</f>
        <v>2.2120804377926174E-2</v>
      </c>
      <c r="S466" s="491">
        <f t="shared" si="11"/>
        <v>3.0972451413776442E-4</v>
      </c>
    </row>
    <row r="467" spans="5:19" ht="11.25" customHeight="1" x14ac:dyDescent="0.2">
      <c r="E467" s="483"/>
      <c r="F467" s="483"/>
      <c r="G467" s="482"/>
      <c r="J467" s="482"/>
      <c r="K467" s="482"/>
      <c r="M467" s="497">
        <f>_xll.qlCalendarAdvance(Calendar,M466,"1M","f",,Trigger)</f>
        <v>56387</v>
      </c>
      <c r="N467" s="488">
        <f>_xll.qlCalendarAdvance(Calendar,M467,"3M","f",,Trigger)</f>
        <v>56479</v>
      </c>
      <c r="O467" s="490" t="str">
        <f>_xll.qlMakeDatedOIS(,M467,N467,OvernightIndex,0,,,,EvaluationDate)</f>
        <v>obj_00821#0001</v>
      </c>
      <c r="P467" s="490" t="b">
        <f>_xll.qlInstrumentSetPricingEngine(O467,OisEngine)</f>
        <v>1</v>
      </c>
      <c r="Q467" s="489">
        <f>_xll.qlIndexFixing("euribor6m",_xll.qlInterestRateIndexFixingDate("Euribor6M",M467),TRUE,AllTriggers)</f>
        <v>2.239882888130702E-2</v>
      </c>
      <c r="R467" s="489">
        <f>_xll.qlOvernightIndexedSwapFairRate(O467,AllTriggers)</f>
        <v>2.2121482753559227E-2</v>
      </c>
      <c r="S467" s="491">
        <f t="shared" si="11"/>
        <v>2.7734612774779274E-4</v>
      </c>
    </row>
    <row r="468" spans="5:19" ht="11.25" customHeight="1" x14ac:dyDescent="0.2">
      <c r="E468" s="483"/>
      <c r="F468" s="483"/>
      <c r="G468" s="482"/>
      <c r="J468" s="482"/>
      <c r="K468" s="482"/>
      <c r="M468" s="497">
        <f>_xll.qlCalendarAdvance(Calendar,M467,"1M","f",,Trigger)</f>
        <v>56418</v>
      </c>
      <c r="N468" s="488">
        <f>_xll.qlCalendarAdvance(Calendar,M468,"3M","f",,Trigger)</f>
        <v>56510</v>
      </c>
      <c r="O468" s="490" t="str">
        <f>_xll.qlMakeDatedOIS(,M468,N468,OvernightIndex,0,,,,EvaluationDate)</f>
        <v>obj_0071c#0001</v>
      </c>
      <c r="P468" s="490" t="b">
        <f>_xll.qlInstrumentSetPricingEngine(O468,OisEngine)</f>
        <v>1</v>
      </c>
      <c r="Q468" s="489">
        <f>_xll.qlIndexFixing("euribor6m",_xll.qlInterestRateIndexFixingDate("Euribor6M",M468),TRUE,AllTriggers)</f>
        <v>2.2367302633816189E-2</v>
      </c>
      <c r="R468" s="489">
        <f>_xll.qlOvernightIndexedSwapFairRate(O468,AllTriggers)</f>
        <v>2.2022378148951183E-2</v>
      </c>
      <c r="S468" s="491">
        <f t="shared" si="11"/>
        <v>3.4492448486500571E-4</v>
      </c>
    </row>
    <row r="469" spans="5:19" ht="11.25" customHeight="1" x14ac:dyDescent="0.2">
      <c r="E469" s="483"/>
      <c r="F469" s="483"/>
      <c r="G469" s="482"/>
      <c r="J469" s="482"/>
      <c r="K469" s="482"/>
      <c r="M469" s="497">
        <f>_xll.qlCalendarAdvance(Calendar,M468,"1M","f",,Trigger)</f>
        <v>56450</v>
      </c>
      <c r="N469" s="488">
        <f>_xll.qlCalendarAdvance(Calendar,M469,"3M","f",,Trigger)</f>
        <v>56542</v>
      </c>
      <c r="O469" s="490" t="str">
        <f>_xll.qlMakeDatedOIS(,M469,N469,OvernightIndex,0,,,,EvaluationDate)</f>
        <v>obj_00814#0001</v>
      </c>
      <c r="P469" s="490" t="b">
        <f>_xll.qlInstrumentSetPricingEngine(O469,OisEngine)</f>
        <v>1</v>
      </c>
      <c r="Q469" s="489">
        <f>_xll.qlIndexFixing("euribor6m",_xll.qlInterestRateIndexFixingDate("Euribor6M",M469),TRUE,AllTriggers)</f>
        <v>2.2334880615033831E-2</v>
      </c>
      <c r="R469" s="489">
        <f>_xll.qlOvernightIndexedSwapFairRate(O469,AllTriggers)</f>
        <v>2.1625984688750148E-2</v>
      </c>
      <c r="S469" s="491">
        <f t="shared" si="11"/>
        <v>7.0889592628368275E-4</v>
      </c>
    </row>
    <row r="470" spans="5:19" ht="11.25" customHeight="1" x14ac:dyDescent="0.2">
      <c r="E470" s="483"/>
      <c r="F470" s="483"/>
      <c r="G470" s="482"/>
      <c r="J470" s="482"/>
      <c r="K470" s="482"/>
      <c r="M470" s="497">
        <f>_xll.qlCalendarAdvance(Calendar,M469,"1M","f",,Trigger)</f>
        <v>56481</v>
      </c>
      <c r="N470" s="488">
        <f>_xll.qlCalendarAdvance(Calendar,M470,"3M","f",,Trigger)</f>
        <v>56573</v>
      </c>
      <c r="O470" s="490" t="str">
        <f>_xll.qlMakeDatedOIS(,M470,N470,OvernightIndex,0,,,,EvaluationDate)</f>
        <v>obj_0071f#0001</v>
      </c>
      <c r="P470" s="490" t="b">
        <f>_xll.qlInstrumentSetPricingEngine(O470,OisEngine)</f>
        <v>1</v>
      </c>
      <c r="Q470" s="489">
        <f>_xll.qlIndexFixing("euribor6m",_xll.qlInterestRateIndexFixingDate("Euribor6M",M470),TRUE,AllTriggers)</f>
        <v>2.2303636297447638E-2</v>
      </c>
      <c r="R470" s="489">
        <f>_xll.qlOvernightIndexedSwapFairRate(O470,AllTriggers)</f>
        <v>2.1242016602144358E-2</v>
      </c>
      <c r="S470" s="491">
        <f t="shared" si="11"/>
        <v>1.06161969530328E-3</v>
      </c>
    </row>
    <row r="471" spans="5:19" ht="11.25" customHeight="1" x14ac:dyDescent="0.2">
      <c r="E471" s="483"/>
      <c r="F471" s="483"/>
      <c r="G471" s="482"/>
      <c r="J471" s="482"/>
      <c r="K471" s="482"/>
      <c r="M471" s="497">
        <f>_xll.qlCalendarAdvance(Calendar,M470,"1M","f",,Trigger)</f>
        <v>56513</v>
      </c>
      <c r="N471" s="488">
        <f>_xll.qlCalendarAdvance(Calendar,M471,"3M","f",,Trigger)</f>
        <v>56604</v>
      </c>
      <c r="O471" s="490" t="str">
        <f>_xll.qlMakeDatedOIS(,M471,N471,OvernightIndex,0,,,,EvaluationDate)</f>
        <v>obj_00721#0001</v>
      </c>
      <c r="P471" s="490" t="b">
        <f>_xll.qlInstrumentSetPricingEngine(O471,OisEngine)</f>
        <v>1</v>
      </c>
      <c r="Q471" s="489">
        <f>_xll.qlIndexFixing("euribor6m",_xll.qlInterestRateIndexFixingDate("Euribor6M",M471),TRUE,AllTriggers)</f>
        <v>2.2270453024457983E-2</v>
      </c>
      <c r="R471" s="489">
        <f>_xll.qlOvernightIndexedSwapFairRate(O471,AllTriggers)</f>
        <v>2.0981320133046193E-2</v>
      </c>
      <c r="S471" s="491">
        <f t="shared" si="11"/>
        <v>1.28913289141179E-3</v>
      </c>
    </row>
    <row r="472" spans="5:19" ht="11.25" customHeight="1" x14ac:dyDescent="0.2">
      <c r="E472" s="483"/>
      <c r="F472" s="483"/>
      <c r="G472" s="482"/>
      <c r="J472" s="482"/>
      <c r="K472" s="482"/>
      <c r="M472" s="497">
        <f>_xll.qlCalendarAdvance(Calendar,M471,"1M","f",,Trigger)</f>
        <v>56543</v>
      </c>
      <c r="N472" s="488">
        <f>_xll.qlCalendarAdvance(Calendar,M472,"3M","f",,Trigger)</f>
        <v>56635</v>
      </c>
      <c r="O472" s="490" t="str">
        <f>_xll.qlMakeDatedOIS(,M472,N472,OvernightIndex,0,,,,EvaluationDate)</f>
        <v>obj_00723#0001</v>
      </c>
      <c r="P472" s="490" t="b">
        <f>_xll.qlInstrumentSetPricingEngine(O472,OisEngine)</f>
        <v>1</v>
      </c>
      <c r="Q472" s="489">
        <f>_xll.qlIndexFixing("euribor6m",_xll.qlInterestRateIndexFixingDate("Euribor6M",M472),TRUE,AllTriggers)</f>
        <v>2.224033103008885E-2</v>
      </c>
      <c r="R472" s="489">
        <f>_xll.qlOvernightIndexedSwapFairRate(O472,AllTriggers)</f>
        <v>2.0981930477665368E-2</v>
      </c>
      <c r="S472" s="491">
        <f t="shared" si="11"/>
        <v>1.2584005524234818E-3</v>
      </c>
    </row>
    <row r="473" spans="5:19" ht="11.25" customHeight="1" x14ac:dyDescent="0.2">
      <c r="E473" s="483"/>
      <c r="F473" s="483"/>
      <c r="G473" s="482"/>
      <c r="J473" s="482"/>
      <c r="K473" s="482"/>
      <c r="M473" s="497">
        <f>_xll.qlCalendarAdvance(Calendar,M472,"1M","f",,Trigger)</f>
        <v>56576</v>
      </c>
      <c r="N473" s="488">
        <f>_xll.qlCalendarAdvance(Calendar,M473,"3M","f",,Trigger)</f>
        <v>56668</v>
      </c>
      <c r="O473" s="490" t="str">
        <f>_xll.qlMakeDatedOIS(,M473,N473,OvernightIndex,0,,,,EvaluationDate)</f>
        <v>obj_00801#0001</v>
      </c>
      <c r="P473" s="490" t="b">
        <f>_xll.qlInstrumentSetPricingEngine(O473,OisEngine)</f>
        <v>1</v>
      </c>
      <c r="Q473" s="489">
        <f>_xll.qlIndexFixing("euribor6m",_xll.qlInterestRateIndexFixingDate("Euribor6M",M473),TRUE,AllTriggers)</f>
        <v>2.220754173766696E-2</v>
      </c>
      <c r="R473" s="489">
        <f>_xll.qlOvernightIndexedSwapFairRate(O473,AllTriggers)</f>
        <v>2.0981930477665372E-2</v>
      </c>
      <c r="S473" s="491">
        <f t="shared" si="11"/>
        <v>1.2256112600015877E-3</v>
      </c>
    </row>
    <row r="474" spans="5:19" ht="11.25" customHeight="1" x14ac:dyDescent="0.2">
      <c r="E474" s="483"/>
      <c r="F474" s="483"/>
      <c r="G474" s="482"/>
      <c r="J474" s="482"/>
      <c r="K474" s="482"/>
      <c r="M474" s="497">
        <f>_xll.qlCalendarAdvance(Calendar,M473,"1M","f",,Trigger)</f>
        <v>56606</v>
      </c>
      <c r="N474" s="488">
        <f>_xll.qlCalendarAdvance(Calendar,M474,"3M","f",,Trigger)</f>
        <v>56696</v>
      </c>
      <c r="O474" s="490" t="str">
        <f>_xll.qlMakeDatedOIS(,M474,N474,OvernightIndex,0,,,,EvaluationDate)</f>
        <v>obj_00726#0001</v>
      </c>
      <c r="P474" s="490" t="b">
        <f>_xll.qlInstrumentSetPricingEngine(O474,OisEngine)</f>
        <v>1</v>
      </c>
      <c r="Q474" s="489">
        <f>_xll.qlIndexFixing("euribor6m",_xll.qlInterestRateIndexFixingDate("Euribor6M",M474),TRUE,AllTriggers)</f>
        <v>2.2178046822251423E-2</v>
      </c>
      <c r="R474" s="489">
        <f>_xll.qlOvernightIndexedSwapFairRate(O474,AllTriggers)</f>
        <v>2.0980709812087994E-2</v>
      </c>
      <c r="S474" s="491">
        <f t="shared" si="11"/>
        <v>1.1973370101634288E-3</v>
      </c>
    </row>
    <row r="475" spans="5:19" ht="11.25" customHeight="1" x14ac:dyDescent="0.2">
      <c r="E475" s="483"/>
      <c r="F475" s="483"/>
      <c r="G475" s="482"/>
      <c r="J475" s="482"/>
      <c r="K475" s="482"/>
      <c r="M475" s="497">
        <f>_xll.qlCalendarAdvance(Calendar,M474,"1M","f",,Trigger)</f>
        <v>56639</v>
      </c>
      <c r="N475" s="488">
        <f>_xll.qlCalendarAdvance(Calendar,M475,"3M","f",,Trigger)</f>
        <v>56730</v>
      </c>
      <c r="O475" s="490" t="str">
        <f>_xll.qlMakeDatedOIS(,M475,N475,OvernightIndex,0,,,,EvaluationDate)</f>
        <v>obj_00728#0001</v>
      </c>
      <c r="P475" s="490" t="b">
        <f>_xll.qlInstrumentSetPricingEngine(O475,OisEngine)</f>
        <v>1</v>
      </c>
      <c r="Q475" s="489">
        <f>_xll.qlIndexFixing("euribor6m",_xll.qlInterestRateIndexFixingDate("Euribor6M",M475),TRUE,AllTriggers)</f>
        <v>2.2145947284503569E-2</v>
      </c>
      <c r="R475" s="489">
        <f>_xll.qlOvernightIndexedSwapFairRate(O475,AllTriggers)</f>
        <v>2.0981320133045312E-2</v>
      </c>
      <c r="S475" s="491">
        <f t="shared" si="11"/>
        <v>1.1646271514582571E-3</v>
      </c>
    </row>
    <row r="476" spans="5:19" ht="11.25" customHeight="1" x14ac:dyDescent="0.2">
      <c r="E476" s="483"/>
      <c r="F476" s="483"/>
      <c r="G476" s="482"/>
      <c r="J476" s="482"/>
      <c r="K476" s="482"/>
      <c r="M476" s="497">
        <f>_xll.qlCalendarAdvance(Calendar,M475,"1M","f",,Trigger)</f>
        <v>56670</v>
      </c>
      <c r="N476" s="488">
        <f>_xll.qlCalendarAdvance(Calendar,M476,"3M","f",,Trigger)</f>
        <v>56759</v>
      </c>
      <c r="O476" s="490" t="str">
        <f>_xll.qlMakeDatedOIS(,M476,N476,OvernightIndex,0,,,,EvaluationDate)</f>
        <v>obj_0072a#0001</v>
      </c>
      <c r="P476" s="490" t="b">
        <f>_xll.qlInstrumentSetPricingEngine(O476,OisEngine)</f>
        <v>1</v>
      </c>
      <c r="Q476" s="489">
        <f>_xll.qlIndexFixing("euribor6m",_xll.qlInterestRateIndexFixingDate("Euribor6M",M476),TRUE,AllTriggers)</f>
        <v>2.2115918942596086E-2</v>
      </c>
      <c r="R476" s="489">
        <f>_xll.qlOvernightIndexedSwapFairRate(O476,AllTriggers)</f>
        <v>2.0980099514791666E-2</v>
      </c>
      <c r="S476" s="491">
        <f t="shared" si="11"/>
        <v>1.1358194278044201E-3</v>
      </c>
    </row>
    <row r="477" spans="5:19" ht="11.25" customHeight="1" x14ac:dyDescent="0.2">
      <c r="E477" s="483"/>
      <c r="F477" s="483"/>
      <c r="G477" s="482"/>
      <c r="J477" s="482"/>
      <c r="K477" s="482"/>
      <c r="M477" s="497">
        <f>_xll.qlCalendarAdvance(Calendar,M476,"1M","f",,Trigger)</f>
        <v>56698</v>
      </c>
      <c r="N477" s="488">
        <f>_xll.qlCalendarAdvance(Calendar,M477,"3M","f",,Trigger)</f>
        <v>56790</v>
      </c>
      <c r="O477" s="490" t="str">
        <f>_xll.qlMakeDatedOIS(,M477,N477,OvernightIndex,0,,,,EvaluationDate)</f>
        <v>obj_007eb#0001</v>
      </c>
      <c r="P477" s="490" t="b">
        <f>_xll.qlInstrumentSetPricingEngine(O477,OisEngine)</f>
        <v>1</v>
      </c>
      <c r="Q477" s="489">
        <f>_xll.qlIndexFixing("euribor6m",_xll.qlInterestRateIndexFixingDate("Euribor6M",M477),TRUE,AllTriggers)</f>
        <v>2.2090283733260812E-2</v>
      </c>
      <c r="R477" s="489">
        <f>_xll.qlOvernightIndexedSwapFairRate(O477,AllTriggers)</f>
        <v>2.0981930477664498E-2</v>
      </c>
      <c r="S477" s="491">
        <f t="shared" si="11"/>
        <v>1.1083532555963144E-3</v>
      </c>
    </row>
    <row r="478" spans="5:19" ht="11.25" customHeight="1" x14ac:dyDescent="0.2">
      <c r="E478" s="483"/>
      <c r="F478" s="483"/>
      <c r="G478" s="482"/>
      <c r="J478" s="482"/>
      <c r="K478" s="482"/>
      <c r="M478" s="497">
        <f>_xll.qlCalendarAdvance(Calendar,M477,"1M","f",,Trigger)</f>
        <v>56730</v>
      </c>
      <c r="N478" s="488">
        <f>_xll.qlCalendarAdvance(Calendar,M478,"3M","f",,Trigger)</f>
        <v>56821</v>
      </c>
      <c r="O478" s="490" t="str">
        <f>_xll.qlMakeDatedOIS(,M478,N478,OvernightIndex,0,,,,EvaluationDate)</f>
        <v>obj_0072d#0001</v>
      </c>
      <c r="P478" s="490" t="b">
        <f>_xll.qlInstrumentSetPricingEngine(O478,OisEngine)</f>
        <v>1</v>
      </c>
      <c r="Q478" s="489">
        <f>_xll.qlIndexFixing("euribor6m",_xll.qlInterestRateIndexFixingDate("Euribor6M",M478),TRUE,AllTriggers)</f>
        <v>2.2059511944917818E-2</v>
      </c>
      <c r="R478" s="489">
        <f>_xll.qlOvernightIndexedSwapFairRate(O478,AllTriggers)</f>
        <v>2.0981320133046193E-2</v>
      </c>
      <c r="S478" s="491">
        <f t="shared" si="11"/>
        <v>1.0781918118716247E-3</v>
      </c>
    </row>
    <row r="479" spans="5:19" ht="11.25" customHeight="1" x14ac:dyDescent="0.2">
      <c r="E479" s="483"/>
      <c r="F479" s="483"/>
      <c r="G479" s="482"/>
      <c r="J479" s="482"/>
      <c r="K479" s="482"/>
      <c r="M479" s="497">
        <f>_xll.qlCalendarAdvance(Calendar,M478,"1M","f",,Trigger)</f>
        <v>56760</v>
      </c>
      <c r="N479" s="488">
        <f>_xll.qlCalendarAdvance(Calendar,M479,"3M","f",,Trigger)</f>
        <v>56852</v>
      </c>
      <c r="O479" s="490" t="str">
        <f>_xll.qlMakeDatedOIS(,M479,N479,OvernightIndex,0,,,,EvaluationDate)</f>
        <v>obj_0072f#0001</v>
      </c>
      <c r="P479" s="490" t="b">
        <f>_xll.qlInstrumentSetPricingEngine(O479,OisEngine)</f>
        <v>1</v>
      </c>
      <c r="Q479" s="489">
        <f>_xll.qlIndexFixing("euribor6m",_xll.qlInterestRateIndexFixingDate("Euribor6M",M479),TRUE,AllTriggers)</f>
        <v>2.2031766165869385E-2</v>
      </c>
      <c r="R479" s="489">
        <f>_xll.qlOvernightIndexedSwapFairRate(O479,AllTriggers)</f>
        <v>2.0981930477664501E-2</v>
      </c>
      <c r="S479" s="491">
        <f t="shared" si="11"/>
        <v>1.0498356882048844E-3</v>
      </c>
    </row>
    <row r="480" spans="5:19" ht="11.25" customHeight="1" x14ac:dyDescent="0.2">
      <c r="E480" s="483"/>
      <c r="F480" s="483"/>
      <c r="G480" s="482"/>
      <c r="J480" s="482"/>
      <c r="K480" s="482"/>
      <c r="M480" s="497">
        <f>_xll.qlCalendarAdvance(Calendar,M479,"1M","f",,Trigger)</f>
        <v>56793</v>
      </c>
      <c r="N480" s="488">
        <f>_xll.qlCalendarAdvance(Calendar,M480,"3M","f",,Trigger)</f>
        <v>56885</v>
      </c>
      <c r="O480" s="490" t="str">
        <f>_xll.qlMakeDatedOIS(,M480,N480,OvernightIndex,0,,,,EvaluationDate)</f>
        <v>obj_0084c#0001</v>
      </c>
      <c r="P480" s="490" t="b">
        <f>_xll.qlInstrumentSetPricingEngine(O480,OisEngine)</f>
        <v>1</v>
      </c>
      <c r="Q480" s="489">
        <f>_xll.qlIndexFixing("euribor6m",_xll.qlInterestRateIndexFixingDate("Euribor6M",M480),TRUE,AllTriggers)</f>
        <v>2.2001142808213508E-2</v>
      </c>
      <c r="R480" s="489">
        <f>_xll.qlOvernightIndexedSwapFairRate(O480,AllTriggers)</f>
        <v>2.0981930477664498E-2</v>
      </c>
      <c r="S480" s="491">
        <f t="shared" si="11"/>
        <v>1.0192123305490103E-3</v>
      </c>
    </row>
    <row r="481" spans="5:19" ht="11.25" customHeight="1" x14ac:dyDescent="0.2">
      <c r="E481" s="483"/>
      <c r="F481" s="483"/>
      <c r="G481" s="482"/>
      <c r="J481" s="482"/>
      <c r="K481" s="482"/>
      <c r="M481" s="497">
        <f>_xll.qlCalendarAdvance(Calendar,M480,"1M","f",,Trigger)</f>
        <v>56823</v>
      </c>
      <c r="N481" s="488">
        <f>_xll.qlCalendarAdvance(Calendar,M481,"3M","f",,Trigger)</f>
        <v>56915</v>
      </c>
      <c r="O481" s="490" t="str">
        <f>_xll.qlMakeDatedOIS(,M481,N481,OvernightIndex,0,,,,EvaluationDate)</f>
        <v>obj_00732#0001</v>
      </c>
      <c r="P481" s="490" t="b">
        <f>_xll.qlInstrumentSetPricingEngine(O481,OisEngine)</f>
        <v>1</v>
      </c>
      <c r="Q481" s="489">
        <f>_xll.qlIndexFixing("euribor6m",_xll.qlInterestRateIndexFixingDate("Euribor6M",M481),TRUE,AllTriggers)</f>
        <v>2.1974030894449142E-2</v>
      </c>
      <c r="R481" s="489">
        <f>_xll.qlOvernightIndexedSwapFairRate(O481,AllTriggers)</f>
        <v>2.0981930477665372E-2</v>
      </c>
      <c r="S481" s="491">
        <f t="shared" si="11"/>
        <v>9.9210041678376992E-4</v>
      </c>
    </row>
    <row r="482" spans="5:19" ht="11.25" customHeight="1" x14ac:dyDescent="0.2">
      <c r="E482" s="483"/>
      <c r="F482" s="483"/>
      <c r="G482" s="482"/>
      <c r="J482" s="482"/>
      <c r="K482" s="482"/>
      <c r="M482" s="497">
        <f>_xll.qlCalendarAdvance(Calendar,M481,"1M","f",,Trigger)</f>
        <v>56856</v>
      </c>
      <c r="N482" s="488">
        <f>_xll.qlCalendarAdvance(Calendar,M482,"3M","f",,Trigger)</f>
        <v>56948</v>
      </c>
      <c r="O482" s="490" t="str">
        <f>_xll.qlMakeDatedOIS(,M482,N482,OvernightIndex,0,,,,EvaluationDate)</f>
        <v>obj_00734#0001</v>
      </c>
      <c r="P482" s="490" t="b">
        <f>_xll.qlInstrumentSetPricingEngine(O482,OisEngine)</f>
        <v>1</v>
      </c>
      <c r="Q482" s="489">
        <f>_xll.qlIndexFixing("euribor6m",_xll.qlInterestRateIndexFixingDate("Euribor6M",M482),TRUE,AllTriggers)</f>
        <v>2.1944090185738847E-2</v>
      </c>
      <c r="R482" s="489">
        <f>_xll.qlOvernightIndexedSwapFairRate(O482,AllTriggers)</f>
        <v>2.0981930477664498E-2</v>
      </c>
      <c r="S482" s="491">
        <f t="shared" si="11"/>
        <v>9.6215970807434978E-4</v>
      </c>
    </row>
    <row r="483" spans="5:19" ht="11.25" customHeight="1" x14ac:dyDescent="0.2">
      <c r="E483" s="483"/>
      <c r="F483" s="483"/>
      <c r="G483" s="482"/>
      <c r="J483" s="482"/>
      <c r="K483" s="482"/>
      <c r="M483" s="497">
        <f>_xll.qlCalendarAdvance(Calendar,M482,"1M","f",,Trigger)</f>
        <v>56887</v>
      </c>
      <c r="N483" s="488">
        <f>_xll.qlCalendarAdvance(Calendar,M483,"3M","f",,Trigger)</f>
        <v>56978</v>
      </c>
      <c r="O483" s="490" t="str">
        <f>_xll.qlMakeDatedOIS(,M483,N483,OvernightIndex,0,,,,EvaluationDate)</f>
        <v>obj_00736#0001</v>
      </c>
      <c r="P483" s="490" t="b">
        <f>_xll.qlInstrumentSetPricingEngine(O483,OisEngine)</f>
        <v>1</v>
      </c>
      <c r="Q483" s="489">
        <f>_xll.qlIndexFixing("euribor6m",_xll.qlInterestRateIndexFixingDate("Euribor6M",M483),TRUE,AllTriggers)</f>
        <v>2.1916272683167395E-2</v>
      </c>
      <c r="R483" s="489">
        <f>_xll.qlOvernightIndexedSwapFairRate(O483,AllTriggers)</f>
        <v>2.0981320133045316E-2</v>
      </c>
      <c r="S483" s="491">
        <f t="shared" si="11"/>
        <v>9.3495255012207915E-4</v>
      </c>
    </row>
    <row r="484" spans="5:19" ht="11.25" customHeight="1" x14ac:dyDescent="0.2">
      <c r="E484" s="483"/>
      <c r="F484" s="483"/>
      <c r="G484" s="482"/>
      <c r="J484" s="482"/>
      <c r="K484" s="482"/>
      <c r="M484" s="497">
        <f>_xll.qlCalendarAdvance(Calendar,M483,"1M","f",,Trigger)</f>
        <v>56919</v>
      </c>
      <c r="N484" s="488">
        <f>_xll.qlCalendarAdvance(Calendar,M484,"3M","f",,Trigger)</f>
        <v>57011</v>
      </c>
      <c r="O484" s="490" t="str">
        <f>_xll.qlMakeDatedOIS(,M484,N484,OvernightIndex,0,,,,EvaluationDate)</f>
        <v>obj_00738#0001</v>
      </c>
      <c r="P484" s="490" t="b">
        <f>_xll.qlInstrumentSetPricingEngine(O484,OisEngine)</f>
        <v>1</v>
      </c>
      <c r="Q484" s="489">
        <f>_xll.qlIndexFixing("euribor6m",_xll.qlInterestRateIndexFixingDate("Euribor6M",M484),TRUE,AllTriggers)</f>
        <v>2.1888353964313562E-2</v>
      </c>
      <c r="R484" s="489">
        <f>_xll.qlOvernightIndexedSwapFairRate(O484,AllTriggers)</f>
        <v>2.0981930477664494E-2</v>
      </c>
      <c r="S484" s="491">
        <f t="shared" si="11"/>
        <v>9.0642348664906822E-4</v>
      </c>
    </row>
    <row r="485" spans="5:19" ht="11.25" customHeight="1" x14ac:dyDescent="0.2">
      <c r="E485" s="483"/>
      <c r="F485" s="483"/>
      <c r="G485" s="482"/>
      <c r="J485" s="482"/>
      <c r="K485" s="482"/>
      <c r="M485" s="497">
        <f>_xll.qlCalendarAdvance(Calendar,M484,"1M","f",,Trigger)</f>
        <v>56949</v>
      </c>
      <c r="N485" s="488">
        <f>_xll.qlCalendarAdvance(Calendar,M485,"3M","f",,Trigger)</f>
        <v>57040</v>
      </c>
      <c r="O485" s="490" t="str">
        <f>_xll.qlMakeDatedOIS(,M485,N485,OvernightIndex,0,,,,EvaluationDate)</f>
        <v>obj_0073a#0001</v>
      </c>
      <c r="P485" s="490" t="b">
        <f>_xll.qlInstrumentSetPricingEngine(O485,OisEngine)</f>
        <v>1</v>
      </c>
      <c r="Q485" s="489">
        <f>_xll.qlIndexFixing("euribor6m",_xll.qlInterestRateIndexFixingDate("Euribor6M",M485),TRUE,AllTriggers)</f>
        <v>2.1862275554958521E-2</v>
      </c>
      <c r="R485" s="489">
        <f>_xll.qlOvernightIndexedSwapFairRate(O485,AllTriggers)</f>
        <v>2.0981320133045312E-2</v>
      </c>
      <c r="S485" s="491">
        <f t="shared" si="11"/>
        <v>8.8095542191320847E-4</v>
      </c>
    </row>
    <row r="486" spans="5:19" ht="11.25" customHeight="1" x14ac:dyDescent="0.2">
      <c r="E486" s="483"/>
      <c r="F486" s="483"/>
      <c r="G486" s="482"/>
      <c r="J486" s="482"/>
      <c r="K486" s="482"/>
      <c r="M486" s="497">
        <f>_xll.qlCalendarAdvance(Calendar,M485,"1M","f",,Trigger)</f>
        <v>56982</v>
      </c>
      <c r="N486" s="488">
        <f>_xll.qlCalendarAdvance(Calendar,M486,"3M","f",,Trigger)</f>
        <v>57074</v>
      </c>
      <c r="O486" s="490" t="str">
        <f>_xll.qlMakeDatedOIS(,M486,N486,OvernightIndex,0,,,,EvaluationDate)</f>
        <v>obj_0073c#0001</v>
      </c>
      <c r="P486" s="490" t="b">
        <f>_xll.qlInstrumentSetPricingEngine(O486,OisEngine)</f>
        <v>1</v>
      </c>
      <c r="Q486" s="489">
        <f>_xll.qlIndexFixing("euribor6m",_xll.qlInterestRateIndexFixingDate("Euribor6M",M486),TRUE,AllTriggers)</f>
        <v>2.1833696030060783E-2</v>
      </c>
      <c r="R486" s="489">
        <f>_xll.qlOvernightIndexedSwapFairRate(O486,AllTriggers)</f>
        <v>2.0981930477664498E-2</v>
      </c>
      <c r="S486" s="491">
        <f t="shared" si="11"/>
        <v>8.5176555239628582E-4</v>
      </c>
    </row>
    <row r="487" spans="5:19" ht="11.25" customHeight="1" x14ac:dyDescent="0.2">
      <c r="E487" s="483"/>
      <c r="F487" s="483"/>
      <c r="G487" s="482"/>
      <c r="J487" s="482"/>
      <c r="K487" s="482"/>
      <c r="M487" s="497">
        <f>_xll.qlCalendarAdvance(Calendar,M486,"1M","f",,Trigger)</f>
        <v>57013</v>
      </c>
      <c r="N487" s="488">
        <f>_xll.qlCalendarAdvance(Calendar,M487,"3M","f",,Trigger)</f>
        <v>57103</v>
      </c>
      <c r="O487" s="490" t="str">
        <f>_xll.qlMakeDatedOIS(,M487,N487,OvernightIndex,0,,,,EvaluationDate)</f>
        <v>obj_00895#0001</v>
      </c>
      <c r="P487" s="490" t="b">
        <f>_xll.qlInstrumentSetPricingEngine(O487,OisEngine)</f>
        <v>1</v>
      </c>
      <c r="Q487" s="489">
        <f>_xll.qlIndexFixing("euribor6m",_xll.qlInterestRateIndexFixingDate("Euribor6M",M487),TRUE,AllTriggers)</f>
        <v>2.1807397584883197E-2</v>
      </c>
      <c r="R487" s="489">
        <f>_xll.qlOvernightIndexedSwapFairRate(O487,AllTriggers)</f>
        <v>2.0980709812088879E-2</v>
      </c>
      <c r="S487" s="491">
        <f t="shared" si="11"/>
        <v>8.2668777279431768E-4</v>
      </c>
    </row>
    <row r="488" spans="5:19" ht="11.25" customHeight="1" x14ac:dyDescent="0.2">
      <c r="E488" s="483"/>
      <c r="F488" s="483"/>
      <c r="G488" s="482"/>
      <c r="J488" s="482"/>
      <c r="K488" s="482"/>
      <c r="M488" s="497">
        <f>_xll.qlCalendarAdvance(Calendar,M487,"1M","f",,Trigger)</f>
        <v>57042</v>
      </c>
      <c r="N488" s="488">
        <f>_xll.qlCalendarAdvance(Calendar,M488,"3M","f",,Trigger)</f>
        <v>57136</v>
      </c>
      <c r="O488" s="490" t="str">
        <f>_xll.qlMakeDatedOIS(,M488,N488,OvernightIndex,0,,,,EvaluationDate)</f>
        <v>obj_0083a#0001</v>
      </c>
      <c r="P488" s="490" t="b">
        <f>_xll.qlInstrumentSetPricingEngine(O488,OisEngine)</f>
        <v>1</v>
      </c>
      <c r="Q488" s="489">
        <f>_xll.qlIndexFixing("euribor6m",_xll.qlInterestRateIndexFixingDate("Euribor6M",M488),TRUE,AllTriggers)</f>
        <v>2.1783819256932218E-2</v>
      </c>
      <c r="R488" s="489">
        <f>_xll.qlOvernightIndexedSwapFairRate(O488,AllTriggers)</f>
        <v>2.0983151237891757E-2</v>
      </c>
      <c r="S488" s="491">
        <f t="shared" si="11"/>
        <v>8.0066801904046109E-4</v>
      </c>
    </row>
    <row r="489" spans="5:19" ht="11.25" customHeight="1" x14ac:dyDescent="0.2">
      <c r="E489" s="483"/>
      <c r="F489" s="483"/>
      <c r="G489" s="482"/>
      <c r="J489" s="482"/>
      <c r="K489" s="482"/>
      <c r="M489" s="497">
        <f>_xll.qlCalendarAdvance(Calendar,M488,"1M","f",,Trigger)</f>
        <v>57074</v>
      </c>
      <c r="N489" s="488">
        <f>_xll.qlCalendarAdvance(Calendar,M489,"3M","f",,Trigger)</f>
        <v>57165</v>
      </c>
      <c r="O489" s="490" t="str">
        <f>_xll.qlMakeDatedOIS(,M489,N489,OvernightIndex,0,,,,EvaluationDate)</f>
        <v>obj_00740#0001</v>
      </c>
      <c r="P489" s="490" t="b">
        <f>_xll.qlInstrumentSetPricingEngine(O489,OisEngine)</f>
        <v>1</v>
      </c>
      <c r="Q489" s="489">
        <f>_xll.qlIndexFixing("euribor6m",_xll.qlInterestRateIndexFixingDate("Euribor6M",M489),TRUE,AllTriggers)</f>
        <v>2.1756828048508658E-2</v>
      </c>
      <c r="R489" s="489">
        <f>_xll.qlOvernightIndexedSwapFairRate(O489,AllTriggers)</f>
        <v>2.0981320133045312E-2</v>
      </c>
      <c r="S489" s="491">
        <f t="shared" si="11"/>
        <v>7.7550791546334569E-4</v>
      </c>
    </row>
    <row r="490" spans="5:19" ht="11.25" customHeight="1" x14ac:dyDescent="0.2">
      <c r="E490" s="483"/>
      <c r="F490" s="483"/>
      <c r="G490" s="482"/>
      <c r="J490" s="482"/>
      <c r="K490" s="482"/>
      <c r="M490" s="497">
        <f>_xll.qlCalendarAdvance(Calendar,M489,"1M","f",,Trigger)</f>
        <v>57104</v>
      </c>
      <c r="N490" s="488">
        <f>_xll.qlCalendarAdvance(Calendar,M490,"3M","f",,Trigger)</f>
        <v>57196</v>
      </c>
      <c r="O490" s="490" t="str">
        <f>_xll.qlMakeDatedOIS(,M490,N490,OvernightIndex,0,,,,EvaluationDate)</f>
        <v>obj_00742#0001</v>
      </c>
      <c r="P490" s="490" t="b">
        <f>_xll.qlInstrumentSetPricingEngine(O490,OisEngine)</f>
        <v>1</v>
      </c>
      <c r="Q490" s="489">
        <f>_xll.qlIndexFixing("euribor6m",_xll.qlInterestRateIndexFixingDate("Euribor6M",M490),TRUE,AllTriggers)</f>
        <v>2.1733048462623642E-2</v>
      </c>
      <c r="R490" s="489">
        <f>_xll.qlOvernightIndexedSwapFairRate(O490,AllTriggers)</f>
        <v>2.0981930477664498E-2</v>
      </c>
      <c r="S490" s="491">
        <f t="shared" si="11"/>
        <v>7.5111798495914456E-4</v>
      </c>
    </row>
    <row r="491" spans="5:19" ht="11.25" customHeight="1" x14ac:dyDescent="0.2">
      <c r="E491" s="483"/>
      <c r="F491" s="483"/>
      <c r="G491" s="482"/>
      <c r="J491" s="482"/>
      <c r="K491" s="482"/>
      <c r="M491" s="497">
        <f>_xll.qlCalendarAdvance(Calendar,M490,"1M","f",,Trigger)</f>
        <v>57136</v>
      </c>
      <c r="N491" s="488">
        <f>_xll.qlCalendarAdvance(Calendar,M491,"3M","f",,Trigger)</f>
        <v>57228</v>
      </c>
      <c r="O491" s="490" t="str">
        <f>_xll.qlMakeDatedOIS(,M491,N491,OvernightIndex,0,,,,EvaluationDate)</f>
        <v>obj_0082d#0001</v>
      </c>
      <c r="P491" s="490" t="b">
        <f>_xll.qlInstrumentSetPricingEngine(O491,OisEngine)</f>
        <v>1</v>
      </c>
      <c r="Q491" s="489">
        <f>_xll.qlIndexFixing("euribor6m",_xll.qlInterestRateIndexFixingDate("Euribor6M",M491),TRUE,AllTriggers)</f>
        <v>2.170644828854398E-2</v>
      </c>
      <c r="R491" s="489">
        <f>_xll.qlOvernightIndexedSwapFairRate(O491,AllTriggers)</f>
        <v>2.0981930477664498E-2</v>
      </c>
      <c r="S491" s="491">
        <f t="shared" si="11"/>
        <v>7.2451781087948253E-4</v>
      </c>
    </row>
    <row r="492" spans="5:19" ht="11.25" customHeight="1" x14ac:dyDescent="0.2">
      <c r="E492" s="483"/>
      <c r="F492" s="483"/>
      <c r="G492" s="482"/>
      <c r="J492" s="482"/>
      <c r="K492" s="482"/>
      <c r="M492" s="497">
        <f>_xll.qlCalendarAdvance(Calendar,M491,"1M","f",,Trigger)</f>
        <v>57166</v>
      </c>
      <c r="N492" s="488">
        <f>_xll.qlCalendarAdvance(Calendar,M492,"3M","f",,Trigger)</f>
        <v>57258</v>
      </c>
      <c r="O492" s="490" t="str">
        <f>_xll.qlMakeDatedOIS(,M492,N492,OvernightIndex,0,,,,EvaluationDate)</f>
        <v>obj_00820#0001</v>
      </c>
      <c r="P492" s="490" t="b">
        <f>_xll.qlInstrumentSetPricingEngine(O492,OisEngine)</f>
        <v>1</v>
      </c>
      <c r="Q492" s="489">
        <f>_xll.qlIndexFixing("euribor6m",_xll.qlInterestRateIndexFixingDate("Euribor6M",M492),TRUE,AllTriggers)</f>
        <v>2.1682788028202275E-2</v>
      </c>
      <c r="R492" s="489">
        <f>_xll.qlOvernightIndexedSwapFairRate(O492,AllTriggers)</f>
        <v>2.098193047766363E-2</v>
      </c>
      <c r="S492" s="491">
        <f t="shared" si="11"/>
        <v>7.008575505386451E-4</v>
      </c>
    </row>
    <row r="493" spans="5:19" ht="11.25" customHeight="1" x14ac:dyDescent="0.2">
      <c r="E493" s="483"/>
      <c r="F493" s="483"/>
      <c r="G493" s="482"/>
      <c r="J493" s="482"/>
      <c r="K493" s="482"/>
      <c r="M493" s="497">
        <f>_xll.qlCalendarAdvance(Calendar,M492,"1M","f",,Trigger)</f>
        <v>57199</v>
      </c>
      <c r="N493" s="488">
        <f>_xll.qlCalendarAdvance(Calendar,M493,"3M","f",,Trigger)</f>
        <v>57291</v>
      </c>
      <c r="O493" s="490" t="str">
        <f>_xll.qlMakeDatedOIS(,M493,N493,OvernightIndex,0,,,,EvaluationDate)</f>
        <v>obj_00746#0001</v>
      </c>
      <c r="P493" s="490" t="b">
        <f>_xll.qlInstrumentSetPricingEngine(O493,OisEngine)</f>
        <v>1</v>
      </c>
      <c r="Q493" s="489">
        <f>_xll.qlIndexFixing("euribor6m",_xll.qlInterestRateIndexFixingDate("Euribor6M",M493),TRUE,AllTriggers)</f>
        <v>2.1656824848391421E-2</v>
      </c>
      <c r="R493" s="489">
        <f>_xll.qlOvernightIndexedSwapFairRate(O493,AllTriggers)</f>
        <v>2.0981930477664501E-2</v>
      </c>
      <c r="S493" s="491">
        <f t="shared" si="11"/>
        <v>6.7489437072692018E-4</v>
      </c>
    </row>
    <row r="494" spans="5:19" ht="11.25" customHeight="1" x14ac:dyDescent="0.2">
      <c r="E494" s="483"/>
      <c r="F494" s="483"/>
      <c r="G494" s="482"/>
      <c r="J494" s="482"/>
      <c r="K494" s="482"/>
      <c r="M494" s="497">
        <f>_xll.qlCalendarAdvance(Calendar,M493,"1M","f",,Trigger)</f>
        <v>57230</v>
      </c>
      <c r="N494" s="488">
        <f>_xll.qlCalendarAdvance(Calendar,M494,"3M","f",,Trigger)</f>
        <v>57321</v>
      </c>
      <c r="O494" s="490" t="str">
        <f>_xll.qlMakeDatedOIS(,M494,N494,OvernightIndex,0,,,,EvaluationDate)</f>
        <v>obj_00748#0001</v>
      </c>
      <c r="P494" s="490" t="b">
        <f>_xll.qlInstrumentSetPricingEngine(O494,OisEngine)</f>
        <v>1</v>
      </c>
      <c r="Q494" s="489">
        <f>_xll.qlIndexFixing("euribor6m",_xll.qlInterestRateIndexFixingDate("Euribor6M",M494),TRUE,AllTriggers)</f>
        <v>2.1631963029585033E-2</v>
      </c>
      <c r="R494" s="489">
        <f>_xll.qlOvernightIndexedSwapFairRate(O494,AllTriggers)</f>
        <v>2.0981320133045312E-2</v>
      </c>
      <c r="S494" s="491">
        <f t="shared" si="11"/>
        <v>6.5064289653972082E-4</v>
      </c>
    </row>
    <row r="495" spans="5:19" ht="11.25" customHeight="1" x14ac:dyDescent="0.2">
      <c r="E495" s="483"/>
      <c r="F495" s="483"/>
      <c r="G495" s="482"/>
      <c r="J495" s="482"/>
      <c r="K495" s="482"/>
      <c r="M495" s="497">
        <f>_xll.qlCalendarAdvance(Calendar,M494,"1M","f",,Trigger)</f>
        <v>57262</v>
      </c>
      <c r="N495" s="488">
        <f>_xll.qlCalendarAdvance(Calendar,M495,"3M","f",,Trigger)</f>
        <v>57354</v>
      </c>
      <c r="O495" s="490" t="str">
        <f>_xll.qlMakeDatedOIS(,M495,N495,OvernightIndex,0,,,,EvaluationDate)</f>
        <v>obj_0074a#0001</v>
      </c>
      <c r="P495" s="490" t="b">
        <f>_xll.qlInstrumentSetPricingEngine(O495,OisEngine)</f>
        <v>1</v>
      </c>
      <c r="Q495" s="489">
        <f>_xll.qlIndexFixing("euribor6m",_xll.qlInterestRateIndexFixingDate("Euribor6M",M495),TRUE,AllTriggers)</f>
        <v>2.1607719555781939E-2</v>
      </c>
      <c r="R495" s="489">
        <f>_xll.qlOvernightIndexedSwapFairRate(O495,AllTriggers)</f>
        <v>2.0981930477664498E-2</v>
      </c>
      <c r="S495" s="491">
        <f t="shared" si="11"/>
        <v>6.2578907811744119E-4</v>
      </c>
    </row>
    <row r="496" spans="5:19" ht="11.25" customHeight="1" x14ac:dyDescent="0.2">
      <c r="E496" s="483"/>
      <c r="F496" s="483"/>
      <c r="G496" s="482"/>
      <c r="J496" s="482"/>
      <c r="K496" s="482"/>
      <c r="M496" s="497">
        <f>_xll.qlCalendarAdvance(Calendar,M495,"1M","f",,Trigger)</f>
        <v>57293</v>
      </c>
      <c r="N496" s="488">
        <f>_xll.qlCalendarAdvance(Calendar,M496,"3M","f",,Trigger)</f>
        <v>57385</v>
      </c>
      <c r="O496" s="490" t="str">
        <f>_xll.qlMakeDatedOIS(,M496,N496,OvernightIndex,0,,,,EvaluationDate)</f>
        <v>obj_0074c#0001</v>
      </c>
      <c r="P496" s="490" t="b">
        <f>_xll.qlInstrumentSetPricingEngine(O496,OisEngine)</f>
        <v>1</v>
      </c>
      <c r="Q496" s="489">
        <f>_xll.qlIndexFixing("euribor6m",_xll.qlInterestRateIndexFixingDate("Euribor6M",M496),TRUE,AllTriggers)</f>
        <v>2.1584024285112625E-2</v>
      </c>
      <c r="R496" s="489">
        <f>_xll.qlOvernightIndexedSwapFairRate(O496,AllTriggers)</f>
        <v>2.0981930477664498E-2</v>
      </c>
      <c r="S496" s="491">
        <f t="shared" si="11"/>
        <v>6.0209380744812718E-4</v>
      </c>
    </row>
    <row r="497" spans="5:19" ht="11.25" customHeight="1" x14ac:dyDescent="0.2">
      <c r="E497" s="483"/>
      <c r="F497" s="483"/>
      <c r="G497" s="482"/>
      <c r="J497" s="482"/>
      <c r="K497" s="482"/>
      <c r="M497" s="497">
        <f>_xll.qlCalendarAdvance(Calendar,M496,"1M","f",,Trigger)</f>
        <v>57325</v>
      </c>
      <c r="N497" s="488">
        <f>_xll.qlCalendarAdvance(Calendar,M497,"3M","f",,Trigger)</f>
        <v>57416</v>
      </c>
      <c r="O497" s="490" t="str">
        <f>_xll.qlMakeDatedOIS(,M497,N497,OvernightIndex,0,,,,EvaluationDate)</f>
        <v>obj_0074e#0001</v>
      </c>
      <c r="P497" s="490" t="b">
        <f>_xll.qlInstrumentSetPricingEngine(O497,OisEngine)</f>
        <v>1</v>
      </c>
      <c r="Q497" s="489">
        <f>_xll.qlIndexFixing("euribor6m",_xll.qlInterestRateIndexFixingDate("Euribor6M",M497),TRUE,AllTriggers)</f>
        <v>2.1560456645885406E-2</v>
      </c>
      <c r="R497" s="489">
        <f>_xll.qlOvernightIndexedSwapFairRate(O497,AllTriggers)</f>
        <v>2.098132013304619E-2</v>
      </c>
      <c r="S497" s="491">
        <f t="shared" si="11"/>
        <v>5.7913651283921647E-4</v>
      </c>
    </row>
    <row r="498" spans="5:19" ht="11.25" customHeight="1" x14ac:dyDescent="0.2">
      <c r="E498" s="483"/>
      <c r="F498" s="483"/>
      <c r="G498" s="482"/>
      <c r="J498" s="482"/>
      <c r="K498" s="482"/>
      <c r="M498" s="497">
        <f>_xll.qlCalendarAdvance(Calendar,M497,"1M","f",,Trigger)</f>
        <v>57356</v>
      </c>
      <c r="N498" s="488">
        <f>_xll.qlCalendarAdvance(Calendar,M498,"3M","f",,Trigger)</f>
        <v>57446</v>
      </c>
      <c r="O498" s="490" t="str">
        <f>_xll.qlMakeDatedOIS(,M498,N498,OvernightIndex,0,,,,EvaluationDate)</f>
        <v>obj_00750#0001</v>
      </c>
      <c r="P498" s="490" t="b">
        <f>_xll.qlInstrumentSetPricingEngine(O498,OisEngine)</f>
        <v>1</v>
      </c>
      <c r="Q498" s="489">
        <f>_xll.qlIndexFixing("euribor6m",_xll.qlInterestRateIndexFixingDate("Euribor6M",M498),TRUE,AllTriggers)</f>
        <v>2.1537401060824937E-2</v>
      </c>
      <c r="R498" s="489">
        <f>_xll.qlOvernightIndexedSwapFairRate(O498,AllTriggers)</f>
        <v>2.0980709812088879E-2</v>
      </c>
      <c r="S498" s="491">
        <f t="shared" si="11"/>
        <v>5.5669124873605758E-4</v>
      </c>
    </row>
    <row r="499" spans="5:19" ht="11.25" customHeight="1" x14ac:dyDescent="0.2">
      <c r="E499" s="483"/>
      <c r="F499" s="483"/>
      <c r="G499" s="482"/>
      <c r="J499" s="482"/>
      <c r="K499" s="482"/>
      <c r="M499" s="497">
        <f>_xll.qlCalendarAdvance(Calendar,M498,"1M","f",,Trigger)</f>
        <v>57388</v>
      </c>
      <c r="N499" s="488">
        <f>_xll.qlCalendarAdvance(Calendar,M499,"3M","f",,Trigger)</f>
        <v>57479</v>
      </c>
      <c r="O499" s="490" t="str">
        <f>_xll.qlMakeDatedOIS(,M499,N499,OvernightIndex,0,,,,EvaluationDate)</f>
        <v>obj_00752#0001</v>
      </c>
      <c r="P499" s="490" t="b">
        <f>_xll.qlInstrumentSetPricingEngine(O499,OisEngine)</f>
        <v>1</v>
      </c>
      <c r="Q499" s="489">
        <f>_xll.qlIndexFixing("euribor6m",_xll.qlInterestRateIndexFixingDate("Euribor6M",M499),TRUE,AllTriggers)</f>
        <v>2.1514509292999896E-2</v>
      </c>
      <c r="R499" s="489">
        <f>_xll.qlOvernightIndexedSwapFairRate(O499,AllTriggers)</f>
        <v>2.0981320133045316E-2</v>
      </c>
      <c r="S499" s="491">
        <f t="shared" si="11"/>
        <v>5.3318915995458072E-4</v>
      </c>
    </row>
    <row r="500" spans="5:19" ht="11.25" customHeight="1" x14ac:dyDescent="0.2">
      <c r="E500" s="483"/>
      <c r="F500" s="483"/>
      <c r="G500" s="482"/>
      <c r="J500" s="482"/>
      <c r="K500" s="482"/>
      <c r="M500" s="497">
        <f>_xll.qlCalendarAdvance(Calendar,M499,"1M","f",,Trigger)</f>
        <v>57416</v>
      </c>
      <c r="N500" s="488">
        <f>_xll.qlCalendarAdvance(Calendar,M500,"3M","f",,Trigger)</f>
        <v>57508</v>
      </c>
      <c r="O500" s="490" t="str">
        <f>_xll.qlMakeDatedOIS(,M500,N500,OvernightIndex,0,,,,EvaluationDate)</f>
        <v>obj_00813#0001</v>
      </c>
      <c r="P500" s="490" t="b">
        <f>_xll.qlInstrumentSetPricingEngine(O500,OisEngine)</f>
        <v>1</v>
      </c>
      <c r="Q500" s="489">
        <f>_xll.qlIndexFixing("euribor6m",_xll.qlInterestRateIndexFixingDate("Euribor6M",M500),TRUE,AllTriggers)</f>
        <v>2.1495089881172047E-2</v>
      </c>
      <c r="R500" s="489">
        <f>_xll.qlOvernightIndexedSwapFairRate(O500,AllTriggers)</f>
        <v>2.0981930477664498E-2</v>
      </c>
      <c r="S500" s="491">
        <f t="shared" si="11"/>
        <v>5.1315940350754943E-4</v>
      </c>
    </row>
    <row r="501" spans="5:19" ht="11.25" customHeight="1" x14ac:dyDescent="0.2">
      <c r="E501" s="483"/>
      <c r="F501" s="483"/>
      <c r="G501" s="482"/>
      <c r="J501" s="482"/>
      <c r="K501" s="482"/>
      <c r="M501" s="497">
        <f>_xll.qlCalendarAdvance(Calendar,M500,"1M","f",,Trigger)</f>
        <v>57447</v>
      </c>
      <c r="N501" s="488">
        <f>_xll.qlCalendarAdvance(Calendar,M501,"3M","f",,Trigger)</f>
        <v>57538</v>
      </c>
      <c r="O501" s="490" t="str">
        <f>_xll.qlMakeDatedOIS(,M501,N501,OvernightIndex,0,,,,EvaluationDate)</f>
        <v>obj_00755#0001</v>
      </c>
      <c r="P501" s="490" t="b">
        <f>_xll.qlInstrumentSetPricingEngine(O501,OisEngine)</f>
        <v>1</v>
      </c>
      <c r="Q501" s="489">
        <f>_xll.qlIndexFixing("euribor6m",_xll.qlInterestRateIndexFixingDate("Euribor6M",M501),TRUE,AllTriggers)</f>
        <v>2.1472965553365E-2</v>
      </c>
      <c r="R501" s="489">
        <f>_xll.qlOvernightIndexedSwapFairRate(O501,AllTriggers)</f>
        <v>2.0981320133045312E-2</v>
      </c>
      <c r="S501" s="491">
        <f t="shared" si="11"/>
        <v>4.9164542031968766E-4</v>
      </c>
    </row>
    <row r="502" spans="5:19" ht="11.25" customHeight="1" x14ac:dyDescent="0.2">
      <c r="E502" s="483"/>
      <c r="F502" s="483"/>
      <c r="G502" s="482"/>
      <c r="J502" s="482"/>
      <c r="K502" s="482"/>
      <c r="M502" s="497">
        <f>_xll.qlCalendarAdvance(Calendar,M501,"1M","f",,Trigger)</f>
        <v>57479</v>
      </c>
      <c r="N502" s="488">
        <f>_xll.qlCalendarAdvance(Calendar,M502,"3M","f",,Trigger)</f>
        <v>57571</v>
      </c>
      <c r="O502" s="490" t="str">
        <f>_xll.qlMakeDatedOIS(,M502,N502,OvernightIndex,0,,,,EvaluationDate)</f>
        <v>obj_00757#0001</v>
      </c>
      <c r="P502" s="490" t="b">
        <f>_xll.qlInstrumentSetPricingEngine(O502,OisEngine)</f>
        <v>1</v>
      </c>
      <c r="Q502" s="489">
        <f>_xll.qlIndexFixing("euribor6m",_xll.qlInterestRateIndexFixingDate("Euribor6M",M502),TRUE,AllTriggers)</f>
        <v>2.1451058273009426E-2</v>
      </c>
      <c r="R502" s="489">
        <f>_xll.qlOvernightIndexedSwapFairRate(O502,AllTriggers)</f>
        <v>2.098193047766363E-2</v>
      </c>
      <c r="S502" s="491">
        <f t="shared" si="11"/>
        <v>4.6912779534579591E-4</v>
      </c>
    </row>
    <row r="503" spans="5:19" ht="11.25" customHeight="1" x14ac:dyDescent="0.2">
      <c r="E503" s="483"/>
      <c r="F503" s="483"/>
      <c r="G503" s="482"/>
      <c r="J503" s="482"/>
      <c r="K503" s="482"/>
      <c r="M503" s="497">
        <f>_xll.qlCalendarAdvance(Calendar,M502,"1M","f",,Trigger)</f>
        <v>57510</v>
      </c>
      <c r="N503" s="488">
        <f>_xll.qlCalendarAdvance(Calendar,M503,"3M","f",,Trigger)</f>
        <v>57602</v>
      </c>
      <c r="O503" s="490" t="str">
        <f>_xll.qlMakeDatedOIS(,M503,N503,OvernightIndex,0,,,,EvaluationDate)</f>
        <v>obj_00759#0001</v>
      </c>
      <c r="P503" s="490" t="b">
        <f>_xll.qlInstrumentSetPricingEngine(O503,OisEngine)</f>
        <v>1</v>
      </c>
      <c r="Q503" s="489">
        <f>_xll.qlIndexFixing("euribor6m",_xll.qlInterestRateIndexFixingDate("Euribor6M",M503),TRUE,AllTriggers)</f>
        <v>2.1429573399234601E-2</v>
      </c>
      <c r="R503" s="489">
        <f>_xll.qlOvernightIndexedSwapFairRate(O503,AllTriggers)</f>
        <v>2.0981930477664498E-2</v>
      </c>
      <c r="S503" s="491">
        <f t="shared" si="11"/>
        <v>4.4764292157010305E-4</v>
      </c>
    </row>
    <row r="504" spans="5:19" ht="11.25" customHeight="1" x14ac:dyDescent="0.2">
      <c r="E504" s="483"/>
      <c r="F504" s="483"/>
      <c r="G504" s="482"/>
      <c r="J504" s="482"/>
      <c r="K504" s="482"/>
      <c r="M504" s="497">
        <f>_xll.qlCalendarAdvance(Calendar,M503,"1M","f",,Trigger)</f>
        <v>57542</v>
      </c>
      <c r="N504" s="488">
        <f>_xll.qlCalendarAdvance(Calendar,M504,"3M","f",,Trigger)</f>
        <v>57634</v>
      </c>
      <c r="O504" s="490" t="str">
        <f>_xll.qlMakeDatedOIS(,M504,N504,OvernightIndex,0,,,,EvaluationDate)</f>
        <v>obj_0075b#0001</v>
      </c>
      <c r="P504" s="490" t="b">
        <f>_xll.qlInstrumentSetPricingEngine(O504,OisEngine)</f>
        <v>1</v>
      </c>
      <c r="Q504" s="489">
        <f>_xll.qlIndexFixing("euribor6m",_xll.qlInterestRateIndexFixingDate("Euribor6M",M504),TRUE,AllTriggers)</f>
        <v>2.140834216977875E-2</v>
      </c>
      <c r="R504" s="489">
        <f>_xll.qlOvernightIndexedSwapFairRate(O504,AllTriggers)</f>
        <v>2.0981930477664501E-2</v>
      </c>
      <c r="S504" s="491">
        <f t="shared" si="11"/>
        <v>4.264116921142494E-4</v>
      </c>
    </row>
    <row r="505" spans="5:19" ht="11.25" customHeight="1" x14ac:dyDescent="0.2">
      <c r="E505" s="483"/>
      <c r="F505" s="483"/>
      <c r="G505" s="482"/>
      <c r="J505" s="482"/>
      <c r="K505" s="482"/>
      <c r="M505" s="497">
        <f>_xll.qlCalendarAdvance(Calendar,M504,"1M","f",,Trigger)</f>
        <v>57573</v>
      </c>
      <c r="N505" s="488">
        <f>_xll.qlCalendarAdvance(Calendar,M505,"3M","f",,Trigger)</f>
        <v>57665</v>
      </c>
      <c r="O505" s="490" t="str">
        <f>_xll.qlMakeDatedOIS(,M505,N505,OvernightIndex,0,,,,EvaluationDate)</f>
        <v>obj_0075d#0001</v>
      </c>
      <c r="P505" s="490" t="b">
        <f>_xll.qlInstrumentSetPricingEngine(O505,OisEngine)</f>
        <v>1</v>
      </c>
      <c r="Q505" s="489">
        <f>_xll.qlIndexFixing("euribor6m",_xll.qlInterestRateIndexFixingDate("Euribor6M",M505),TRUE,AllTriggers)</f>
        <v>2.1388425112523639E-2</v>
      </c>
      <c r="R505" s="489">
        <f>_xll.qlOvernightIndexedSwapFairRate(O505,AllTriggers)</f>
        <v>2.0981930477664498E-2</v>
      </c>
      <c r="S505" s="491">
        <f t="shared" si="11"/>
        <v>4.0649463485914125E-4</v>
      </c>
    </row>
    <row r="506" spans="5:19" ht="11.25" customHeight="1" x14ac:dyDescent="0.2">
      <c r="E506" s="483"/>
      <c r="F506" s="483"/>
      <c r="G506" s="482"/>
      <c r="J506" s="482"/>
      <c r="K506" s="482"/>
      <c r="M506" s="497">
        <f>_xll.qlCalendarAdvance(Calendar,M505,"1M","f",,Trigger)</f>
        <v>57605</v>
      </c>
      <c r="N506" s="488">
        <f>_xll.qlCalendarAdvance(Calendar,M506,"3M","f",,Trigger)</f>
        <v>57696</v>
      </c>
      <c r="O506" s="490" t="str">
        <f>_xll.qlMakeDatedOIS(,M506,N506,OvernightIndex,0,,,,EvaluationDate)</f>
        <v>obj_0075f#0001</v>
      </c>
      <c r="P506" s="490" t="b">
        <f>_xll.qlInstrumentSetPricingEngine(O506,OisEngine)</f>
        <v>1</v>
      </c>
      <c r="Q506" s="489">
        <f>_xll.qlIndexFixing("euribor6m",_xll.qlInterestRateIndexFixingDate("Euribor6M",M506),TRUE,AllTriggers)</f>
        <v>2.1366314647223491E-2</v>
      </c>
      <c r="R506" s="489">
        <f>_xll.qlOvernightIndexedSwapFairRate(O506,AllTriggers)</f>
        <v>2.0981320133046193E-2</v>
      </c>
      <c r="S506" s="491">
        <f t="shared" si="11"/>
        <v>3.8499451417729758E-4</v>
      </c>
    </row>
    <row r="507" spans="5:19" ht="11.25" customHeight="1" x14ac:dyDescent="0.2">
      <c r="E507" s="483"/>
      <c r="F507" s="483"/>
      <c r="G507" s="482"/>
      <c r="J507" s="482"/>
      <c r="K507" s="482"/>
      <c r="M507" s="497">
        <f>_xll.qlCalendarAdvance(Calendar,M506,"1M","f",,Trigger)</f>
        <v>57635</v>
      </c>
      <c r="N507" s="488">
        <f>_xll.qlCalendarAdvance(Calendar,M507,"3M","f",,Trigger)</f>
        <v>57727</v>
      </c>
      <c r="O507" s="490" t="str">
        <f>_xll.qlMakeDatedOIS(,M507,N507,OvernightIndex,0,,,,EvaluationDate)</f>
        <v>obj_00761#0001</v>
      </c>
      <c r="P507" s="490" t="b">
        <f>_xll.qlInstrumentSetPricingEngine(O507,OisEngine)</f>
        <v>1</v>
      </c>
      <c r="Q507" s="489">
        <f>_xll.qlIndexFixing("euribor6m",_xll.qlInterestRateIndexFixingDate("Euribor6M",M507),TRUE,AllTriggers)</f>
        <v>2.134705467893426E-2</v>
      </c>
      <c r="R507" s="489">
        <f>_xll.qlOvernightIndexedSwapFairRate(O507,AllTriggers)</f>
        <v>2.0981930477664498E-2</v>
      </c>
      <c r="S507" s="491">
        <f t="shared" si="11"/>
        <v>3.6512420126976267E-4</v>
      </c>
    </row>
    <row r="508" spans="5:19" ht="11.25" customHeight="1" x14ac:dyDescent="0.2">
      <c r="E508" s="483"/>
      <c r="F508" s="483"/>
      <c r="G508" s="482"/>
      <c r="J508" s="482"/>
      <c r="K508" s="482"/>
      <c r="M508" s="497">
        <f>_xll.qlCalendarAdvance(Calendar,M507,"1M","f",,Trigger)</f>
        <v>57668</v>
      </c>
      <c r="N508" s="488">
        <f>_xll.qlCalendarAdvance(Calendar,M508,"3M","f",,Trigger)</f>
        <v>57760</v>
      </c>
      <c r="O508" s="490" t="str">
        <f>_xll.qlMakeDatedOIS(,M508,N508,OvernightIndex,0,,,,EvaluationDate)</f>
        <v>obj_00800#0001</v>
      </c>
      <c r="P508" s="490" t="b">
        <f>_xll.qlInstrumentSetPricingEngine(O508,OisEngine)</f>
        <v>1</v>
      </c>
      <c r="Q508" s="489">
        <f>_xll.qlIndexFixing("euribor6m",_xll.qlInterestRateIndexFixingDate("Euribor6M",M508),TRUE,AllTriggers)</f>
        <v>2.1326213153840829E-2</v>
      </c>
      <c r="R508" s="489">
        <f>_xll.qlOvernightIndexedSwapFairRate(O508,AllTriggers)</f>
        <v>2.0981930477664498E-2</v>
      </c>
      <c r="S508" s="491">
        <f t="shared" si="11"/>
        <v>3.4428267617633151E-4</v>
      </c>
    </row>
    <row r="509" spans="5:19" ht="11.25" customHeight="1" x14ac:dyDescent="0.2">
      <c r="E509" s="483"/>
      <c r="F509" s="483"/>
      <c r="G509" s="482"/>
      <c r="J509" s="482"/>
      <c r="K509" s="482"/>
      <c r="M509" s="497">
        <f>_xll.qlCalendarAdvance(Calendar,M508,"1M","f",,Trigger)</f>
        <v>57698</v>
      </c>
      <c r="N509" s="488">
        <f>_xll.qlCalendarAdvance(Calendar,M509,"3M","f",,Trigger)</f>
        <v>57788</v>
      </c>
      <c r="O509" s="490" t="str">
        <f>_xll.qlMakeDatedOIS(,M509,N509,OvernightIndex,0,,,,EvaluationDate)</f>
        <v>obj_00764#0001</v>
      </c>
      <c r="P509" s="490" t="b">
        <f>_xll.qlInstrumentSetPricingEngine(O509,OisEngine)</f>
        <v>1</v>
      </c>
      <c r="Q509" s="489">
        <f>_xll.qlIndexFixing("euribor6m",_xll.qlInterestRateIndexFixingDate("Euribor6M",M509),TRUE,AllTriggers)</f>
        <v>2.1307579430946039E-2</v>
      </c>
      <c r="R509" s="489">
        <f>_xll.qlOvernightIndexedSwapFairRate(O509,AllTriggers)</f>
        <v>2.0980709812087994E-2</v>
      </c>
      <c r="S509" s="491">
        <f t="shared" si="11"/>
        <v>3.2686961885804514E-4</v>
      </c>
    </row>
    <row r="510" spans="5:19" ht="11.25" customHeight="1" x14ac:dyDescent="0.2">
      <c r="E510" s="483"/>
      <c r="F510" s="483"/>
      <c r="G510" s="482"/>
      <c r="J510" s="482"/>
      <c r="K510" s="482"/>
      <c r="M510" s="497">
        <f>_xll.qlCalendarAdvance(Calendar,M509,"1M","f",,Trigger)</f>
        <v>57731</v>
      </c>
      <c r="N510" s="488">
        <f>_xll.qlCalendarAdvance(Calendar,M510,"3M","f",,Trigger)</f>
        <v>57822</v>
      </c>
      <c r="O510" s="490" t="str">
        <f>_xll.qlMakeDatedOIS(,M510,N510,OvernightIndex,0,,,,EvaluationDate)</f>
        <v>obj_00766#0001</v>
      </c>
      <c r="P510" s="490" t="b">
        <f>_xll.qlInstrumentSetPricingEngine(O510,OisEngine)</f>
        <v>1</v>
      </c>
      <c r="Q510" s="489">
        <f>_xll.qlIndexFixing("euribor6m",_xll.qlInterestRateIndexFixingDate("Euribor6M",M510),TRUE,AllTriggers)</f>
        <v>2.1287426755403193E-2</v>
      </c>
      <c r="R510" s="489">
        <f>_xll.qlOvernightIndexedSwapFairRate(O510,AllTriggers)</f>
        <v>2.0981320133046193E-2</v>
      </c>
      <c r="S510" s="491">
        <f t="shared" si="11"/>
        <v>3.061066223569997E-4</v>
      </c>
    </row>
    <row r="511" spans="5:19" ht="11.25" customHeight="1" x14ac:dyDescent="0.2">
      <c r="E511" s="483"/>
      <c r="F511" s="483"/>
      <c r="G511" s="482"/>
      <c r="J511" s="482"/>
      <c r="K511" s="482"/>
      <c r="M511" s="497">
        <f>_xll.qlCalendarAdvance(Calendar,M510,"1M","f",,Trigger)</f>
        <v>57762</v>
      </c>
      <c r="N511" s="488">
        <f>_xll.qlCalendarAdvance(Calendar,M511,"3M","f",,Trigger)</f>
        <v>57851</v>
      </c>
      <c r="O511" s="490" t="str">
        <f>_xll.qlMakeDatedOIS(,M511,N511,OvernightIndex,0,,,,EvaluationDate)</f>
        <v>obj_007ea#0001</v>
      </c>
      <c r="P511" s="490" t="b">
        <f>_xll.qlInstrumentSetPricingEngine(O511,OisEngine)</f>
        <v>1</v>
      </c>
      <c r="Q511" s="489">
        <f>_xll.qlIndexFixing("euribor6m",_xll.qlInterestRateIndexFixingDate("Euribor6M",M511),TRUE,AllTriggers)</f>
        <v>2.1268490586924132E-2</v>
      </c>
      <c r="R511" s="489">
        <f>_xll.qlOvernightIndexedSwapFairRate(O511,AllTriggers)</f>
        <v>2.0980099514792568E-2</v>
      </c>
      <c r="S511" s="491">
        <f t="shared" si="11"/>
        <v>2.8839107213156356E-4</v>
      </c>
    </row>
    <row r="512" spans="5:19" ht="11.25" customHeight="1" x14ac:dyDescent="0.2">
      <c r="E512" s="483"/>
      <c r="F512" s="483"/>
      <c r="G512" s="482"/>
      <c r="J512" s="482"/>
      <c r="K512" s="482"/>
      <c r="M512" s="497">
        <f>_xll.qlCalendarAdvance(Calendar,M511,"1M","f",,Trigger)</f>
        <v>57790</v>
      </c>
      <c r="N512" s="488">
        <f>_xll.qlCalendarAdvance(Calendar,M512,"3M","f",,Trigger)</f>
        <v>57882</v>
      </c>
      <c r="O512" s="490" t="str">
        <f>_xll.qlMakeDatedOIS(,M512,N512,OvernightIndex,0,,,,EvaluationDate)</f>
        <v>obj_0089c#0001</v>
      </c>
      <c r="P512" s="490" t="b">
        <f>_xll.qlInstrumentSetPricingEngine(O512,OisEngine)</f>
        <v>1</v>
      </c>
      <c r="Q512" s="489">
        <f>_xll.qlIndexFixing("euribor6m",_xll.qlInterestRateIndexFixingDate("Euribor6M",M512),TRUE,AllTriggers)</f>
        <v>2.125364525230879E-2</v>
      </c>
      <c r="R512" s="489">
        <f>_xll.qlOvernightIndexedSwapFairRate(O512,AllTriggers)</f>
        <v>2.0981930477664498E-2</v>
      </c>
      <c r="S512" s="491">
        <f t="shared" si="11"/>
        <v>2.7171477464429244E-4</v>
      </c>
    </row>
    <row r="513" spans="5:19" ht="11.25" customHeight="1" x14ac:dyDescent="0.2">
      <c r="E513" s="483"/>
      <c r="F513" s="483"/>
      <c r="G513" s="482"/>
      <c r="J513" s="482"/>
      <c r="K513" s="482"/>
      <c r="M513" s="497">
        <f>_xll.qlCalendarAdvance(Calendar,M512,"1M","f",,Trigger)</f>
        <v>57822</v>
      </c>
      <c r="N513" s="488">
        <f>_xll.qlCalendarAdvance(Calendar,M513,"3M","f",,Trigger)</f>
        <v>57913</v>
      </c>
      <c r="O513" s="490" t="str">
        <f>_xll.qlMakeDatedOIS(,M513,N513,OvernightIndex,0,,,,EvaluationDate)</f>
        <v>obj_0076a#0001</v>
      </c>
      <c r="P513" s="490" t="b">
        <f>_xll.qlInstrumentSetPricingEngine(O513,OisEngine)</f>
        <v>1</v>
      </c>
      <c r="Q513" s="489">
        <f>_xll.qlIndexFixing("euribor6m",_xll.qlInterestRateIndexFixingDate("Euribor6M",M513),TRUE,AllTriggers)</f>
        <v>2.1234065032350757E-2</v>
      </c>
      <c r="R513" s="489">
        <f>_xll.qlOvernightIndexedSwapFairRate(O513,AllTriggers)</f>
        <v>2.0981320133045312E-2</v>
      </c>
      <c r="S513" s="491">
        <f t="shared" si="11"/>
        <v>2.5274489930544528E-4</v>
      </c>
    </row>
    <row r="514" spans="5:19" ht="11.25" customHeight="1" x14ac:dyDescent="0.2">
      <c r="E514" s="483"/>
      <c r="F514" s="483"/>
      <c r="G514" s="482"/>
      <c r="J514" s="482"/>
      <c r="K514" s="482"/>
      <c r="M514" s="497">
        <f>_xll.qlCalendarAdvance(Calendar,M513,"1M","f",,Trigger)</f>
        <v>57852</v>
      </c>
      <c r="N514" s="488">
        <f>_xll.qlCalendarAdvance(Calendar,M514,"3M","f",,Trigger)</f>
        <v>57944</v>
      </c>
      <c r="O514" s="490" t="str">
        <f>_xll.qlMakeDatedOIS(,M514,N514,OvernightIndex,0,,,,EvaluationDate)</f>
        <v>obj_0076c#0001</v>
      </c>
      <c r="P514" s="490" t="b">
        <f>_xll.qlInstrumentSetPricingEngine(O514,OisEngine)</f>
        <v>1</v>
      </c>
      <c r="Q514" s="489">
        <f>_xll.qlIndexFixing("euribor6m",_xll.qlInterestRateIndexFixingDate("Euribor6M",M514),TRUE,AllTriggers)</f>
        <v>2.121731153310993E-2</v>
      </c>
      <c r="R514" s="489">
        <f>_xll.qlOvernightIndexedSwapFairRate(O514,AllTriggers)</f>
        <v>2.0981930477664498E-2</v>
      </c>
      <c r="S514" s="491">
        <f t="shared" si="11"/>
        <v>2.3538105544543275E-4</v>
      </c>
    </row>
    <row r="515" spans="5:19" ht="11.25" customHeight="1" x14ac:dyDescent="0.2">
      <c r="E515" s="483"/>
      <c r="F515" s="483"/>
      <c r="G515" s="482"/>
      <c r="J515" s="482"/>
      <c r="K515" s="482"/>
      <c r="M515" s="497">
        <f>_xll.qlCalendarAdvance(Calendar,M514,"1M","f",,Trigger)</f>
        <v>57885</v>
      </c>
      <c r="N515" s="488">
        <f>_xll.qlCalendarAdvance(Calendar,M515,"3M","f",,Trigger)</f>
        <v>57977</v>
      </c>
      <c r="O515" s="490" t="str">
        <f>_xll.qlMakeDatedOIS(,M515,N515,OvernightIndex,0,,,,EvaluationDate)</f>
        <v>obj_0076e#0001</v>
      </c>
      <c r="P515" s="490" t="b">
        <f>_xll.qlInstrumentSetPricingEngine(O515,OisEngine)</f>
        <v>1</v>
      </c>
      <c r="Q515" s="489">
        <f>_xll.qlIndexFixing("euribor6m",_xll.qlInterestRateIndexFixingDate("Euribor6M",M515),TRUE,AllTriggers)</f>
        <v>2.1198501344433997E-2</v>
      </c>
      <c r="R515" s="489">
        <f>_xll.qlOvernightIndexedSwapFairRate(O515,AllTriggers)</f>
        <v>2.0981930477664498E-2</v>
      </c>
      <c r="S515" s="491">
        <f t="shared" ref="S515:S578" si="12">Q515-R515</f>
        <v>2.1657086676949919E-4</v>
      </c>
    </row>
    <row r="516" spans="5:19" ht="11.25" customHeight="1" x14ac:dyDescent="0.2">
      <c r="E516" s="483"/>
      <c r="F516" s="483"/>
      <c r="G516" s="482"/>
      <c r="J516" s="482"/>
      <c r="K516" s="482"/>
      <c r="M516" s="497">
        <f>_xll.qlCalendarAdvance(Calendar,M515,"1M","f",,Trigger)</f>
        <v>57915</v>
      </c>
      <c r="N516" s="488">
        <f>_xll.qlCalendarAdvance(Calendar,M516,"3M","f",,Trigger)</f>
        <v>58007</v>
      </c>
      <c r="O516" s="490" t="str">
        <f>_xll.qlMakeDatedOIS(,M516,N516,OvernightIndex,0,,,,EvaluationDate)</f>
        <v>obj_00770#0001</v>
      </c>
      <c r="P516" s="490" t="b">
        <f>_xll.qlInstrumentSetPricingEngine(O516,OisEngine)</f>
        <v>1</v>
      </c>
      <c r="Q516" s="489">
        <f>_xll.qlIndexFixing("euribor6m",_xll.qlInterestRateIndexFixingDate("Euribor6M",M516),TRUE,AllTriggers)</f>
        <v>2.118238239725408E-2</v>
      </c>
      <c r="R516" s="489">
        <f>_xll.qlOvernightIndexedSwapFairRate(O516,AllTriggers)</f>
        <v>2.0981930477664498E-2</v>
      </c>
      <c r="S516" s="491">
        <f t="shared" si="12"/>
        <v>2.0045191958958236E-4</v>
      </c>
    </row>
    <row r="517" spans="5:19" ht="11.25" customHeight="1" x14ac:dyDescent="0.2">
      <c r="E517" s="483"/>
      <c r="F517" s="483"/>
      <c r="G517" s="482"/>
      <c r="J517" s="482"/>
      <c r="K517" s="482"/>
      <c r="M517" s="497">
        <f>_xll.qlCalendarAdvance(Calendar,M516,"1M","f",,Trigger)</f>
        <v>57948</v>
      </c>
      <c r="N517" s="488">
        <f>_xll.qlCalendarAdvance(Calendar,M517,"3M","f",,Trigger)</f>
        <v>58040</v>
      </c>
      <c r="O517" s="490" t="str">
        <f>_xll.qlMakeDatedOIS(,M517,N517,OvernightIndex,0,,,,EvaluationDate)</f>
        <v>obj_00772#0001</v>
      </c>
      <c r="P517" s="490" t="b">
        <f>_xll.qlInstrumentSetPricingEngine(O517,OisEngine)</f>
        <v>1</v>
      </c>
      <c r="Q517" s="489">
        <f>_xll.qlIndexFixing("euribor6m",_xll.qlInterestRateIndexFixingDate("Euribor6M",M517),TRUE,AllTriggers)</f>
        <v>2.1164610982483439E-2</v>
      </c>
      <c r="R517" s="489">
        <f>_xll.qlOvernightIndexedSwapFairRate(O517,AllTriggers)</f>
        <v>2.0981930477664498E-2</v>
      </c>
      <c r="S517" s="491">
        <f t="shared" si="12"/>
        <v>1.8268050481894116E-4</v>
      </c>
    </row>
    <row r="518" spans="5:19" ht="11.25" customHeight="1" x14ac:dyDescent="0.2">
      <c r="E518" s="483"/>
      <c r="F518" s="483"/>
      <c r="G518" s="482"/>
      <c r="J518" s="482"/>
      <c r="K518" s="482"/>
      <c r="M518" s="497">
        <f>_xll.qlCalendarAdvance(Calendar,M517,"1M","f",,Trigger)</f>
        <v>57979</v>
      </c>
      <c r="N518" s="488">
        <f>_xll.qlCalendarAdvance(Calendar,M518,"3M","f",,Trigger)</f>
        <v>58071</v>
      </c>
      <c r="O518" s="490" t="str">
        <f>_xll.qlMakeDatedOIS(,M518,N518,OvernightIndex,0,,,,EvaluationDate)</f>
        <v>obj_00774#0001</v>
      </c>
      <c r="P518" s="490" t="b">
        <f>_xll.qlInstrumentSetPricingEngine(O518,OisEngine)</f>
        <v>1</v>
      </c>
      <c r="Q518" s="489">
        <f>_xll.qlIndexFixing("euribor6m",_xll.qlInterestRateIndexFixingDate("Euribor6M",M518),TRUE,AllTriggers)</f>
        <v>2.1147157841723312E-2</v>
      </c>
      <c r="R518" s="489">
        <f>_xll.qlOvernightIndexedSwapFairRate(O518,AllTriggers)</f>
        <v>2.0981930477664494E-2</v>
      </c>
      <c r="S518" s="491">
        <f t="shared" si="12"/>
        <v>1.6522736405881824E-4</v>
      </c>
    </row>
    <row r="519" spans="5:19" ht="11.25" customHeight="1" x14ac:dyDescent="0.2">
      <c r="E519" s="483"/>
      <c r="F519" s="483"/>
      <c r="G519" s="482"/>
      <c r="J519" s="482"/>
      <c r="K519" s="482"/>
      <c r="M519" s="497">
        <f>_xll.qlCalendarAdvance(Calendar,M518,"1M","f",,Trigger)</f>
        <v>58011</v>
      </c>
      <c r="N519" s="488">
        <f>_xll.qlCalendarAdvance(Calendar,M519,"3M","f",,Trigger)</f>
        <v>58103</v>
      </c>
      <c r="O519" s="490" t="str">
        <f>_xll.qlMakeDatedOIS(,M519,N519,OvernightIndex,0,,,,EvaluationDate)</f>
        <v>obj_00776#0001</v>
      </c>
      <c r="P519" s="490" t="b">
        <f>_xll.qlInstrumentSetPricingEngine(O519,OisEngine)</f>
        <v>1</v>
      </c>
      <c r="Q519" s="489">
        <f>_xll.qlIndexFixing("euribor6m",_xll.qlInterestRateIndexFixingDate("Euribor6M",M519),TRUE,AllTriggers)</f>
        <v>2.113095185729728E-2</v>
      </c>
      <c r="R519" s="489">
        <f>_xll.qlOvernightIndexedSwapFairRate(O519,AllTriggers)</f>
        <v>2.0981930477664498E-2</v>
      </c>
      <c r="S519" s="491">
        <f t="shared" si="12"/>
        <v>1.4902137963278272E-4</v>
      </c>
    </row>
    <row r="520" spans="5:19" ht="11.25" customHeight="1" x14ac:dyDescent="0.2">
      <c r="E520" s="483"/>
      <c r="F520" s="483"/>
      <c r="G520" s="482"/>
      <c r="J520" s="482"/>
      <c r="K520" s="482"/>
      <c r="M520" s="497">
        <f>_xll.qlCalendarAdvance(Calendar,M519,"1M","f",,Trigger)</f>
        <v>58042</v>
      </c>
      <c r="N520" s="488">
        <f>_xll.qlCalendarAdvance(Calendar,M520,"3M","f",,Trigger)</f>
        <v>58134</v>
      </c>
      <c r="O520" s="490" t="str">
        <f>_xll.qlMakeDatedOIS(,M520,N520,OvernightIndex,0,,,,EvaluationDate)</f>
        <v>obj_00778#0001</v>
      </c>
      <c r="P520" s="490" t="b">
        <f>_xll.qlInstrumentSetPricingEngine(O520,OisEngine)</f>
        <v>1</v>
      </c>
      <c r="Q520" s="489">
        <f>_xll.qlIndexFixing("euribor6m",_xll.qlInterestRateIndexFixingDate("Euribor6M",M520),TRUE,AllTriggers)</f>
        <v>2.1114853800863111E-2</v>
      </c>
      <c r="R520" s="489">
        <f>_xll.qlOvernightIndexedSwapFairRate(O520,AllTriggers)</f>
        <v>2.098193047766363E-2</v>
      </c>
      <c r="S520" s="491">
        <f t="shared" si="12"/>
        <v>1.3292332319948114E-4</v>
      </c>
    </row>
    <row r="521" spans="5:19" ht="11.25" customHeight="1" x14ac:dyDescent="0.2">
      <c r="E521" s="483"/>
      <c r="F521" s="483"/>
      <c r="G521" s="482"/>
      <c r="J521" s="482"/>
      <c r="K521" s="482"/>
      <c r="M521" s="497">
        <f>_xll.qlCalendarAdvance(Calendar,M520,"1M","f",,Trigger)</f>
        <v>58074</v>
      </c>
      <c r="N521" s="488">
        <f>_xll.qlCalendarAdvance(Calendar,M521,"3M","f",,Trigger)</f>
        <v>58166</v>
      </c>
      <c r="O521" s="490" t="str">
        <f>_xll.qlMakeDatedOIS(,M521,N521,OvernightIndex,0,,,,EvaluationDate)</f>
        <v>obj_0087f#0001</v>
      </c>
      <c r="P521" s="490" t="b">
        <f>_xll.qlInstrumentSetPricingEngine(O521,OisEngine)</f>
        <v>1</v>
      </c>
      <c r="Q521" s="489">
        <f>_xll.qlIndexFixing("euribor6m",_xll.qlInterestRateIndexFixingDate("Euribor6M",M521),TRUE,AllTriggers)</f>
        <v>2.1099324145502679E-2</v>
      </c>
      <c r="R521" s="489">
        <f>_xll.qlOvernightIndexedSwapFairRate(O521,AllTriggers)</f>
        <v>2.0981930477664501E-2</v>
      </c>
      <c r="S521" s="491">
        <f t="shared" si="12"/>
        <v>1.1739366783817748E-4</v>
      </c>
    </row>
    <row r="522" spans="5:19" ht="11.25" customHeight="1" x14ac:dyDescent="0.2">
      <c r="E522" s="483"/>
      <c r="F522" s="483"/>
      <c r="G522" s="482"/>
      <c r="J522" s="482"/>
      <c r="K522" s="482"/>
      <c r="M522" s="497">
        <f>_xll.qlCalendarAdvance(Calendar,M521,"1M","f",,Trigger)</f>
        <v>58105</v>
      </c>
      <c r="N522" s="488">
        <f>_xll.qlCalendarAdvance(Calendar,M522,"3M","f",,Trigger)</f>
        <v>58195</v>
      </c>
      <c r="O522" s="490" t="str">
        <f>_xll.qlMakeDatedOIS(,M522,N522,OvernightIndex,0,,,,EvaluationDate)</f>
        <v>obj_0077b#0001</v>
      </c>
      <c r="P522" s="490" t="b">
        <f>_xll.qlInstrumentSetPricingEngine(O522,OisEngine)</f>
        <v>1</v>
      </c>
      <c r="Q522" s="489">
        <f>_xll.qlIndexFixing("euribor6m",_xll.qlInterestRateIndexFixingDate("Euribor6M",M522),TRUE,AllTriggers)</f>
        <v>2.1083864359824622E-2</v>
      </c>
      <c r="R522" s="489">
        <f>_xll.qlOvernightIndexedSwapFairRate(O522,AllTriggers)</f>
        <v>2.0980709812088882E-2</v>
      </c>
      <c r="S522" s="491">
        <f t="shared" si="12"/>
        <v>1.0315454773573984E-4</v>
      </c>
    </row>
    <row r="523" spans="5:19" ht="11.25" customHeight="1" x14ac:dyDescent="0.2">
      <c r="E523" s="483"/>
      <c r="F523" s="483"/>
      <c r="G523" s="482"/>
      <c r="J523" s="482"/>
      <c r="K523" s="482"/>
      <c r="M523" s="497">
        <f>_xll.qlCalendarAdvance(Calendar,M522,"1M","f",,Trigger)</f>
        <v>58134</v>
      </c>
      <c r="N523" s="488">
        <f>_xll.qlCalendarAdvance(Calendar,M523,"3M","f",,Trigger)</f>
        <v>58223</v>
      </c>
      <c r="O523" s="490" t="str">
        <f>_xll.qlMakeDatedOIS(,M523,N523,OvernightIndex,0,,,,EvaluationDate)</f>
        <v>obj_0077d#0001</v>
      </c>
      <c r="P523" s="490" t="b">
        <f>_xll.qlInstrumentSetPricingEngine(O523,OisEngine)</f>
        <v>1</v>
      </c>
      <c r="Q523" s="489">
        <f>_xll.qlIndexFixing("euribor6m",_xll.qlInterestRateIndexFixingDate("Euribor6M",M523),TRUE,AllTriggers)</f>
        <v>2.1070424750679103E-2</v>
      </c>
      <c r="R523" s="489">
        <f>_xll.qlOvernightIndexedSwapFairRate(O523,AllTriggers)</f>
        <v>2.0980099514793467E-2</v>
      </c>
      <c r="S523" s="491">
        <f t="shared" si="12"/>
        <v>9.0325235885636151E-5</v>
      </c>
    </row>
    <row r="524" spans="5:19" ht="11.25" customHeight="1" x14ac:dyDescent="0.2">
      <c r="E524" s="483"/>
      <c r="F524" s="483"/>
      <c r="G524" s="482"/>
      <c r="J524" s="482"/>
      <c r="K524" s="482"/>
      <c r="M524" s="497">
        <f>_xll.qlCalendarAdvance(Calendar,M523,"1M","f",,Trigger)</f>
        <v>58166</v>
      </c>
      <c r="N524" s="488">
        <f>_xll.qlCalendarAdvance(Calendar,M524,"3M","f",,Trigger)</f>
        <v>58257</v>
      </c>
      <c r="O524" s="490" t="str">
        <f>_xll.qlMakeDatedOIS(,M524,N524,OvernightIndex,0,,,,EvaluationDate)</f>
        <v>obj_0077f#0001</v>
      </c>
      <c r="P524" s="490" t="b">
        <f>_xll.qlInstrumentSetPricingEngine(O524,OisEngine)</f>
        <v>1</v>
      </c>
      <c r="Q524" s="489">
        <f>_xll.qlIndexFixing("euribor6m",_xll.qlInterestRateIndexFixingDate("Euribor6M",M524),TRUE,AllTriggers)</f>
        <v>2.1055887374614033E-2</v>
      </c>
      <c r="R524" s="489">
        <f>_xll.qlOvernightIndexedSwapFairRate(O524,AllTriggers)</f>
        <v>2.0981320133045312E-2</v>
      </c>
      <c r="S524" s="491">
        <f t="shared" si="12"/>
        <v>7.4567241568720966E-5</v>
      </c>
    </row>
    <row r="525" spans="5:19" ht="11.25" customHeight="1" x14ac:dyDescent="0.2">
      <c r="E525" s="483"/>
      <c r="F525" s="483"/>
      <c r="G525" s="482"/>
      <c r="J525" s="482"/>
      <c r="K525" s="482"/>
      <c r="M525" s="497">
        <f>_xll.qlCalendarAdvance(Calendar,M524,"1M","f",,Trigger)</f>
        <v>58197</v>
      </c>
      <c r="N525" s="488">
        <f>_xll.qlCalendarAdvance(Calendar,M525,"3M","f",,Trigger)</f>
        <v>58291</v>
      </c>
      <c r="O525" s="490" t="str">
        <f>_xll.qlMakeDatedOIS(,M525,N525,OvernightIndex,0,,,,EvaluationDate)</f>
        <v>obj_00781#0001</v>
      </c>
      <c r="P525" s="490" t="b">
        <f>_xll.qlInstrumentSetPricingEngine(O525,OisEngine)</f>
        <v>1</v>
      </c>
      <c r="Q525" s="489">
        <f>_xll.qlIndexFixing("euribor6m",_xll.qlInterestRateIndexFixingDate("Euribor6M",M525),TRUE,AllTriggers)</f>
        <v>2.1042541187508208E-2</v>
      </c>
      <c r="R525" s="489">
        <f>_xll.qlOvernightIndexedSwapFairRate(O525,AllTriggers)</f>
        <v>2.0983151237891753E-2</v>
      </c>
      <c r="S525" s="491">
        <f t="shared" si="12"/>
        <v>5.9389949616454885E-5</v>
      </c>
    </row>
    <row r="526" spans="5:19" ht="11.25" customHeight="1" x14ac:dyDescent="0.2">
      <c r="E526" s="483"/>
      <c r="F526" s="483"/>
      <c r="G526" s="482"/>
      <c r="J526" s="482"/>
      <c r="K526" s="482"/>
      <c r="M526" s="497">
        <f>_xll.qlCalendarAdvance(Calendar,M525,"1M","f",,Trigger)</f>
        <v>58228</v>
      </c>
      <c r="N526" s="488">
        <f>_xll.qlCalendarAdvance(Calendar,M526,"3M","f",,Trigger)</f>
        <v>58320</v>
      </c>
      <c r="O526" s="490" t="str">
        <f>_xll.qlMakeDatedOIS(,M526,N526,OvernightIndex,0,,,,EvaluationDate)</f>
        <v>obj_00783#0001</v>
      </c>
      <c r="P526" s="490" t="b">
        <f>_xll.qlInstrumentSetPricingEngine(O526,OisEngine)</f>
        <v>1</v>
      </c>
      <c r="Q526" s="489">
        <f>_xll.qlIndexFixing("euribor6m",_xll.qlInterestRateIndexFixingDate("Euribor6M",M526),TRUE,AllTriggers)</f>
        <v>2.1027943069909072E-2</v>
      </c>
      <c r="R526" s="489">
        <f>_xll.qlOvernightIndexedSwapFairRate(O526,AllTriggers)</f>
        <v>2.0981930477664501E-2</v>
      </c>
      <c r="S526" s="491">
        <f t="shared" si="12"/>
        <v>4.6012592244570882E-5</v>
      </c>
    </row>
    <row r="527" spans="5:19" ht="11.25" customHeight="1" x14ac:dyDescent="0.2">
      <c r="E527" s="483"/>
      <c r="F527" s="483"/>
      <c r="G527" s="482"/>
      <c r="J527" s="482"/>
      <c r="K527" s="482"/>
      <c r="M527" s="497">
        <f>_xll.qlCalendarAdvance(Calendar,M526,"1M","f",,Trigger)</f>
        <v>58258</v>
      </c>
      <c r="N527" s="488">
        <f>_xll.qlCalendarAdvance(Calendar,M527,"3M","f",,Trigger)</f>
        <v>58350</v>
      </c>
      <c r="O527" s="490" t="str">
        <f>_xll.qlMakeDatedOIS(,M527,N527,OvernightIndex,0,,,,EvaluationDate)</f>
        <v>obj_0088f#0001</v>
      </c>
      <c r="P527" s="490" t="b">
        <f>_xll.qlInstrumentSetPricingEngine(O527,OisEngine)</f>
        <v>1</v>
      </c>
      <c r="Q527" s="489">
        <f>_xll.qlIndexFixing("euribor6m",_xll.qlInterestRateIndexFixingDate("Euribor6M",M527),TRUE,AllTriggers)</f>
        <v>2.1015279753875502E-2</v>
      </c>
      <c r="R527" s="489">
        <f>_xll.qlOvernightIndexedSwapFairRate(O527,AllTriggers)</f>
        <v>2.0981930477664498E-2</v>
      </c>
      <c r="S527" s="491">
        <f t="shared" si="12"/>
        <v>3.3349276211003948E-5</v>
      </c>
    </row>
    <row r="528" spans="5:19" ht="11.25" customHeight="1" x14ac:dyDescent="0.2">
      <c r="E528" s="483"/>
      <c r="F528" s="483"/>
      <c r="G528" s="482"/>
      <c r="J528" s="482"/>
      <c r="K528" s="482"/>
      <c r="M528" s="497">
        <f>_xll.qlCalendarAdvance(Calendar,M527,"1M","f",,Trigger)</f>
        <v>58291</v>
      </c>
      <c r="N528" s="488">
        <f>_xll.qlCalendarAdvance(Calendar,M528,"3M","f",,Trigger)</f>
        <v>58383</v>
      </c>
      <c r="O528" s="490" t="str">
        <f>_xll.qlMakeDatedOIS(,M528,N528,OvernightIndex,0,,,,EvaluationDate)</f>
        <v>obj_00786#0001</v>
      </c>
      <c r="P528" s="490" t="b">
        <f>_xll.qlInstrumentSetPricingEngine(O528,OisEngine)</f>
        <v>1</v>
      </c>
      <c r="Q528" s="489">
        <f>_xll.qlIndexFixing("euribor6m",_xll.qlInterestRateIndexFixingDate("Euribor6M",M528),TRUE,AllTriggers)</f>
        <v>2.100125789669623E-2</v>
      </c>
      <c r="R528" s="489">
        <f>_xll.qlOvernightIndexedSwapFairRate(O528,AllTriggers)</f>
        <v>2.0981930477664494E-2</v>
      </c>
      <c r="S528" s="491">
        <f t="shared" si="12"/>
        <v>1.9327419031735932E-5</v>
      </c>
    </row>
    <row r="529" spans="5:19" ht="11.25" customHeight="1" x14ac:dyDescent="0.2">
      <c r="E529" s="483"/>
      <c r="F529" s="483"/>
      <c r="G529" s="482"/>
      <c r="J529" s="482"/>
      <c r="K529" s="482"/>
      <c r="M529" s="497">
        <f>_xll.qlCalendarAdvance(Calendar,M528,"1M","f",,Trigger)</f>
        <v>58322</v>
      </c>
      <c r="N529" s="488">
        <f>_xll.qlCalendarAdvance(Calendar,M529,"3M","f",,Trigger)</f>
        <v>58413</v>
      </c>
      <c r="O529" s="490" t="str">
        <f>_xll.qlMakeDatedOIS(,M529,N529,OvernightIndex,0,,,,EvaluationDate)</f>
        <v>obj_00871#0001</v>
      </c>
      <c r="P529" s="490" t="b">
        <f>_xll.qlInstrumentSetPricingEngine(O529,OisEngine)</f>
        <v>1</v>
      </c>
      <c r="Q529" s="489">
        <f>_xll.qlIndexFixing("euribor6m",_xll.qlInterestRateIndexFixingDate("Euribor6M",M529),TRUE,AllTriggers)</f>
        <v>2.0987594360830544E-2</v>
      </c>
      <c r="R529" s="489">
        <f>_xll.qlOvernightIndexedSwapFairRate(O529,AllTriggers)</f>
        <v>2.098132013304619E-2</v>
      </c>
      <c r="S529" s="491">
        <f t="shared" si="12"/>
        <v>6.2742277843544358E-6</v>
      </c>
    </row>
    <row r="530" spans="5:19" ht="11.25" customHeight="1" x14ac:dyDescent="0.2">
      <c r="E530" s="483"/>
      <c r="F530" s="483"/>
      <c r="G530" s="482"/>
      <c r="J530" s="482"/>
      <c r="K530" s="482"/>
      <c r="M530" s="497">
        <f>_xll.qlCalendarAdvance(Calendar,M529,"1M","f",,Trigger)</f>
        <v>58354</v>
      </c>
      <c r="N530" s="488">
        <f>_xll.qlCalendarAdvance(Calendar,M530,"3M","f",,Trigger)</f>
        <v>58446</v>
      </c>
      <c r="O530" s="490" t="str">
        <f>_xll.qlMakeDatedOIS(,M530,N530,OvernightIndex,0,,,,EvaluationDate)</f>
        <v>obj_00789#0001</v>
      </c>
      <c r="P530" s="490" t="b">
        <f>_xll.qlInstrumentSetPricingEngine(O530,OisEngine)</f>
        <v>1</v>
      </c>
      <c r="Q530" s="489">
        <f>_xll.qlIndexFixing("euribor6m",_xll.qlInterestRateIndexFixingDate("Euribor6M",M530),TRUE,AllTriggers)</f>
        <v>2.0975075862340434E-2</v>
      </c>
      <c r="R530" s="489">
        <f>_xll.qlOvernightIndexedSwapFairRate(O530,AllTriggers)</f>
        <v>2.098193047766363E-2</v>
      </c>
      <c r="S530" s="491">
        <f t="shared" si="12"/>
        <v>-6.8546153231957563E-6</v>
      </c>
    </row>
    <row r="531" spans="5:19" ht="11.25" customHeight="1" x14ac:dyDescent="0.2">
      <c r="E531" s="483"/>
      <c r="F531" s="483"/>
      <c r="G531" s="482"/>
      <c r="J531" s="482"/>
      <c r="K531" s="482"/>
      <c r="M531" s="497">
        <f>_xll.qlCalendarAdvance(Calendar,M530,"1M","f",,Trigger)</f>
        <v>58385</v>
      </c>
      <c r="N531" s="488">
        <f>_xll.qlCalendarAdvance(Calendar,M531,"3M","f",,Trigger)</f>
        <v>58477</v>
      </c>
      <c r="O531" s="490" t="str">
        <f>_xll.qlMakeDatedOIS(,M531,N531,OvernightIndex,0,,,,EvaluationDate)</f>
        <v>obj_0078b#0001</v>
      </c>
      <c r="P531" s="490" t="b">
        <f>_xll.qlInstrumentSetPricingEngine(O531,OisEngine)</f>
        <v>1</v>
      </c>
      <c r="Q531" s="489">
        <f>_xll.qlIndexFixing("euribor6m",_xll.qlInterestRateIndexFixingDate("Euribor6M",M531),TRUE,AllTriggers)</f>
        <v>2.0962455860215338E-2</v>
      </c>
      <c r="R531" s="489">
        <f>_xll.qlOvernightIndexedSwapFairRate(O531,AllTriggers)</f>
        <v>2.0981930477664494E-2</v>
      </c>
      <c r="S531" s="491">
        <f t="shared" si="12"/>
        <v>-1.9474617449156267E-5</v>
      </c>
    </row>
    <row r="532" spans="5:19" ht="11.25" customHeight="1" x14ac:dyDescent="0.2">
      <c r="E532" s="483"/>
      <c r="F532" s="483"/>
      <c r="G532" s="482"/>
      <c r="J532" s="482"/>
      <c r="K532" s="482"/>
      <c r="M532" s="497">
        <f>_xll.qlCalendarAdvance(Calendar,M531,"1M","f",,Trigger)</f>
        <v>58417</v>
      </c>
      <c r="N532" s="488">
        <f>_xll.qlCalendarAdvance(Calendar,M532,"3M","f",,Trigger)</f>
        <v>58508</v>
      </c>
      <c r="O532" s="490" t="str">
        <f>_xll.qlMakeDatedOIS(,M532,N532,OvernightIndex,0,,,,EvaluationDate)</f>
        <v>obj_00867#0001</v>
      </c>
      <c r="P532" s="490" t="b">
        <f>_xll.qlInstrumentSetPricingEngine(O532,OisEngine)</f>
        <v>1</v>
      </c>
      <c r="Q532" s="489">
        <f>_xll.qlIndexFixing("euribor6m",_xll.qlInterestRateIndexFixingDate("Euribor6M",M532),TRUE,AllTriggers)</f>
        <v>2.0950614002723619E-2</v>
      </c>
      <c r="R532" s="489">
        <f>_xll.qlOvernightIndexedSwapFairRate(O532,AllTriggers)</f>
        <v>2.098132013304619E-2</v>
      </c>
      <c r="S532" s="491">
        <f t="shared" si="12"/>
        <v>-3.070613032257058E-5</v>
      </c>
    </row>
    <row r="533" spans="5:19" ht="11.25" customHeight="1" x14ac:dyDescent="0.2">
      <c r="E533" s="483"/>
      <c r="F533" s="483"/>
      <c r="G533" s="482"/>
      <c r="J533" s="482"/>
      <c r="K533" s="482"/>
      <c r="M533" s="497">
        <f>_xll.qlCalendarAdvance(Calendar,M532,"1M","f",,Trigger)</f>
        <v>58448</v>
      </c>
      <c r="N533" s="488">
        <f>_xll.qlCalendarAdvance(Calendar,M533,"3M","f",,Trigger)</f>
        <v>58539</v>
      </c>
      <c r="O533" s="490" t="str">
        <f>_xll.qlMakeDatedOIS(,M533,N533,OvernightIndex,0,,,,EvaluationDate)</f>
        <v>obj_0078e#0001</v>
      </c>
      <c r="P533" s="490" t="b">
        <f>_xll.qlInstrumentSetPricingEngine(O533,OisEngine)</f>
        <v>1</v>
      </c>
      <c r="Q533" s="489">
        <f>_xll.qlIndexFixing("euribor6m",_xll.qlInterestRateIndexFixingDate("Euribor6M",M533),TRUE,AllTriggers)</f>
        <v>2.0938631737075122E-2</v>
      </c>
      <c r="R533" s="489">
        <f>_xll.qlOvernightIndexedSwapFairRate(O533,AllTriggers)</f>
        <v>2.0981320133046193E-2</v>
      </c>
      <c r="S533" s="491">
        <f t="shared" si="12"/>
        <v>-4.2688395971070964E-5</v>
      </c>
    </row>
    <row r="534" spans="5:19" ht="11.25" customHeight="1" x14ac:dyDescent="0.2">
      <c r="E534" s="483"/>
      <c r="F534" s="483"/>
      <c r="G534" s="482"/>
      <c r="J534" s="482"/>
      <c r="K534" s="482"/>
      <c r="M534" s="497">
        <f>_xll.qlCalendarAdvance(Calendar,M533,"1M","f",,Trigger)</f>
        <v>58480</v>
      </c>
      <c r="N534" s="488">
        <f>_xll.qlCalendarAdvance(Calendar,M534,"3M","f",,Trigger)</f>
        <v>58571</v>
      </c>
      <c r="O534" s="490" t="str">
        <f>_xll.qlMakeDatedOIS(,M534,N534,OvernightIndex,0,,,,EvaluationDate)</f>
        <v>obj_00790#0001</v>
      </c>
      <c r="P534" s="490" t="b">
        <f>_xll.qlInstrumentSetPricingEngine(O534,OisEngine)</f>
        <v>1</v>
      </c>
      <c r="Q534" s="489">
        <f>_xll.qlIndexFixing("euribor6m",_xll.qlInterestRateIndexFixingDate("Euribor6M",M534),TRUE,AllTriggers)</f>
        <v>2.0927033944532519E-2</v>
      </c>
      <c r="R534" s="489">
        <f>_xll.qlOvernightIndexedSwapFairRate(O534,AllTriggers)</f>
        <v>2.0981320133045316E-2</v>
      </c>
      <c r="S534" s="491">
        <f t="shared" si="12"/>
        <v>-5.4286188512796263E-5</v>
      </c>
    </row>
    <row r="535" spans="5:19" ht="11.25" customHeight="1" x14ac:dyDescent="0.2">
      <c r="E535" s="483"/>
      <c r="F535" s="483"/>
      <c r="G535" s="482"/>
      <c r="J535" s="482"/>
      <c r="K535" s="482"/>
      <c r="M535" s="497">
        <f>_xll.qlCalendarAdvance(Calendar,M534,"1M","f",,Trigger)</f>
        <v>58509</v>
      </c>
      <c r="N535" s="488">
        <f>_xll.qlCalendarAdvance(Calendar,M535,"3M","f",,Trigger)</f>
        <v>58601</v>
      </c>
      <c r="O535" s="490" t="str">
        <f>_xll.qlMakeDatedOIS(,M535,N535,OvernightIndex,0,,,,EvaluationDate)</f>
        <v>obj_00792#0001</v>
      </c>
      <c r="P535" s="490" t="b">
        <f>_xll.qlInstrumentSetPricingEngine(O535,OisEngine)</f>
        <v>1</v>
      </c>
      <c r="Q535" s="489">
        <f>_xll.qlIndexFixing("euribor6m",_xll.qlInterestRateIndexFixingDate("Euribor6M",M535),TRUE,AllTriggers)</f>
        <v>2.0917690136059566E-2</v>
      </c>
      <c r="R535" s="489">
        <f>_xll.qlOvernightIndexedSwapFairRate(O535,AllTriggers)</f>
        <v>2.0981930477664498E-2</v>
      </c>
      <c r="S535" s="491">
        <f t="shared" si="12"/>
        <v>-6.4240341604931972E-5</v>
      </c>
    </row>
    <row r="536" spans="5:19" ht="11.25" customHeight="1" x14ac:dyDescent="0.2">
      <c r="E536" s="483"/>
      <c r="F536" s="483"/>
      <c r="G536" s="482"/>
      <c r="J536" s="482"/>
      <c r="K536" s="482"/>
      <c r="M536" s="497">
        <f>_xll.qlCalendarAdvance(Calendar,M535,"1M","f",,Trigger)</f>
        <v>58540</v>
      </c>
      <c r="N536" s="488">
        <f>_xll.qlCalendarAdvance(Calendar,M536,"3M","f",,Trigger)</f>
        <v>58631</v>
      </c>
      <c r="O536" s="490" t="str">
        <f>_xll.qlMakeDatedOIS(,M536,N536,OvernightIndex,0,,,,EvaluationDate)</f>
        <v>obj_00794#0001</v>
      </c>
      <c r="P536" s="490" t="b">
        <f>_xll.qlInstrumentSetPricingEngine(O536,OisEngine)</f>
        <v>1</v>
      </c>
      <c r="Q536" s="489">
        <f>_xll.qlIndexFixing("euribor6m",_xll.qlInterestRateIndexFixingDate("Euribor6M",M536),TRUE,AllTriggers)</f>
        <v>2.0907526458002302E-2</v>
      </c>
      <c r="R536" s="489">
        <f>_xll.qlOvernightIndexedSwapFairRate(O536,AllTriggers)</f>
        <v>2.0981320133046193E-2</v>
      </c>
      <c r="S536" s="491">
        <f t="shared" si="12"/>
        <v>-7.3793675043891394E-5</v>
      </c>
    </row>
    <row r="537" spans="5:19" ht="11.25" customHeight="1" x14ac:dyDescent="0.2">
      <c r="E537" s="483"/>
      <c r="F537" s="483"/>
      <c r="G537" s="482"/>
      <c r="J537" s="482"/>
      <c r="K537" s="482"/>
      <c r="M537" s="497">
        <f>_xll.qlCalendarAdvance(Calendar,M536,"1M","f",,Trigger)</f>
        <v>58571</v>
      </c>
      <c r="N537" s="488">
        <f>_xll.qlCalendarAdvance(Calendar,M537,"3M","f",,Trigger)</f>
        <v>58663</v>
      </c>
      <c r="O537" s="490" t="str">
        <f>_xll.qlMakeDatedOIS(,M537,N537,OvernightIndex,0,,,,EvaluationDate)</f>
        <v>obj_00796#0001</v>
      </c>
      <c r="P537" s="490" t="b">
        <f>_xll.qlInstrumentSetPricingEngine(O537,OisEngine)</f>
        <v>1</v>
      </c>
      <c r="Q537" s="489">
        <f>_xll.qlIndexFixing("euribor6m",_xll.qlInterestRateIndexFixingDate("Euribor6M",M537),TRUE,AllTriggers)</f>
        <v>2.089679785707621E-2</v>
      </c>
      <c r="R537" s="489">
        <f>_xll.qlOvernightIndexedSwapFairRate(O537,AllTriggers)</f>
        <v>2.0981930477665368E-2</v>
      </c>
      <c r="S537" s="491">
        <f t="shared" si="12"/>
        <v>-8.5132620589158103E-5</v>
      </c>
    </row>
    <row r="538" spans="5:19" ht="11.25" customHeight="1" x14ac:dyDescent="0.2">
      <c r="E538" s="483"/>
      <c r="F538" s="483"/>
      <c r="G538" s="482"/>
      <c r="J538" s="482"/>
      <c r="K538" s="482"/>
      <c r="M538" s="497">
        <f>_xll.qlCalendarAdvance(Calendar,M537,"1M","f",,Trigger)</f>
        <v>58602</v>
      </c>
      <c r="N538" s="488">
        <f>_xll.qlCalendarAdvance(Calendar,M538,"3M","f",,Trigger)</f>
        <v>58694</v>
      </c>
      <c r="O538" s="490" t="str">
        <f>_xll.qlMakeDatedOIS(,M538,N538,OvernightIndex,0,,,,EvaluationDate)</f>
        <v>obj_00798#0001</v>
      </c>
      <c r="P538" s="490" t="b">
        <f>_xll.qlInstrumentSetPricingEngine(O538,OisEngine)</f>
        <v>1</v>
      </c>
      <c r="Q538" s="489">
        <f>_xll.qlIndexFixing("euribor6m",_xll.qlInterestRateIndexFixingDate("Euribor6M",M538),TRUE,AllTriggers)</f>
        <v>2.0886378525916655E-2</v>
      </c>
      <c r="R538" s="489">
        <f>_xll.qlOvernightIndexedSwapFairRate(O538,AllTriggers)</f>
        <v>2.0981930477665368E-2</v>
      </c>
      <c r="S538" s="491">
        <f t="shared" si="12"/>
        <v>-9.5551951748713837E-5</v>
      </c>
    </row>
    <row r="539" spans="5:19" ht="11.25" customHeight="1" x14ac:dyDescent="0.2">
      <c r="E539" s="483"/>
      <c r="F539" s="483"/>
      <c r="G539" s="482"/>
      <c r="J539" s="482"/>
      <c r="K539" s="482"/>
      <c r="M539" s="497">
        <f>_xll.qlCalendarAdvance(Calendar,M538,"1M","f",,Trigger)</f>
        <v>58634</v>
      </c>
      <c r="N539" s="488">
        <f>_xll.qlCalendarAdvance(Calendar,M539,"3M","f",,Trigger)</f>
        <v>58726</v>
      </c>
      <c r="O539" s="490" t="str">
        <f>_xll.qlMakeDatedOIS(,M539,N539,OvernightIndex,0,,,,EvaluationDate)</f>
        <v>obj_0085c#0001</v>
      </c>
      <c r="P539" s="490" t="b">
        <f>_xll.qlInstrumentSetPricingEngine(O539,OisEngine)</f>
        <v>1</v>
      </c>
      <c r="Q539" s="489">
        <f>_xll.qlIndexFixing("euribor6m",_xll.qlInterestRateIndexFixingDate("Euribor6M",M539),TRUE,AllTriggers)</f>
        <v>2.0876872573578283E-2</v>
      </c>
      <c r="R539" s="489">
        <f>_xll.qlOvernightIndexedSwapFairRate(O539,AllTriggers)</f>
        <v>2.0981930477664505E-2</v>
      </c>
      <c r="S539" s="491">
        <f t="shared" si="12"/>
        <v>-1.0505790408622123E-4</v>
      </c>
    </row>
    <row r="540" spans="5:19" ht="11.25" customHeight="1" x14ac:dyDescent="0.2">
      <c r="E540" s="483"/>
      <c r="F540" s="483"/>
      <c r="G540" s="482"/>
      <c r="J540" s="482"/>
      <c r="K540" s="482"/>
      <c r="M540" s="497">
        <f>_xll.qlCalendarAdvance(Calendar,M539,"1M","f",,Trigger)</f>
        <v>58665</v>
      </c>
      <c r="N540" s="488">
        <f>_xll.qlCalendarAdvance(Calendar,M540,"3M","f",,Trigger)</f>
        <v>58757</v>
      </c>
      <c r="O540" s="490" t="str">
        <f>_xll.qlMakeDatedOIS(,M540,N540,OvernightIndex,0,,,,EvaluationDate)</f>
        <v>obj_0079b#0001</v>
      </c>
      <c r="P540" s="490" t="b">
        <f>_xll.qlInstrumentSetPricingEngine(O540,OisEngine)</f>
        <v>1</v>
      </c>
      <c r="Q540" s="489">
        <f>_xll.qlIndexFixing("euribor6m",_xll.qlInterestRateIndexFixingDate("Euribor6M",M540),TRUE,AllTriggers)</f>
        <v>2.0868470696202349E-2</v>
      </c>
      <c r="R540" s="489">
        <f>_xll.qlOvernightIndexedSwapFairRate(O540,AllTriggers)</f>
        <v>2.0981930477664498E-2</v>
      </c>
      <c r="S540" s="491">
        <f t="shared" si="12"/>
        <v>-1.1345978146214825E-4</v>
      </c>
    </row>
    <row r="541" spans="5:19" ht="11.25" customHeight="1" x14ac:dyDescent="0.2">
      <c r="E541" s="483"/>
      <c r="F541" s="483"/>
      <c r="G541" s="482"/>
      <c r="J541" s="482"/>
      <c r="K541" s="482"/>
      <c r="M541" s="497">
        <f>_xll.qlCalendarAdvance(Calendar,M540,"1M","f",,Trigger)</f>
        <v>58697</v>
      </c>
      <c r="N541" s="488">
        <f>_xll.qlCalendarAdvance(Calendar,M541,"3M","f",,Trigger)</f>
        <v>58788</v>
      </c>
      <c r="O541" s="490" t="str">
        <f>_xll.qlMakeDatedOIS(,M541,N541,OvernightIndex,0,,,,EvaluationDate)</f>
        <v>obj_007ff#0001</v>
      </c>
      <c r="P541" s="490" t="b">
        <f>_xll.qlInstrumentSetPricingEngine(O541,OisEngine)</f>
        <v>1</v>
      </c>
      <c r="Q541" s="489">
        <f>_xll.qlIndexFixing("euribor6m",_xll.qlInterestRateIndexFixingDate("Euribor6M",M541),TRUE,AllTriggers)</f>
        <v>2.0857332463966333E-2</v>
      </c>
      <c r="R541" s="489">
        <f>_xll.qlOvernightIndexedSwapFairRate(O541,AllTriggers)</f>
        <v>2.0981320133046193E-2</v>
      </c>
      <c r="S541" s="491">
        <f t="shared" si="12"/>
        <v>-1.2398766907985997E-4</v>
      </c>
    </row>
    <row r="542" spans="5:19" ht="11.25" customHeight="1" x14ac:dyDescent="0.2">
      <c r="E542" s="483"/>
      <c r="F542" s="483"/>
      <c r="G542" s="482"/>
      <c r="J542" s="482"/>
      <c r="K542" s="482"/>
      <c r="M542" s="497">
        <f>_xll.qlCalendarAdvance(Calendar,M541,"1M","f",,Trigger)</f>
        <v>58727</v>
      </c>
      <c r="N542" s="488">
        <f>_xll.qlCalendarAdvance(Calendar,M542,"3M","f",,Trigger)</f>
        <v>58819</v>
      </c>
      <c r="O542" s="490" t="str">
        <f>_xll.qlMakeDatedOIS(,M542,N542,OvernightIndex,0,,,,EvaluationDate)</f>
        <v>obj_0079e#0001</v>
      </c>
      <c r="P542" s="490" t="b">
        <f>_xll.qlInstrumentSetPricingEngine(O542,OisEngine)</f>
        <v>1</v>
      </c>
      <c r="Q542" s="489">
        <f>_xll.qlIndexFixing("euribor6m",_xll.qlInterestRateIndexFixingDate("Euribor6M",M542),TRUE,AllTriggers)</f>
        <v>2.0848923106692067E-2</v>
      </c>
      <c r="R542" s="489">
        <f>_xll.qlOvernightIndexedSwapFairRate(O542,AllTriggers)</f>
        <v>2.0981930477664498E-2</v>
      </c>
      <c r="S542" s="491">
        <f t="shared" si="12"/>
        <v>-1.3300737097243082E-4</v>
      </c>
    </row>
    <row r="543" spans="5:19" ht="11.25" customHeight="1" x14ac:dyDescent="0.2">
      <c r="E543" s="483"/>
      <c r="F543" s="483"/>
      <c r="G543" s="482"/>
      <c r="J543" s="482"/>
      <c r="K543" s="482"/>
      <c r="M543" s="497">
        <f>_xll.qlCalendarAdvance(Calendar,M542,"1M","f",,Trigger)</f>
        <v>58760</v>
      </c>
      <c r="N543" s="488">
        <f>_xll.qlCalendarAdvance(Calendar,M543,"3M","f",,Trigger)</f>
        <v>58852</v>
      </c>
      <c r="O543" s="490" t="str">
        <f>_xll.qlMakeDatedOIS(,M543,N543,OvernightIndex,0,,,,EvaluationDate)</f>
        <v>obj_007a0#0001</v>
      </c>
      <c r="P543" s="490" t="b">
        <f>_xll.qlInstrumentSetPricingEngine(O543,OisEngine)</f>
        <v>1</v>
      </c>
      <c r="Q543" s="489">
        <f>_xll.qlIndexFixing("euribor6m",_xll.qlInterestRateIndexFixingDate("Euribor6M",M543),TRUE,AllTriggers)</f>
        <v>2.0840016996580692E-2</v>
      </c>
      <c r="R543" s="489">
        <f>_xll.qlOvernightIndexedSwapFairRate(O543,AllTriggers)</f>
        <v>2.0981930477664494E-2</v>
      </c>
      <c r="S543" s="491">
        <f t="shared" si="12"/>
        <v>-1.4191348108380172E-4</v>
      </c>
    </row>
    <row r="544" spans="5:19" ht="11.25" customHeight="1" x14ac:dyDescent="0.2">
      <c r="E544" s="483"/>
      <c r="F544" s="483"/>
      <c r="G544" s="482"/>
      <c r="J544" s="482"/>
      <c r="K544" s="482"/>
      <c r="M544" s="497">
        <f>_xll.qlCalendarAdvance(Calendar,M543,"1M","f",,Trigger)</f>
        <v>58790</v>
      </c>
      <c r="N544" s="488">
        <f>_xll.qlCalendarAdvance(Calendar,M544,"3M","f",,Trigger)</f>
        <v>58880</v>
      </c>
      <c r="O544" s="490" t="str">
        <f>_xll.qlMakeDatedOIS(,M544,N544,OvernightIndex,0,,,,EvaluationDate)</f>
        <v>obj_007a2#0001</v>
      </c>
      <c r="P544" s="490" t="b">
        <f>_xll.qlInstrumentSetPricingEngine(O544,OisEngine)</f>
        <v>1</v>
      </c>
      <c r="Q544" s="489">
        <f>_xll.qlIndexFixing("euribor6m",_xll.qlInterestRateIndexFixingDate("Euribor6M",M544),TRUE,AllTriggers)</f>
        <v>2.0832233422452606E-2</v>
      </c>
      <c r="R544" s="489">
        <f>_xll.qlOvernightIndexedSwapFairRate(O544,AllTriggers)</f>
        <v>2.0980709812088882E-2</v>
      </c>
      <c r="S544" s="491">
        <f t="shared" si="12"/>
        <v>-1.4847638963627618E-4</v>
      </c>
    </row>
    <row r="545" spans="5:19" ht="11.25" customHeight="1" x14ac:dyDescent="0.2">
      <c r="E545" s="483"/>
      <c r="F545" s="483"/>
      <c r="G545" s="482"/>
      <c r="J545" s="482"/>
      <c r="K545" s="482"/>
      <c r="M545" s="497">
        <f>_xll.qlCalendarAdvance(Calendar,M544,"1M","f",,Trigger)</f>
        <v>58823</v>
      </c>
      <c r="N545" s="488">
        <f>_xll.qlCalendarAdvance(Calendar,M545,"3M","f",,Trigger)</f>
        <v>58914</v>
      </c>
      <c r="O545" s="490" t="str">
        <f>_xll.qlMakeDatedOIS(,M545,N545,OvernightIndex,0,,,,EvaluationDate)</f>
        <v>obj_007a4#0001</v>
      </c>
      <c r="P545" s="490" t="b">
        <f>_xll.qlInstrumentSetPricingEngine(O545,OisEngine)</f>
        <v>1</v>
      </c>
      <c r="Q545" s="489">
        <f>_xll.qlIndexFixing("euribor6m",_xll.qlInterestRateIndexFixingDate("Euribor6M",M545),TRUE,AllTriggers)</f>
        <v>2.0824015665192874E-2</v>
      </c>
      <c r="R545" s="489">
        <f>_xll.qlOvernightIndexedSwapFairRate(O545,AllTriggers)</f>
        <v>2.0981320133046193E-2</v>
      </c>
      <c r="S545" s="491">
        <f t="shared" si="12"/>
        <v>-1.5730446785331906E-4</v>
      </c>
    </row>
    <row r="546" spans="5:19" ht="11.25" customHeight="1" x14ac:dyDescent="0.2">
      <c r="E546" s="483"/>
      <c r="F546" s="483"/>
      <c r="G546" s="482"/>
      <c r="J546" s="482"/>
      <c r="K546" s="482"/>
      <c r="M546" s="497">
        <f>_xll.qlCalendarAdvance(Calendar,M545,"1M","f",,Trigger)</f>
        <v>58854</v>
      </c>
      <c r="N546" s="488">
        <f>_xll.qlCalendarAdvance(Calendar,M546,"3M","f",,Trigger)</f>
        <v>58943</v>
      </c>
      <c r="O546" s="490" t="str">
        <f>_xll.qlMakeDatedOIS(,M546,N546,OvernightIndex,0,,,,EvaluationDate)</f>
        <v>obj_007a6#0001</v>
      </c>
      <c r="P546" s="490" t="b">
        <f>_xll.qlInstrumentSetPricingEngine(O546,OisEngine)</f>
        <v>1</v>
      </c>
      <c r="Q546" s="489">
        <f>_xll.qlIndexFixing("euribor6m",_xll.qlInterestRateIndexFixingDate("Euribor6M",M546),TRUE,AllTriggers)</f>
        <v>2.0816136334880244E-2</v>
      </c>
      <c r="R546" s="489">
        <f>_xll.qlOvernightIndexedSwapFairRate(O546,AllTriggers)</f>
        <v>2.0980099514792565E-2</v>
      </c>
      <c r="S546" s="491">
        <f t="shared" si="12"/>
        <v>-1.6396317991232076E-4</v>
      </c>
    </row>
    <row r="547" spans="5:19" ht="11.25" customHeight="1" x14ac:dyDescent="0.2">
      <c r="E547" s="483"/>
      <c r="F547" s="483"/>
      <c r="G547" s="482"/>
      <c r="J547" s="482"/>
      <c r="K547" s="482"/>
      <c r="M547" s="497">
        <f>_xll.qlCalendarAdvance(Calendar,M546,"1M","f",,Trigger)</f>
        <v>58882</v>
      </c>
      <c r="N547" s="488">
        <f>_xll.qlCalendarAdvance(Calendar,M547,"3M","f",,Trigger)</f>
        <v>58974</v>
      </c>
      <c r="O547" s="490" t="str">
        <f>_xll.qlMakeDatedOIS(,M547,N547,OvernightIndex,0,,,,EvaluationDate)</f>
        <v>obj_007e9#0001</v>
      </c>
      <c r="P547" s="490" t="b">
        <f>_xll.qlInstrumentSetPricingEngine(O547,OisEngine)</f>
        <v>1</v>
      </c>
      <c r="Q547" s="489">
        <f>_xll.qlIndexFixing("euribor6m",_xll.qlInterestRateIndexFixingDate("Euribor6M",M547),TRUE,AllTriggers)</f>
        <v>2.0812192419160332E-2</v>
      </c>
      <c r="R547" s="489">
        <f>_xll.qlOvernightIndexedSwapFairRate(O547,AllTriggers)</f>
        <v>2.0981930477665368E-2</v>
      </c>
      <c r="S547" s="491">
        <f t="shared" si="12"/>
        <v>-1.6973805850503676E-4</v>
      </c>
    </row>
    <row r="548" spans="5:19" ht="11.25" customHeight="1" x14ac:dyDescent="0.2">
      <c r="E548" s="483"/>
      <c r="F548" s="483"/>
      <c r="G548" s="482"/>
      <c r="J548" s="482"/>
      <c r="K548" s="482"/>
      <c r="M548" s="497">
        <f>_xll.qlCalendarAdvance(Calendar,M547,"1M","f",,Trigger)</f>
        <v>58914</v>
      </c>
      <c r="N548" s="488">
        <f>_xll.qlCalendarAdvance(Calendar,M548,"3M","f",,Trigger)</f>
        <v>59005</v>
      </c>
      <c r="O548" s="490" t="str">
        <f>_xll.qlMakeDatedOIS(,M548,N548,OvernightIndex,0,,,,EvaluationDate)</f>
        <v>obj_007a9#0001</v>
      </c>
      <c r="P548" s="490" t="b">
        <f>_xll.qlInstrumentSetPricingEngine(O548,OisEngine)</f>
        <v>1</v>
      </c>
      <c r="Q548" s="489">
        <f>_xll.qlIndexFixing("euribor6m",_xll.qlInterestRateIndexFixingDate("Euribor6M",M548),TRUE,AllTriggers)</f>
        <v>2.0803719930735886E-2</v>
      </c>
      <c r="R548" s="489">
        <f>_xll.qlOvernightIndexedSwapFairRate(O548,AllTriggers)</f>
        <v>2.0981320133046193E-2</v>
      </c>
      <c r="S548" s="491">
        <f t="shared" si="12"/>
        <v>-1.7760020231030738E-4</v>
      </c>
    </row>
    <row r="549" spans="5:19" ht="11.25" customHeight="1" x14ac:dyDescent="0.2">
      <c r="E549" s="483"/>
      <c r="F549" s="483"/>
      <c r="G549" s="482"/>
      <c r="J549" s="482"/>
      <c r="K549" s="482"/>
      <c r="M549" s="497">
        <f>_xll.qlCalendarAdvance(Calendar,M548,"1M","f",,Trigger)</f>
        <v>58944</v>
      </c>
      <c r="N549" s="488">
        <f>_xll.qlCalendarAdvance(Calendar,M549,"3M","f",,Trigger)</f>
        <v>59036</v>
      </c>
      <c r="O549" s="490" t="str">
        <f>_xll.qlMakeDatedOIS(,M549,N549,OvernightIndex,0,,,,EvaluationDate)</f>
        <v>obj_00886#0001</v>
      </c>
      <c r="P549" s="490" t="b">
        <f>_xll.qlInstrumentSetPricingEngine(O549,OisEngine)</f>
        <v>1</v>
      </c>
      <c r="Q549" s="489">
        <f>_xll.qlIndexFixing("euribor6m",_xll.qlInterestRateIndexFixingDate("Euribor6M",M549),TRUE,AllTriggers)</f>
        <v>2.0797972668130084E-2</v>
      </c>
      <c r="R549" s="489">
        <f>_xll.qlOvernightIndexedSwapFairRate(O549,AllTriggers)</f>
        <v>2.0981930477665368E-2</v>
      </c>
      <c r="S549" s="491">
        <f t="shared" si="12"/>
        <v>-1.8395780953528451E-4</v>
      </c>
    </row>
    <row r="550" spans="5:19" ht="11.25" customHeight="1" x14ac:dyDescent="0.2">
      <c r="E550" s="483"/>
      <c r="F550" s="483"/>
      <c r="G550" s="482"/>
      <c r="J550" s="482"/>
      <c r="K550" s="482"/>
      <c r="M550" s="497">
        <f>_xll.qlCalendarAdvance(Calendar,M549,"1M","f",,Trigger)</f>
        <v>58977</v>
      </c>
      <c r="N550" s="488">
        <f>_xll.qlCalendarAdvance(Calendar,M550,"3M","f",,Trigger)</f>
        <v>59069</v>
      </c>
      <c r="O550" s="490" t="str">
        <f>_xll.qlMakeDatedOIS(,M550,N550,OvernightIndex,0,,,,EvaluationDate)</f>
        <v>obj_007ac#0001</v>
      </c>
      <c r="P550" s="490" t="b">
        <f>_xll.qlInstrumentSetPricingEngine(O550,OisEngine)</f>
        <v>1</v>
      </c>
      <c r="Q550" s="489">
        <f>_xll.qlIndexFixing("euribor6m",_xll.qlInterestRateIndexFixingDate("Euribor6M",M550),TRUE,AllTriggers)</f>
        <v>2.0790940498748939E-2</v>
      </c>
      <c r="R550" s="489">
        <f>_xll.qlOvernightIndexedSwapFairRate(O550,AllTriggers)</f>
        <v>2.0981930477664498E-2</v>
      </c>
      <c r="S550" s="491">
        <f t="shared" si="12"/>
        <v>-1.9098997891555877E-4</v>
      </c>
    </row>
    <row r="551" spans="5:19" ht="11.25" customHeight="1" x14ac:dyDescent="0.2">
      <c r="E551" s="483"/>
      <c r="F551" s="483"/>
      <c r="G551" s="482"/>
      <c r="J551" s="482"/>
      <c r="K551" s="482"/>
      <c r="M551" s="497">
        <f>_xll.qlCalendarAdvance(Calendar,M550,"1M","f",,Trigger)</f>
        <v>59007</v>
      </c>
      <c r="N551" s="488">
        <f>_xll.qlCalendarAdvance(Calendar,M551,"3M","f",,Trigger)</f>
        <v>59099</v>
      </c>
      <c r="O551" s="490" t="str">
        <f>_xll.qlMakeDatedOIS(,M551,N551,OvernightIndex,0,,,,EvaluationDate)</f>
        <v>obj_007ae#0001</v>
      </c>
      <c r="P551" s="490" t="b">
        <f>_xll.qlInstrumentSetPricingEngine(O551,OisEngine)</f>
        <v>1</v>
      </c>
      <c r="Q551" s="489">
        <f>_xll.qlIndexFixing("euribor6m",_xll.qlInterestRateIndexFixingDate("Euribor6M",M551),TRUE,AllTriggers)</f>
        <v>2.0785828739470023E-2</v>
      </c>
      <c r="R551" s="489">
        <f>_xll.qlOvernightIndexedSwapFairRate(O551,AllTriggers)</f>
        <v>2.0981930477664498E-2</v>
      </c>
      <c r="S551" s="491">
        <f t="shared" si="12"/>
        <v>-1.9610173819447491E-4</v>
      </c>
    </row>
    <row r="552" spans="5:19" ht="11.25" customHeight="1" x14ac:dyDescent="0.2">
      <c r="E552" s="483"/>
      <c r="F552" s="483"/>
      <c r="G552" s="482"/>
      <c r="J552" s="482"/>
      <c r="K552" s="482"/>
      <c r="M552" s="497">
        <f>_xll.qlCalendarAdvance(Calendar,M551,"1M","f",,Trigger)</f>
        <v>59040</v>
      </c>
      <c r="N552" s="488">
        <f>_xll.qlCalendarAdvance(Calendar,M552,"3M","f",,Trigger)</f>
        <v>59132</v>
      </c>
      <c r="O552" s="490" t="str">
        <f>_xll.qlMakeDatedOIS(,M552,N552,OvernightIndex,0,,,,EvaluationDate)</f>
        <v>obj_007b0#0001</v>
      </c>
      <c r="P552" s="490" t="b">
        <f>_xll.qlInstrumentSetPricingEngine(O552,OisEngine)</f>
        <v>1</v>
      </c>
      <c r="Q552" s="489">
        <f>_xll.qlIndexFixing("euribor6m",_xll.qlInterestRateIndexFixingDate("Euribor6M",M552),TRUE,AllTriggers)</f>
        <v>2.0779992114785588E-2</v>
      </c>
      <c r="R552" s="489">
        <f>_xll.qlOvernightIndexedSwapFairRate(O552,AllTriggers)</f>
        <v>2.0981930477664498E-2</v>
      </c>
      <c r="S552" s="491">
        <f t="shared" si="12"/>
        <v>-2.0193836287890968E-4</v>
      </c>
    </row>
    <row r="553" spans="5:19" ht="11.25" customHeight="1" x14ac:dyDescent="0.2">
      <c r="E553" s="483"/>
      <c r="F553" s="483"/>
      <c r="G553" s="482"/>
      <c r="J553" s="482"/>
      <c r="K553" s="482"/>
      <c r="M553" s="497">
        <f>_xll.qlCalendarAdvance(Calendar,M552,"1M","f",,Trigger)</f>
        <v>59071</v>
      </c>
      <c r="N553" s="488">
        <f>_xll.qlCalendarAdvance(Calendar,M553,"3M","f",,Trigger)</f>
        <v>59162</v>
      </c>
      <c r="O553" s="490" t="str">
        <f>_xll.qlMakeDatedOIS(,M553,N553,OvernightIndex,0,,,,EvaluationDate)</f>
        <v>obj_00845#0001</v>
      </c>
      <c r="P553" s="490" t="b">
        <f>_xll.qlInstrumentSetPricingEngine(O553,OisEngine)</f>
        <v>1</v>
      </c>
      <c r="Q553" s="489">
        <f>_xll.qlIndexFixing("euribor6m",_xll.qlInterestRateIndexFixingDate("Euribor6M",M553),TRUE,AllTriggers)</f>
        <v>2.0773272747434405E-2</v>
      </c>
      <c r="R553" s="489">
        <f>_xll.qlOvernightIndexedSwapFairRate(O553,AllTriggers)</f>
        <v>2.0981320133045312E-2</v>
      </c>
      <c r="S553" s="491">
        <f t="shared" si="12"/>
        <v>-2.0804738561090719E-4</v>
      </c>
    </row>
    <row r="554" spans="5:19" ht="11.25" customHeight="1" x14ac:dyDescent="0.2">
      <c r="E554" s="483"/>
      <c r="F554" s="483"/>
      <c r="G554" s="482"/>
      <c r="J554" s="482"/>
      <c r="K554" s="482"/>
      <c r="M554" s="497">
        <f>_xll.qlCalendarAdvance(Calendar,M553,"1M","f",,Trigger)</f>
        <v>59103</v>
      </c>
      <c r="N554" s="488">
        <f>_xll.qlCalendarAdvance(Calendar,M554,"3M","f",,Trigger)</f>
        <v>59195</v>
      </c>
      <c r="O554" s="490" t="str">
        <f>_xll.qlMakeDatedOIS(,M554,N554,OvernightIndex,0,,,,EvaluationDate)</f>
        <v>obj_007b3#0001</v>
      </c>
      <c r="P554" s="490" t="b">
        <f>_xll.qlInstrumentSetPricingEngine(O554,OisEngine)</f>
        <v>1</v>
      </c>
      <c r="Q554" s="489">
        <f>_xll.qlIndexFixing("euribor6m",_xll.qlInterestRateIndexFixingDate("Euribor6M",M554),TRUE,AllTriggers)</f>
        <v>2.0768797297809283E-2</v>
      </c>
      <c r="R554" s="489">
        <f>_xll.qlOvernightIndexedSwapFairRate(O554,AllTriggers)</f>
        <v>2.0981930477665368E-2</v>
      </c>
      <c r="S554" s="491">
        <f t="shared" si="12"/>
        <v>-2.1313317985608565E-4</v>
      </c>
    </row>
    <row r="555" spans="5:19" ht="11.25" customHeight="1" x14ac:dyDescent="0.2">
      <c r="E555" s="483"/>
      <c r="F555" s="483"/>
      <c r="G555" s="482"/>
      <c r="J555" s="482"/>
      <c r="K555" s="482"/>
      <c r="M555" s="497">
        <f>_xll.qlCalendarAdvance(Calendar,M554,"1M","f",,Trigger)</f>
        <v>59134</v>
      </c>
      <c r="N555" s="488">
        <f>_xll.qlCalendarAdvance(Calendar,M555,"3M","f",,Trigger)</f>
        <v>59226</v>
      </c>
      <c r="O555" s="490" t="str">
        <f>_xll.qlMakeDatedOIS(,M555,N555,OvernightIndex,0,,,,EvaluationDate)</f>
        <v>obj_007b5#0001</v>
      </c>
      <c r="P555" s="490" t="b">
        <f>_xll.qlInstrumentSetPricingEngine(O555,OisEngine)</f>
        <v>1</v>
      </c>
      <c r="Q555" s="489">
        <f>_xll.qlIndexFixing("euribor6m",_xll.qlInterestRateIndexFixingDate("Euribor6M",M555),TRUE,AllTriggers)</f>
        <v>2.0763748364371403E-2</v>
      </c>
      <c r="R555" s="489">
        <f>_xll.qlOvernightIndexedSwapFairRate(O555,AllTriggers)</f>
        <v>2.0981930477665372E-2</v>
      </c>
      <c r="S555" s="491">
        <f t="shared" si="12"/>
        <v>-2.1818211329396875E-4</v>
      </c>
    </row>
    <row r="556" spans="5:19" ht="11.25" customHeight="1" x14ac:dyDescent="0.2">
      <c r="E556" s="483"/>
      <c r="F556" s="483"/>
      <c r="G556" s="482"/>
      <c r="J556" s="482"/>
      <c r="K556" s="482"/>
      <c r="M556" s="497">
        <f>_xll.qlCalendarAdvance(Calendar,M555,"1M","f",,Trigger)</f>
        <v>59167</v>
      </c>
      <c r="N556" s="488">
        <f>_xll.qlCalendarAdvance(Calendar,M556,"3M","f",,Trigger)</f>
        <v>59258</v>
      </c>
      <c r="O556" s="490" t="str">
        <f>_xll.qlMakeDatedOIS(,M556,N556,OvernightIndex,0,,,,EvaluationDate)</f>
        <v>obj_007b7#0001</v>
      </c>
      <c r="P556" s="490" t="b">
        <f>_xll.qlInstrumentSetPricingEngine(O556,OisEngine)</f>
        <v>1</v>
      </c>
      <c r="Q556" s="489">
        <f>_xll.qlIndexFixing("euribor6m",_xll.qlInterestRateIndexFixingDate("Euribor6M",M556),TRUE,AllTriggers)</f>
        <v>2.0759820384765162E-2</v>
      </c>
      <c r="R556" s="489">
        <f>_xll.qlOvernightIndexedSwapFairRate(O556,AllTriggers)</f>
        <v>2.0981320133045312E-2</v>
      </c>
      <c r="S556" s="491">
        <f t="shared" si="12"/>
        <v>-2.2149974828014965E-4</v>
      </c>
    </row>
    <row r="557" spans="5:19" ht="11.25" customHeight="1" x14ac:dyDescent="0.2">
      <c r="E557" s="483"/>
      <c r="F557" s="483"/>
      <c r="G557" s="482"/>
      <c r="J557" s="482"/>
      <c r="K557" s="482"/>
      <c r="M557" s="497">
        <f>_xll.qlCalendarAdvance(Calendar,M556,"1M","f",,Trigger)</f>
        <v>59198</v>
      </c>
      <c r="N557" s="488">
        <f>_xll.qlCalendarAdvance(Calendar,M557,"3M","f",,Trigger)</f>
        <v>59288</v>
      </c>
      <c r="O557" s="490" t="str">
        <f>_xll.qlMakeDatedOIS(,M557,N557,OvernightIndex,0,,,,EvaluationDate)</f>
        <v>obj_00839#0001</v>
      </c>
      <c r="P557" s="490" t="b">
        <f>_xll.qlInstrumentSetPricingEngine(O557,OisEngine)</f>
        <v>1</v>
      </c>
      <c r="Q557" s="489">
        <f>_xll.qlIndexFixing("euribor6m",_xll.qlInterestRateIndexFixingDate("Euribor6M",M557),TRUE,AllTriggers)</f>
        <v>2.075541816081241E-2</v>
      </c>
      <c r="R557" s="489">
        <f>_xll.qlOvernightIndexedSwapFairRate(O557,AllTriggers)</f>
        <v>2.0980709812088882E-2</v>
      </c>
      <c r="S557" s="491">
        <f t="shared" si="12"/>
        <v>-2.2529165127647272E-4</v>
      </c>
    </row>
    <row r="558" spans="5:19" ht="11.25" customHeight="1" x14ac:dyDescent="0.2">
      <c r="E558" s="483"/>
      <c r="F558" s="483"/>
      <c r="G558" s="482"/>
      <c r="J558" s="482"/>
      <c r="K558" s="482"/>
      <c r="M558" s="497">
        <f>_xll.qlCalendarAdvance(Calendar,M557,"1M","f",,Trigger)</f>
        <v>59229</v>
      </c>
      <c r="N558" s="488">
        <f>_xll.qlCalendarAdvance(Calendar,M558,"3M","f",,Trigger)</f>
        <v>59320</v>
      </c>
      <c r="O558" s="490" t="str">
        <f>_xll.qlMakeDatedOIS(,M558,N558,OvernightIndex,0,,,,EvaluationDate)</f>
        <v>obj_007ba#0001</v>
      </c>
      <c r="P558" s="490" t="b">
        <f>_xll.qlInstrumentSetPricingEngine(O558,OisEngine)</f>
        <v>1</v>
      </c>
      <c r="Q558" s="489">
        <f>_xll.qlIndexFixing("euribor6m",_xll.qlInterestRateIndexFixingDate("Euribor6M",M558),TRUE,AllTriggers)</f>
        <v>2.0752417121466062E-2</v>
      </c>
      <c r="R558" s="489">
        <f>_xll.qlOvernightIndexedSwapFairRate(O558,AllTriggers)</f>
        <v>2.0981320133045309E-2</v>
      </c>
      <c r="S558" s="491">
        <f t="shared" si="12"/>
        <v>-2.2890301157924703E-4</v>
      </c>
    </row>
    <row r="559" spans="5:19" ht="11.25" customHeight="1" x14ac:dyDescent="0.2">
      <c r="E559" s="483"/>
      <c r="F559" s="483"/>
      <c r="G559" s="482"/>
      <c r="J559" s="482"/>
      <c r="K559" s="482"/>
      <c r="M559" s="497">
        <f>_xll.qlCalendarAdvance(Calendar,M558,"1M","f",,Trigger)</f>
        <v>59258</v>
      </c>
      <c r="N559" s="488">
        <f>_xll.qlCalendarAdvance(Calendar,M559,"3M","f",,Trigger)</f>
        <v>59350</v>
      </c>
      <c r="O559" s="490" t="str">
        <f>_xll.qlMakeDatedOIS(,M559,N559,OvernightIndex,0,,,,EvaluationDate)</f>
        <v>obj_007bc#0001</v>
      </c>
      <c r="P559" s="490" t="b">
        <f>_xll.qlInstrumentSetPricingEngine(O559,OisEngine)</f>
        <v>1</v>
      </c>
      <c r="Q559" s="489">
        <f>_xll.qlIndexFixing("euribor6m",_xll.qlInterestRateIndexFixingDate("Euribor6M",M559),TRUE,AllTriggers)</f>
        <v>2.0750493665187386E-2</v>
      </c>
      <c r="R559" s="489">
        <f>_xll.qlOvernightIndexedSwapFairRate(O559,AllTriggers)</f>
        <v>2.0981930477664498E-2</v>
      </c>
      <c r="S559" s="491">
        <f t="shared" si="12"/>
        <v>-2.3143681247711143E-4</v>
      </c>
    </row>
    <row r="560" spans="5:19" ht="11.25" customHeight="1" x14ac:dyDescent="0.2">
      <c r="E560" s="483"/>
      <c r="F560" s="483"/>
      <c r="G560" s="482"/>
      <c r="J560" s="482"/>
      <c r="K560" s="482"/>
      <c r="M560" s="497">
        <f>_xll.qlCalendarAdvance(Calendar,M559,"1M","f",,Trigger)</f>
        <v>59289</v>
      </c>
      <c r="N560" s="488">
        <f>_xll.qlCalendarAdvance(Calendar,M560,"3M","f",,Trigger)</f>
        <v>59380</v>
      </c>
      <c r="O560" s="490" t="str">
        <f>_xll.qlMakeDatedOIS(,M560,N560,OvernightIndex,0,,,,EvaluationDate)</f>
        <v>obj_0082c#0001</v>
      </c>
      <c r="P560" s="490" t="b">
        <f>_xll.qlInstrumentSetPricingEngine(O560,OisEngine)</f>
        <v>1</v>
      </c>
      <c r="Q560" s="489">
        <f>_xll.qlIndexFixing("euribor6m",_xll.qlInterestRateIndexFixingDate("Euribor6M",M560),TRUE,AllTriggers)</f>
        <v>2.0748689772211285E-2</v>
      </c>
      <c r="R560" s="489">
        <f>_xll.qlOvernightIndexedSwapFairRate(O560,AllTriggers)</f>
        <v>2.0981320133046193E-2</v>
      </c>
      <c r="S560" s="491">
        <f t="shared" si="12"/>
        <v>-2.3263036083490812E-4</v>
      </c>
    </row>
    <row r="561" spans="5:19" ht="11.25" customHeight="1" x14ac:dyDescent="0.2">
      <c r="E561" s="483"/>
      <c r="F561" s="483"/>
      <c r="G561" s="482"/>
      <c r="J561" s="482"/>
      <c r="K561" s="482"/>
      <c r="M561" s="497">
        <f>_xll.qlCalendarAdvance(Calendar,M560,"1M","f",,Trigger)</f>
        <v>59320</v>
      </c>
      <c r="N561" s="488">
        <f>_xll.qlCalendarAdvance(Calendar,M561,"3M","f",,Trigger)</f>
        <v>59412</v>
      </c>
      <c r="O561" s="490" t="str">
        <f>_xll.qlMakeDatedOIS(,M561,N561,OvernightIndex,0,,,,EvaluationDate)</f>
        <v>obj_007bf#0001</v>
      </c>
      <c r="P561" s="490" t="b">
        <f>_xll.qlInstrumentSetPricingEngine(O561,OisEngine)</f>
        <v>1</v>
      </c>
      <c r="Q561" s="489">
        <f>_xll.qlIndexFixing("euribor6m",_xll.qlInterestRateIndexFixingDate("Euribor6M",M561),TRUE,AllTriggers)</f>
        <v>2.0744978111388916E-2</v>
      </c>
      <c r="R561" s="489">
        <f>_xll.qlOvernightIndexedSwapFairRate(O561,AllTriggers)</f>
        <v>2.0981930477664494E-2</v>
      </c>
      <c r="S561" s="491">
        <f t="shared" si="12"/>
        <v>-2.3695236627557792E-4</v>
      </c>
    </row>
    <row r="562" spans="5:19" ht="11.25" customHeight="1" x14ac:dyDescent="0.2">
      <c r="E562" s="483"/>
      <c r="F562" s="483"/>
      <c r="G562" s="482"/>
      <c r="J562" s="482"/>
      <c r="K562" s="482"/>
      <c r="M562" s="497">
        <f>_xll.qlCalendarAdvance(Calendar,M561,"1M","f",,Trigger)</f>
        <v>59351</v>
      </c>
      <c r="N562" s="488">
        <f>_xll.qlCalendarAdvance(Calendar,M562,"3M","f",,Trigger)</f>
        <v>59443</v>
      </c>
      <c r="O562" s="490" t="str">
        <f>_xll.qlMakeDatedOIS(,M562,N562,OvernightIndex,0,,,,EvaluationDate)</f>
        <v>obj_007c1#0001</v>
      </c>
      <c r="P562" s="490" t="b">
        <f>_xll.qlInstrumentSetPricingEngine(O562,OisEngine)</f>
        <v>1</v>
      </c>
      <c r="Q562" s="489">
        <f>_xll.qlIndexFixing("euribor6m",_xll.qlInterestRateIndexFixingDate("Euribor6M",M562),TRUE,AllTriggers)</f>
        <v>2.0742131324333963E-2</v>
      </c>
      <c r="R562" s="489">
        <f>_xll.qlOvernightIndexedSwapFairRate(O562,AllTriggers)</f>
        <v>2.0981930477664498E-2</v>
      </c>
      <c r="S562" s="491">
        <f t="shared" si="12"/>
        <v>-2.3979915333053464E-4</v>
      </c>
    </row>
    <row r="563" spans="5:19" ht="11.25" customHeight="1" x14ac:dyDescent="0.2">
      <c r="E563" s="483"/>
      <c r="F563" s="483"/>
      <c r="G563" s="482"/>
      <c r="J563" s="482"/>
      <c r="K563" s="482"/>
      <c r="M563" s="497">
        <f>_xll.qlCalendarAdvance(Calendar,M562,"1M","f",,Trigger)</f>
        <v>59383</v>
      </c>
      <c r="N563" s="488">
        <f>_xll.qlCalendarAdvance(Calendar,M563,"3M","f",,Trigger)</f>
        <v>59475</v>
      </c>
      <c r="O563" s="490" t="str">
        <f>_xll.qlMakeDatedOIS(,M563,N563,OvernightIndex,0,,,,EvaluationDate)</f>
        <v>obj_007c3#0001</v>
      </c>
      <c r="P563" s="490" t="b">
        <f>_xll.qlInstrumentSetPricingEngine(O563,OisEngine)</f>
        <v>1</v>
      </c>
      <c r="Q563" s="489">
        <f>_xll.qlIndexFixing("euribor6m",_xll.qlInterestRateIndexFixingDate("Euribor6M",M563),TRUE,AllTriggers)</f>
        <v>2.0740677264634095E-2</v>
      </c>
      <c r="R563" s="489">
        <f>_xll.qlOvernightIndexedSwapFairRate(O563,AllTriggers)</f>
        <v>2.098193047766363E-2</v>
      </c>
      <c r="S563" s="491">
        <f t="shared" si="12"/>
        <v>-2.4125321302953529E-4</v>
      </c>
    </row>
    <row r="564" spans="5:19" ht="11.25" customHeight="1" x14ac:dyDescent="0.2">
      <c r="E564" s="483"/>
      <c r="F564" s="483"/>
      <c r="G564" s="482"/>
      <c r="J564" s="482"/>
      <c r="K564" s="482"/>
      <c r="M564" s="497">
        <f>_xll.qlCalendarAdvance(Calendar,M563,"1M","f",,Trigger)</f>
        <v>59414</v>
      </c>
      <c r="N564" s="488">
        <f>_xll.qlCalendarAdvance(Calendar,M564,"3M","f",,Trigger)</f>
        <v>59505</v>
      </c>
      <c r="O564" s="490" t="str">
        <f>_xll.qlMakeDatedOIS(,M564,N564,OvernightIndex,0,,,,EvaluationDate)</f>
        <v>obj_007c5#0001</v>
      </c>
      <c r="P564" s="490" t="b">
        <f>_xll.qlInstrumentSetPricingEngine(O564,OisEngine)</f>
        <v>1</v>
      </c>
      <c r="Q564" s="489">
        <f>_xll.qlIndexFixing("euribor6m",_xll.qlInterestRateIndexFixingDate("Euribor6M",M564),TRUE,AllTriggers)</f>
        <v>2.0737314274059376E-2</v>
      </c>
      <c r="R564" s="489">
        <f>_xll.qlOvernightIndexedSwapFairRate(O564,AllTriggers)</f>
        <v>2.0981320133046193E-2</v>
      </c>
      <c r="S564" s="491">
        <f t="shared" si="12"/>
        <v>-2.440058589868177E-4</v>
      </c>
    </row>
    <row r="565" spans="5:19" ht="11.25" customHeight="1" x14ac:dyDescent="0.2">
      <c r="E565" s="483"/>
      <c r="F565" s="483"/>
      <c r="G565" s="482"/>
      <c r="J565" s="482"/>
      <c r="K565" s="482"/>
      <c r="M565" s="497">
        <f>_xll.qlCalendarAdvance(Calendar,M564,"1M","f",,Trigger)</f>
        <v>59446</v>
      </c>
      <c r="N565" s="488">
        <f>_xll.qlCalendarAdvance(Calendar,M565,"3M","f",,Trigger)</f>
        <v>59538</v>
      </c>
      <c r="O565" s="490" t="str">
        <f>_xll.qlMakeDatedOIS(,M565,N565,OvernightIndex,0,,,,EvaluationDate)</f>
        <v>obj_007c7#0001</v>
      </c>
      <c r="P565" s="490" t="b">
        <f>_xll.qlInstrumentSetPricingEngine(O565,OisEngine)</f>
        <v>1</v>
      </c>
      <c r="Q565" s="489">
        <f>_xll.qlIndexFixing("euribor6m",_xll.qlInterestRateIndexFixingDate("Euribor6M",M565),TRUE,AllTriggers)</f>
        <v>2.0736527205758002E-2</v>
      </c>
      <c r="R565" s="489">
        <f>_xll.qlOvernightIndexedSwapFairRate(O565,AllTriggers)</f>
        <v>2.0981930477664498E-2</v>
      </c>
      <c r="S565" s="491">
        <f t="shared" si="12"/>
        <v>-2.4540327190649552E-4</v>
      </c>
    </row>
    <row r="566" spans="5:19" ht="11.25" customHeight="1" x14ac:dyDescent="0.2">
      <c r="E566" s="483"/>
      <c r="F566" s="483"/>
      <c r="G566" s="482"/>
      <c r="J566" s="482"/>
      <c r="K566" s="482"/>
      <c r="M566" s="497">
        <f>_xll.qlCalendarAdvance(Calendar,M565,"1M","f",,Trigger)</f>
        <v>59477</v>
      </c>
      <c r="N566" s="488">
        <f>_xll.qlCalendarAdvance(Calendar,M566,"3M","f",,Trigger)</f>
        <v>59569</v>
      </c>
      <c r="O566" s="490" t="str">
        <f>_xll.qlMakeDatedOIS(,M566,N566,OvernightIndex,0,,,,EvaluationDate)</f>
        <v>obj_007c9#0001</v>
      </c>
      <c r="P566" s="490" t="b">
        <f>_xll.qlInstrumentSetPricingEngine(O566,OisEngine)</f>
        <v>1</v>
      </c>
      <c r="Q566" s="489">
        <f>_xll.qlIndexFixing("euribor6m",_xll.qlInterestRateIndexFixingDate("Euribor6M",M566),TRUE,AllTriggers)</f>
        <v>2.0734943248267319E-2</v>
      </c>
      <c r="R566" s="489">
        <f>_xll.qlOvernightIndexedSwapFairRate(O566,AllTriggers)</f>
        <v>2.0981930477664501E-2</v>
      </c>
      <c r="S566" s="491">
        <f t="shared" si="12"/>
        <v>-2.469872293971824E-4</v>
      </c>
    </row>
    <row r="567" spans="5:19" ht="11.25" customHeight="1" x14ac:dyDescent="0.2">
      <c r="E567" s="483"/>
      <c r="F567" s="483"/>
      <c r="G567" s="482"/>
      <c r="J567" s="482"/>
      <c r="K567" s="482"/>
      <c r="M567" s="497">
        <f>_xll.qlCalendarAdvance(Calendar,M566,"1M","f",,Trigger)</f>
        <v>59509</v>
      </c>
      <c r="N567" s="488">
        <f>_xll.qlCalendarAdvance(Calendar,M567,"3M","f",,Trigger)</f>
        <v>59600</v>
      </c>
      <c r="O567" s="490" t="str">
        <f>_xll.qlMakeDatedOIS(,M567,N567,OvernightIndex,0,,,,EvaluationDate)</f>
        <v>obj_007cb#0001</v>
      </c>
      <c r="P567" s="490" t="b">
        <f>_xll.qlInstrumentSetPricingEngine(O567,OisEngine)</f>
        <v>1</v>
      </c>
      <c r="Q567" s="489">
        <f>_xll.qlIndexFixing("euribor6m",_xll.qlInterestRateIndexFixingDate("Euribor6M",M567),TRUE,AllTriggers)</f>
        <v>2.0734833865522061E-2</v>
      </c>
      <c r="R567" s="489">
        <f>_xll.qlOvernightIndexedSwapFairRate(O567,AllTriggers)</f>
        <v>2.0981320133046197E-2</v>
      </c>
      <c r="S567" s="491">
        <f t="shared" si="12"/>
        <v>-2.4648626752413541E-4</v>
      </c>
    </row>
    <row r="568" spans="5:19" ht="11.25" customHeight="1" x14ac:dyDescent="0.2">
      <c r="E568" s="483"/>
      <c r="F568" s="483"/>
      <c r="G568" s="482"/>
      <c r="J568" s="482"/>
      <c r="K568" s="482"/>
      <c r="M568" s="497">
        <f>_xll.qlCalendarAdvance(Calendar,M567,"1M","f",,Trigger)</f>
        <v>59540</v>
      </c>
      <c r="N568" s="488">
        <f>_xll.qlCalendarAdvance(Calendar,M568,"3M","f",,Trigger)</f>
        <v>59630</v>
      </c>
      <c r="O568" s="490" t="str">
        <f>_xll.qlMakeDatedOIS(,M568,N568,OvernightIndex,0,,,,EvaluationDate)</f>
        <v>obj_007cd#0001</v>
      </c>
      <c r="P568" s="490" t="b">
        <f>_xll.qlInstrumentSetPricingEngine(O568,OisEngine)</f>
        <v>1</v>
      </c>
      <c r="Q568" s="489">
        <f>_xll.qlIndexFixing("euribor6m",_xll.qlInterestRateIndexFixingDate("Euribor6M",M568),TRUE,AllTriggers)</f>
        <v>2.0733886077138341E-2</v>
      </c>
      <c r="R568" s="489">
        <f>_xll.qlOvernightIndexedSwapFairRate(O568,AllTriggers)</f>
        <v>2.0980709812087994E-2</v>
      </c>
      <c r="S568" s="491">
        <f t="shared" si="12"/>
        <v>-2.468237349496534E-4</v>
      </c>
    </row>
    <row r="569" spans="5:19" ht="11.25" customHeight="1" x14ac:dyDescent="0.2">
      <c r="E569" s="483"/>
      <c r="F569" s="483"/>
      <c r="G569" s="482"/>
      <c r="J569" s="482"/>
      <c r="K569" s="482"/>
      <c r="M569" s="497">
        <f>_xll.qlCalendarAdvance(Calendar,M568,"1M","f",,Trigger)</f>
        <v>59572</v>
      </c>
      <c r="N569" s="488">
        <f>_xll.qlCalendarAdvance(Calendar,M569,"3M","f",,Trigger)</f>
        <v>59663</v>
      </c>
      <c r="O569" s="490" t="str">
        <f>_xll.qlMakeDatedOIS(,M569,N569,OvernightIndex,0,,,,EvaluationDate)</f>
        <v>obj_0081f#0001</v>
      </c>
      <c r="P569" s="490" t="b">
        <f>_xll.qlInstrumentSetPricingEngine(O569,OisEngine)</f>
        <v>1</v>
      </c>
      <c r="Q569" s="489">
        <f>_xll.qlIndexFixing("euribor6m",_xll.qlInterestRateIndexFixingDate("Euribor6M",M569),TRUE,AllTriggers)</f>
        <v>2.0734454453846796E-2</v>
      </c>
      <c r="R569" s="489">
        <f>_xll.qlOvernightIndexedSwapFairRate(O569,AllTriggers)</f>
        <v>2.098132013304619E-2</v>
      </c>
      <c r="S569" s="491">
        <f t="shared" si="12"/>
        <v>-2.4686567919939353E-4</v>
      </c>
    </row>
    <row r="570" spans="5:19" ht="11.25" customHeight="1" x14ac:dyDescent="0.2">
      <c r="E570" s="483"/>
      <c r="F570" s="483"/>
      <c r="G570" s="482"/>
      <c r="J570" s="482"/>
      <c r="K570" s="482"/>
      <c r="M570" s="497">
        <f>_xll.qlCalendarAdvance(Calendar,M569,"1M","f",,Trigger)</f>
        <v>59600</v>
      </c>
      <c r="N570" s="488">
        <f>_xll.qlCalendarAdvance(Calendar,M570,"3M","f",,Trigger)</f>
        <v>59692</v>
      </c>
      <c r="O570" s="490" t="str">
        <f>_xll.qlMakeDatedOIS(,M570,N570,OvernightIndex,0,,,,EvaluationDate)</f>
        <v>obj_007d0#0001</v>
      </c>
      <c r="P570" s="490" t="b">
        <f>_xll.qlInstrumentSetPricingEngine(O570,OisEngine)</f>
        <v>1</v>
      </c>
      <c r="Q570" s="489">
        <f>_xll.qlIndexFixing("euribor6m",_xll.qlInterestRateIndexFixingDate("Euribor6M",M570),TRUE,AllTriggers)</f>
        <v>2.0735921660175172E-2</v>
      </c>
      <c r="R570" s="489">
        <f>_xll.qlOvernightIndexedSwapFairRate(O570,AllTriggers)</f>
        <v>2.098193047766363E-2</v>
      </c>
      <c r="S570" s="491">
        <f t="shared" si="12"/>
        <v>-2.4600881748845782E-4</v>
      </c>
    </row>
    <row r="571" spans="5:19" ht="11.25" customHeight="1" x14ac:dyDescent="0.2">
      <c r="E571" s="483"/>
      <c r="F571" s="483"/>
      <c r="G571" s="482"/>
      <c r="J571" s="482"/>
      <c r="K571" s="482"/>
      <c r="M571" s="497">
        <f>_xll.qlCalendarAdvance(Calendar,M570,"1M","f",,Trigger)</f>
        <v>59631</v>
      </c>
      <c r="N571" s="488">
        <f>_xll.qlCalendarAdvance(Calendar,M571,"3M","f",,Trigger)</f>
        <v>59722</v>
      </c>
      <c r="O571" s="490" t="str">
        <f>_xll.qlMakeDatedOIS(,M571,N571,OvernightIndex,0,,,,EvaluationDate)</f>
        <v>obj_007d2#0001</v>
      </c>
      <c r="P571" s="490" t="b">
        <f>_xll.qlInstrumentSetPricingEngine(O571,OisEngine)</f>
        <v>1</v>
      </c>
      <c r="Q571" s="489">
        <f>_xll.qlIndexFixing("euribor6m",_xll.qlInterestRateIndexFixingDate("Euribor6M",M571),TRUE,AllTriggers)</f>
        <v>2.0735902709285096E-2</v>
      </c>
      <c r="R571" s="489">
        <f>_xll.qlOvernightIndexedSwapFairRate(O571,AllTriggers)</f>
        <v>2.098132013304619E-2</v>
      </c>
      <c r="S571" s="491">
        <f t="shared" si="12"/>
        <v>-2.4541742376109343E-4</v>
      </c>
    </row>
    <row r="572" spans="5:19" ht="11.25" customHeight="1" x14ac:dyDescent="0.2">
      <c r="E572" s="483"/>
      <c r="F572" s="483"/>
      <c r="G572" s="482"/>
      <c r="J572" s="482"/>
      <c r="K572" s="482"/>
      <c r="M572" s="497">
        <f>_xll.qlCalendarAdvance(Calendar,M571,"1M","f",,Trigger)</f>
        <v>59663</v>
      </c>
      <c r="N572" s="488">
        <f>_xll.qlCalendarAdvance(Calendar,M572,"3M","f",,Trigger)</f>
        <v>59755</v>
      </c>
      <c r="O572" s="490" t="str">
        <f>_xll.qlMakeDatedOIS(,M572,N572,OvernightIndex,0,,,,EvaluationDate)</f>
        <v>obj_00812#0001</v>
      </c>
      <c r="P572" s="490" t="b">
        <f>_xll.qlInstrumentSetPricingEngine(O572,OisEngine)</f>
        <v>1</v>
      </c>
      <c r="Q572" s="489">
        <f>_xll.qlIndexFixing("euribor6m",_xll.qlInterestRateIndexFixingDate("Euribor6M",M572),TRUE,AllTriggers)</f>
        <v>2.073746117711215E-2</v>
      </c>
      <c r="R572" s="489">
        <f>_xll.qlOvernightIndexedSwapFairRate(O572,AllTriggers)</f>
        <v>2.0981930477663627E-2</v>
      </c>
      <c r="S572" s="491">
        <f t="shared" si="12"/>
        <v>-2.444693005514767E-4</v>
      </c>
    </row>
    <row r="573" spans="5:19" ht="11.25" customHeight="1" x14ac:dyDescent="0.2">
      <c r="E573" s="483"/>
      <c r="F573" s="483"/>
      <c r="G573" s="482"/>
      <c r="J573" s="482"/>
      <c r="K573" s="482"/>
      <c r="M573" s="497">
        <f>_xll.qlCalendarAdvance(Calendar,M572,"1M","f",,Trigger)</f>
        <v>59694</v>
      </c>
      <c r="N573" s="488">
        <f>_xll.qlCalendarAdvance(Calendar,M573,"3M","f",,Trigger)</f>
        <v>59786</v>
      </c>
      <c r="O573" s="490" t="str">
        <f>_xll.qlMakeDatedOIS(,M573,N573,OvernightIndex,0,,,,EvaluationDate)</f>
        <v>obj_00854#0001</v>
      </c>
      <c r="P573" s="490" t="b">
        <f>_xll.qlInstrumentSetPricingEngine(O573,OisEngine)</f>
        <v>1</v>
      </c>
      <c r="Q573" s="489">
        <f>_xll.qlIndexFixing("euribor6m",_xll.qlInterestRateIndexFixingDate("Euribor6M",M573),TRUE,AllTriggers)</f>
        <v>2.0738078283557962E-2</v>
      </c>
      <c r="R573" s="489">
        <f>_xll.qlOvernightIndexedSwapFairRate(O573,AllTriggers)</f>
        <v>2.0981930477664494E-2</v>
      </c>
      <c r="S573" s="491">
        <f t="shared" si="12"/>
        <v>-2.4385219410653219E-4</v>
      </c>
    </row>
    <row r="574" spans="5:19" ht="11.25" customHeight="1" x14ac:dyDescent="0.2">
      <c r="E574" s="483"/>
      <c r="F574" s="483"/>
      <c r="G574" s="482"/>
      <c r="J574" s="482"/>
      <c r="K574" s="482"/>
      <c r="M574" s="497">
        <f>_xll.qlCalendarAdvance(Calendar,M573,"1M","f",,Trigger)</f>
        <v>59726</v>
      </c>
      <c r="N574" s="488">
        <f>_xll.qlCalendarAdvance(Calendar,M574,"3M","f",,Trigger)</f>
        <v>59818</v>
      </c>
      <c r="O574" s="490" t="str">
        <f>_xll.qlMakeDatedOIS(,M574,N574,OvernightIndex,0,,,,EvaluationDate)</f>
        <v>obj_007d6#0001</v>
      </c>
      <c r="P574" s="490" t="b">
        <f>_xll.qlInstrumentSetPricingEngine(O574,OisEngine)</f>
        <v>1</v>
      </c>
      <c r="Q574" s="489">
        <f>_xll.qlIndexFixing("euribor6m",_xll.qlInterestRateIndexFixingDate("Euribor6M",M574),TRUE,AllTriggers)</f>
        <v>2.074031477604495E-2</v>
      </c>
      <c r="R574" s="489">
        <f>_xll.qlOvernightIndexedSwapFairRate(O574,AllTriggers)</f>
        <v>2.0981930477665372E-2</v>
      </c>
      <c r="S574" s="491">
        <f t="shared" si="12"/>
        <v>-2.4161570162042206E-4</v>
      </c>
    </row>
    <row r="575" spans="5:19" ht="11.25" customHeight="1" x14ac:dyDescent="0.2">
      <c r="E575" s="483"/>
      <c r="F575" s="483"/>
      <c r="G575" s="482"/>
      <c r="J575" s="482"/>
      <c r="K575" s="482"/>
      <c r="M575" s="497">
        <f>_xll.qlCalendarAdvance(Calendar,M574,"1M","f",,Trigger)</f>
        <v>59757</v>
      </c>
      <c r="N575" s="488">
        <f>_xll.qlCalendarAdvance(Calendar,M575,"3M","f",,Trigger)</f>
        <v>59849</v>
      </c>
      <c r="O575" s="490" t="str">
        <f>_xll.qlMakeDatedOIS(,M575,N575,OvernightIndex,0,,,,EvaluationDate)</f>
        <v>obj_007d8#0001</v>
      </c>
      <c r="P575" s="490" t="b">
        <f>_xll.qlInstrumentSetPricingEngine(O575,OisEngine)</f>
        <v>1</v>
      </c>
      <c r="Q575" s="489">
        <f>_xll.qlIndexFixing("euribor6m",_xll.qlInterestRateIndexFixingDate("Euribor6M",M575),TRUE,AllTriggers)</f>
        <v>2.0743468646003779E-2</v>
      </c>
      <c r="R575" s="489">
        <f>_xll.qlOvernightIndexedSwapFairRate(O575,AllTriggers)</f>
        <v>2.0981930477664501E-2</v>
      </c>
      <c r="S575" s="491">
        <f t="shared" si="12"/>
        <v>-2.3846183166072177E-4</v>
      </c>
    </row>
    <row r="576" spans="5:19" ht="11.25" customHeight="1" x14ac:dyDescent="0.2">
      <c r="E576" s="483"/>
      <c r="F576" s="483"/>
      <c r="G576" s="482"/>
      <c r="J576" s="482"/>
      <c r="K576" s="482"/>
      <c r="M576" s="497">
        <f>_xll.qlCalendarAdvance(Calendar,M575,"1M","f",,Trigger)</f>
        <v>59789</v>
      </c>
      <c r="N576" s="488">
        <f>_xll.qlCalendarAdvance(Calendar,M576,"3M","f",,Trigger)</f>
        <v>59880</v>
      </c>
      <c r="O576" s="490" t="str">
        <f>_xll.qlMakeDatedOIS(,M576,N576,OvernightIndex,0,,,,EvaluationDate)</f>
        <v>obj_007e8#0001</v>
      </c>
      <c r="P576" s="490" t="b">
        <f>_xll.qlInstrumentSetPricingEngine(O576,OisEngine)</f>
        <v>1</v>
      </c>
      <c r="Q576" s="489">
        <f>_xll.qlIndexFixing("euribor6m",_xll.qlInterestRateIndexFixingDate("Euribor6M",M576),TRUE,AllTriggers)</f>
        <v>2.0743204833971022E-2</v>
      </c>
      <c r="R576" s="489">
        <f>_xll.qlOvernightIndexedSwapFairRate(O576,AllTriggers)</f>
        <v>2.0981320133044441E-2</v>
      </c>
      <c r="S576" s="491">
        <f t="shared" si="12"/>
        <v>-2.3811529907341936E-4</v>
      </c>
    </row>
    <row r="577" spans="5:19" ht="11.25" customHeight="1" x14ac:dyDescent="0.2">
      <c r="E577" s="483"/>
      <c r="F577" s="483"/>
      <c r="G577" s="482"/>
      <c r="J577" s="482"/>
      <c r="K577" s="482"/>
      <c r="M577" s="497">
        <f>_xll.qlCalendarAdvance(Calendar,M576,"1M","f",,Trigger)</f>
        <v>59819</v>
      </c>
      <c r="N577" s="488">
        <f>_xll.qlCalendarAdvance(Calendar,M577,"3M","f",,Trigger)</f>
        <v>59911</v>
      </c>
      <c r="O577" s="490" t="str">
        <f>_xll.qlMakeDatedOIS(,M577,N577,OvernightIndex,0,,,,EvaluationDate)</f>
        <v>obj_007db#0001</v>
      </c>
      <c r="P577" s="490" t="b">
        <f>_xll.qlInstrumentSetPricingEngine(O577,OisEngine)</f>
        <v>1</v>
      </c>
      <c r="Q577" s="489">
        <f>_xll.qlIndexFixing("euribor6m",_xll.qlInterestRateIndexFixingDate("Euribor6M",M577),TRUE,AllTriggers)</f>
        <v>2.0746284955498007E-2</v>
      </c>
      <c r="R577" s="489">
        <f>_xll.qlOvernightIndexedSwapFairRate(O577,AllTriggers)</f>
        <v>2.0981930477664491E-2</v>
      </c>
      <c r="S577" s="491">
        <f t="shared" si="12"/>
        <v>-2.3564552216648327E-4</v>
      </c>
    </row>
    <row r="578" spans="5:19" ht="11.25" customHeight="1" x14ac:dyDescent="0.2">
      <c r="M578" s="497">
        <f>_xll.qlCalendarAdvance(Calendar,M577,"1M","f",,Trigger)</f>
        <v>59852</v>
      </c>
      <c r="N578" s="488">
        <f>_xll.qlCalendarAdvance(Calendar,M578,"3M","f",,Trigger)</f>
        <v>59944</v>
      </c>
      <c r="O578" s="490" t="str">
        <f>_xll.qlMakeDatedOIS(,M578,N578,OvernightIndex,0,,,,EvaluationDate)</f>
        <v>obj_007dd#0001</v>
      </c>
      <c r="P578" s="490" t="b">
        <f>_xll.qlInstrumentSetPricingEngine(O578,OisEngine)</f>
        <v>1</v>
      </c>
      <c r="Q578" s="489">
        <f>_xll.qlIndexFixing("euribor6m",_xll.qlInterestRateIndexFixingDate("Euribor6M",M578),TRUE,AllTriggers)</f>
        <v>2.0748665131729137E-2</v>
      </c>
      <c r="R578" s="489">
        <f>_xll.qlOvernightIndexedSwapFairRate(O578,AllTriggers)</f>
        <v>2.0981930477664498E-2</v>
      </c>
      <c r="S578" s="491">
        <f t="shared" si="12"/>
        <v>-2.3326534593536008E-4</v>
      </c>
    </row>
    <row r="579" spans="5:19" ht="11.25" customHeight="1" x14ac:dyDescent="0.2">
      <c r="M579" s="497">
        <f>_xll.qlCalendarAdvance(Calendar,M578,"1M","f",,Trigger)</f>
        <v>59882</v>
      </c>
      <c r="N579" s="488">
        <f>_xll.qlCalendarAdvance(Calendar,M579,"3M","f",,Trigger)</f>
        <v>59973</v>
      </c>
      <c r="O579" s="490" t="str">
        <f>_xll.qlMakeDatedOIS(,M579,N579,OvernightIndex,0,,,,EvaluationDate)</f>
        <v>obj_007df#0001</v>
      </c>
      <c r="P579" s="490" t="b">
        <f>_xll.qlInstrumentSetPricingEngine(O579,OisEngine)</f>
        <v>1</v>
      </c>
      <c r="Q579" s="489">
        <f>_xll.qlIndexFixing("euribor6m",_xll.qlInterestRateIndexFixingDate("Euribor6M",M579),TRUE,AllTriggers)</f>
        <v>2.0752381722793176E-2</v>
      </c>
      <c r="R579" s="489">
        <f>_xll.qlOvernightIndexedSwapFairRate(O579,AllTriggers)</f>
        <v>2.0981320133045312E-2</v>
      </c>
      <c r="S579" s="491">
        <f t="shared" ref="S579:S585" si="13">Q579-R579</f>
        <v>-2.2893841025213579E-4</v>
      </c>
    </row>
    <row r="580" spans="5:19" ht="11.25" customHeight="1" x14ac:dyDescent="0.2">
      <c r="M580" s="497">
        <f>_xll.qlCalendarAdvance(Calendar,M579,"1M","f",,Trigger)</f>
        <v>59915</v>
      </c>
      <c r="N580" s="488">
        <f>_xll.qlCalendarAdvance(Calendar,M580,"3M","f",,Trigger)</f>
        <v>60006</v>
      </c>
      <c r="O580" s="490" t="str">
        <f>_xll.qlMakeDatedOIS(,M580,N580,OvernightIndex,0,,,,EvaluationDate)</f>
        <v>obj_007e1#0001</v>
      </c>
      <c r="P580" s="490" t="b">
        <f>_xll.qlInstrumentSetPricingEngine(O580,OisEngine)</f>
        <v>1</v>
      </c>
      <c r="Q580" s="489">
        <f>_xll.qlIndexFixing("euribor6m",_xll.qlInterestRateIndexFixingDate("Euribor6M",M580),TRUE,AllTriggers)</f>
        <v>2.0755439385325456E-2</v>
      </c>
      <c r="R580" s="489">
        <f>_xll.qlOvernightIndexedSwapFairRate(O580,AllTriggers)</f>
        <v>2.0981320133044434E-2</v>
      </c>
      <c r="S580" s="491">
        <f t="shared" si="13"/>
        <v>-2.2588074771897823E-4</v>
      </c>
    </row>
    <row r="581" spans="5:19" ht="11.25" customHeight="1" thickBot="1" x14ac:dyDescent="0.25">
      <c r="M581" s="498">
        <f>_xll.qlCalendarAdvance(Calendar,M580,"1M","f",,Trigger)</f>
        <v>59946</v>
      </c>
      <c r="N581" s="493">
        <f>_xll.qlCalendarAdvance(Calendar,M581,"3M","f",,Trigger)</f>
        <v>60036</v>
      </c>
      <c r="O581" s="490" t="str">
        <f>_xll.qlMakeDatedOIS(,M581,N581,OvernightIndex,0,,,,EvaluationDate)</f>
        <v>obj_007e3#0001</v>
      </c>
      <c r="P581" s="490" t="b">
        <f>_xll.qlInstrumentSetPricingEngine(O581,OisEngine)</f>
        <v>1</v>
      </c>
      <c r="Q581" s="489">
        <f>_xll.qlIndexFixing("euribor6m",_xll.qlInterestRateIndexFixingDate("Euribor6M",M581),TRUE,AllTriggers)</f>
        <v>2.0759255098778791E-2</v>
      </c>
      <c r="R581" s="494">
        <f>_xll.qlOvernightIndexedSwapFairRate(O581,AllTriggers)</f>
        <v>2.0980709812088882E-2</v>
      </c>
      <c r="S581" s="496">
        <f t="shared" si="13"/>
        <v>-2.2145471331009095E-4</v>
      </c>
    </row>
    <row r="582" spans="5:19" ht="11.25" customHeight="1" x14ac:dyDescent="0.2">
      <c r="M582">
        <f>_xll.qlCalendarAdvance(Calendar,M581,"1M","f",,Trigger)</f>
        <v>59975</v>
      </c>
      <c r="N582">
        <f>_xll.qlCalendarAdvance(Calendar,M582,"3M","f",,Trigger)</f>
        <v>60069</v>
      </c>
      <c r="O582" s="490" t="str">
        <f>_xll.qlMakeDatedOIS(,M582,N582,OvernightIndex,0,,,,EvaluationDate)</f>
        <v>obj_007e4#0001</v>
      </c>
      <c r="P582" s="490" t="b">
        <f>_xll.qlInstrumentSetPricingEngine(O582,OisEngine)</f>
        <v>1</v>
      </c>
      <c r="Q582" s="489">
        <f>_xll.qlIndexFixing("euribor6m",_xll.qlInterestRateIndexFixingDate("Euribor6M",M582),TRUE,AllTriggers)</f>
        <v>2.0765125073043907E-2</v>
      </c>
      <c r="R582">
        <f>_xll.qlOvernightIndexedSwapFairRate(O582,AllTriggers)</f>
        <v>2.0983151237891757E-2</v>
      </c>
      <c r="S582">
        <f t="shared" si="13"/>
        <v>-2.1802616484785028E-4</v>
      </c>
    </row>
    <row r="583" spans="5:19" ht="11.25" customHeight="1" x14ac:dyDescent="0.2">
      <c r="M583">
        <f>_xll.qlCalendarAdvance(Calendar,M582,"1M","f",,Trigger)</f>
        <v>60006</v>
      </c>
      <c r="N583">
        <f>_xll.qlCalendarAdvance(Calendar,M583,"3M","f",,Trigger)</f>
        <v>60097</v>
      </c>
      <c r="O583" s="490" t="str">
        <f>_xll.qlMakeDatedOIS(,M583,N583,OvernightIndex,0,,,,EvaluationDate)</f>
        <v>obj_007e5#0001</v>
      </c>
      <c r="P583" s="490" t="b">
        <f>_xll.qlInstrumentSetPricingEngine(O583,OisEngine)</f>
        <v>1</v>
      </c>
      <c r="Q583" s="489">
        <f>_xll.qlIndexFixing("euribor6m",_xll.qlInterestRateIndexFixingDate("Euribor6M",M583),TRUE,AllTriggers)</f>
        <v>2.0768206718077636E-2</v>
      </c>
      <c r="R583">
        <f>_xll.qlOvernightIndexedSwapFairRate(O583,AllTriggers)</f>
        <v>2.098132013304619E-2</v>
      </c>
      <c r="S583">
        <f t="shared" si="13"/>
        <v>-2.1311341496855346E-4</v>
      </c>
    </row>
    <row r="584" spans="5:19" ht="11.25" customHeight="1" x14ac:dyDescent="0.2">
      <c r="M584">
        <f>_xll.qlCalendarAdvance(Calendar,M583,"1M","f",,Trigger)</f>
        <v>60036</v>
      </c>
      <c r="N584">
        <f>_xll.qlCalendarAdvance(Calendar,M584,"3M","f",,Trigger)</f>
        <v>60128</v>
      </c>
      <c r="O584" s="490" t="str">
        <f>_xll.qlMakeDatedOIS(,M584,N584,OvernightIndex,0,,,,EvaluationDate)</f>
        <v>obj_007e6#0001</v>
      </c>
      <c r="P584" s="490" t="b">
        <f>_xll.qlInstrumentSetPricingEngine(O584,OisEngine)</f>
        <v>1</v>
      </c>
      <c r="Q584" s="489">
        <f>_xll.qlIndexFixing("euribor6m",_xll.qlInterestRateIndexFixingDate("Euribor6M",M584),TRUE,AllTriggers)</f>
        <v>2.0773404577034648E-2</v>
      </c>
      <c r="R584">
        <f>_xll.qlOvernightIndexedSwapFairRate(O584,AllTriggers)</f>
        <v>2.0981930477664501E-2</v>
      </c>
      <c r="S584">
        <f t="shared" si="13"/>
        <v>-2.0852590062985302E-4</v>
      </c>
    </row>
    <row r="585" spans="5:19" ht="11.25" customHeight="1" x14ac:dyDescent="0.2">
      <c r="M585">
        <f>_xll.qlCalendarAdvance(Calendar,M584,"1M","f",,Trigger)</f>
        <v>60069</v>
      </c>
      <c r="N585">
        <f>_xll.qlCalendarAdvance(Calendar,M585,"3M","f",,Trigger)</f>
        <v>60161</v>
      </c>
      <c r="O585" s="490" t="str">
        <f>_xll.qlMakeDatedOIS(,M585,N585,OvernightIndex,0,,,,EvaluationDate)</f>
        <v>obj_007e7#0001</v>
      </c>
      <c r="P585" s="490" t="b">
        <f>_xll.qlInstrumentSetPricingEngine(O585,OisEngine)</f>
        <v>1</v>
      </c>
      <c r="Q585" s="489">
        <f>_xll.qlIndexFixing("euribor6m",_xll.qlInterestRateIndexFixingDate("Euribor6M",M585),TRUE,AllTriggers)</f>
        <v>2.0777904148416158E-2</v>
      </c>
      <c r="R585">
        <f>_xll.qlOvernightIndexedSwapFairRate(O585,AllTriggers)</f>
        <v>2.0964627996347227E-2</v>
      </c>
      <c r="S585">
        <f t="shared" si="13"/>
        <v>-1.8672384793106886E-4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>
      <selection activeCell="B1" sqref="B1"/>
    </sheetView>
  </sheetViews>
  <sheetFormatPr defaultColWidth="9.5" defaultRowHeight="11.25" outlineLevelCol="1" x14ac:dyDescent="0.2"/>
  <cols>
    <col min="1" max="1" width="2.33203125" style="381" bestFit="1" customWidth="1"/>
    <col min="2" max="2" width="2.1640625" style="381" bestFit="1" customWidth="1"/>
    <col min="3" max="3" width="2.5" style="381" bestFit="1" customWidth="1"/>
    <col min="4" max="4" width="31.1640625" style="381" bestFit="1" customWidth="1"/>
    <col min="5" max="5" width="22.83203125" style="381" bestFit="1" customWidth="1"/>
    <col min="6" max="6" width="20.33203125" style="381" bestFit="1" customWidth="1"/>
    <col min="7" max="7" width="19" style="381" hidden="1" customWidth="1" outlineLevel="1"/>
    <col min="8" max="8" width="11.6640625" style="381" hidden="1" customWidth="1" outlineLevel="1"/>
    <col min="9" max="9" width="10.6640625" style="381" bestFit="1" customWidth="1" collapsed="1"/>
    <col min="10" max="10" width="10.6640625" style="381" bestFit="1" customWidth="1"/>
    <col min="11" max="11" width="9.5" style="381" bestFit="1" customWidth="1"/>
    <col min="12" max="12" width="10.6640625" style="381" bestFit="1" customWidth="1"/>
    <col min="13" max="13" width="11.6640625" style="381" bestFit="1" customWidth="1"/>
    <col min="14" max="14" width="10.1640625" style="381" customWidth="1"/>
    <col min="15" max="15" width="12.83203125" style="381" bestFit="1" customWidth="1"/>
    <col min="16" max="16" width="12.83203125" style="381" hidden="1" customWidth="1" outlineLevel="1"/>
    <col min="17" max="17" width="7" style="381" customWidth="1" collapsed="1"/>
    <col min="18" max="18" width="13.1640625" style="381" customWidth="1"/>
    <col min="19" max="19" width="6.6640625" style="381" customWidth="1"/>
    <col min="20" max="21" width="7" style="381" customWidth="1"/>
    <col min="22" max="22" width="3.6640625" style="381" customWidth="1"/>
    <col min="23" max="23" width="10.6640625" style="381" bestFit="1" customWidth="1"/>
    <col min="24" max="24" width="3.1640625" style="381" customWidth="1"/>
    <col min="25" max="25" width="9.5" style="381" bestFit="1" customWidth="1"/>
    <col min="26" max="26" width="12.5" style="381" bestFit="1" customWidth="1"/>
    <col min="27" max="28" width="9.5" style="381" bestFit="1" customWidth="1"/>
    <col min="29" max="29" width="8.33203125" style="381" bestFit="1" customWidth="1"/>
    <col min="30" max="31" width="9.5" style="381"/>
    <col min="32" max="32" width="20.33203125" style="381" bestFit="1" customWidth="1"/>
    <col min="33" max="33" width="12.33203125" style="381" bestFit="1" customWidth="1"/>
    <col min="34" max="35" width="9.5" style="381" bestFit="1" customWidth="1"/>
    <col min="36" max="36" width="12.1640625" style="381" customWidth="1"/>
    <col min="37" max="16384" width="9.5" style="381"/>
  </cols>
  <sheetData>
    <row r="1" spans="1:36" ht="12" thickBot="1" x14ac:dyDescent="0.25"/>
    <row r="2" spans="1:36" ht="19.5" customHeight="1" x14ac:dyDescent="0.2">
      <c r="D2" s="442" t="s">
        <v>147</v>
      </c>
      <c r="E2" s="443" t="s">
        <v>126</v>
      </c>
      <c r="F2" s="443" t="s">
        <v>127</v>
      </c>
      <c r="G2" s="442" t="s">
        <v>189</v>
      </c>
      <c r="H2" s="443"/>
      <c r="I2" s="443" t="s">
        <v>105</v>
      </c>
      <c r="J2" s="443" t="s">
        <v>44</v>
      </c>
      <c r="K2" s="457"/>
      <c r="L2" s="457"/>
      <c r="M2" s="444"/>
      <c r="N2" s="443" t="s">
        <v>185</v>
      </c>
      <c r="P2" s="443" t="s">
        <v>191</v>
      </c>
      <c r="W2" s="513" t="s">
        <v>162</v>
      </c>
      <c r="AA2" s="534" t="s">
        <v>161</v>
      </c>
      <c r="AB2" s="534"/>
      <c r="AC2" s="534"/>
      <c r="AF2" s="442" t="s">
        <v>126</v>
      </c>
      <c r="AG2" s="442"/>
      <c r="AH2" s="443" t="s">
        <v>57</v>
      </c>
      <c r="AI2" s="443" t="s">
        <v>142</v>
      </c>
      <c r="AJ2" s="444" t="s">
        <v>143</v>
      </c>
    </row>
    <row r="3" spans="1:36" x14ac:dyDescent="0.2">
      <c r="D3" s="432" t="str">
        <f>$E$9&amp;"LastFixing"&amp;QuoteSuffix</f>
        <v>Euribor6MLastFixing_Quote</v>
      </c>
      <c r="E3" s="433">
        <f>_xll.qlCalendarAdvance(Calendar,_xll.qlLastFixingQuoteReferenceDate($D$3),_xll.qlInterestRateIndexFixingDays($E$9)&amp;"D","f",,LastFixingsTrigger)</f>
        <v>41891</v>
      </c>
      <c r="F3" s="433">
        <f>_xll.qlInterestRateIndexMaturity($E$9,E3)</f>
        <v>42072</v>
      </c>
      <c r="G3" s="432" t="str">
        <f>_xll.qlMakeDatedOIS(,E3,F3,OvernightIndex,0,,,,EvaluationDate)</f>
        <v>obj_00338#0003</v>
      </c>
      <c r="H3" s="433" t="b">
        <f>_xll.qlInstrumentSetPricingEngine(G3,OisEngine)</f>
        <v>1</v>
      </c>
      <c r="I3" s="434">
        <f>_xll.qlQuoteValue($D3,AllTriggers)</f>
        <v>2.0300000000000001E-3</v>
      </c>
      <c r="J3" s="435">
        <f>_xll.qlOvernightIndexedSwapFairRate(G3,_xll.ohTrigger(H3,InterestRatesTrigger))</f>
        <v>-7.0376955717066543E-4</v>
      </c>
      <c r="K3" s="458">
        <f>I3*_xll.qlDayCounterYearFraction(DayCounter3M,E3,F3,,,Trigger)</f>
        <v>1.0206388888888889E-3</v>
      </c>
      <c r="L3" s="458">
        <f>J3*_xll.qlDayCounterYearFraction(DayCounterOIS,E3,F3,,,Trigger)</f>
        <v>-3.538396940219179E-4</v>
      </c>
      <c r="M3" s="469">
        <f>K3-L3</f>
        <v>1.3744785829108068E-3</v>
      </c>
      <c r="N3" s="469">
        <f>M3</f>
        <v>1.3744785829108068E-3</v>
      </c>
      <c r="P3" s="469" t="b">
        <f>IF(E14="FRA",FALSE,IF(E14="FIX+FRA",TRUE,FALSE))</f>
        <v>0</v>
      </c>
      <c r="R3" s="533" t="s">
        <v>155</v>
      </c>
      <c r="S3" s="449">
        <f t="array" ref="S3:S5">_xll.ohFilter(N10:N14,P10:P14)</f>
        <v>4.0647690632200313E-2</v>
      </c>
      <c r="T3" s="450">
        <f t="array" ref="T3:T5">_xll.ohFilter(M10:M14,P10:P14)</f>
        <v>0.12295364984049541</v>
      </c>
      <c r="U3" s="451">
        <f t="array" ref="U3:U5">_xll.ohFilter(L10:L14,P10:P14)</f>
        <v>0.49589041095890413</v>
      </c>
      <c r="V3" s="445"/>
      <c r="W3" s="453">
        <f t="array" ref="W3:W5">MMULT(AA3:AC5,Y3:Y5)</f>
        <v>9.8592584856513343E-4</v>
      </c>
      <c r="X3" s="454"/>
      <c r="Y3" s="434">
        <f t="array" ref="Y3:Y5">_xll.ohFilter(N3:N7,P3:P7)</f>
        <v>1.3103448684995669E-3</v>
      </c>
      <c r="AA3" s="449">
        <f t="array" ref="AA3:AC5">MINVERSE(S3:U5)</f>
        <v>145.57472184842578</v>
      </c>
      <c r="AB3" s="450">
        <v>-287.2146430797149</v>
      </c>
      <c r="AC3" s="451">
        <v>142.43978234034634</v>
      </c>
      <c r="AF3" s="462">
        <f>SettlementDate</f>
        <v>41892</v>
      </c>
      <c r="AG3" s="476">
        <f>_xll.qlDayCounterYearFraction(DayCounterON,SettlementDate,AF3,,,Trigger)</f>
        <v>0</v>
      </c>
      <c r="AH3" s="463">
        <f t="shared" ref="AH3:AH34" si="0">$W$13</f>
        <v>2.6424081602339335E-3</v>
      </c>
      <c r="AI3" s="463">
        <f t="shared" ref="AI3:AI34" si="1">$W$10+$W$9*AG3</f>
        <v>2.7837350835947117E-3</v>
      </c>
      <c r="AJ3" s="464">
        <f t="shared" ref="AJ3:AJ34" si="2">($W$5+$W$4*AG3+$W$3*AG3^2)</f>
        <v>2.8452341731342902E-3</v>
      </c>
    </row>
    <row r="4" spans="1:36" x14ac:dyDescent="0.2">
      <c r="D4" s="509" t="s">
        <v>188</v>
      </c>
      <c r="E4" s="433">
        <f>SettlementDate</f>
        <v>41892</v>
      </c>
      <c r="F4" s="433">
        <f>_xll.qlInterestRateIndexMaturity($E$9,E4)</f>
        <v>42073</v>
      </c>
      <c r="G4" s="432" t="str">
        <f>_xll.qlMakeDatedOIS(,E4,F4,OvernightIndex,0,,,,EvaluationDate)</f>
        <v>obj_0039b#0001</v>
      </c>
      <c r="H4" s="433" t="b">
        <f>_xll.qlInstrumentSetPricingEngine(G4,OisEngine)</f>
        <v>1</v>
      </c>
      <c r="I4" s="434"/>
      <c r="J4" s="435"/>
      <c r="K4" s="458"/>
      <c r="L4" s="458"/>
      <c r="M4" s="469"/>
      <c r="N4" s="511">
        <f>_xll.qlInterpolationInterpolate($H$13,E4,TRUE,Trigger)</f>
        <v>1.3103448684995669E-3</v>
      </c>
      <c r="P4" s="469" t="b">
        <f>IF(E14="FRA",FALSE,IF(E14="FIX+FRA",FALSE,TRUE))</f>
        <v>1</v>
      </c>
      <c r="R4" s="533"/>
      <c r="S4" s="449">
        <v>6.512913660157095E-2</v>
      </c>
      <c r="T4" s="450">
        <v>0.16529930568586973</v>
      </c>
      <c r="U4" s="451">
        <v>0.49863013698630132</v>
      </c>
      <c r="V4" s="446" t="str">
        <f>SynthDepo!AA10</f>
        <v>x</v>
      </c>
      <c r="W4" s="453">
        <v>-1.143968348654531E-3</v>
      </c>
      <c r="X4" s="446" t="str">
        <f>SynthDepo!AC10</f>
        <v>=</v>
      </c>
      <c r="Y4" s="434">
        <v>1.2938348310190702E-3</v>
      </c>
      <c r="AA4" s="449">
        <v>-108.88191524553494</v>
      </c>
      <c r="AB4" s="450">
        <v>191.20773476704576</v>
      </c>
      <c r="AC4" s="451">
        <v>-82.924071803079656</v>
      </c>
      <c r="AF4" s="465">
        <f>_xll.qlCalendarAdvance(Calendar,AF3,"1d","mf",,Trigger)</f>
        <v>41893</v>
      </c>
      <c r="AG4" s="476">
        <f>_xll.qlDayCounterYearFraction(DayCounterON,SettlementDate,AF4,,,Trigger)</f>
        <v>2.7397260273972603E-3</v>
      </c>
      <c r="AH4" s="466">
        <f t="shared" si="0"/>
        <v>2.6424081602339335E-3</v>
      </c>
      <c r="AI4" s="466">
        <f t="shared" si="1"/>
        <v>2.7821734601321617E-3</v>
      </c>
      <c r="AJ4" s="436">
        <f t="shared" si="2"/>
        <v>2.8421074137316982E-3</v>
      </c>
    </row>
    <row r="5" spans="1:36" x14ac:dyDescent="0.2">
      <c r="A5" s="448">
        <v>1</v>
      </c>
      <c r="B5" s="448" t="s">
        <v>55</v>
      </c>
      <c r="C5" s="508">
        <f>A5+6</f>
        <v>7</v>
      </c>
      <c r="D5" s="432" t="str">
        <f>Currency&amp;A5&amp;B5&amp;C5&amp;"F"&amp;QuoteSuffix</f>
        <v>EUR1x7F_Quote</v>
      </c>
      <c r="E5" s="433">
        <f>_xll.qlCalendarAdvance(Calendar,SettlementDate,A5&amp;"M","mf")</f>
        <v>41922</v>
      </c>
      <c r="F5" s="433">
        <f>_xll.qlInterestRateIndexMaturity($E$9,E5)</f>
        <v>42104</v>
      </c>
      <c r="G5" s="432" t="str">
        <f>_xll.qlMakeDatedOIS(,E5,F5,OvernightIndex,0,,,,EvaluationDate)</f>
        <v>obj_00398#0001</v>
      </c>
      <c r="H5" s="433" t="b">
        <f>_xll.qlInstrumentSetPricingEngine(G5,OisEngine)</f>
        <v>1</v>
      </c>
      <c r="I5" s="434">
        <f>_xll.qlQuoteValue($D5,AllTriggers)</f>
        <v>1.82E-3</v>
      </c>
      <c r="J5" s="435">
        <f>_xll.qlOvernightIndexedSwapFairRate(G5,_xll.ohTrigger(H5,InterestRatesTrigger))</f>
        <v>-7.392337316860729E-4</v>
      </c>
      <c r="K5" s="458">
        <f>I5*_xll.qlDayCounterYearFraction(DayCounter3M,E5,F5,,,Trigger)</f>
        <v>9.2011111111111113E-4</v>
      </c>
      <c r="L5" s="458">
        <f>J5*_xll.qlDayCounterYearFraction(DayCounterOIS,E5,F5,,,Trigger)</f>
        <v>-3.7372371990795905E-4</v>
      </c>
      <c r="M5" s="469">
        <f>K5-L5</f>
        <v>1.2938348310190702E-3</v>
      </c>
      <c r="N5" s="469">
        <f>M5</f>
        <v>1.2938348310190702E-3</v>
      </c>
      <c r="P5" s="469" t="b">
        <v>1</v>
      </c>
      <c r="R5" s="533"/>
      <c r="S5" s="449">
        <v>9.6804173939270877E-2</v>
      </c>
      <c r="T5" s="450">
        <v>0.20764871458059675</v>
      </c>
      <c r="U5" s="451">
        <v>0.49863013698630143</v>
      </c>
      <c r="V5" s="448"/>
      <c r="W5" s="453">
        <v>2.8452341731342902E-3</v>
      </c>
      <c r="X5" s="446"/>
      <c r="Y5" s="434">
        <v>1.2766176857247787E-3</v>
      </c>
      <c r="AA5" s="449">
        <v>17.080694516999895</v>
      </c>
      <c r="AB5" s="450">
        <v>-23.866315316551638</v>
      </c>
      <c r="AC5" s="451">
        <v>8.8849652749198693</v>
      </c>
      <c r="AF5" s="465">
        <f>_xll.qlCalendarAdvance(Calendar,AF4,"1d","mf",,Trigger)</f>
        <v>41894</v>
      </c>
      <c r="AG5" s="476">
        <f>_xll.qlDayCounterYearFraction(DayCounterON,SettlementDate,AF5,,,Trigger)</f>
        <v>5.4794520547945206E-3</v>
      </c>
      <c r="AH5" s="466">
        <f t="shared" si="0"/>
        <v>2.6424081602339335E-3</v>
      </c>
      <c r="AI5" s="466">
        <f t="shared" si="1"/>
        <v>2.7806118366696117E-3</v>
      </c>
      <c r="AJ5" s="436">
        <f t="shared" si="2"/>
        <v>2.8389954552425767E-3</v>
      </c>
    </row>
    <row r="6" spans="1:36" x14ac:dyDescent="0.2">
      <c r="A6" s="448">
        <v>2</v>
      </c>
      <c r="B6" s="448" t="s">
        <v>55</v>
      </c>
      <c r="C6" s="508">
        <f t="shared" ref="C6:C7" si="3">A6+6</f>
        <v>8</v>
      </c>
      <c r="D6" s="432" t="str">
        <f>Currency&amp;A6&amp;B6&amp;C6&amp;"F"&amp;QuoteSuffix</f>
        <v>EUR2x8F_Quote</v>
      </c>
      <c r="E6" s="433">
        <f>_xll.qlCalendarAdvance(Calendar,SettlementDate,A6&amp;"M","mf")</f>
        <v>41953</v>
      </c>
      <c r="F6" s="433">
        <f>_xll.qlInterestRateIndexMaturity($E$9,E6)</f>
        <v>42135</v>
      </c>
      <c r="G6" s="432" t="str">
        <f>_xll.qlMakeDatedOIS(,E6,F6,OvernightIndex,0,,,,EvaluationDate)</f>
        <v>obj_00397#0001</v>
      </c>
      <c r="H6" s="433" t="b">
        <f>_xll.qlInstrumentSetPricingEngine(G6,OisEngine)</f>
        <v>1</v>
      </c>
      <c r="I6" s="434">
        <f>_xll.qlQuoteValue($D6,AllTriggers)</f>
        <v>1.7699999999999999E-3</v>
      </c>
      <c r="J6" s="435">
        <f>_xll.qlOvernightIndexedSwapFairRate(G6,_xll.ohTrigger(H6,InterestRatesTrigger))</f>
        <v>-7.5517783989516698E-4</v>
      </c>
      <c r="K6" s="458">
        <f>I6*_xll.qlDayCounterYearFraction(DayCounter3M,E6,F6,,,Trigger)</f>
        <v>8.948333333333332E-4</v>
      </c>
      <c r="L6" s="458">
        <f>J6*_xll.qlDayCounterYearFraction(DayCounterOIS,E6,F6,,,Trigger)</f>
        <v>-3.8178435239144553E-4</v>
      </c>
      <c r="M6" s="469">
        <f>K6-L6</f>
        <v>1.2766176857247787E-3</v>
      </c>
      <c r="N6" s="469">
        <f>M6</f>
        <v>1.2766176857247787E-3</v>
      </c>
      <c r="P6" s="469" t="b">
        <v>1</v>
      </c>
      <c r="W6" s="455"/>
      <c r="X6" s="514"/>
      <c r="Y6" s="456"/>
      <c r="AF6" s="465">
        <f>_xll.qlCalendarAdvance(Calendar,AF5,"1d","mf",,Trigger)</f>
        <v>41897</v>
      </c>
      <c r="AG6" s="476">
        <f>_xll.qlDayCounterYearFraction(DayCounterON,SettlementDate,AF6,,,Trigger)</f>
        <v>1.3698630136986301E-2</v>
      </c>
      <c r="AH6" s="466">
        <f t="shared" si="0"/>
        <v>2.6424081602339335E-3</v>
      </c>
      <c r="AI6" s="466">
        <f t="shared" si="1"/>
        <v>2.7759269662819617E-3</v>
      </c>
      <c r="AJ6" s="436">
        <f t="shared" si="2"/>
        <v>2.8297483852560363E-3</v>
      </c>
    </row>
    <row r="7" spans="1:36" ht="12" thickBot="1" x14ac:dyDescent="0.25">
      <c r="A7" s="448">
        <v>3</v>
      </c>
      <c r="B7" s="448" t="s">
        <v>55</v>
      </c>
      <c r="C7" s="508">
        <f t="shared" si="3"/>
        <v>9</v>
      </c>
      <c r="D7" s="437" t="str">
        <f>Currency&amp;A7&amp;B7&amp;C7&amp;"F"&amp;QuoteSuffix</f>
        <v>EUR3x9F_Quote</v>
      </c>
      <c r="E7" s="438">
        <f>_xll.qlCalendarAdvance(Calendar,SettlementDate,A7&amp;"M","mf")</f>
        <v>41983</v>
      </c>
      <c r="F7" s="438">
        <f>_xll.qlInterestRateIndexMaturity($E$9,E7)</f>
        <v>42165</v>
      </c>
      <c r="G7" s="437" t="str">
        <f>_xll.qlMakeDatedOIS(,E7,F7,OvernightIndex,0,,,,EvaluationDate)</f>
        <v>obj_00396#0001</v>
      </c>
      <c r="H7" s="438" t="b">
        <f>_xll.qlInstrumentSetPricingEngine(G7,OisEngine)</f>
        <v>1</v>
      </c>
      <c r="I7" s="439">
        <f>_xll.qlQuoteValue($D7,AllTriggers)</f>
        <v>1.7299999999999998E-3</v>
      </c>
      <c r="J7" s="440">
        <f>_xll.qlOvernightIndexedSwapFairRate(G7,_xll.ohTrigger(H7,InterestRatesTrigger))</f>
        <v>-7.4361447145657091E-4</v>
      </c>
      <c r="K7" s="459">
        <f>I7*_xll.qlDayCounterYearFraction(DayCounter3M,E7,F7,,,Trigger)</f>
        <v>8.7461111111111095E-4</v>
      </c>
      <c r="L7" s="459">
        <f>J7*_xll.qlDayCounterYearFraction(DayCounterOIS,E7,F7,,,Trigger)</f>
        <v>-3.7593842723637749E-4</v>
      </c>
      <c r="M7" s="470">
        <f>K7-L7</f>
        <v>1.2505495383474884E-3</v>
      </c>
      <c r="N7" s="470">
        <f>M7</f>
        <v>1.2505495383474884E-3</v>
      </c>
      <c r="P7" s="470" t="b">
        <f>IF(E14="FRA",TRUE,FALSE)</f>
        <v>0</v>
      </c>
      <c r="W7" s="455"/>
      <c r="X7" s="514"/>
      <c r="Y7" s="456"/>
      <c r="AF7" s="465">
        <f>_xll.qlCalendarAdvance(Calendar,AF6,"1d","mf",,Trigger)</f>
        <v>41898</v>
      </c>
      <c r="AG7" s="476">
        <f>_xll.qlDayCounterYearFraction(DayCounterON,SettlementDate,AF7,,,Trigger)</f>
        <v>1.643835616438356E-2</v>
      </c>
      <c r="AH7" s="466">
        <f t="shared" si="0"/>
        <v>2.6424081602339335E-3</v>
      </c>
      <c r="AI7" s="466">
        <f t="shared" si="1"/>
        <v>2.7743653428194117E-3</v>
      </c>
      <c r="AJ7" s="436">
        <f t="shared" si="2"/>
        <v>2.8266956304207973E-3</v>
      </c>
    </row>
    <row r="8" spans="1:36" ht="18.75" customHeight="1" thickBot="1" x14ac:dyDescent="0.25">
      <c r="W8" s="515" t="s">
        <v>163</v>
      </c>
      <c r="X8" s="514"/>
      <c r="Y8" s="456"/>
      <c r="AF8" s="465">
        <f>_xll.qlCalendarAdvance(Calendar,AF7,"1d","mf",,Trigger)</f>
        <v>41899</v>
      </c>
      <c r="AG8" s="476">
        <f>_xll.qlDayCounterYearFraction(DayCounterON,SettlementDate,AF8,,,Trigger)</f>
        <v>1.9178082191780823E-2</v>
      </c>
      <c r="AH8" s="466">
        <f t="shared" si="0"/>
        <v>2.6424081602339335E-3</v>
      </c>
      <c r="AI8" s="466">
        <f t="shared" si="1"/>
        <v>2.7728037193568617E-3</v>
      </c>
      <c r="AJ8" s="436">
        <f t="shared" si="2"/>
        <v>2.8236576764990294E-3</v>
      </c>
    </row>
    <row r="9" spans="1:36" x14ac:dyDescent="0.2">
      <c r="D9" s="442" t="s">
        <v>186</v>
      </c>
      <c r="E9" s="506" t="s">
        <v>187</v>
      </c>
      <c r="J9" s="442"/>
      <c r="K9" s="443"/>
      <c r="L9" s="443" t="s">
        <v>164</v>
      </c>
      <c r="M9" s="457" t="s">
        <v>165</v>
      </c>
      <c r="N9" s="444" t="s">
        <v>166</v>
      </c>
      <c r="P9" s="444" t="s">
        <v>191</v>
      </c>
      <c r="R9" s="534" t="s">
        <v>156</v>
      </c>
      <c r="S9" s="516"/>
      <c r="T9" s="449">
        <f t="array" ref="T9:T10">_xll.ohFilter(M10:M14,P10:P14)</f>
        <v>0.12295364984049541</v>
      </c>
      <c r="U9" s="451">
        <f t="array" ref="U9:U10">_xll.ohFilter(L10:L14,P10:P14)</f>
        <v>0.49589041095890413</v>
      </c>
      <c r="V9" s="535" t="s">
        <v>55</v>
      </c>
      <c r="W9" s="453">
        <f t="array" ref="W9:W10">MMULT(AA9:AB10,Y9:Y10)</f>
        <v>-5.6999256383075819E-4</v>
      </c>
      <c r="X9" s="535" t="s">
        <v>56</v>
      </c>
      <c r="Y9" s="434">
        <f t="array" ref="Y9:Y10">_xll.ohFilter(N3:N7,P3:P7)</f>
        <v>1.3103448684995669E-3</v>
      </c>
      <c r="AA9" s="449">
        <f t="array" ref="AA9:AB10">MINVERSE(T9:U10)</f>
        <v>-24.132777828095289</v>
      </c>
      <c r="AB9" s="451">
        <v>24.000180147721142</v>
      </c>
      <c r="AF9" s="465">
        <f>_xll.qlCalendarAdvance(Calendar,AF8,"1d","mf",,Trigger)</f>
        <v>41900</v>
      </c>
      <c r="AG9" s="476">
        <f>_xll.qlDayCounterYearFraction(DayCounterON,SettlementDate,AF9,,,Trigger)</f>
        <v>2.1917808219178082E-2</v>
      </c>
      <c r="AH9" s="466">
        <f t="shared" si="0"/>
        <v>2.6424081602339335E-3</v>
      </c>
      <c r="AI9" s="466">
        <f t="shared" si="1"/>
        <v>2.7712420958943117E-3</v>
      </c>
      <c r="AJ9" s="436">
        <f t="shared" si="2"/>
        <v>2.8206345234907315E-3</v>
      </c>
    </row>
    <row r="10" spans="1:36" ht="11.25" customHeight="1" x14ac:dyDescent="0.2">
      <c r="D10" s="460" t="s">
        <v>184</v>
      </c>
      <c r="E10" s="507" t="s">
        <v>17</v>
      </c>
      <c r="J10" s="517">
        <f>_xll.qlDayCounterYearFraction(DayCounterON,SettlementDate,E3,,,Trigger)</f>
        <v>-2.7397260273972603E-3</v>
      </c>
      <c r="K10" s="518">
        <f>_xll.qlDayCounterYearFraction(DayCounterON,SettlementDate,F3,,,Trigger)</f>
        <v>0.49315068493150682</v>
      </c>
      <c r="L10" s="518">
        <f>K10-J10</f>
        <v>0.49589041095890407</v>
      </c>
      <c r="M10" s="518">
        <f>(K10^2-J10^2)/2</f>
        <v>0.12159504597485456</v>
      </c>
      <c r="N10" s="519">
        <f>(K10^3-J10^3)/3</f>
        <v>3.9977694205308938E-2</v>
      </c>
      <c r="P10" s="519" t="b">
        <f>P3</f>
        <v>0</v>
      </c>
      <c r="R10" s="534"/>
      <c r="S10" s="516"/>
      <c r="T10" s="449">
        <v>0.16529930568586973</v>
      </c>
      <c r="U10" s="451">
        <v>0.49863013698630132</v>
      </c>
      <c r="V10" s="535"/>
      <c r="W10" s="453">
        <v>2.7837350835947117E-3</v>
      </c>
      <c r="X10" s="535"/>
      <c r="Y10" s="434">
        <v>1.2938348310190702E-3</v>
      </c>
      <c r="AA10" s="449">
        <v>8.0001811430124103</v>
      </c>
      <c r="AB10" s="451">
        <v>-5.9507295982705841</v>
      </c>
      <c r="AF10" s="465">
        <f>_xll.qlCalendarAdvance(Calendar,AF9,"1d","mf",,Trigger)</f>
        <v>41901</v>
      </c>
      <c r="AG10" s="476">
        <f>_xll.qlDayCounterYearFraction(DayCounterON,SettlementDate,AF10,,,Trigger)</f>
        <v>2.4657534246575342E-2</v>
      </c>
      <c r="AH10" s="466">
        <f t="shared" si="0"/>
        <v>2.6424081602339335E-3</v>
      </c>
      <c r="AI10" s="466">
        <f t="shared" si="1"/>
        <v>2.7696804724317617E-3</v>
      </c>
      <c r="AJ10" s="436">
        <f t="shared" si="2"/>
        <v>2.817626171395905E-3</v>
      </c>
    </row>
    <row r="11" spans="1:36" ht="11.25" customHeight="1" x14ac:dyDescent="0.2">
      <c r="D11" s="460" t="s">
        <v>158</v>
      </c>
      <c r="E11" s="507" t="s">
        <v>17</v>
      </c>
      <c r="J11" s="517">
        <f>_xll.qlDayCounterYearFraction(DayCounterON,SettlementDate,E4,,,Trigger)</f>
        <v>0</v>
      </c>
      <c r="K11" s="518">
        <f>_xll.qlDayCounterYearFraction(DayCounterON,SettlementDate,F4,,,Trigger)</f>
        <v>0.49589041095890413</v>
      </c>
      <c r="L11" s="518">
        <f>K11-J11</f>
        <v>0.49589041095890413</v>
      </c>
      <c r="M11" s="518">
        <f>(K11^2-J11^2)/2</f>
        <v>0.12295364984049541</v>
      </c>
      <c r="N11" s="519">
        <f>(K11^3-J11^3)/3</f>
        <v>4.0647690632200313E-2</v>
      </c>
      <c r="P11" s="519" t="b">
        <f>P4</f>
        <v>1</v>
      </c>
      <c r="W11" s="455"/>
      <c r="X11" s="514"/>
      <c r="Y11" s="456"/>
      <c r="AF11" s="465">
        <f>_xll.qlCalendarAdvance(Calendar,AF10,"1d","mf",,Trigger)</f>
        <v>41904</v>
      </c>
      <c r="AG11" s="476">
        <f>_xll.qlDayCounterYearFraction(DayCounterON,SettlementDate,AF11,,,Trigger)</f>
        <v>3.287671232876712E-2</v>
      </c>
      <c r="AH11" s="466">
        <f t="shared" si="0"/>
        <v>2.6424081602339335E-3</v>
      </c>
      <c r="AI11" s="466">
        <f t="shared" si="1"/>
        <v>2.7649956020441113E-3</v>
      </c>
      <c r="AJ11" s="436">
        <f t="shared" si="2"/>
        <v>2.8086899205922488E-3</v>
      </c>
    </row>
    <row r="12" spans="1:36" ht="11.25" customHeight="1" thickBot="1" x14ac:dyDescent="0.25">
      <c r="D12" s="460" t="s">
        <v>159</v>
      </c>
      <c r="E12" s="507" t="s">
        <v>160</v>
      </c>
      <c r="J12" s="517">
        <f>_xll.qlDayCounterYearFraction(DayCounterON,SettlementDate,E5,,,Trigger)</f>
        <v>8.2191780821917804E-2</v>
      </c>
      <c r="K12" s="518">
        <f>_xll.qlDayCounterYearFraction(DayCounterON,SettlementDate,F5,,,Trigger)</f>
        <v>0.58082191780821912</v>
      </c>
      <c r="L12" s="518">
        <f>K12-J12</f>
        <v>0.49863013698630132</v>
      </c>
      <c r="M12" s="518">
        <f>(K12^2-J12^2)/2</f>
        <v>0.16529930568586973</v>
      </c>
      <c r="N12" s="519">
        <f>(K12^3-J12^3)/3</f>
        <v>6.512913660157095E-2</v>
      </c>
      <c r="P12" s="519" t="b">
        <f>P5</f>
        <v>1</v>
      </c>
      <c r="W12" s="513" t="s">
        <v>47</v>
      </c>
      <c r="X12" s="514"/>
      <c r="Y12" s="456"/>
      <c r="AF12" s="465">
        <f>_xll.qlCalendarAdvance(Calendar,AF11,"1d","mf",,Trigger)</f>
        <v>41905</v>
      </c>
      <c r="AG12" s="476">
        <f>_xll.qlDayCounterYearFraction(DayCounterON,SettlementDate,AF12,,,Trigger)</f>
        <v>3.5616438356164383E-2</v>
      </c>
      <c r="AH12" s="466">
        <f t="shared" si="0"/>
        <v>2.6424081602339335E-3</v>
      </c>
      <c r="AI12" s="466">
        <f t="shared" si="1"/>
        <v>2.7634339785815613E-3</v>
      </c>
      <c r="AJ12" s="436">
        <f t="shared" si="2"/>
        <v>2.8057407721513048E-3</v>
      </c>
    </row>
    <row r="13" spans="1:36" ht="11.25" customHeight="1" thickBot="1" x14ac:dyDescent="0.25">
      <c r="D13" s="460" t="s">
        <v>193</v>
      </c>
      <c r="E13" s="507" t="s">
        <v>192</v>
      </c>
      <c r="G13" s="527" t="s">
        <v>190</v>
      </c>
      <c r="H13" s="512" t="str">
        <f>_xll.qlInterpolation(,E13,E5:E7,M5:M7)</f>
        <v>obj_00b1b#0004</v>
      </c>
      <c r="J13" s="517">
        <f>_xll.qlDayCounterYearFraction(DayCounterON,SettlementDate,E6,,,Trigger)</f>
        <v>0.16712328767123288</v>
      </c>
      <c r="K13" s="518">
        <f>_xll.qlDayCounterYearFraction(DayCounterON,SettlementDate,F6,,,Trigger)</f>
        <v>0.66575342465753429</v>
      </c>
      <c r="L13" s="518">
        <f>K13-J13</f>
        <v>0.49863013698630143</v>
      </c>
      <c r="M13" s="518">
        <f>(K13^2-J13^2)/2</f>
        <v>0.20764871458059675</v>
      </c>
      <c r="N13" s="519">
        <f>(K13^3-J13^3)/3</f>
        <v>9.6804173939270877E-2</v>
      </c>
      <c r="P13" s="519" t="b">
        <f>P6</f>
        <v>1</v>
      </c>
      <c r="R13" s="501" t="s">
        <v>157</v>
      </c>
      <c r="U13" s="452">
        <f t="array" ref="U13">_xll.ohFilter(L10:L14,P10:P14)</f>
        <v>0.49589041095890413</v>
      </c>
      <c r="V13" s="501" t="s">
        <v>55</v>
      </c>
      <c r="W13" s="453">
        <f>MMULT(AA13,Y13)</f>
        <v>2.6424081602339335E-3</v>
      </c>
      <c r="X13" s="501" t="s">
        <v>56</v>
      </c>
      <c r="Y13" s="434">
        <f>_xll.ohFilter(N3:N7,P3:P7)</f>
        <v>1.3103448684995669E-3</v>
      </c>
      <c r="AA13" s="452">
        <f>MINVERSE(U13)</f>
        <v>2.0165745856353592</v>
      </c>
      <c r="AF13" s="465">
        <f>_xll.qlCalendarAdvance(Calendar,AF12,"1d","mf",,Trigger)</f>
        <v>41906</v>
      </c>
      <c r="AG13" s="476">
        <f>_xll.qlDayCounterYearFraction(DayCounterON,SettlementDate,AF13,,,Trigger)</f>
        <v>3.8356164383561646E-2</v>
      </c>
      <c r="AH13" s="466">
        <f t="shared" si="0"/>
        <v>2.6424081602339335E-3</v>
      </c>
      <c r="AI13" s="466">
        <f t="shared" si="1"/>
        <v>2.7618723551190113E-3</v>
      </c>
      <c r="AJ13" s="436">
        <f t="shared" si="2"/>
        <v>2.8028064246238315E-3</v>
      </c>
    </row>
    <row r="14" spans="1:36" ht="11.25" customHeight="1" thickBot="1" x14ac:dyDescent="0.25">
      <c r="D14" s="461" t="s">
        <v>197</v>
      </c>
      <c r="E14" s="529" t="s">
        <v>196</v>
      </c>
      <c r="J14" s="520">
        <f>_xll.qlDayCounterYearFraction(DayCounterON,SettlementDate,E7,,,Trigger)</f>
        <v>0.24931506849315069</v>
      </c>
      <c r="K14" s="521">
        <f>_xll.qlDayCounterYearFraction(DayCounterON,SettlementDate,F7,,,Trigger)</f>
        <v>0.74794520547945209</v>
      </c>
      <c r="L14" s="521">
        <f>K14-J14</f>
        <v>0.49863013698630143</v>
      </c>
      <c r="M14" s="521">
        <f>(K14^2-J14^2)/2</f>
        <v>0.24863201351097772</v>
      </c>
      <c r="N14" s="522">
        <f>(K14^3-J14^3)/3</f>
        <v>0.13430669953583865</v>
      </c>
      <c r="P14" s="522" t="b">
        <f>P7</f>
        <v>0</v>
      </c>
      <c r="AF14" s="465">
        <f>_xll.qlCalendarAdvance(Calendar,AF13,"1d","mf",,Trigger)</f>
        <v>41907</v>
      </c>
      <c r="AG14" s="476">
        <f>_xll.qlDayCounterYearFraction(DayCounterON,SettlementDate,AF14,,,Trigger)</f>
        <v>4.1095890410958902E-2</v>
      </c>
      <c r="AH14" s="466">
        <f t="shared" si="0"/>
        <v>2.6424081602339335E-3</v>
      </c>
      <c r="AI14" s="466">
        <f t="shared" si="1"/>
        <v>2.7603107316564613E-3</v>
      </c>
      <c r="AJ14" s="436">
        <f t="shared" si="2"/>
        <v>2.7998868780098286E-3</v>
      </c>
    </row>
    <row r="15" spans="1:36" ht="14.25" customHeight="1" thickBot="1" x14ac:dyDescent="0.25">
      <c r="P15" s="447"/>
      <c r="AF15" s="465">
        <f>_xll.qlCalendarAdvance(Calendar,AF14,"1d","mf",,Trigger)</f>
        <v>41908</v>
      </c>
      <c r="AG15" s="476">
        <f>_xll.qlDayCounterYearFraction(DayCounterON,SettlementDate,AF15,,,Trigger)</f>
        <v>4.3835616438356165E-2</v>
      </c>
      <c r="AH15" s="466">
        <f t="shared" si="0"/>
        <v>2.6424081602339335E-3</v>
      </c>
      <c r="AI15" s="466">
        <f t="shared" si="1"/>
        <v>2.7587491081939113E-3</v>
      </c>
      <c r="AJ15" s="436">
        <f t="shared" si="2"/>
        <v>2.7969821323092967E-3</v>
      </c>
    </row>
    <row r="16" spans="1:36" ht="11.25" customHeight="1" thickBot="1" x14ac:dyDescent="0.25">
      <c r="M16" s="523" t="s">
        <v>195</v>
      </c>
      <c r="N16" s="524"/>
      <c r="O16" s="525"/>
      <c r="P16" s="447"/>
      <c r="AF16" s="465">
        <f>_xll.qlCalendarAdvance(Calendar,AF15,"1d","mf",,Trigger)</f>
        <v>41911</v>
      </c>
      <c r="AG16" s="476">
        <f>_xll.qlDayCounterYearFraction(DayCounterON,SettlementDate,AF16,,,Trigger)</f>
        <v>5.2054794520547946E-2</v>
      </c>
      <c r="AH16" s="466">
        <f t="shared" si="0"/>
        <v>2.6424081602339335E-3</v>
      </c>
      <c r="AI16" s="466">
        <f t="shared" si="1"/>
        <v>2.7540642378062613E-3</v>
      </c>
      <c r="AJ16" s="436">
        <f t="shared" si="2"/>
        <v>2.7883567006885242E-3</v>
      </c>
    </row>
    <row r="17" spans="4:36" ht="15.75" customHeight="1" x14ac:dyDescent="0.2">
      <c r="D17" s="442" t="s">
        <v>167</v>
      </c>
      <c r="E17" s="443" t="s">
        <v>126</v>
      </c>
      <c r="F17" s="443" t="s">
        <v>127</v>
      </c>
      <c r="G17" s="457" t="s">
        <v>194</v>
      </c>
      <c r="H17" s="457"/>
      <c r="I17" s="443" t="s">
        <v>44</v>
      </c>
      <c r="J17" s="443"/>
      <c r="K17" s="443"/>
      <c r="L17" s="443"/>
      <c r="M17" s="526" t="s">
        <v>157</v>
      </c>
      <c r="N17" s="444" t="s">
        <v>156</v>
      </c>
      <c r="O17" s="444" t="s">
        <v>155</v>
      </c>
      <c r="P17" s="447"/>
      <c r="AF17" s="465">
        <f>_xll.qlCalendarAdvance(Calendar,AF16,"1d","mf",,Trigger)</f>
        <v>41912</v>
      </c>
      <c r="AG17" s="476">
        <f>_xll.qlDayCounterYearFraction(DayCounterON,SettlementDate,AF17,,,Trigger)</f>
        <v>5.4794520547945202E-2</v>
      </c>
      <c r="AH17" s="466">
        <f t="shared" si="0"/>
        <v>2.6424081602339335E-3</v>
      </c>
      <c r="AI17" s="466">
        <f t="shared" si="1"/>
        <v>2.7525026143437113E-3</v>
      </c>
      <c r="AJ17" s="436">
        <f t="shared" si="2"/>
        <v>2.7855111586418749E-3</v>
      </c>
    </row>
    <row r="18" spans="4:36" ht="11.25" customHeight="1" x14ac:dyDescent="0.2">
      <c r="D18" s="481" t="s">
        <v>65</v>
      </c>
      <c r="E18" s="472">
        <f t="shared" ref="E18:E27" si="4">SettlementDate</f>
        <v>41892</v>
      </c>
      <c r="F18" s="473">
        <f>_xll.qlCalendarAdvance(Calendar,SettlementDate,D18,"Following",,Trigger)</f>
        <v>41893</v>
      </c>
      <c r="G18" s="474" t="str">
        <f>_xll.qlMakeDatedOIS(,E18,F18,OvernightIndex,0,,,,EvaluationDate)</f>
        <v>obj_003ba#0001</v>
      </c>
      <c r="H18" s="502" t="b">
        <f>_xll.qlInstrumentSetPricingEngine(G18,OisEngine)</f>
        <v>1</v>
      </c>
      <c r="I18" s="471">
        <f>_xll.qlOvernightIndexedSwapFairRate(G18,_xll.ohTrigger(InterestRatesTrigger))</f>
        <v>-1.0000000072007964E-4</v>
      </c>
      <c r="J18" s="518">
        <f>_xll.qlDayCounterYearFraction(DayCounterOIS,E18,F18,,,Trigger)</f>
        <v>2.7777777777777779E-3</v>
      </c>
      <c r="K18" s="518">
        <f>_xll.qlDayCounterYearFraction(DayCounter3M,E18,F18,,,Trigger)</f>
        <v>2.7777777777777779E-3</v>
      </c>
      <c r="L18" s="518">
        <f>_xll.qlDayCounterYearFraction(DayCounterON,E18,F18,,,Trigger)</f>
        <v>2.7397260273972603E-3</v>
      </c>
      <c r="M18" s="466">
        <f>($I18*$J18+$W$13*L18)/$K18</f>
        <v>2.5062107874558549E-3</v>
      </c>
      <c r="N18" s="466">
        <f>($I18*$J18+($W$10*L18+$W$9*L18^2/2))/$K18</f>
        <v>2.6448316098849536E-3</v>
      </c>
      <c r="O18" s="466">
        <f>($I18*$J18+($W$5*L18+$W$4*L18^2/2+$W$3*L18^3/3))/$K18</f>
        <v>2.7047151817688898E-3</v>
      </c>
      <c r="P18" s="447"/>
      <c r="AF18" s="465">
        <f>_xll.qlCalendarAdvance(Calendar,AF17,"1d","mf",,Trigger)</f>
        <v>41913</v>
      </c>
      <c r="AG18" s="476">
        <f>_xll.qlDayCounterYearFraction(DayCounterON,SettlementDate,AF18,,,Trigger)</f>
        <v>5.7534246575342465E-2</v>
      </c>
      <c r="AH18" s="466">
        <f t="shared" si="0"/>
        <v>2.6424081602339335E-3</v>
      </c>
      <c r="AI18" s="466">
        <f t="shared" si="1"/>
        <v>2.7509409908811613E-3</v>
      </c>
      <c r="AJ18" s="436">
        <f t="shared" si="2"/>
        <v>2.7826804175086965E-3</v>
      </c>
    </row>
    <row r="19" spans="4:36" ht="11.25" customHeight="1" x14ac:dyDescent="0.2">
      <c r="D19" s="479" t="s">
        <v>66</v>
      </c>
      <c r="E19" s="433">
        <f>SettlementDate</f>
        <v>41892</v>
      </c>
      <c r="F19" s="475">
        <f>_xll.qlCalendarAdvance(Calendar,SettlementDate,D19,"Following",,Trigger)</f>
        <v>41899</v>
      </c>
      <c r="G19" s="476" t="str">
        <f>_xll.qlMakeDatedOIS(,E19,F19,OvernightIndex,0,,,,EvaluationDate)</f>
        <v>obj_003ab#0001</v>
      </c>
      <c r="H19" s="503" t="b">
        <f>_xll.qlInstrumentSetPricingEngine(G19,OisEngine)</f>
        <v>1</v>
      </c>
      <c r="I19" s="435">
        <f>_xll.qlOvernightIndexedSwapFairRate(G19,_xll.ohTrigger(InterestRatesTrigger))</f>
        <v>-5.0000000000898534E-4</v>
      </c>
      <c r="J19" s="518">
        <f>_xll.qlDayCounterYearFraction(DayCounterOIS,E19,F19,,,Trigger)</f>
        <v>1.9444444444444445E-2</v>
      </c>
      <c r="K19" s="518">
        <f>_xll.qlDayCounterYearFraction(DayCounter3M,E19,F19,,,Trigger)</f>
        <v>1.9444444444444445E-2</v>
      </c>
      <c r="L19" s="518">
        <f>_xll.qlDayCounterYearFraction(DayCounterON,E19,F19,,,Trigger)</f>
        <v>1.9178082191780823E-2</v>
      </c>
      <c r="M19" s="466">
        <f>($I19*$J19+$W$13*L19)/$K19</f>
        <v>2.1062107881669491E-3</v>
      </c>
      <c r="N19" s="466">
        <f t="shared" ref="N19:N27" si="5">($I19*$J19+($W$10*L19+$W$9*L19^2/2))/$K19</f>
        <v>2.2402109165150785E-3</v>
      </c>
      <c r="O19" s="466">
        <f t="shared" ref="O19:O27" si="6">($I19*$J19+($W$5*L19+$W$4*L19^2/2+$W$3*L19^3/3))/$K19</f>
        <v>2.2955582892819617E-3</v>
      </c>
      <c r="P19" s="447"/>
      <c r="AF19" s="465">
        <f>_xll.qlCalendarAdvance(Calendar,AF18,"1d","mf",,Trigger)</f>
        <v>41914</v>
      </c>
      <c r="AG19" s="476">
        <f>_xll.qlDayCounterYearFraction(DayCounterON,SettlementDate,AF19,,,Trigger)</f>
        <v>6.0273972602739728E-2</v>
      </c>
      <c r="AH19" s="466">
        <f t="shared" si="0"/>
        <v>2.6424081602339335E-3</v>
      </c>
      <c r="AI19" s="466">
        <f t="shared" si="1"/>
        <v>2.7493793674186113E-3</v>
      </c>
      <c r="AJ19" s="436">
        <f t="shared" si="2"/>
        <v>2.7798644772889882E-3</v>
      </c>
    </row>
    <row r="20" spans="4:36" ht="11.25" customHeight="1" x14ac:dyDescent="0.2">
      <c r="D20" s="479" t="s">
        <v>67</v>
      </c>
      <c r="E20" s="433">
        <f t="shared" si="4"/>
        <v>41892</v>
      </c>
      <c r="F20" s="475">
        <f>_xll.qlCalendarAdvance(Calendar,SettlementDate,D20,"Following",,Trigger)</f>
        <v>41906</v>
      </c>
      <c r="G20" s="476" t="str">
        <f>_xll.qlMakeDatedOIS(,E20,F20,OvernightIndex,0,,,,EvaluationDate)</f>
        <v>obj_003c1#0001</v>
      </c>
      <c r="H20" s="503" t="b">
        <f>_xll.qlInstrumentSetPricingEngine(G20,OisEngine)</f>
        <v>1</v>
      </c>
      <c r="I20" s="435">
        <f>_xll.qlOvernightIndexedSwapFairRate(G20,_xll.ohTrigger(InterestRatesTrigger))</f>
        <v>-5.1999999432965946E-4</v>
      </c>
      <c r="J20" s="518">
        <f>_xll.qlDayCounterYearFraction(DayCounterOIS,E20,F20,,,Trigger)</f>
        <v>3.888888888888889E-2</v>
      </c>
      <c r="K20" s="518">
        <f>_xll.qlDayCounterYearFraction(DayCounter3M,E20,F20,,,Trigger)</f>
        <v>3.888888888888889E-2</v>
      </c>
      <c r="L20" s="518">
        <f>_xll.qlDayCounterYearFraction(DayCounterON,E20,F20,,,Trigger)</f>
        <v>3.8356164383561646E-2</v>
      </c>
      <c r="M20" s="466">
        <f t="shared" ref="M20:M27" si="7">($I20*$J20+$W$13*L20)/$K20</f>
        <v>2.086210793846275E-3</v>
      </c>
      <c r="N20" s="466">
        <f t="shared" si="5"/>
        <v>2.2148201124332729E-3</v>
      </c>
      <c r="O20" s="466">
        <f t="shared" si="6"/>
        <v>2.2650966583422703E-3</v>
      </c>
      <c r="P20" s="447"/>
      <c r="AF20" s="465">
        <f>_xll.qlCalendarAdvance(Calendar,AF19,"1d","mf",,Trigger)</f>
        <v>41915</v>
      </c>
      <c r="AG20" s="476">
        <f>_xll.qlDayCounterYearFraction(DayCounterON,SettlementDate,AF20,,,Trigger)</f>
        <v>6.3013698630136991E-2</v>
      </c>
      <c r="AH20" s="466">
        <f t="shared" si="0"/>
        <v>2.6424081602339335E-3</v>
      </c>
      <c r="AI20" s="466">
        <f t="shared" si="1"/>
        <v>2.7478177439560613E-3</v>
      </c>
      <c r="AJ20" s="436">
        <f t="shared" si="2"/>
        <v>2.7770633379827509E-3</v>
      </c>
    </row>
    <row r="21" spans="4:36" ht="11.25" customHeight="1" x14ac:dyDescent="0.2">
      <c r="D21" s="479" t="s">
        <v>68</v>
      </c>
      <c r="E21" s="433">
        <f t="shared" si="4"/>
        <v>41892</v>
      </c>
      <c r="F21" s="475">
        <f>_xll.qlCalendarAdvance(Calendar,SettlementDate,D21,"Following",,Trigger)</f>
        <v>41913</v>
      </c>
      <c r="G21" s="476" t="str">
        <f>_xll.qlMakeDatedOIS(,E21,F21,OvernightIndex,0,,,,EvaluationDate)</f>
        <v>obj_003ce#0001</v>
      </c>
      <c r="H21" s="503" t="b">
        <f>_xll.qlInstrumentSetPricingEngine(G21,OisEngine)</f>
        <v>1</v>
      </c>
      <c r="I21" s="435">
        <f>_xll.qlOvernightIndexedSwapFairRate(G21,_xll.ohTrigger(InterestRatesTrigger))</f>
        <v>-4.899999999980713E-4</v>
      </c>
      <c r="J21" s="518">
        <f>_xll.qlDayCounterYearFraction(DayCounterOIS,E21,F21,,,Trigger)</f>
        <v>5.8333333333333334E-2</v>
      </c>
      <c r="K21" s="518">
        <f>_xll.qlDayCounterYearFraction(DayCounter3M,E21,F21,,,Trigger)</f>
        <v>5.8333333333333334E-2</v>
      </c>
      <c r="L21" s="518">
        <f>_xll.qlDayCounterYearFraction(DayCounterON,E21,F21,,,Trigger)</f>
        <v>5.7534246575342465E-2</v>
      </c>
      <c r="M21" s="466">
        <f t="shared" si="7"/>
        <v>2.1162107881778631E-3</v>
      </c>
      <c r="N21" s="466">
        <f t="shared" si="5"/>
        <v>2.2394292970037291E-3</v>
      </c>
      <c r="O21" s="466">
        <f t="shared" si="6"/>
        <v>2.2848734526882864E-3</v>
      </c>
      <c r="P21" s="447"/>
      <c r="AF21" s="465">
        <f>_xll.qlCalendarAdvance(Calendar,AF20,"1d","mf",,Trigger)</f>
        <v>41918</v>
      </c>
      <c r="AG21" s="476">
        <f>_xll.qlDayCounterYearFraction(DayCounterON,SettlementDate,AF21,,,Trigger)</f>
        <v>7.1232876712328766E-2</v>
      </c>
      <c r="AH21" s="466">
        <f t="shared" si="0"/>
        <v>2.6424081602339335E-3</v>
      </c>
      <c r="AI21" s="466">
        <f t="shared" si="1"/>
        <v>2.7431328735684113E-3</v>
      </c>
      <c r="AJ21" s="436">
        <f t="shared" si="2"/>
        <v>2.7687487255448626E-3</v>
      </c>
    </row>
    <row r="22" spans="4:36" ht="11.25" customHeight="1" x14ac:dyDescent="0.2">
      <c r="D22" s="479" t="s">
        <v>61</v>
      </c>
      <c r="E22" s="433">
        <f t="shared" si="4"/>
        <v>41892</v>
      </c>
      <c r="F22" s="475">
        <f>_xll.qlCalendarAdvance(Calendar,SettlementDate,D22,"mf",TRUE,Trigger)</f>
        <v>41922</v>
      </c>
      <c r="G22" s="476" t="str">
        <f>_xll.qlMakeDatedOIS(,E22,F22,OvernightIndex,0,,,,EvaluationDate)</f>
        <v>obj_003d9#0001</v>
      </c>
      <c r="H22" s="503" t="b">
        <f>_xll.qlInstrumentSetPricingEngine(G22,OisEngine)</f>
        <v>1</v>
      </c>
      <c r="I22" s="435">
        <f>_xll.qlOvernightIndexedSwapFairRate(G22,_xll.ohTrigger(InterestRatesTrigger))</f>
        <v>-7.0666556794352086E-4</v>
      </c>
      <c r="J22" s="518">
        <f>_xll.qlDayCounterYearFraction(DayCounterOIS,E22,F22,,,Trigger)</f>
        <v>8.3333333333333329E-2</v>
      </c>
      <c r="K22" s="518">
        <f>_xll.qlDayCounterYearFraction(DayCounter3M,E22,F22,,,Trigger)</f>
        <v>8.3333333333333329E-2</v>
      </c>
      <c r="L22" s="518">
        <f>_xll.qlDayCounterYearFraction(DayCounterON,E22,F22,,,Trigger)</f>
        <v>8.2191780821917804E-2</v>
      </c>
      <c r="M22" s="466">
        <f t="shared" si="7"/>
        <v>1.8995452202324133E-3</v>
      </c>
      <c r="N22" s="466">
        <f t="shared" si="5"/>
        <v>2.0158326879368246E-3</v>
      </c>
      <c r="O22" s="466">
        <f t="shared" si="6"/>
        <v>2.0554141263452253E-3</v>
      </c>
      <c r="P22" s="447"/>
      <c r="AF22" s="465">
        <f>_xll.qlCalendarAdvance(Calendar,AF21,"1d","mf",,Trigger)</f>
        <v>41919</v>
      </c>
      <c r="AG22" s="476">
        <f>_xll.qlDayCounterYearFraction(DayCounterON,SettlementDate,AF22,,,Trigger)</f>
        <v>7.3972602739726029E-2</v>
      </c>
      <c r="AH22" s="466">
        <f t="shared" si="0"/>
        <v>2.6424081602339335E-3</v>
      </c>
      <c r="AI22" s="466">
        <f t="shared" si="1"/>
        <v>2.7415712501058613E-3</v>
      </c>
      <c r="AJ22" s="436">
        <f t="shared" si="2"/>
        <v>2.7660067898925083E-3</v>
      </c>
    </row>
    <row r="23" spans="4:36" ht="11.25" customHeight="1" x14ac:dyDescent="0.2">
      <c r="D23" s="479" t="s">
        <v>69</v>
      </c>
      <c r="E23" s="433">
        <f t="shared" si="4"/>
        <v>41892</v>
      </c>
      <c r="F23" s="475">
        <f>_xll.qlCalendarAdvance(Calendar,SettlementDate,D23,"mf",TRUE,Trigger)</f>
        <v>41953</v>
      </c>
      <c r="G23" s="476" t="str">
        <f>_xll.qlMakeDatedOIS(,E23,F23,OvernightIndex,0,,,,EvaluationDate)</f>
        <v>obj_003c7#0001</v>
      </c>
      <c r="H23" s="503" t="b">
        <f>_xll.qlInstrumentSetPricingEngine(G23,OisEngine)</f>
        <v>1</v>
      </c>
      <c r="I23" s="435">
        <f>_xll.qlOvernightIndexedSwapFairRate(G23,_xll.ohTrigger(InterestRatesTrigger))</f>
        <v>-6.8293175779351697E-4</v>
      </c>
      <c r="J23" s="518">
        <f>_xll.qlDayCounterYearFraction(DayCounterOIS,E23,F23,,,Trigger)</f>
        <v>0.16944444444444445</v>
      </c>
      <c r="K23" s="518">
        <f>_xll.qlDayCounterYearFraction(DayCounter3M,E23,F23,,,Trigger)</f>
        <v>0.16944444444444445</v>
      </c>
      <c r="L23" s="518">
        <f>_xll.qlDayCounterYearFraction(DayCounterON,E23,F23,,,Trigger)</f>
        <v>0.16712328767123288</v>
      </c>
      <c r="M23" s="466">
        <f t="shared" si="7"/>
        <v>1.9232790303824175E-3</v>
      </c>
      <c r="N23" s="466">
        <f t="shared" si="5"/>
        <v>2.0156929120018173E-3</v>
      </c>
      <c r="O23" s="466">
        <f t="shared" si="6"/>
        <v>2.0380974997801565E-3</v>
      </c>
      <c r="P23" s="447"/>
      <c r="AF23" s="465">
        <f>_xll.qlCalendarAdvance(Calendar,AF22,"1d","mf",,Trigger)</f>
        <v>41920</v>
      </c>
      <c r="AG23" s="476">
        <f>_xll.qlDayCounterYearFraction(DayCounterON,SettlementDate,AF23,,,Trigger)</f>
        <v>7.6712328767123292E-2</v>
      </c>
      <c r="AH23" s="466">
        <f t="shared" si="0"/>
        <v>2.6424081602339335E-3</v>
      </c>
      <c r="AI23" s="466">
        <f t="shared" si="1"/>
        <v>2.7400096266433113E-3</v>
      </c>
      <c r="AJ23" s="436">
        <f t="shared" si="2"/>
        <v>2.7632796551536241E-3</v>
      </c>
    </row>
    <row r="24" spans="4:36" ht="11.25" customHeight="1" x14ac:dyDescent="0.2">
      <c r="D24" s="479" t="s">
        <v>62</v>
      </c>
      <c r="E24" s="433">
        <f t="shared" si="4"/>
        <v>41892</v>
      </c>
      <c r="F24" s="475">
        <f>_xll.qlCalendarAdvance(Calendar,SettlementDate,D24,"mf",TRUE,Trigger)</f>
        <v>41983</v>
      </c>
      <c r="G24" s="476" t="str">
        <f>_xll.qlMakeDatedOIS(,E24,F24,OvernightIndex,0,,,,EvaluationDate)</f>
        <v>obj_003bb#0001</v>
      </c>
      <c r="H24" s="503" t="b">
        <f>_xll.qlInstrumentSetPricingEngine(G24,OisEngine)</f>
        <v>1</v>
      </c>
      <c r="I24" s="435">
        <f>_xll.qlOvernightIndexedSwapFairRate(G24,_xll.ohTrigger(InterestRatesTrigger))</f>
        <v>-7.0303535509186332E-4</v>
      </c>
      <c r="J24" s="518">
        <f>_xll.qlDayCounterYearFraction(DayCounterOIS,E24,F24,,,Trigger)</f>
        <v>0.25277777777777777</v>
      </c>
      <c r="K24" s="518">
        <f>_xll.qlDayCounterYearFraction(DayCounter3M,E24,F24,,,Trigger)</f>
        <v>0.25277777777777777</v>
      </c>
      <c r="L24" s="518">
        <f>_xll.qlDayCounterYearFraction(DayCounterON,E24,F24,,,Trigger)</f>
        <v>0.24931506849315069</v>
      </c>
      <c r="M24" s="466">
        <f t="shared" si="7"/>
        <v>1.903175433084071E-3</v>
      </c>
      <c r="N24" s="466">
        <f t="shared" si="5"/>
        <v>1.9724858442986214E-3</v>
      </c>
      <c r="O24" s="466">
        <f t="shared" si="6"/>
        <v>1.9827201125782691E-3</v>
      </c>
      <c r="P24" s="447"/>
      <c r="AF24" s="465">
        <f>_xll.qlCalendarAdvance(Calendar,AF23,"1d","mf",,Trigger)</f>
        <v>41921</v>
      </c>
      <c r="AG24" s="476">
        <f>_xll.qlDayCounterYearFraction(DayCounterON,SettlementDate,AF24,,,Trigger)</f>
        <v>7.9452054794520555E-2</v>
      </c>
      <c r="AH24" s="466">
        <f t="shared" si="0"/>
        <v>2.6424081602339335E-3</v>
      </c>
      <c r="AI24" s="466">
        <f t="shared" si="1"/>
        <v>2.7384480031807609E-3</v>
      </c>
      <c r="AJ24" s="436">
        <f t="shared" si="2"/>
        <v>2.7605673213282108E-3</v>
      </c>
    </row>
    <row r="25" spans="4:36" x14ac:dyDescent="0.2">
      <c r="D25" s="479" t="s">
        <v>70</v>
      </c>
      <c r="E25" s="433">
        <f t="shared" si="4"/>
        <v>41892</v>
      </c>
      <c r="F25" s="475">
        <f>_xll.qlCalendarAdvance(Calendar,SettlementDate,D25,"mf",TRUE,Trigger)</f>
        <v>42016</v>
      </c>
      <c r="G25" s="476" t="str">
        <f>_xll.qlMakeDatedOIS(,E25,F25,OvernightIndex,0,,,,EvaluationDate)</f>
        <v>obj_003cb#0001</v>
      </c>
      <c r="H25" s="503" t="b">
        <f>_xll.qlInstrumentSetPricingEngine(G25,OisEngine)</f>
        <v>1</v>
      </c>
      <c r="I25" s="435">
        <f>_xll.qlOvernightIndexedSwapFairRate(G25,_xll.ohTrigger(InterestRatesTrigger))</f>
        <v>-6.7026663362299282E-4</v>
      </c>
      <c r="J25" s="518">
        <f>_xll.qlDayCounterYearFraction(DayCounterOIS,E25,F25,,,Trigger)</f>
        <v>0.34444444444444444</v>
      </c>
      <c r="K25" s="518">
        <f>_xll.qlDayCounterYearFraction(DayCounter3M,E25,F25,,,Trigger)</f>
        <v>0.34444444444444444</v>
      </c>
      <c r="L25" s="518">
        <f>_xll.qlDayCounterYearFraction(DayCounterON,E25,F25,,,Trigger)</f>
        <v>0.33972602739726027</v>
      </c>
      <c r="M25" s="466">
        <f t="shared" si="7"/>
        <v>1.9359441545529418E-3</v>
      </c>
      <c r="N25" s="466">
        <f t="shared" si="5"/>
        <v>1.9798407483221574E-3</v>
      </c>
      <c r="O25" s="466">
        <f t="shared" si="6"/>
        <v>1.9817459280199062E-3</v>
      </c>
      <c r="P25" s="447"/>
      <c r="AF25" s="465">
        <f>_xll.qlCalendarAdvance(Calendar,AF24,"1d","mf",,Trigger)</f>
        <v>41922</v>
      </c>
      <c r="AG25" s="476">
        <f>_xll.qlDayCounterYearFraction(DayCounterON,SettlementDate,AF25,,,Trigger)</f>
        <v>8.2191780821917804E-2</v>
      </c>
      <c r="AH25" s="466">
        <f t="shared" si="0"/>
        <v>2.6424081602339335E-3</v>
      </c>
      <c r="AI25" s="466">
        <f t="shared" si="1"/>
        <v>2.7368863797182109E-3</v>
      </c>
      <c r="AJ25" s="436">
        <f t="shared" si="2"/>
        <v>2.7578697884162685E-3</v>
      </c>
    </row>
    <row r="26" spans="4:36" x14ac:dyDescent="0.2">
      <c r="D26" s="479" t="s">
        <v>71</v>
      </c>
      <c r="E26" s="433">
        <f t="shared" si="4"/>
        <v>41892</v>
      </c>
      <c r="F26" s="475">
        <f>_xll.qlCalendarAdvance(Calendar,SettlementDate,D26,"mf",TRUE,Trigger)</f>
        <v>42045</v>
      </c>
      <c r="G26" s="476" t="str">
        <f>_xll.qlMakeDatedOIS(,E26,F26,OvernightIndex,0,,,,EvaluationDate)</f>
        <v>obj_003b2#0001</v>
      </c>
      <c r="H26" s="503" t="b">
        <f>_xll.qlInstrumentSetPricingEngine(G26,OisEngine)</f>
        <v>1</v>
      </c>
      <c r="I26" s="435">
        <f>_xll.qlOvernightIndexedSwapFairRate(G26,_xll.ohTrigger(InterestRatesTrigger))</f>
        <v>-6.7861853702170182E-4</v>
      </c>
      <c r="J26" s="518">
        <f>_xll.qlDayCounterYearFraction(DayCounterOIS,E26,F26,,,Trigger)</f>
        <v>0.42499999999999999</v>
      </c>
      <c r="K26" s="518">
        <f>_xll.qlDayCounterYearFraction(DayCounter3M,E26,F26,,,Trigger)</f>
        <v>0.42499999999999999</v>
      </c>
      <c r="L26" s="518">
        <f>_xll.qlDayCounterYearFraction(DayCounterON,E26,F26,,,Trigger)</f>
        <v>0.41917808219178082</v>
      </c>
      <c r="M26" s="466">
        <f t="shared" si="7"/>
        <v>1.9275922511542325E-3</v>
      </c>
      <c r="N26" s="466">
        <f t="shared" si="5"/>
        <v>1.9491554901987604E-3</v>
      </c>
      <c r="O26" s="466">
        <f t="shared" si="6"/>
        <v>1.9481157501250463E-3</v>
      </c>
      <c r="P26" s="447"/>
      <c r="AF26" s="465">
        <f>_xll.qlCalendarAdvance(Calendar,AF25,"1d","mf",,Trigger)</f>
        <v>41925</v>
      </c>
      <c r="AG26" s="476">
        <f>_xll.qlDayCounterYearFraction(DayCounterON,SettlementDate,AF26,,,Trigger)</f>
        <v>9.0410958904109592E-2</v>
      </c>
      <c r="AH26" s="466">
        <f t="shared" si="0"/>
        <v>2.6424081602339335E-3</v>
      </c>
      <c r="AI26" s="466">
        <f t="shared" si="1"/>
        <v>2.7322015093305609E-3</v>
      </c>
      <c r="AJ26" s="436">
        <f t="shared" si="2"/>
        <v>2.7498659951612639E-3</v>
      </c>
    </row>
    <row r="27" spans="4:36" ht="12" thickBot="1" x14ac:dyDescent="0.25">
      <c r="D27" s="480" t="s">
        <v>63</v>
      </c>
      <c r="E27" s="438">
        <f t="shared" si="4"/>
        <v>41892</v>
      </c>
      <c r="F27" s="477">
        <f>_xll.qlCalendarAdvance(Calendar,SettlementDate,D27,"mf",TRUE,Trigger)</f>
        <v>42073</v>
      </c>
      <c r="G27" s="478" t="str">
        <f>_xll.qlMakeDatedOIS(,E27,F27,OvernightIndex,0,,,,EvaluationDate)</f>
        <v>obj_003b4#0001</v>
      </c>
      <c r="H27" s="504" t="b">
        <f>_xll.qlInstrumentSetPricingEngine(G27,OisEngine)</f>
        <v>1</v>
      </c>
      <c r="I27" s="440">
        <f>_xll.qlOvernightIndexedSwapFairRate(G27,_xll.ohTrigger(InterestRatesTrigger))</f>
        <v>-7.0973453694134084E-4</v>
      </c>
      <c r="J27" s="521">
        <f>_xll.qlDayCounterYearFraction(DayCounterOIS,E27,F27,,,Trigger)</f>
        <v>0.50277777777777777</v>
      </c>
      <c r="K27" s="521">
        <f>_xll.qlDayCounterYearFraction(DayCounter3M,E27,F27,,,Trigger)</f>
        <v>0.50277777777777777</v>
      </c>
      <c r="L27" s="521">
        <f>_xll.qlDayCounterYearFraction(DayCounterON,E27,F27,,,Trigger)</f>
        <v>0.49589041095890413</v>
      </c>
      <c r="M27" s="468">
        <f t="shared" si="7"/>
        <v>1.8964762512345937E-3</v>
      </c>
      <c r="N27" s="468">
        <f t="shared" si="5"/>
        <v>1.8964762512345946E-3</v>
      </c>
      <c r="O27" s="468">
        <f t="shared" si="6"/>
        <v>1.8964762512345937E-3</v>
      </c>
      <c r="P27" s="447"/>
      <c r="AF27" s="465">
        <f>_xll.qlCalendarAdvance(Calendar,AF26,"1d","mf",,Trigger)</f>
        <v>41926</v>
      </c>
      <c r="AG27" s="476">
        <f>_xll.qlDayCounterYearFraction(DayCounterON,SettlementDate,AF27,,,Trigger)</f>
        <v>9.3150684931506855E-2</v>
      </c>
      <c r="AH27" s="466">
        <f t="shared" si="0"/>
        <v>2.6424081602339335E-3</v>
      </c>
      <c r="AI27" s="466">
        <f t="shared" si="1"/>
        <v>2.7306398858680109E-3</v>
      </c>
      <c r="AJ27" s="436">
        <f t="shared" si="2"/>
        <v>2.7472276659032042E-3</v>
      </c>
    </row>
    <row r="28" spans="4:36" x14ac:dyDescent="0.2">
      <c r="AF28" s="465">
        <f>_xll.qlCalendarAdvance(Calendar,AF27,"1d","mf",,Trigger)</f>
        <v>41927</v>
      </c>
      <c r="AG28" s="476">
        <f>_xll.qlDayCounterYearFraction(DayCounterON,SettlementDate,AF28,,,Trigger)</f>
        <v>9.5890410958904104E-2</v>
      </c>
      <c r="AH28" s="466">
        <f t="shared" si="0"/>
        <v>2.6424081602339335E-3</v>
      </c>
      <c r="AI28" s="466">
        <f t="shared" si="1"/>
        <v>2.7290782624054609E-3</v>
      </c>
      <c r="AJ28" s="436">
        <f t="shared" si="2"/>
        <v>2.7446041375586146E-3</v>
      </c>
    </row>
    <row r="29" spans="4:36" ht="12" thickBot="1" x14ac:dyDescent="0.25">
      <c r="AF29" s="465">
        <f>_xll.qlCalendarAdvance(Calendar,AF28,"1d","mf",,Trigger)</f>
        <v>41928</v>
      </c>
      <c r="AG29" s="476">
        <f>_xll.qlDayCounterYearFraction(DayCounterON,SettlementDate,AF29,,,Trigger)</f>
        <v>9.8630136986301367E-2</v>
      </c>
      <c r="AH29" s="466">
        <f t="shared" si="0"/>
        <v>2.6424081602339335E-3</v>
      </c>
      <c r="AI29" s="466">
        <f t="shared" si="1"/>
        <v>2.7275166389429109E-3</v>
      </c>
      <c r="AJ29" s="436">
        <f t="shared" si="2"/>
        <v>2.7419954101274963E-3</v>
      </c>
    </row>
    <row r="30" spans="4:36" ht="12.75" customHeight="1" x14ac:dyDescent="0.2">
      <c r="D30" s="526" t="s">
        <v>198</v>
      </c>
      <c r="AF30" s="465">
        <f>_xll.qlCalendarAdvance(Calendar,AF29,"1d","mf",,Trigger)</f>
        <v>41929</v>
      </c>
      <c r="AG30" s="476">
        <f>_xll.qlDayCounterYearFraction(DayCounterON,SettlementDate,AF30,,,Trigger)</f>
        <v>0.10136986301369863</v>
      </c>
      <c r="AH30" s="466">
        <f t="shared" si="0"/>
        <v>2.6424081602339335E-3</v>
      </c>
      <c r="AI30" s="466">
        <f t="shared" si="1"/>
        <v>2.7259550154803609E-3</v>
      </c>
      <c r="AJ30" s="436">
        <f t="shared" si="2"/>
        <v>2.7394014836098482E-3</v>
      </c>
    </row>
    <row r="31" spans="4:36" x14ac:dyDescent="0.2">
      <c r="D31" s="530" t="s">
        <v>155</v>
      </c>
      <c r="AF31" s="465">
        <f>_xll.qlCalendarAdvance(Calendar,AF30,"1d","mf",,Trigger)</f>
        <v>41932</v>
      </c>
      <c r="AG31" s="476">
        <f>_xll.qlDayCounterYearFraction(DayCounterON,SettlementDate,AF31,,,Trigger)</f>
        <v>0.1095890410958904</v>
      </c>
      <c r="AH31" s="466">
        <f t="shared" si="0"/>
        <v>2.6424081602339335E-3</v>
      </c>
      <c r="AI31" s="466">
        <f t="shared" si="1"/>
        <v>2.7212701450927109E-3</v>
      </c>
      <c r="AJ31" s="436">
        <f t="shared" si="2"/>
        <v>2.7317085095377286E-3</v>
      </c>
    </row>
    <row r="32" spans="4:36" x14ac:dyDescent="0.2">
      <c r="D32" s="466">
        <f t="shared" ref="D32:D41" si="8">IF($D$31="FLAT",M18,IF($D$31="linear",N18,O18))</f>
        <v>2.7047151817688898E-3</v>
      </c>
      <c r="AF32" s="465">
        <f>_xll.qlCalendarAdvance(Calendar,AF31,"1d","mf",,Trigger)</f>
        <v>41933</v>
      </c>
      <c r="AG32" s="476">
        <f>_xll.qlDayCounterYearFraction(DayCounterON,SettlementDate,AF32,,,Trigger)</f>
        <v>0.11232876712328767</v>
      </c>
      <c r="AH32" s="466">
        <f t="shared" si="0"/>
        <v>2.6424081602339335E-3</v>
      </c>
      <c r="AI32" s="466">
        <f t="shared" si="1"/>
        <v>2.7197085216301609E-3</v>
      </c>
      <c r="AJ32" s="436">
        <f t="shared" si="2"/>
        <v>2.7291737866739635E-3</v>
      </c>
    </row>
    <row r="33" spans="4:36" x14ac:dyDescent="0.2">
      <c r="D33" s="466">
        <f t="shared" si="8"/>
        <v>2.2955582892819617E-3</v>
      </c>
      <c r="AF33" s="465">
        <f>_xll.qlCalendarAdvance(Calendar,AF32,"1d","mf",,Trigger)</f>
        <v>41934</v>
      </c>
      <c r="AG33" s="476">
        <f>_xll.qlDayCounterYearFraction(DayCounterON,SettlementDate,AF33,,,Trigger)</f>
        <v>0.11506849315068493</v>
      </c>
      <c r="AH33" s="466">
        <f t="shared" si="0"/>
        <v>2.6424081602339335E-3</v>
      </c>
      <c r="AI33" s="466">
        <f t="shared" si="1"/>
        <v>2.7181468981676109E-3</v>
      </c>
      <c r="AJ33" s="436">
        <f t="shared" si="2"/>
        <v>2.7266538647236684E-3</v>
      </c>
    </row>
    <row r="34" spans="4:36" x14ac:dyDescent="0.2">
      <c r="D34" s="466">
        <f t="shared" si="8"/>
        <v>2.2650966583422703E-3</v>
      </c>
      <c r="AF34" s="465">
        <f>_xll.qlCalendarAdvance(Calendar,AF33,"1d","mf",,Trigger)</f>
        <v>41935</v>
      </c>
      <c r="AG34" s="476">
        <f>_xll.qlDayCounterYearFraction(DayCounterON,SettlementDate,AF34,,,Trigger)</f>
        <v>0.11780821917808219</v>
      </c>
      <c r="AH34" s="466">
        <f t="shared" si="0"/>
        <v>2.6424081602339335E-3</v>
      </c>
      <c r="AI34" s="466">
        <f t="shared" si="1"/>
        <v>2.7165852747050609E-3</v>
      </c>
      <c r="AJ34" s="436">
        <f t="shared" si="2"/>
        <v>2.7241487436868448E-3</v>
      </c>
    </row>
    <row r="35" spans="4:36" x14ac:dyDescent="0.2">
      <c r="D35" s="466">
        <f t="shared" si="8"/>
        <v>2.2848734526882864E-3</v>
      </c>
      <c r="AF35" s="465">
        <f>_xll.qlCalendarAdvance(Calendar,AF34,"1d","mf",,Trigger)</f>
        <v>41936</v>
      </c>
      <c r="AG35" s="476">
        <f>_xll.qlDayCounterYearFraction(DayCounterON,SettlementDate,AF35,,,Trigger)</f>
        <v>0.12054794520547946</v>
      </c>
      <c r="AH35" s="466">
        <f t="shared" ref="AH35:AH66" si="9">$W$13</f>
        <v>2.6424081602339335E-3</v>
      </c>
      <c r="AI35" s="466">
        <f t="shared" ref="AI35:AI66" si="10">$W$10+$W$9*AG35</f>
        <v>2.7150236512425109E-3</v>
      </c>
      <c r="AJ35" s="436">
        <f t="shared" ref="AJ35:AJ66" si="11">($W$5+$W$4*AG35+$W$3*AG35^2)</f>
        <v>2.7216584235634912E-3</v>
      </c>
    </row>
    <row r="36" spans="4:36" x14ac:dyDescent="0.2">
      <c r="D36" s="466">
        <f t="shared" si="8"/>
        <v>2.0554141263452253E-3</v>
      </c>
      <c r="AF36" s="465">
        <f>_xll.qlCalendarAdvance(Calendar,AF35,"1d","mf",,Trigger)</f>
        <v>41939</v>
      </c>
      <c r="AG36" s="476">
        <f>_xll.qlDayCounterYearFraction(DayCounterON,SettlementDate,AF36,,,Trigger)</f>
        <v>0.12876712328767123</v>
      </c>
      <c r="AH36" s="466">
        <f t="shared" si="9"/>
        <v>2.6424081602339335E-3</v>
      </c>
      <c r="AI36" s="466">
        <f t="shared" si="10"/>
        <v>2.7103387808548609E-3</v>
      </c>
      <c r="AJ36" s="436">
        <f t="shared" si="11"/>
        <v>2.7142762686742559E-3</v>
      </c>
    </row>
    <row r="37" spans="4:36" x14ac:dyDescent="0.2">
      <c r="D37" s="466">
        <f t="shared" si="8"/>
        <v>2.0380974997801565E-3</v>
      </c>
      <c r="AF37" s="465">
        <f>_xll.qlCalendarAdvance(Calendar,AF36,"1d","mf",,Trigger)</f>
        <v>41940</v>
      </c>
      <c r="AG37" s="476">
        <f>_xll.qlDayCounterYearFraction(DayCounterON,SettlementDate,AF37,,,Trigger)</f>
        <v>0.13150684931506848</v>
      </c>
      <c r="AH37" s="466">
        <f t="shared" si="9"/>
        <v>2.6424081602339335E-3</v>
      </c>
      <c r="AI37" s="466">
        <f t="shared" si="10"/>
        <v>2.7087771573923109E-3</v>
      </c>
      <c r="AJ37" s="436">
        <f t="shared" si="11"/>
        <v>2.7118451522047849E-3</v>
      </c>
    </row>
    <row r="38" spans="4:36" x14ac:dyDescent="0.2">
      <c r="D38" s="466">
        <f t="shared" si="8"/>
        <v>1.9827201125782691E-3</v>
      </c>
      <c r="AF38" s="465">
        <f>_xll.qlCalendarAdvance(Calendar,AF37,"1d","mf",,Trigger)</f>
        <v>41941</v>
      </c>
      <c r="AG38" s="476">
        <f>_xll.qlDayCounterYearFraction(DayCounterON,SettlementDate,AF38,,,Trigger)</f>
        <v>0.13424657534246576</v>
      </c>
      <c r="AH38" s="466">
        <f t="shared" si="9"/>
        <v>2.6424081602339335E-3</v>
      </c>
      <c r="AI38" s="466">
        <f t="shared" si="10"/>
        <v>2.7072155339297604E-3</v>
      </c>
      <c r="AJ38" s="436">
        <f t="shared" si="11"/>
        <v>2.7094288366487852E-3</v>
      </c>
    </row>
    <row r="39" spans="4:36" x14ac:dyDescent="0.2">
      <c r="D39" s="466">
        <f t="shared" si="8"/>
        <v>1.9817459280199062E-3</v>
      </c>
      <c r="AF39" s="465">
        <f>_xll.qlCalendarAdvance(Calendar,AF38,"1d","mf",,Trigger)</f>
        <v>41942</v>
      </c>
      <c r="AG39" s="476">
        <f>_xll.qlDayCounterYearFraction(DayCounterON,SettlementDate,AF39,,,Trigger)</f>
        <v>0.13698630136986301</v>
      </c>
      <c r="AH39" s="466">
        <f t="shared" si="9"/>
        <v>2.6424081602339335E-3</v>
      </c>
      <c r="AI39" s="466">
        <f t="shared" si="10"/>
        <v>2.7056539104672104E-3</v>
      </c>
      <c r="AJ39" s="436">
        <f t="shared" si="11"/>
        <v>2.7070273220062562E-3</v>
      </c>
    </row>
    <row r="40" spans="4:36" x14ac:dyDescent="0.2">
      <c r="D40" s="466">
        <f t="shared" si="8"/>
        <v>1.9481157501250463E-3</v>
      </c>
      <c r="AF40" s="465">
        <f>_xll.qlCalendarAdvance(Calendar,AF39,"1d","mf",,Trigger)</f>
        <v>41943</v>
      </c>
      <c r="AG40" s="476">
        <f>_xll.qlDayCounterYearFraction(DayCounterON,SettlementDate,AF40,,,Trigger)</f>
        <v>0.13972602739726028</v>
      </c>
      <c r="AH40" s="466">
        <f t="shared" si="9"/>
        <v>2.6424081602339335E-3</v>
      </c>
      <c r="AI40" s="466">
        <f t="shared" si="10"/>
        <v>2.7040922870046604E-3</v>
      </c>
      <c r="AJ40" s="436">
        <f t="shared" si="11"/>
        <v>2.7046406082771972E-3</v>
      </c>
    </row>
    <row r="41" spans="4:36" ht="12" thickBot="1" x14ac:dyDescent="0.25">
      <c r="D41" s="468">
        <f t="shared" si="8"/>
        <v>1.8964762512345937E-3</v>
      </c>
      <c r="AF41" s="465">
        <f>_xll.qlCalendarAdvance(Calendar,AF40,"1d","mf",,Trigger)</f>
        <v>41946</v>
      </c>
      <c r="AG41" s="476">
        <f>_xll.qlDayCounterYearFraction(DayCounterON,SettlementDate,AF41,,,Trigger)</f>
        <v>0.14794520547945206</v>
      </c>
      <c r="AH41" s="466">
        <f t="shared" si="9"/>
        <v>2.6424081602339335E-3</v>
      </c>
      <c r="AI41" s="466">
        <f t="shared" si="10"/>
        <v>2.6994074166170104E-3</v>
      </c>
      <c r="AJ41" s="436">
        <f t="shared" si="11"/>
        <v>2.697569272570846E-3</v>
      </c>
    </row>
    <row r="42" spans="4:36" x14ac:dyDescent="0.2">
      <c r="AF42" s="465">
        <f>_xll.qlCalendarAdvance(Calendar,AF41,"1d","mf",,Trigger)</f>
        <v>41947</v>
      </c>
      <c r="AG42" s="476">
        <f>_xll.qlDayCounterYearFraction(DayCounterON,SettlementDate,AF42,,,Trigger)</f>
        <v>0.15068493150684931</v>
      </c>
      <c r="AH42" s="466">
        <f t="shared" si="9"/>
        <v>2.6424081602339335E-3</v>
      </c>
      <c r="AI42" s="466">
        <f t="shared" si="10"/>
        <v>2.6978457931544604E-3</v>
      </c>
      <c r="AJ42" s="436">
        <f t="shared" si="11"/>
        <v>2.69524176249567E-3</v>
      </c>
    </row>
    <row r="43" spans="4:36" ht="11.25" customHeight="1" x14ac:dyDescent="0.2">
      <c r="N43" s="528"/>
      <c r="AF43" s="465">
        <f>_xll.qlCalendarAdvance(Calendar,AF42,"1d","mf",,Trigger)</f>
        <v>41948</v>
      </c>
      <c r="AG43" s="476">
        <f>_xll.qlDayCounterYearFraction(DayCounterON,SettlementDate,AF43,,,Trigger)</f>
        <v>0.15342465753424658</v>
      </c>
      <c r="AH43" s="466">
        <f t="shared" si="9"/>
        <v>2.6424081602339335E-3</v>
      </c>
      <c r="AI43" s="466">
        <f t="shared" si="10"/>
        <v>2.6962841696919104E-3</v>
      </c>
      <c r="AJ43" s="436">
        <f t="shared" si="11"/>
        <v>2.692929053333965E-3</v>
      </c>
    </row>
    <row r="44" spans="4:36" x14ac:dyDescent="0.2">
      <c r="J44" s="447"/>
      <c r="K44" s="447"/>
      <c r="N44" s="528"/>
      <c r="AF44" s="465">
        <f>_xll.qlCalendarAdvance(Calendar,AF43,"1d","mf",,Trigger)</f>
        <v>41949</v>
      </c>
      <c r="AG44" s="476">
        <f>_xll.qlDayCounterYearFraction(DayCounterON,SettlementDate,AF44,,,Trigger)</f>
        <v>0.15616438356164383</v>
      </c>
      <c r="AH44" s="466">
        <f t="shared" si="9"/>
        <v>2.6424081602339335E-3</v>
      </c>
      <c r="AI44" s="466">
        <f t="shared" si="10"/>
        <v>2.6947225462293604E-3</v>
      </c>
      <c r="AJ44" s="436">
        <f t="shared" si="11"/>
        <v>2.6906311450857301E-3</v>
      </c>
    </row>
    <row r="45" spans="4:36" x14ac:dyDescent="0.2">
      <c r="N45" s="528"/>
      <c r="AF45" s="465">
        <f>_xll.qlCalendarAdvance(Calendar,AF44,"1d","mf",,Trigger)</f>
        <v>41950</v>
      </c>
      <c r="AG45" s="476">
        <f>_xll.qlDayCounterYearFraction(DayCounterON,SettlementDate,AF45,,,Trigger)</f>
        <v>0.15890410958904111</v>
      </c>
      <c r="AH45" s="466">
        <f t="shared" si="9"/>
        <v>2.6424081602339335E-3</v>
      </c>
      <c r="AI45" s="466">
        <f t="shared" si="10"/>
        <v>2.6931609227668104E-3</v>
      </c>
      <c r="AJ45" s="436">
        <f t="shared" si="11"/>
        <v>2.6883480377509665E-3</v>
      </c>
    </row>
    <row r="46" spans="4:36" x14ac:dyDescent="0.2">
      <c r="N46" s="528"/>
      <c r="AF46" s="465">
        <f>_xll.qlCalendarAdvance(Calendar,AF45,"1d","mf",,Trigger)</f>
        <v>41953</v>
      </c>
      <c r="AG46" s="476">
        <f>_xll.qlDayCounterYearFraction(DayCounterON,SettlementDate,AF46,,,Trigger)</f>
        <v>0.16712328767123288</v>
      </c>
      <c r="AH46" s="466">
        <f t="shared" si="9"/>
        <v>2.6424081602339335E-3</v>
      </c>
      <c r="AI46" s="466">
        <f t="shared" si="10"/>
        <v>2.6884760523791604E-3</v>
      </c>
      <c r="AJ46" s="436">
        <f t="shared" si="11"/>
        <v>2.6815875212274991E-3</v>
      </c>
    </row>
    <row r="47" spans="4:36" x14ac:dyDescent="0.2">
      <c r="N47" s="528"/>
      <c r="AF47" s="465">
        <f>_xll.qlCalendarAdvance(Calendar,AF46,"1d","mf",,Trigger)</f>
        <v>41954</v>
      </c>
      <c r="AG47" s="476">
        <f>_xll.qlDayCounterYearFraction(DayCounterON,SettlementDate,AF47,,,Trigger)</f>
        <v>0.16986301369863013</v>
      </c>
      <c r="AH47" s="466">
        <f t="shared" si="9"/>
        <v>2.6424081602339335E-3</v>
      </c>
      <c r="AI47" s="466">
        <f t="shared" si="10"/>
        <v>2.6869144289166104E-3</v>
      </c>
      <c r="AJ47" s="436">
        <f t="shared" si="11"/>
        <v>2.6793636175466177E-3</v>
      </c>
    </row>
    <row r="48" spans="4:36" x14ac:dyDescent="0.2">
      <c r="AF48" s="465">
        <f>_xll.qlCalendarAdvance(Calendar,AF47,"1d","mf",,Trigger)</f>
        <v>41955</v>
      </c>
      <c r="AG48" s="476">
        <f>_xll.qlDayCounterYearFraction(DayCounterON,SettlementDate,AF48,,,Trigger)</f>
        <v>0.17260273972602741</v>
      </c>
      <c r="AH48" s="466">
        <f t="shared" si="9"/>
        <v>2.6424081602339335E-3</v>
      </c>
      <c r="AI48" s="466">
        <f t="shared" si="10"/>
        <v>2.6853528054540604E-3</v>
      </c>
      <c r="AJ48" s="436">
        <f t="shared" si="11"/>
        <v>2.6771545147792073E-3</v>
      </c>
    </row>
    <row r="49" spans="10:36" x14ac:dyDescent="0.2">
      <c r="AF49" s="465">
        <f>_xll.qlCalendarAdvance(Calendar,AF48,"1d","mf",,Trigger)</f>
        <v>41956</v>
      </c>
      <c r="AG49" s="476">
        <f>_xll.qlDayCounterYearFraction(DayCounterON,SettlementDate,AF49,,,Trigger)</f>
        <v>0.17534246575342466</v>
      </c>
      <c r="AH49" s="466">
        <f t="shared" si="9"/>
        <v>2.6424081602339335E-3</v>
      </c>
      <c r="AI49" s="466">
        <f t="shared" si="10"/>
        <v>2.6837911819915104E-3</v>
      </c>
      <c r="AJ49" s="436">
        <f t="shared" si="11"/>
        <v>2.6749602129252674E-3</v>
      </c>
    </row>
    <row r="50" spans="10:36" x14ac:dyDescent="0.2">
      <c r="AF50" s="465">
        <f>_xll.qlCalendarAdvance(Calendar,AF49,"1d","mf",,Trigger)</f>
        <v>41957</v>
      </c>
      <c r="AG50" s="476">
        <f>_xll.qlDayCounterYearFraction(DayCounterON,SettlementDate,AF50,,,Trigger)</f>
        <v>0.17808219178082191</v>
      </c>
      <c r="AH50" s="466">
        <f t="shared" si="9"/>
        <v>2.6424081602339335E-3</v>
      </c>
      <c r="AI50" s="466">
        <f t="shared" si="10"/>
        <v>2.6822295585289604E-3</v>
      </c>
      <c r="AJ50" s="436">
        <f t="shared" si="11"/>
        <v>2.6727807119847984E-3</v>
      </c>
    </row>
    <row r="51" spans="10:36" x14ac:dyDescent="0.2">
      <c r="AF51" s="465">
        <f>_xll.qlCalendarAdvance(Calendar,AF50,"1d","mf",,Trigger)</f>
        <v>41960</v>
      </c>
      <c r="AG51" s="476">
        <f>_xll.qlDayCounterYearFraction(DayCounterON,SettlementDate,AF51,,,Trigger)</f>
        <v>0.18630136986301371</v>
      </c>
      <c r="AH51" s="466">
        <f t="shared" si="9"/>
        <v>2.6424081602339335E-3</v>
      </c>
      <c r="AI51" s="466">
        <f t="shared" si="10"/>
        <v>2.67754468814131E-3</v>
      </c>
      <c r="AJ51" s="436">
        <f t="shared" si="11"/>
        <v>2.6663310146442147E-3</v>
      </c>
    </row>
    <row r="52" spans="10:36" x14ac:dyDescent="0.2">
      <c r="AF52" s="465">
        <f>_xll.qlCalendarAdvance(Calendar,AF51,"1d","mf",,Trigger)</f>
        <v>41961</v>
      </c>
      <c r="AG52" s="476">
        <f>_xll.qlDayCounterYearFraction(DayCounterON,SettlementDate,AF52,,,Trigger)</f>
        <v>0.18904109589041096</v>
      </c>
      <c r="AH52" s="466">
        <f t="shared" si="9"/>
        <v>2.6424081602339335E-3</v>
      </c>
      <c r="AI52" s="466">
        <f t="shared" si="10"/>
        <v>2.67598306467876E-3</v>
      </c>
      <c r="AJ52" s="436">
        <f t="shared" si="11"/>
        <v>2.6642107173576283E-3</v>
      </c>
    </row>
    <row r="53" spans="10:36" x14ac:dyDescent="0.2">
      <c r="AF53" s="465">
        <f>_xll.qlCalendarAdvance(Calendar,AF52,"1d","mf",,Trigger)</f>
        <v>41962</v>
      </c>
      <c r="AG53" s="476">
        <f>_xll.qlDayCounterYearFraction(DayCounterON,SettlementDate,AF53,,,Trigger)</f>
        <v>0.19178082191780821</v>
      </c>
      <c r="AH53" s="466">
        <f t="shared" si="9"/>
        <v>2.6424081602339335E-3</v>
      </c>
      <c r="AI53" s="466">
        <f t="shared" si="10"/>
        <v>2.67442144121621E-3</v>
      </c>
      <c r="AJ53" s="436">
        <f t="shared" si="11"/>
        <v>2.6621052209845129E-3</v>
      </c>
    </row>
    <row r="54" spans="10:36" x14ac:dyDescent="0.2">
      <c r="AF54" s="465">
        <f>_xll.qlCalendarAdvance(Calendar,AF53,"1d","mf",,Trigger)</f>
        <v>41963</v>
      </c>
      <c r="AG54" s="476">
        <f>_xll.qlDayCounterYearFraction(DayCounterON,SettlementDate,AF54,,,Trigger)</f>
        <v>0.19452054794520549</v>
      </c>
      <c r="AH54" s="466">
        <f t="shared" si="9"/>
        <v>2.6424081602339335E-3</v>
      </c>
      <c r="AI54" s="466">
        <f t="shared" si="10"/>
        <v>2.67285981775366E-3</v>
      </c>
      <c r="AJ54" s="436">
        <f t="shared" si="11"/>
        <v>2.6600145255248676E-3</v>
      </c>
    </row>
    <row r="55" spans="10:36" x14ac:dyDescent="0.2">
      <c r="AF55" s="465">
        <f>_xll.qlCalendarAdvance(Calendar,AF54,"1d","mf",,Trigger)</f>
        <v>41964</v>
      </c>
      <c r="AG55" s="476">
        <f>_xll.qlDayCounterYearFraction(DayCounterON,SettlementDate,AF55,,,Trigger)</f>
        <v>0.19726027397260273</v>
      </c>
      <c r="AH55" s="466">
        <f t="shared" si="9"/>
        <v>2.6424081602339335E-3</v>
      </c>
      <c r="AI55" s="466">
        <f t="shared" si="10"/>
        <v>2.67129819429111E-3</v>
      </c>
      <c r="AJ55" s="436">
        <f t="shared" si="11"/>
        <v>2.6579386309786932E-3</v>
      </c>
    </row>
    <row r="56" spans="10:36" x14ac:dyDescent="0.2">
      <c r="AF56" s="465">
        <f>_xll.qlCalendarAdvance(Calendar,AF55,"1d","mf",,Trigger)</f>
        <v>41967</v>
      </c>
      <c r="AG56" s="476">
        <f>_xll.qlDayCounterYearFraction(DayCounterON,SettlementDate,AF56,,,Trigger)</f>
        <v>0.20547945205479451</v>
      </c>
      <c r="AH56" s="466">
        <f t="shared" si="9"/>
        <v>2.6424081602339335E-3</v>
      </c>
      <c r="AI56" s="466">
        <f t="shared" si="10"/>
        <v>2.66661332390346E-3</v>
      </c>
      <c r="AJ56" s="436">
        <f t="shared" si="11"/>
        <v>2.6517997528209937E-3</v>
      </c>
    </row>
    <row r="57" spans="10:36" x14ac:dyDescent="0.2">
      <c r="AF57" s="465">
        <f>_xll.qlCalendarAdvance(Calendar,AF56,"1d","mf",,Trigger)</f>
        <v>41968</v>
      </c>
      <c r="AG57" s="476">
        <f>_xll.qlDayCounterYearFraction(DayCounterON,SettlementDate,AF57,,,Trigger)</f>
        <v>0.20821917808219179</v>
      </c>
      <c r="AH57" s="466">
        <f t="shared" si="9"/>
        <v>2.6424081602339335E-3</v>
      </c>
      <c r="AI57" s="466">
        <f t="shared" si="10"/>
        <v>2.66505170044091E-3</v>
      </c>
      <c r="AJ57" s="436">
        <f t="shared" si="11"/>
        <v>2.6497830619287019E-3</v>
      </c>
    </row>
    <row r="58" spans="10:36" x14ac:dyDescent="0.2">
      <c r="AF58" s="465">
        <f>_xll.qlCalendarAdvance(Calendar,AF57,"1d","mf",,Trigger)</f>
        <v>41969</v>
      </c>
      <c r="AG58" s="476">
        <f>_xll.qlDayCounterYearFraction(DayCounterON,SettlementDate,AF58,,,Trigger)</f>
        <v>0.21095890410958903</v>
      </c>
      <c r="AH58" s="466">
        <f t="shared" si="9"/>
        <v>2.6424081602339335E-3</v>
      </c>
      <c r="AI58" s="466">
        <f t="shared" si="10"/>
        <v>2.66349007697836E-3</v>
      </c>
      <c r="AJ58" s="436">
        <f t="shared" si="11"/>
        <v>2.6477811719498806E-3</v>
      </c>
    </row>
    <row r="59" spans="10:36" x14ac:dyDescent="0.2">
      <c r="AF59" s="465">
        <f>_xll.qlCalendarAdvance(Calendar,AF58,"1d","mf",,Trigger)</f>
        <v>41970</v>
      </c>
      <c r="AG59" s="476">
        <f>_xll.qlDayCounterYearFraction(DayCounterON,SettlementDate,AF59,,,Trigger)</f>
        <v>0.21369863013698631</v>
      </c>
      <c r="AH59" s="466">
        <f t="shared" si="9"/>
        <v>2.6424081602339335E-3</v>
      </c>
      <c r="AI59" s="466">
        <f t="shared" si="10"/>
        <v>2.66192845351581E-3</v>
      </c>
      <c r="AJ59" s="436">
        <f t="shared" si="11"/>
        <v>2.6457940828845308E-3</v>
      </c>
    </row>
    <row r="60" spans="10:36" x14ac:dyDescent="0.2">
      <c r="AF60" s="465">
        <f>_xll.qlCalendarAdvance(Calendar,AF59,"1d","mf",,Trigger)</f>
        <v>41971</v>
      </c>
      <c r="AG60" s="476">
        <f>_xll.qlDayCounterYearFraction(DayCounterON,SettlementDate,AF60,,,Trigger)</f>
        <v>0.21643835616438356</v>
      </c>
      <c r="AH60" s="466">
        <f t="shared" si="9"/>
        <v>2.6424081602339335E-3</v>
      </c>
      <c r="AI60" s="466">
        <f t="shared" si="10"/>
        <v>2.66036683005326E-3</v>
      </c>
      <c r="AJ60" s="436">
        <f t="shared" si="11"/>
        <v>2.6438217947326505E-3</v>
      </c>
    </row>
    <row r="61" spans="10:36" x14ac:dyDescent="0.2">
      <c r="AF61" s="465">
        <f>_xll.qlCalendarAdvance(Calendar,AF60,"1d","mf",,Trigger)</f>
        <v>41974</v>
      </c>
      <c r="AG61" s="476">
        <f>_xll.qlDayCounterYearFraction(DayCounterON,SettlementDate,AF61,,,Trigger)</f>
        <v>0.22465753424657534</v>
      </c>
      <c r="AH61" s="466">
        <f t="shared" si="9"/>
        <v>2.6424081602339335E-3</v>
      </c>
      <c r="AI61" s="466">
        <f t="shared" si="10"/>
        <v>2.65568195966561E-3</v>
      </c>
      <c r="AJ61" s="436">
        <f t="shared" si="11"/>
        <v>2.6379937357578357E-3</v>
      </c>
    </row>
    <row r="62" spans="10:36" x14ac:dyDescent="0.2">
      <c r="AF62" s="465">
        <f>_xll.qlCalendarAdvance(Calendar,AF61,"1d","mf",,Trigger)</f>
        <v>41975</v>
      </c>
      <c r="AG62" s="476">
        <f>_xll.qlDayCounterYearFraction(DayCounterON,SettlementDate,AF62,,,Trigger)</f>
        <v>0.22739726027397261</v>
      </c>
      <c r="AH62" s="466">
        <f t="shared" si="9"/>
        <v>2.6424081602339335E-3</v>
      </c>
      <c r="AI62" s="466">
        <f t="shared" si="10"/>
        <v>2.65412033620306E-3</v>
      </c>
      <c r="AJ62" s="436">
        <f t="shared" si="11"/>
        <v>2.6360806512598389E-3</v>
      </c>
    </row>
    <row r="63" spans="10:36" x14ac:dyDescent="0.2">
      <c r="J63" s="447"/>
      <c r="AF63" s="465">
        <f>_xll.qlCalendarAdvance(Calendar,AF62,"1d","mf",,Trigger)</f>
        <v>41976</v>
      </c>
      <c r="AG63" s="476">
        <f>_xll.qlDayCounterYearFraction(DayCounterON,SettlementDate,AF63,,,Trigger)</f>
        <v>0.23013698630136986</v>
      </c>
      <c r="AH63" s="466">
        <f t="shared" si="9"/>
        <v>2.6424081602339335E-3</v>
      </c>
      <c r="AI63" s="466">
        <f t="shared" si="10"/>
        <v>2.65255871274051E-3</v>
      </c>
      <c r="AJ63" s="436">
        <f t="shared" si="11"/>
        <v>2.6341823676753122E-3</v>
      </c>
    </row>
    <row r="64" spans="10:36" x14ac:dyDescent="0.2">
      <c r="J64" s="447"/>
      <c r="AF64" s="465">
        <f>_xll.qlCalendarAdvance(Calendar,AF63,"1d","mf",,Trigger)</f>
        <v>41977</v>
      </c>
      <c r="AG64" s="476">
        <f>_xll.qlDayCounterYearFraction(DayCounterON,SettlementDate,AF64,,,Trigger)</f>
        <v>0.23287671232876711</v>
      </c>
      <c r="AH64" s="466">
        <f t="shared" si="9"/>
        <v>2.6424081602339335E-3</v>
      </c>
      <c r="AI64" s="466">
        <f t="shared" si="10"/>
        <v>2.65099708927796E-3</v>
      </c>
      <c r="AJ64" s="436">
        <f t="shared" si="11"/>
        <v>2.6322988850042564E-3</v>
      </c>
    </row>
    <row r="65" spans="10:36" x14ac:dyDescent="0.2">
      <c r="J65" s="447"/>
      <c r="AF65" s="465">
        <f>_xll.qlCalendarAdvance(Calendar,AF64,"1d","mf",,Trigger)</f>
        <v>41978</v>
      </c>
      <c r="AG65" s="476">
        <f>_xll.qlDayCounterYearFraction(DayCounterON,SettlementDate,AF65,,,Trigger)</f>
        <v>0.23561643835616439</v>
      </c>
      <c r="AH65" s="466">
        <f t="shared" si="9"/>
        <v>2.6424081602339335E-3</v>
      </c>
      <c r="AI65" s="466">
        <f t="shared" si="10"/>
        <v>2.64943546581541E-3</v>
      </c>
      <c r="AJ65" s="436">
        <f t="shared" si="11"/>
        <v>2.6304302032466712E-3</v>
      </c>
    </row>
    <row r="66" spans="10:36" x14ac:dyDescent="0.2">
      <c r="J66" s="447"/>
      <c r="AF66" s="465">
        <f>_xll.qlCalendarAdvance(Calendar,AF65,"1d","mf",,Trigger)</f>
        <v>41981</v>
      </c>
      <c r="AG66" s="476">
        <f>_xll.qlDayCounterYearFraction(DayCounterON,SettlementDate,AF66,,,Trigger)</f>
        <v>0.24383561643835616</v>
      </c>
      <c r="AH66" s="466">
        <f t="shared" si="9"/>
        <v>2.6424081602339335E-3</v>
      </c>
      <c r="AI66" s="466">
        <f t="shared" si="10"/>
        <v>2.6447505954277596E-3</v>
      </c>
      <c r="AJ66" s="436">
        <f t="shared" si="11"/>
        <v>2.6249129634547405E-3</v>
      </c>
    </row>
    <row r="67" spans="10:36" x14ac:dyDescent="0.2">
      <c r="J67" s="447"/>
      <c r="AF67" s="465">
        <f>_xll.qlCalendarAdvance(Calendar,AF66,"1d","mf",,Trigger)</f>
        <v>41982</v>
      </c>
      <c r="AG67" s="476">
        <f>_xll.qlDayCounterYearFraction(DayCounterON,SettlementDate,AF67,,,Trigger)</f>
        <v>0.24657534246575341</v>
      </c>
      <c r="AH67" s="466">
        <f t="shared" ref="AH67:AH98" si="12">$W$13</f>
        <v>2.6424081602339335E-3</v>
      </c>
      <c r="AI67" s="466">
        <f t="shared" ref="AI67:AI98" si="13">$W$10+$W$9*AG67</f>
        <v>2.6431889719652096E-3</v>
      </c>
      <c r="AJ67" s="436">
        <f t="shared" ref="AJ67:AJ98" si="14">($W$5+$W$4*AG67+$W$3*AG67^2)</f>
        <v>2.6231034853510383E-3</v>
      </c>
    </row>
    <row r="68" spans="10:36" x14ac:dyDescent="0.2">
      <c r="J68" s="447"/>
      <c r="AF68" s="465">
        <f>_xll.qlCalendarAdvance(Calendar,AF67,"1d","mf",,Trigger)</f>
        <v>41983</v>
      </c>
      <c r="AG68" s="476">
        <f>_xll.qlDayCounterYearFraction(DayCounterON,SettlementDate,AF68,,,Trigger)</f>
        <v>0.24931506849315069</v>
      </c>
      <c r="AH68" s="466">
        <f t="shared" si="12"/>
        <v>2.6424081602339335E-3</v>
      </c>
      <c r="AI68" s="466">
        <f t="shared" si="13"/>
        <v>2.6416273485026596E-3</v>
      </c>
      <c r="AJ68" s="436">
        <f t="shared" si="14"/>
        <v>2.6213088081608062E-3</v>
      </c>
    </row>
    <row r="69" spans="10:36" x14ac:dyDescent="0.2">
      <c r="J69" s="447"/>
      <c r="K69" s="447"/>
      <c r="AF69" s="465">
        <f>_xll.qlCalendarAdvance(Calendar,AF68,"1d","mf",,Trigger)</f>
        <v>41984</v>
      </c>
      <c r="AG69" s="476">
        <f>_xll.qlDayCounterYearFraction(DayCounterON,SettlementDate,AF69,,,Trigger)</f>
        <v>0.25205479452054796</v>
      </c>
      <c r="AH69" s="466">
        <f t="shared" si="12"/>
        <v>2.6424081602339335E-3</v>
      </c>
      <c r="AI69" s="466">
        <f t="shared" si="13"/>
        <v>2.6400657250401096E-3</v>
      </c>
      <c r="AJ69" s="436">
        <f t="shared" si="14"/>
        <v>2.6195289318840455E-3</v>
      </c>
    </row>
    <row r="70" spans="10:36" x14ac:dyDescent="0.2">
      <c r="J70" s="447"/>
      <c r="K70" s="447"/>
      <c r="AF70" s="465">
        <f>_xll.qlCalendarAdvance(Calendar,AF69,"1d","mf",,Trigger)</f>
        <v>41985</v>
      </c>
      <c r="AG70" s="476">
        <f>_xll.qlDayCounterYearFraction(DayCounterON,SettlementDate,AF70,,,Trigger)</f>
        <v>0.25479452054794521</v>
      </c>
      <c r="AH70" s="466">
        <f t="shared" si="12"/>
        <v>2.6424081602339335E-3</v>
      </c>
      <c r="AI70" s="466">
        <f t="shared" si="13"/>
        <v>2.6385041015775596E-3</v>
      </c>
      <c r="AJ70" s="436">
        <f t="shared" si="14"/>
        <v>2.6177638565207549E-3</v>
      </c>
    </row>
    <row r="71" spans="10:36" x14ac:dyDescent="0.2">
      <c r="J71" s="447"/>
      <c r="K71" s="447"/>
      <c r="AF71" s="465">
        <f>_xll.qlCalendarAdvance(Calendar,AF70,"1d","mf",,Trigger)</f>
        <v>41988</v>
      </c>
      <c r="AG71" s="476">
        <f>_xll.qlDayCounterYearFraction(DayCounterON,SettlementDate,AF71,,,Trigger)</f>
        <v>0.26301369863013696</v>
      </c>
      <c r="AH71" s="466">
        <f t="shared" si="12"/>
        <v>2.6424081602339335E-3</v>
      </c>
      <c r="AI71" s="466">
        <f t="shared" si="13"/>
        <v>2.6338192311899096E-3</v>
      </c>
      <c r="AJ71" s="436">
        <f t="shared" si="14"/>
        <v>2.6125574359117084E-3</v>
      </c>
    </row>
    <row r="72" spans="10:36" x14ac:dyDescent="0.2">
      <c r="J72" s="447"/>
      <c r="K72" s="447"/>
      <c r="AF72" s="465">
        <f>_xll.qlCalendarAdvance(Calendar,AF71,"1d","mf",,Trigger)</f>
        <v>41989</v>
      </c>
      <c r="AG72" s="476">
        <f>_xll.qlDayCounterYearFraction(DayCounterON,SettlementDate,AF72,,,Trigger)</f>
        <v>0.26575342465753427</v>
      </c>
      <c r="AH72" s="466">
        <f t="shared" si="12"/>
        <v>2.6424081602339335E-3</v>
      </c>
      <c r="AI72" s="466">
        <f t="shared" si="13"/>
        <v>2.6322576077273596E-3</v>
      </c>
      <c r="AJ72" s="436">
        <f t="shared" si="14"/>
        <v>2.6108515642023003E-3</v>
      </c>
    </row>
    <row r="73" spans="10:36" x14ac:dyDescent="0.2">
      <c r="J73" s="447"/>
      <c r="K73" s="447"/>
      <c r="AF73" s="465">
        <f>_xll.qlCalendarAdvance(Calendar,AF72,"1d","mf",,Trigger)</f>
        <v>41990</v>
      </c>
      <c r="AG73" s="476">
        <f>_xll.qlDayCounterYearFraction(DayCounterON,SettlementDate,AF73,,,Trigger)</f>
        <v>0.26849315068493151</v>
      </c>
      <c r="AH73" s="466">
        <f t="shared" si="12"/>
        <v>2.6424081602339335E-3</v>
      </c>
      <c r="AI73" s="466">
        <f t="shared" si="13"/>
        <v>2.6306959842648096E-3</v>
      </c>
      <c r="AJ73" s="436">
        <f t="shared" si="14"/>
        <v>2.6091604934063636E-3</v>
      </c>
    </row>
    <row r="74" spans="10:36" x14ac:dyDescent="0.2">
      <c r="J74" s="447"/>
      <c r="K74" s="447"/>
      <c r="AF74" s="465">
        <f>_xll.qlCalendarAdvance(Calendar,AF73,"1d","mf",,Trigger)</f>
        <v>41991</v>
      </c>
      <c r="AG74" s="476">
        <f>_xll.qlDayCounterYearFraction(DayCounterON,SettlementDate,AF74,,,Trigger)</f>
        <v>0.27123287671232876</v>
      </c>
      <c r="AH74" s="466">
        <f t="shared" si="12"/>
        <v>2.6424081602339335E-3</v>
      </c>
      <c r="AI74" s="466">
        <f t="shared" si="13"/>
        <v>2.6291343608022596E-3</v>
      </c>
      <c r="AJ74" s="436">
        <f t="shared" si="14"/>
        <v>2.6074842235238975E-3</v>
      </c>
    </row>
    <row r="75" spans="10:36" x14ac:dyDescent="0.2">
      <c r="J75" s="447"/>
      <c r="K75" s="447"/>
      <c r="AF75" s="465">
        <f>_xll.qlCalendarAdvance(Calendar,AF74,"1d","mf",,Trigger)</f>
        <v>41992</v>
      </c>
      <c r="AG75" s="476">
        <f>_xll.qlDayCounterYearFraction(DayCounterON,SettlementDate,AF75,,,Trigger)</f>
        <v>0.27397260273972601</v>
      </c>
      <c r="AH75" s="466">
        <f t="shared" si="12"/>
        <v>2.6424081602339335E-3</v>
      </c>
      <c r="AI75" s="466">
        <f t="shared" si="13"/>
        <v>2.6275727373397096E-3</v>
      </c>
      <c r="AJ75" s="436">
        <f t="shared" si="14"/>
        <v>2.6058227545549015E-3</v>
      </c>
    </row>
    <row r="76" spans="10:36" x14ac:dyDescent="0.2">
      <c r="J76" s="447"/>
      <c r="K76" s="447"/>
      <c r="AF76" s="465">
        <f>_xll.qlCalendarAdvance(Calendar,AF75,"1d","mf",,Trigger)</f>
        <v>41995</v>
      </c>
      <c r="AG76" s="476">
        <f>_xll.qlDayCounterYearFraction(DayCounterON,SettlementDate,AF76,,,Trigger)</f>
        <v>0.28219178082191781</v>
      </c>
      <c r="AH76" s="466">
        <f t="shared" si="12"/>
        <v>2.6424081602339335E-3</v>
      </c>
      <c r="AI76" s="466">
        <f t="shared" si="13"/>
        <v>2.6228878669520596E-3</v>
      </c>
      <c r="AJ76" s="436">
        <f t="shared" si="14"/>
        <v>2.6009271531287387E-3</v>
      </c>
    </row>
    <row r="77" spans="10:36" x14ac:dyDescent="0.2">
      <c r="J77" s="447"/>
      <c r="K77" s="447"/>
      <c r="AF77" s="465">
        <f>_xll.qlCalendarAdvance(Calendar,AF76,"1d","mf",,Trigger)</f>
        <v>41996</v>
      </c>
      <c r="AG77" s="476">
        <f>_xll.qlDayCounterYearFraction(DayCounterON,SettlementDate,AF77,,,Trigger)</f>
        <v>0.28493150684931506</v>
      </c>
      <c r="AH77" s="466">
        <f t="shared" si="12"/>
        <v>2.6424081602339335E-3</v>
      </c>
      <c r="AI77" s="466">
        <f t="shared" si="13"/>
        <v>2.6213262434895096E-3</v>
      </c>
      <c r="AJ77" s="436">
        <f t="shared" si="14"/>
        <v>2.5993248878136256E-3</v>
      </c>
    </row>
    <row r="78" spans="10:36" x14ac:dyDescent="0.2">
      <c r="J78" s="447"/>
      <c r="K78" s="447"/>
      <c r="AF78" s="465">
        <f>_xll.qlCalendarAdvance(Calendar,AF77,"1d","mf",,Trigger)</f>
        <v>41997</v>
      </c>
      <c r="AG78" s="476">
        <f>_xll.qlDayCounterYearFraction(DayCounterON,SettlementDate,AF78,,,Trigger)</f>
        <v>0.28767123287671231</v>
      </c>
      <c r="AH78" s="466">
        <f t="shared" si="12"/>
        <v>2.6424081602339335E-3</v>
      </c>
      <c r="AI78" s="466">
        <f t="shared" si="13"/>
        <v>2.6197646200269596E-3</v>
      </c>
      <c r="AJ78" s="436">
        <f t="shared" si="14"/>
        <v>2.5977374234119836E-3</v>
      </c>
    </row>
    <row r="79" spans="10:36" x14ac:dyDescent="0.2">
      <c r="J79" s="447"/>
      <c r="K79" s="447"/>
      <c r="AF79" s="465">
        <f>_xll.qlCalendarAdvance(Calendar,AF78,"1d","mf",,Trigger)</f>
        <v>42002</v>
      </c>
      <c r="AG79" s="476">
        <f>_xll.qlDayCounterYearFraction(DayCounterON,SettlementDate,AF79,,,Trigger)</f>
        <v>0.30136986301369861</v>
      </c>
      <c r="AH79" s="466">
        <f t="shared" si="12"/>
        <v>2.6424081602339335E-3</v>
      </c>
      <c r="AI79" s="466">
        <f t="shared" si="13"/>
        <v>2.6119565027142091E-3</v>
      </c>
      <c r="AJ79" s="436">
        <f t="shared" si="14"/>
        <v>2.5900221151058324E-3</v>
      </c>
    </row>
    <row r="80" spans="10:36" x14ac:dyDescent="0.2">
      <c r="J80" s="447"/>
      <c r="K80" s="447"/>
      <c r="AF80" s="465">
        <f>_xll.qlCalendarAdvance(Calendar,AF79,"1d","mf",,Trigger)</f>
        <v>42003</v>
      </c>
      <c r="AG80" s="476">
        <f>_xll.qlDayCounterYearFraction(DayCounterON,SettlementDate,AF80,,,Trigger)</f>
        <v>0.30410958904109592</v>
      </c>
      <c r="AH80" s="466">
        <f t="shared" si="12"/>
        <v>2.6424081602339335E-3</v>
      </c>
      <c r="AI80" s="466">
        <f t="shared" si="13"/>
        <v>2.6103948792516591E-3</v>
      </c>
      <c r="AJ80" s="436">
        <f t="shared" si="14"/>
        <v>2.5885234561850139E-3</v>
      </c>
    </row>
    <row r="81" spans="10:36" x14ac:dyDescent="0.2">
      <c r="J81" s="447"/>
      <c r="K81" s="447"/>
      <c r="AF81" s="465">
        <f>_xll.qlCalendarAdvance(Calendar,AF80,"1d","mf",,Trigger)</f>
        <v>42004</v>
      </c>
      <c r="AG81" s="476">
        <f>_xll.qlDayCounterYearFraction(DayCounterON,SettlementDate,AF81,,,Trigger)</f>
        <v>0.30684931506849317</v>
      </c>
      <c r="AH81" s="466">
        <f t="shared" si="12"/>
        <v>2.6424081602339335E-3</v>
      </c>
      <c r="AI81" s="466">
        <f t="shared" si="13"/>
        <v>2.6088332557891091E-3</v>
      </c>
      <c r="AJ81" s="436">
        <f t="shared" si="14"/>
        <v>2.5870395981776664E-3</v>
      </c>
    </row>
    <row r="82" spans="10:36" x14ac:dyDescent="0.2">
      <c r="J82" s="447"/>
      <c r="K82" s="447"/>
      <c r="AF82" s="465">
        <f>_xll.qlCalendarAdvance(Calendar,AF81,"1d","mf",,Trigger)</f>
        <v>42006</v>
      </c>
      <c r="AG82" s="476">
        <f>_xll.qlDayCounterYearFraction(DayCounterON,SettlementDate,AF82,,,Trigger)</f>
        <v>0.31232876712328766</v>
      </c>
      <c r="AH82" s="466">
        <f t="shared" si="12"/>
        <v>2.6424081602339335E-3</v>
      </c>
      <c r="AI82" s="466">
        <f t="shared" si="13"/>
        <v>2.6057100088640092E-3</v>
      </c>
      <c r="AJ82" s="436">
        <f t="shared" si="14"/>
        <v>2.5841162849033835E-3</v>
      </c>
    </row>
    <row r="83" spans="10:36" x14ac:dyDescent="0.2">
      <c r="J83" s="447"/>
      <c r="K83" s="447"/>
      <c r="AF83" s="465">
        <f>_xll.qlCalendarAdvance(Calendar,AF82,"1d","mf",,Trigger)</f>
        <v>42009</v>
      </c>
      <c r="AG83" s="476">
        <f>_xll.qlDayCounterYearFraction(DayCounterON,SettlementDate,AF83,,,Trigger)</f>
        <v>0.32054794520547947</v>
      </c>
      <c r="AH83" s="466">
        <f t="shared" si="12"/>
        <v>2.6424081602339335E-3</v>
      </c>
      <c r="AI83" s="466">
        <f t="shared" si="13"/>
        <v>2.6010251384763592E-3</v>
      </c>
      <c r="AJ83" s="436">
        <f t="shared" si="14"/>
        <v>2.5798423218429886E-3</v>
      </c>
    </row>
    <row r="84" spans="10:36" x14ac:dyDescent="0.2">
      <c r="J84" s="447"/>
      <c r="K84" s="447"/>
      <c r="AF84" s="465">
        <f>_xll.qlCalendarAdvance(Calendar,AF83,"1d","mf",,Trigger)</f>
        <v>42010</v>
      </c>
      <c r="AG84" s="476">
        <f>_xll.qlDayCounterYearFraction(DayCounterON,SettlementDate,AF84,,,Trigger)</f>
        <v>0.32328767123287672</v>
      </c>
      <c r="AH84" s="466">
        <f t="shared" si="12"/>
        <v>2.6424081602339335E-3</v>
      </c>
      <c r="AI84" s="466">
        <f t="shared" si="13"/>
        <v>2.5994635150138092E-3</v>
      </c>
      <c r="AJ84" s="436">
        <f t="shared" si="14"/>
        <v>2.5784472693164652E-3</v>
      </c>
    </row>
    <row r="85" spans="10:36" x14ac:dyDescent="0.2">
      <c r="J85" s="447"/>
      <c r="K85" s="447"/>
      <c r="AF85" s="465">
        <f>_xll.qlCalendarAdvance(Calendar,AF84,"1d","mf",,Trigger)</f>
        <v>42011</v>
      </c>
      <c r="AG85" s="476">
        <f>_xll.qlDayCounterYearFraction(DayCounterON,SettlementDate,AF85,,,Trigger)</f>
        <v>0.32602739726027397</v>
      </c>
      <c r="AH85" s="466">
        <f t="shared" si="12"/>
        <v>2.6424081602339335E-3</v>
      </c>
      <c r="AI85" s="466">
        <f t="shared" si="13"/>
        <v>2.5979018915512592E-3</v>
      </c>
      <c r="AJ85" s="436">
        <f t="shared" si="14"/>
        <v>2.5770670177034122E-3</v>
      </c>
    </row>
    <row r="86" spans="10:36" x14ac:dyDescent="0.2">
      <c r="J86" s="447"/>
      <c r="K86" s="447"/>
      <c r="AF86" s="465">
        <f>_xll.qlCalendarAdvance(Calendar,AF85,"1d","mf",,Trigger)</f>
        <v>42012</v>
      </c>
      <c r="AG86" s="476">
        <f>_xll.qlDayCounterYearFraction(DayCounterON,SettlementDate,AF86,,,Trigger)</f>
        <v>0.32876712328767121</v>
      </c>
      <c r="AH86" s="466">
        <f t="shared" si="12"/>
        <v>2.6424081602339335E-3</v>
      </c>
      <c r="AI86" s="466">
        <f t="shared" si="13"/>
        <v>2.5963402680887092E-3</v>
      </c>
      <c r="AJ86" s="436">
        <f t="shared" si="14"/>
        <v>2.5757015670038303E-3</v>
      </c>
    </row>
    <row r="87" spans="10:36" x14ac:dyDescent="0.2">
      <c r="J87" s="447"/>
      <c r="K87" s="447"/>
      <c r="AF87" s="465">
        <f>_xll.qlCalendarAdvance(Calendar,AF86,"1d","mf",,Trigger)</f>
        <v>42013</v>
      </c>
      <c r="AG87" s="476">
        <f>_xll.qlDayCounterYearFraction(DayCounterON,SettlementDate,AF87,,,Trigger)</f>
        <v>0.33150684931506852</v>
      </c>
      <c r="AH87" s="466">
        <f t="shared" si="12"/>
        <v>2.6424081602339335E-3</v>
      </c>
      <c r="AI87" s="466">
        <f t="shared" si="13"/>
        <v>2.5947786446261592E-3</v>
      </c>
      <c r="AJ87" s="436">
        <f t="shared" si="14"/>
        <v>2.5743509172177189E-3</v>
      </c>
    </row>
    <row r="88" spans="10:36" x14ac:dyDescent="0.2">
      <c r="J88" s="447"/>
      <c r="K88" s="447"/>
      <c r="AF88" s="465">
        <f>_xll.qlCalendarAdvance(Calendar,AF87,"1d","mf",,Trigger)</f>
        <v>42016</v>
      </c>
      <c r="AG88" s="476">
        <f>_xll.qlDayCounterYearFraction(DayCounterON,SettlementDate,AF88,,,Trigger)</f>
        <v>0.33972602739726027</v>
      </c>
      <c r="AH88" s="466">
        <f t="shared" si="12"/>
        <v>2.6424081602339335E-3</v>
      </c>
      <c r="AI88" s="466">
        <f t="shared" si="13"/>
        <v>2.5900937742385092E-3</v>
      </c>
      <c r="AJ88" s="436">
        <f t="shared" si="14"/>
        <v>2.5703877733402082E-3</v>
      </c>
    </row>
    <row r="89" spans="10:36" x14ac:dyDescent="0.2">
      <c r="J89" s="447"/>
      <c r="K89" s="447"/>
      <c r="AF89" s="465">
        <f>_xll.qlCalendarAdvance(Calendar,AF88,"1d","mf",,Trigger)</f>
        <v>42017</v>
      </c>
      <c r="AG89" s="476">
        <f>_xll.qlDayCounterYearFraction(DayCounterON,SettlementDate,AF89,,,Trigger)</f>
        <v>0.34246575342465752</v>
      </c>
      <c r="AH89" s="466">
        <f t="shared" si="12"/>
        <v>2.6424081602339335E-3</v>
      </c>
      <c r="AI89" s="466">
        <f t="shared" si="13"/>
        <v>2.5885321507759587E-3</v>
      </c>
      <c r="AJ89" s="436">
        <f t="shared" si="14"/>
        <v>2.5690963272079793E-3</v>
      </c>
    </row>
    <row r="90" spans="10:36" x14ac:dyDescent="0.2">
      <c r="J90" s="447"/>
      <c r="K90" s="447"/>
      <c r="AF90" s="465">
        <f>_xll.qlCalendarAdvance(Calendar,AF89,"1d","mf",,Trigger)</f>
        <v>42018</v>
      </c>
      <c r="AG90" s="476">
        <f>_xll.qlDayCounterYearFraction(DayCounterON,SettlementDate,AF90,,,Trigger)</f>
        <v>0.34520547945205482</v>
      </c>
      <c r="AH90" s="466">
        <f t="shared" si="12"/>
        <v>2.6424081602339335E-3</v>
      </c>
      <c r="AI90" s="466">
        <f t="shared" si="13"/>
        <v>2.5869705273134087E-3</v>
      </c>
      <c r="AJ90" s="436">
        <f t="shared" si="14"/>
        <v>2.567819681989221E-3</v>
      </c>
    </row>
    <row r="91" spans="10:36" x14ac:dyDescent="0.2">
      <c r="J91" s="447"/>
      <c r="K91" s="447"/>
      <c r="AF91" s="465">
        <f>_xll.qlCalendarAdvance(Calendar,AF90,"1d","mf",,Trigger)</f>
        <v>42019</v>
      </c>
      <c r="AG91" s="476">
        <f>_xll.qlDayCounterYearFraction(DayCounterON,SettlementDate,AF91,,,Trigger)</f>
        <v>0.34794520547945207</v>
      </c>
      <c r="AH91" s="466">
        <f t="shared" si="12"/>
        <v>2.6424081602339335E-3</v>
      </c>
      <c r="AI91" s="466">
        <f t="shared" si="13"/>
        <v>2.5854089038508587E-3</v>
      </c>
      <c r="AJ91" s="436">
        <f t="shared" si="14"/>
        <v>2.5665578376839336E-3</v>
      </c>
    </row>
    <row r="92" spans="10:36" x14ac:dyDescent="0.2">
      <c r="J92" s="447"/>
      <c r="K92" s="447"/>
      <c r="AF92" s="465">
        <f>_xll.qlCalendarAdvance(Calendar,AF91,"1d","mf",,Trigger)</f>
        <v>42020</v>
      </c>
      <c r="AG92" s="476">
        <f>_xll.qlDayCounterYearFraction(DayCounterON,SettlementDate,AF92,,,Trigger)</f>
        <v>0.35068493150684932</v>
      </c>
      <c r="AH92" s="466">
        <f t="shared" si="12"/>
        <v>2.6424081602339335E-3</v>
      </c>
      <c r="AI92" s="466">
        <f t="shared" si="13"/>
        <v>2.5838472803883087E-3</v>
      </c>
      <c r="AJ92" s="436">
        <f t="shared" si="14"/>
        <v>2.5653107942921168E-3</v>
      </c>
    </row>
    <row r="93" spans="10:36" x14ac:dyDescent="0.2">
      <c r="J93" s="447"/>
      <c r="K93" s="447"/>
      <c r="AF93" s="465">
        <f>_xll.qlCalendarAdvance(Calendar,AF92,"1d","mf",,Trigger)</f>
        <v>42023</v>
      </c>
      <c r="AG93" s="476">
        <f>_xll.qlDayCounterYearFraction(DayCounterON,SettlementDate,AF93,,,Trigger)</f>
        <v>0.35890410958904112</v>
      </c>
      <c r="AH93" s="466">
        <f t="shared" si="12"/>
        <v>2.6424081602339335E-3</v>
      </c>
      <c r="AI93" s="466">
        <f t="shared" si="13"/>
        <v>2.5791624100006587E-3</v>
      </c>
      <c r="AJ93" s="436">
        <f t="shared" si="14"/>
        <v>2.5616584695974903E-3</v>
      </c>
    </row>
    <row r="94" spans="10:36" x14ac:dyDescent="0.2">
      <c r="J94" s="447"/>
      <c r="K94" s="447"/>
      <c r="AF94" s="465">
        <f>_xll.qlCalendarAdvance(Calendar,AF93,"1d","mf",,Trigger)</f>
        <v>42024</v>
      </c>
      <c r="AG94" s="476">
        <f>_xll.qlDayCounterYearFraction(DayCounterON,SettlementDate,AF94,,,Trigger)</f>
        <v>0.36164383561643837</v>
      </c>
      <c r="AH94" s="466">
        <f t="shared" si="12"/>
        <v>2.6424081602339335E-3</v>
      </c>
      <c r="AI94" s="466">
        <f t="shared" si="13"/>
        <v>2.5776007865381087E-3</v>
      </c>
      <c r="AJ94" s="436">
        <f t="shared" si="14"/>
        <v>2.5604706298595565E-3</v>
      </c>
    </row>
    <row r="95" spans="10:36" x14ac:dyDescent="0.2">
      <c r="J95" s="447"/>
      <c r="K95" s="447"/>
      <c r="AF95" s="465">
        <f>_xll.qlCalendarAdvance(Calendar,AF94,"1d","mf",,Trigger)</f>
        <v>42025</v>
      </c>
      <c r="AG95" s="476">
        <f>_xll.qlDayCounterYearFraction(DayCounterON,SettlementDate,AF95,,,Trigger)</f>
        <v>0.36438356164383562</v>
      </c>
      <c r="AH95" s="466">
        <f t="shared" si="12"/>
        <v>2.6424081602339335E-3</v>
      </c>
      <c r="AI95" s="466">
        <f t="shared" si="13"/>
        <v>2.5760391630755587E-3</v>
      </c>
      <c r="AJ95" s="436">
        <f t="shared" si="14"/>
        <v>2.5592975910350927E-3</v>
      </c>
    </row>
    <row r="96" spans="10:36" x14ac:dyDescent="0.2">
      <c r="J96" s="447"/>
      <c r="K96" s="447"/>
      <c r="AF96" s="465">
        <f>_xll.qlCalendarAdvance(Calendar,AF95,"1d","mf",,Trigger)</f>
        <v>42026</v>
      </c>
      <c r="AG96" s="476">
        <f>_xll.qlDayCounterYearFraction(DayCounterON,SettlementDate,AF96,,,Trigger)</f>
        <v>0.36712328767123287</v>
      </c>
      <c r="AH96" s="466">
        <f t="shared" si="12"/>
        <v>2.6424081602339335E-3</v>
      </c>
      <c r="AI96" s="466">
        <f t="shared" si="13"/>
        <v>2.5744775396130087E-3</v>
      </c>
      <c r="AJ96" s="436">
        <f t="shared" si="14"/>
        <v>2.5581393531241003E-3</v>
      </c>
    </row>
    <row r="97" spans="10:36" x14ac:dyDescent="0.2">
      <c r="J97" s="447"/>
      <c r="K97" s="447"/>
      <c r="AF97" s="465">
        <f>_xll.qlCalendarAdvance(Calendar,AF96,"1d","mf",,Trigger)</f>
        <v>42027</v>
      </c>
      <c r="AG97" s="476">
        <f>_xll.qlDayCounterYearFraction(DayCounterON,SettlementDate,AF97,,,Trigger)</f>
        <v>0.36986301369863012</v>
      </c>
      <c r="AH97" s="466">
        <f t="shared" si="12"/>
        <v>2.6424081602339335E-3</v>
      </c>
      <c r="AI97" s="466">
        <f t="shared" si="13"/>
        <v>2.5729159161504587E-3</v>
      </c>
      <c r="AJ97" s="436">
        <f t="shared" si="14"/>
        <v>2.5569959161265777E-3</v>
      </c>
    </row>
    <row r="98" spans="10:36" x14ac:dyDescent="0.2">
      <c r="J98" s="447"/>
      <c r="K98" s="447"/>
      <c r="AF98" s="465">
        <f>_xll.qlCalendarAdvance(Calendar,AF97,"1d","mf",,Trigger)</f>
        <v>42030</v>
      </c>
      <c r="AG98" s="476">
        <f>_xll.qlDayCounterYearFraction(DayCounterON,SettlementDate,AF98,,,Trigger)</f>
        <v>0.37808219178082192</v>
      </c>
      <c r="AH98" s="466">
        <f t="shared" si="12"/>
        <v>2.6424081602339335E-3</v>
      </c>
      <c r="AI98" s="466">
        <f t="shared" si="13"/>
        <v>2.5682310457628087E-3</v>
      </c>
      <c r="AJ98" s="436">
        <f t="shared" si="14"/>
        <v>2.5536544106148358E-3</v>
      </c>
    </row>
    <row r="99" spans="10:36" x14ac:dyDescent="0.2">
      <c r="J99" s="447"/>
      <c r="K99" s="447"/>
      <c r="AF99" s="465">
        <f>_xll.qlCalendarAdvance(Calendar,AF98,"1d","mf",,Trigger)</f>
        <v>42031</v>
      </c>
      <c r="AG99" s="476">
        <f>_xll.qlDayCounterYearFraction(DayCounterON,SettlementDate,AF99,,,Trigger)</f>
        <v>0.38082191780821917</v>
      </c>
      <c r="AH99" s="466">
        <f t="shared" ref="AH99:AH132" si="15">$W$13</f>
        <v>2.6424081602339335E-3</v>
      </c>
      <c r="AI99" s="466">
        <f t="shared" ref="AI99:AI132" si="16">$W$10+$W$9*AG99</f>
        <v>2.5666694223002587E-3</v>
      </c>
      <c r="AJ99" s="436">
        <f t="shared" ref="AJ99:AJ132" si="17">($W$5+$W$4*AG99+$W$3*AG99^2)</f>
        <v>2.5525701772711965E-3</v>
      </c>
    </row>
    <row r="100" spans="10:36" x14ac:dyDescent="0.2">
      <c r="J100" s="447"/>
      <c r="K100" s="447"/>
      <c r="AF100" s="465">
        <f>_xll.qlCalendarAdvance(Calendar,AF99,"1d","mf",,Trigger)</f>
        <v>42032</v>
      </c>
      <c r="AG100" s="476">
        <f>_xll.qlDayCounterYearFraction(DayCounterON,SettlementDate,AF100,,,Trigger)</f>
        <v>0.38356164383561642</v>
      </c>
      <c r="AH100" s="466">
        <f t="shared" si="15"/>
        <v>2.6424081602339335E-3</v>
      </c>
      <c r="AI100" s="466">
        <f t="shared" si="16"/>
        <v>2.5651077988377087E-3</v>
      </c>
      <c r="AJ100" s="436">
        <f t="shared" si="17"/>
        <v>2.5515007448410273E-3</v>
      </c>
    </row>
    <row r="101" spans="10:36" x14ac:dyDescent="0.2">
      <c r="J101" s="447"/>
      <c r="K101" s="447"/>
      <c r="AF101" s="465">
        <f>_xll.qlCalendarAdvance(Calendar,AF100,"1d","mf",,Trigger)</f>
        <v>42033</v>
      </c>
      <c r="AG101" s="476">
        <f>_xll.qlDayCounterYearFraction(DayCounterON,SettlementDate,AF101,,,Trigger)</f>
        <v>0.38630136986301372</v>
      </c>
      <c r="AH101" s="466">
        <f t="shared" si="15"/>
        <v>2.6424081602339335E-3</v>
      </c>
      <c r="AI101" s="466">
        <f t="shared" si="16"/>
        <v>2.5635461753751587E-3</v>
      </c>
      <c r="AJ101" s="436">
        <f t="shared" si="17"/>
        <v>2.5504461133243296E-3</v>
      </c>
    </row>
    <row r="102" spans="10:36" x14ac:dyDescent="0.2">
      <c r="J102" s="447"/>
      <c r="K102" s="447"/>
      <c r="AF102" s="465">
        <f>_xll.qlCalendarAdvance(Calendar,AF101,"1d","mf",,Trigger)</f>
        <v>42034</v>
      </c>
      <c r="AG102" s="476">
        <f>_xll.qlDayCounterYearFraction(DayCounterON,SettlementDate,AF102,,,Trigger)</f>
        <v>0.38904109589041097</v>
      </c>
      <c r="AH102" s="466">
        <f t="shared" si="15"/>
        <v>2.6424081602339335E-3</v>
      </c>
      <c r="AI102" s="466">
        <f t="shared" si="16"/>
        <v>2.5619845519126087E-3</v>
      </c>
      <c r="AJ102" s="436">
        <f t="shared" si="17"/>
        <v>2.5494062827211019E-3</v>
      </c>
    </row>
    <row r="103" spans="10:36" x14ac:dyDescent="0.2">
      <c r="J103" s="447"/>
      <c r="K103" s="447"/>
      <c r="AF103" s="465">
        <f>_xll.qlCalendarAdvance(Calendar,AF102,"1d","mf",,Trigger)</f>
        <v>42037</v>
      </c>
      <c r="AG103" s="476">
        <f>_xll.qlDayCounterYearFraction(DayCounterON,SettlementDate,AF103,,,Trigger)</f>
        <v>0.39726027397260272</v>
      </c>
      <c r="AH103" s="466">
        <f t="shared" si="15"/>
        <v>2.6424081602339335E-3</v>
      </c>
      <c r="AI103" s="466">
        <f t="shared" si="16"/>
        <v>2.5572996815249587E-3</v>
      </c>
      <c r="AJ103" s="436">
        <f t="shared" si="17"/>
        <v>2.5463755963922438E-3</v>
      </c>
    </row>
    <row r="104" spans="10:36" x14ac:dyDescent="0.2">
      <c r="J104" s="447"/>
      <c r="K104" s="447"/>
      <c r="AF104" s="465">
        <f>_xll.qlCalendarAdvance(Calendar,AF103,"1d","mf",,Trigger)</f>
        <v>42038</v>
      </c>
      <c r="AG104" s="476">
        <f>_xll.qlDayCounterYearFraction(DayCounterON,SettlementDate,AF104,,,Trigger)</f>
        <v>0.4</v>
      </c>
      <c r="AH104" s="466">
        <f t="shared" si="15"/>
        <v>2.6424081602339335E-3</v>
      </c>
      <c r="AI104" s="466">
        <f t="shared" si="16"/>
        <v>2.5557380580624083E-3</v>
      </c>
      <c r="AJ104" s="436">
        <f t="shared" si="17"/>
        <v>2.5453949694428991E-3</v>
      </c>
    </row>
    <row r="105" spans="10:36" x14ac:dyDescent="0.2">
      <c r="J105" s="447"/>
      <c r="K105" s="447"/>
      <c r="AF105" s="465">
        <f>_xll.qlCalendarAdvance(Calendar,AF104,"1d","mf",,Trigger)</f>
        <v>42039</v>
      </c>
      <c r="AG105" s="476">
        <f>_xll.qlDayCounterYearFraction(DayCounterON,SettlementDate,AF105,,,Trigger)</f>
        <v>0.40273972602739727</v>
      </c>
      <c r="AH105" s="466">
        <f t="shared" si="15"/>
        <v>2.6424081602339335E-3</v>
      </c>
      <c r="AI105" s="466">
        <f t="shared" si="16"/>
        <v>2.5541764345998583E-3</v>
      </c>
      <c r="AJ105" s="436">
        <f t="shared" si="17"/>
        <v>2.5444291434070249E-3</v>
      </c>
    </row>
    <row r="106" spans="10:36" x14ac:dyDescent="0.2">
      <c r="J106" s="447"/>
      <c r="K106" s="447"/>
      <c r="AF106" s="465">
        <f>_xll.qlCalendarAdvance(Calendar,AF105,"1d","mf",,Trigger)</f>
        <v>42040</v>
      </c>
      <c r="AG106" s="476">
        <f>_xll.qlDayCounterYearFraction(DayCounterON,SettlementDate,AF106,,,Trigger)</f>
        <v>0.40547945205479452</v>
      </c>
      <c r="AH106" s="466">
        <f t="shared" si="15"/>
        <v>2.6424081602339335E-3</v>
      </c>
      <c r="AI106" s="466">
        <f t="shared" si="16"/>
        <v>2.5526148111373083E-3</v>
      </c>
      <c r="AJ106" s="436">
        <f t="shared" si="17"/>
        <v>2.5434781182846217E-3</v>
      </c>
    </row>
    <row r="107" spans="10:36" x14ac:dyDescent="0.2">
      <c r="J107" s="447"/>
      <c r="K107" s="447"/>
      <c r="AF107" s="465">
        <f>_xll.qlCalendarAdvance(Calendar,AF106,"1d","mf",,Trigger)</f>
        <v>42041</v>
      </c>
      <c r="AG107" s="476">
        <f>_xll.qlDayCounterYearFraction(DayCounterON,SettlementDate,AF107,,,Trigger)</f>
        <v>0.40821917808219177</v>
      </c>
      <c r="AH107" s="466">
        <f t="shared" si="15"/>
        <v>2.6424081602339335E-3</v>
      </c>
      <c r="AI107" s="466">
        <f t="shared" si="16"/>
        <v>2.5510531876747583E-3</v>
      </c>
      <c r="AJ107" s="436">
        <f t="shared" si="17"/>
        <v>2.5425418940756891E-3</v>
      </c>
    </row>
    <row r="108" spans="10:36" x14ac:dyDescent="0.2">
      <c r="J108" s="447"/>
      <c r="K108" s="447"/>
      <c r="AF108" s="465">
        <f>_xll.qlCalendarAdvance(Calendar,AF107,"1d","mf",,Trigger)</f>
        <v>42044</v>
      </c>
      <c r="AG108" s="476">
        <f>_xll.qlDayCounterYearFraction(DayCounterON,SettlementDate,AF108,,,Trigger)</f>
        <v>0.41643835616438357</v>
      </c>
      <c r="AH108" s="466">
        <f t="shared" si="15"/>
        <v>2.6424081602339335E-3</v>
      </c>
      <c r="AI108" s="466">
        <f t="shared" si="16"/>
        <v>2.5463683172871083E-3</v>
      </c>
      <c r="AJ108" s="436">
        <f t="shared" si="17"/>
        <v>2.5398220269297151E-3</v>
      </c>
    </row>
    <row r="109" spans="10:36" x14ac:dyDescent="0.2">
      <c r="J109" s="447"/>
      <c r="K109" s="447"/>
      <c r="AF109" s="465">
        <f>_xll.qlCalendarAdvance(Calendar,AF108,"1d","mf",,Trigger)</f>
        <v>42045</v>
      </c>
      <c r="AG109" s="476">
        <f>_xll.qlDayCounterYearFraction(DayCounterON,SettlementDate,AF109,,,Trigger)</f>
        <v>0.41917808219178082</v>
      </c>
      <c r="AH109" s="466">
        <f t="shared" si="15"/>
        <v>2.6424081602339335E-3</v>
      </c>
      <c r="AI109" s="466">
        <f t="shared" si="16"/>
        <v>2.5448066938245583E-3</v>
      </c>
      <c r="AJ109" s="436">
        <f t="shared" si="17"/>
        <v>2.5389450063746646E-3</v>
      </c>
    </row>
    <row r="110" spans="10:36" x14ac:dyDescent="0.2">
      <c r="J110" s="447"/>
      <c r="K110" s="447"/>
      <c r="AF110" s="465">
        <f>_xll.qlCalendarAdvance(Calendar,AF109,"1d","mf",,Trigger)</f>
        <v>42046</v>
      </c>
      <c r="AG110" s="476">
        <f>_xll.qlDayCounterYearFraction(DayCounterON,SettlementDate,AF110,,,Trigger)</f>
        <v>0.42191780821917807</v>
      </c>
      <c r="AH110" s="466">
        <f t="shared" si="15"/>
        <v>2.6424081602339335E-3</v>
      </c>
      <c r="AI110" s="466">
        <f t="shared" si="16"/>
        <v>2.5432450703620083E-3</v>
      </c>
      <c r="AJ110" s="436">
        <f t="shared" si="17"/>
        <v>2.5380827867330855E-3</v>
      </c>
    </row>
    <row r="111" spans="10:36" x14ac:dyDescent="0.2">
      <c r="J111" s="447"/>
      <c r="K111" s="447"/>
      <c r="AF111" s="465">
        <f>_xll.qlCalendarAdvance(Calendar,AF110,"1d","mf",,Trigger)</f>
        <v>42047</v>
      </c>
      <c r="AG111" s="476">
        <f>_xll.qlDayCounterYearFraction(DayCounterON,SettlementDate,AF111,,,Trigger)</f>
        <v>0.42465753424657532</v>
      </c>
      <c r="AH111" s="466">
        <f t="shared" si="15"/>
        <v>2.6424081602339335E-3</v>
      </c>
      <c r="AI111" s="466">
        <f t="shared" si="16"/>
        <v>2.5416834468994583E-3</v>
      </c>
      <c r="AJ111" s="436">
        <f t="shared" si="17"/>
        <v>2.5372353680049769E-3</v>
      </c>
    </row>
    <row r="112" spans="10:36" x14ac:dyDescent="0.2">
      <c r="J112" s="447"/>
      <c r="K112" s="447"/>
      <c r="AF112" s="465">
        <f>_xll.qlCalendarAdvance(Calendar,AF111,"1d","mf",,Trigger)</f>
        <v>42048</v>
      </c>
      <c r="AG112" s="476">
        <f>_xll.qlDayCounterYearFraction(DayCounterON,SettlementDate,AF112,,,Trigger)</f>
        <v>0.42739726027397262</v>
      </c>
      <c r="AH112" s="466">
        <f t="shared" si="15"/>
        <v>2.6424081602339335E-3</v>
      </c>
      <c r="AI112" s="466">
        <f t="shared" si="16"/>
        <v>2.5401218234369083E-3</v>
      </c>
      <c r="AJ112" s="436">
        <f t="shared" si="17"/>
        <v>2.5364027501903388E-3</v>
      </c>
    </row>
    <row r="113" spans="10:36" x14ac:dyDescent="0.2">
      <c r="J113" s="447"/>
      <c r="K113" s="447"/>
      <c r="AF113" s="465">
        <f>_xll.qlCalendarAdvance(Calendar,AF112,"1d","mf",,Trigger)</f>
        <v>42051</v>
      </c>
      <c r="AG113" s="476">
        <f>_xll.qlDayCounterYearFraction(DayCounterON,SettlementDate,AF113,,,Trigger)</f>
        <v>0.43561643835616437</v>
      </c>
      <c r="AH113" s="466">
        <f t="shared" si="15"/>
        <v>2.6424081602339335E-3</v>
      </c>
      <c r="AI113" s="466">
        <f t="shared" si="16"/>
        <v>2.5354369530492583E-3</v>
      </c>
      <c r="AJ113" s="436">
        <f t="shared" si="17"/>
        <v>2.5339937022272486E-3</v>
      </c>
    </row>
    <row r="114" spans="10:36" x14ac:dyDescent="0.2">
      <c r="J114" s="447"/>
      <c r="K114" s="447"/>
      <c r="AF114" s="465">
        <f>_xll.qlCalendarAdvance(Calendar,AF113,"1d","mf",,Trigger)</f>
        <v>42052</v>
      </c>
      <c r="AG114" s="476">
        <f>_xll.qlDayCounterYearFraction(DayCounterON,SettlementDate,AF114,,,Trigger)</f>
        <v>0.43835616438356162</v>
      </c>
      <c r="AH114" s="466">
        <f t="shared" si="15"/>
        <v>2.6424081602339335E-3</v>
      </c>
      <c r="AI114" s="466">
        <f t="shared" si="16"/>
        <v>2.5338753295867083E-3</v>
      </c>
      <c r="AJ114" s="436">
        <f t="shared" si="17"/>
        <v>2.5332202880664935E-3</v>
      </c>
    </row>
    <row r="115" spans="10:36" x14ac:dyDescent="0.2">
      <c r="J115" s="447"/>
      <c r="K115" s="447"/>
      <c r="AF115" s="465">
        <f>_xll.qlCalendarAdvance(Calendar,AF114,"1d","mf",,Trigger)</f>
        <v>42053</v>
      </c>
      <c r="AG115" s="476">
        <f>_xll.qlDayCounterYearFraction(DayCounterON,SettlementDate,AF115,,,Trigger)</f>
        <v>0.44109589041095892</v>
      </c>
      <c r="AH115" s="466">
        <f t="shared" si="15"/>
        <v>2.6424081602339335E-3</v>
      </c>
      <c r="AI115" s="466">
        <f t="shared" si="16"/>
        <v>2.5323137061241583E-3</v>
      </c>
      <c r="AJ115" s="436">
        <f t="shared" si="17"/>
        <v>2.5324616748192094E-3</v>
      </c>
    </row>
    <row r="116" spans="10:36" x14ac:dyDescent="0.2">
      <c r="J116" s="425"/>
      <c r="K116" s="447"/>
      <c r="AF116" s="465">
        <f>_xll.qlCalendarAdvance(Calendar,AF115,"1d","mf",,Trigger)</f>
        <v>42054</v>
      </c>
      <c r="AG116" s="476">
        <f>_xll.qlDayCounterYearFraction(DayCounterON,SettlementDate,AF116,,,Trigger)</f>
        <v>0.44383561643835617</v>
      </c>
      <c r="AH116" s="466">
        <f t="shared" si="15"/>
        <v>2.6424081602339335E-3</v>
      </c>
      <c r="AI116" s="466">
        <f t="shared" si="16"/>
        <v>2.5307520826616083E-3</v>
      </c>
      <c r="AJ116" s="436">
        <f t="shared" si="17"/>
        <v>2.5317178624853949E-3</v>
      </c>
    </row>
    <row r="117" spans="10:36" x14ac:dyDescent="0.2">
      <c r="J117" s="425"/>
      <c r="K117" s="447"/>
      <c r="AF117" s="465">
        <f>_xll.qlCalendarAdvance(Calendar,AF116,"1d","mf",,Trigger)</f>
        <v>42055</v>
      </c>
      <c r="AG117" s="476">
        <f>_xll.qlDayCounterYearFraction(DayCounterON,SettlementDate,AF117,,,Trigger)</f>
        <v>0.44657534246575342</v>
      </c>
      <c r="AH117" s="466">
        <f t="shared" si="15"/>
        <v>2.6424081602339335E-3</v>
      </c>
      <c r="AI117" s="466">
        <f t="shared" si="16"/>
        <v>2.5291904591990579E-3</v>
      </c>
      <c r="AJ117" s="436">
        <f t="shared" si="17"/>
        <v>2.5309888510650518E-3</v>
      </c>
    </row>
    <row r="118" spans="10:36" x14ac:dyDescent="0.2">
      <c r="J118" s="425"/>
      <c r="K118" s="447"/>
      <c r="AF118" s="465">
        <f>_xll.qlCalendarAdvance(Calendar,AF117,"1d","mf",,Trigger)</f>
        <v>42058</v>
      </c>
      <c r="AG118" s="476">
        <f>_xll.qlDayCounterYearFraction(DayCounterON,SettlementDate,AF118,,,Trigger)</f>
        <v>0.45479452054794522</v>
      </c>
      <c r="AH118" s="466">
        <f t="shared" si="15"/>
        <v>2.6424081602339335E-3</v>
      </c>
      <c r="AI118" s="466">
        <f t="shared" si="16"/>
        <v>2.5245055888114079E-3</v>
      </c>
      <c r="AJ118" s="436">
        <f t="shared" si="17"/>
        <v>2.5288906222848458E-3</v>
      </c>
    </row>
    <row r="119" spans="10:36" x14ac:dyDescent="0.2">
      <c r="J119" s="425"/>
      <c r="K119" s="447"/>
      <c r="AF119" s="465">
        <f>_xll.qlCalendarAdvance(Calendar,AF118,"1d","mf",,Trigger)</f>
        <v>42059</v>
      </c>
      <c r="AG119" s="476">
        <f>_xll.qlDayCounterYearFraction(DayCounterON,SettlementDate,AF119,,,Trigger)</f>
        <v>0.45753424657534247</v>
      </c>
      <c r="AH119" s="466">
        <f t="shared" si="15"/>
        <v>2.6424081602339335E-3</v>
      </c>
      <c r="AI119" s="466">
        <f t="shared" si="16"/>
        <v>2.5229439653488579E-3</v>
      </c>
      <c r="AJ119" s="436">
        <f t="shared" si="17"/>
        <v>2.5282208145183853E-3</v>
      </c>
    </row>
    <row r="120" spans="10:36" x14ac:dyDescent="0.2">
      <c r="J120" s="425"/>
      <c r="K120" s="447"/>
      <c r="AF120" s="465">
        <f>_xll.qlCalendarAdvance(Calendar,AF119,"1d","mf",,Trigger)</f>
        <v>42060</v>
      </c>
      <c r="AG120" s="476">
        <f>_xll.qlDayCounterYearFraction(DayCounterON,SettlementDate,AF120,,,Trigger)</f>
        <v>0.46027397260273972</v>
      </c>
      <c r="AH120" s="466">
        <f t="shared" si="15"/>
        <v>2.6424081602339335E-3</v>
      </c>
      <c r="AI120" s="466">
        <f t="shared" si="16"/>
        <v>2.5213823418863079E-3</v>
      </c>
      <c r="AJ120" s="436">
        <f t="shared" si="17"/>
        <v>2.5275658076653953E-3</v>
      </c>
    </row>
    <row r="121" spans="10:36" x14ac:dyDescent="0.2">
      <c r="J121" s="425"/>
      <c r="K121" s="447"/>
      <c r="AF121" s="465">
        <f>_xll.qlCalendarAdvance(Calendar,AF120,"1d","mf",,Trigger)</f>
        <v>42061</v>
      </c>
      <c r="AG121" s="476">
        <f>_xll.qlDayCounterYearFraction(DayCounterON,SettlementDate,AF121,,,Trigger)</f>
        <v>0.46301369863013697</v>
      </c>
      <c r="AH121" s="466">
        <f t="shared" si="15"/>
        <v>2.6424081602339335E-3</v>
      </c>
      <c r="AI121" s="466">
        <f t="shared" si="16"/>
        <v>2.5198207184237579E-3</v>
      </c>
      <c r="AJ121" s="436">
        <f t="shared" si="17"/>
        <v>2.5269256017258759E-3</v>
      </c>
    </row>
    <row r="122" spans="10:36" x14ac:dyDescent="0.2">
      <c r="J122" s="425"/>
      <c r="K122" s="425"/>
      <c r="AF122" s="465">
        <f>_xll.qlCalendarAdvance(Calendar,AF121,"1d","mf",,Trigger)</f>
        <v>42062</v>
      </c>
      <c r="AG122" s="476">
        <f>_xll.qlDayCounterYearFraction(DayCounterON,SettlementDate,AF122,,,Trigger)</f>
        <v>0.46575342465753422</v>
      </c>
      <c r="AH122" s="466">
        <f t="shared" si="15"/>
        <v>2.6424081602339335E-3</v>
      </c>
      <c r="AI122" s="466">
        <f t="shared" si="16"/>
        <v>2.5182590949612079E-3</v>
      </c>
      <c r="AJ122" s="436">
        <f t="shared" si="17"/>
        <v>2.5263001966998279E-3</v>
      </c>
    </row>
    <row r="123" spans="10:36" x14ac:dyDescent="0.2">
      <c r="J123" s="425"/>
      <c r="K123" s="425"/>
      <c r="AF123" s="465">
        <f>_xll.qlCalendarAdvance(Calendar,AF122,"1d","mf",,Trigger)</f>
        <v>42065</v>
      </c>
      <c r="AG123" s="476">
        <f>_xll.qlDayCounterYearFraction(DayCounterON,SettlementDate,AF123,,,Trigger)</f>
        <v>0.47397260273972602</v>
      </c>
      <c r="AH123" s="466">
        <f t="shared" si="15"/>
        <v>2.6424081602339335E-3</v>
      </c>
      <c r="AI123" s="466">
        <f t="shared" si="16"/>
        <v>2.5135742245735579E-3</v>
      </c>
      <c r="AJ123" s="436">
        <f t="shared" si="17"/>
        <v>2.5245127871025056E-3</v>
      </c>
    </row>
    <row r="124" spans="10:36" x14ac:dyDescent="0.2">
      <c r="J124" s="425"/>
      <c r="K124" s="425"/>
      <c r="AF124" s="465">
        <f>_xll.qlCalendarAdvance(Calendar,AF123,"1d","mf",,Trigger)</f>
        <v>42066</v>
      </c>
      <c r="AG124" s="476">
        <f>_xll.qlDayCounterYearFraction(DayCounterON,SettlementDate,AF124,,,Trigger)</f>
        <v>0.47671232876712327</v>
      </c>
      <c r="AH124" s="466">
        <f t="shared" si="15"/>
        <v>2.6424081602339335E-3</v>
      </c>
      <c r="AI124" s="466">
        <f t="shared" si="16"/>
        <v>2.5120126011110079E-3</v>
      </c>
      <c r="AJ124" s="436">
        <f t="shared" si="17"/>
        <v>2.5239465857303401E-3</v>
      </c>
    </row>
    <row r="125" spans="10:36" x14ac:dyDescent="0.2">
      <c r="J125" s="425"/>
      <c r="K125" s="425"/>
      <c r="AF125" s="465">
        <f>_xll.qlCalendarAdvance(Calendar,AF124,"1d","mf",,Trigger)</f>
        <v>42067</v>
      </c>
      <c r="AG125" s="476">
        <f>_xll.qlDayCounterYearFraction(DayCounterON,SettlementDate,AF125,,,Trigger)</f>
        <v>0.47945205479452052</v>
      </c>
      <c r="AH125" s="466">
        <f t="shared" si="15"/>
        <v>2.6424081602339335E-3</v>
      </c>
      <c r="AI125" s="466">
        <f t="shared" si="16"/>
        <v>2.5104509776484579E-3</v>
      </c>
      <c r="AJ125" s="436">
        <f t="shared" si="17"/>
        <v>2.5233951852716447E-3</v>
      </c>
    </row>
    <row r="126" spans="10:36" x14ac:dyDescent="0.2">
      <c r="J126" s="425"/>
      <c r="K126" s="425"/>
      <c r="AF126" s="465">
        <f>_xll.qlCalendarAdvance(Calendar,AF125,"1d","mf",,Trigger)</f>
        <v>42068</v>
      </c>
      <c r="AG126" s="476">
        <f>_xll.qlDayCounterYearFraction(DayCounterON,SettlementDate,AF126,,,Trigger)</f>
        <v>0.48219178082191783</v>
      </c>
      <c r="AH126" s="466">
        <f t="shared" si="15"/>
        <v>2.6424081602339335E-3</v>
      </c>
      <c r="AI126" s="466">
        <f t="shared" si="16"/>
        <v>2.5088893541859079E-3</v>
      </c>
      <c r="AJ126" s="436">
        <f t="shared" si="17"/>
        <v>2.5228585857264203E-3</v>
      </c>
    </row>
    <row r="127" spans="10:36" x14ac:dyDescent="0.2">
      <c r="J127" s="425"/>
      <c r="K127" s="425"/>
      <c r="AF127" s="465">
        <f>_xll.qlCalendarAdvance(Calendar,AF126,"1d","mf",,Trigger)</f>
        <v>42069</v>
      </c>
      <c r="AG127" s="476">
        <f>_xll.qlDayCounterYearFraction(DayCounterON,SettlementDate,AF127,,,Trigger)</f>
        <v>0.48493150684931507</v>
      </c>
      <c r="AH127" s="466">
        <f t="shared" si="15"/>
        <v>2.6424081602339335E-3</v>
      </c>
      <c r="AI127" s="466">
        <f t="shared" si="16"/>
        <v>2.5073277307233579E-3</v>
      </c>
      <c r="AJ127" s="436">
        <f t="shared" si="17"/>
        <v>2.5223367870946659E-3</v>
      </c>
    </row>
    <row r="128" spans="10:36" x14ac:dyDescent="0.2">
      <c r="J128" s="425"/>
      <c r="K128" s="425"/>
      <c r="AF128" s="465">
        <f>_xll.qlCalendarAdvance(Calendar,AF127,"1d","mf",,Trigger)</f>
        <v>42072</v>
      </c>
      <c r="AG128" s="476">
        <f>_xll.qlDayCounterYearFraction(DayCounterON,SettlementDate,AF128,,,Trigger)</f>
        <v>0.49315068493150682</v>
      </c>
      <c r="AH128" s="466">
        <f t="shared" si="15"/>
        <v>2.6424081602339335E-3</v>
      </c>
      <c r="AI128" s="466">
        <f t="shared" si="16"/>
        <v>2.5026428603357079E-3</v>
      </c>
      <c r="AJ128" s="436">
        <f t="shared" si="17"/>
        <v>2.5208601966802283E-3</v>
      </c>
    </row>
    <row r="129" spans="10:36" x14ac:dyDescent="0.2">
      <c r="J129" s="425"/>
      <c r="K129" s="425"/>
      <c r="AF129" s="465">
        <f>_xll.qlCalendarAdvance(Calendar,AF128,"1d","mf",,Trigger)</f>
        <v>42073</v>
      </c>
      <c r="AG129" s="476">
        <f>_xll.qlDayCounterYearFraction(DayCounterON,SettlementDate,AF129,,,Trigger)</f>
        <v>0.49589041095890413</v>
      </c>
      <c r="AH129" s="466">
        <f t="shared" si="15"/>
        <v>2.6424081602339335E-3</v>
      </c>
      <c r="AI129" s="466">
        <f t="shared" si="16"/>
        <v>2.5010812368731579E-3</v>
      </c>
      <c r="AJ129" s="436">
        <f t="shared" si="17"/>
        <v>2.5203976017023574E-3</v>
      </c>
    </row>
    <row r="130" spans="10:36" x14ac:dyDescent="0.2">
      <c r="J130" s="425"/>
      <c r="K130" s="425"/>
      <c r="AF130" s="465">
        <f>_xll.qlCalendarAdvance(Calendar,AF129,"1d","mf",,Trigger)</f>
        <v>42074</v>
      </c>
      <c r="AG130" s="476">
        <f>_xll.qlDayCounterYearFraction(DayCounterON,SettlementDate,AF130,,,Trigger)</f>
        <v>0.49863013698630138</v>
      </c>
      <c r="AH130" s="466">
        <f t="shared" si="15"/>
        <v>2.6424081602339335E-3</v>
      </c>
      <c r="AI130" s="466">
        <f t="shared" si="16"/>
        <v>2.4995196134106074E-3</v>
      </c>
      <c r="AJ130" s="436">
        <f t="shared" si="17"/>
        <v>2.5199498076379566E-3</v>
      </c>
    </row>
    <row r="131" spans="10:36" x14ac:dyDescent="0.2">
      <c r="J131" s="425"/>
      <c r="K131" s="425"/>
      <c r="AF131" s="465">
        <f>_xll.qlCalendarAdvance(Calendar,AF130,"1d","mf",,Trigger)</f>
        <v>42075</v>
      </c>
      <c r="AG131" s="476">
        <f>_xll.qlDayCounterYearFraction(DayCounterON,SettlementDate,AF131,,,Trigger)</f>
        <v>0.50136986301369868</v>
      </c>
      <c r="AH131" s="466">
        <f t="shared" si="15"/>
        <v>2.6424081602339335E-3</v>
      </c>
      <c r="AI131" s="466">
        <f t="shared" si="16"/>
        <v>2.4979579899480574E-3</v>
      </c>
      <c r="AJ131" s="436">
        <f t="shared" si="17"/>
        <v>2.5195168144870272E-3</v>
      </c>
    </row>
    <row r="132" spans="10:36" ht="12" thickBot="1" x14ac:dyDescent="0.25">
      <c r="K132" s="425"/>
      <c r="AF132" s="467">
        <f>_xll.qlCalendarAdvance(Calendar,AF131,"1d","mf",,Trigger)</f>
        <v>42076</v>
      </c>
      <c r="AG132" s="478">
        <f>_xll.qlDayCounterYearFraction(DayCounterON,SettlementDate,AF132,,,Trigger)</f>
        <v>0.50410958904109593</v>
      </c>
      <c r="AH132" s="468">
        <f t="shared" si="15"/>
        <v>2.6424081602339335E-3</v>
      </c>
      <c r="AI132" s="468">
        <f t="shared" si="16"/>
        <v>2.4963963664855074E-3</v>
      </c>
      <c r="AJ132" s="441">
        <f t="shared" si="17"/>
        <v>2.5190986222495678E-3</v>
      </c>
    </row>
    <row r="133" spans="10:36" x14ac:dyDescent="0.2">
      <c r="K133" s="425"/>
    </row>
    <row r="134" spans="10:36" x14ac:dyDescent="0.2">
      <c r="K134" s="425"/>
    </row>
    <row r="135" spans="10:36" x14ac:dyDescent="0.2">
      <c r="K135" s="425"/>
    </row>
    <row r="136" spans="10:36" x14ac:dyDescent="0.2">
      <c r="K136" s="425"/>
    </row>
    <row r="137" spans="10:36" x14ac:dyDescent="0.2">
      <c r="K137" s="425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58</vt:i4>
      </vt:variant>
    </vt:vector>
  </HeadingPairs>
  <TitlesOfParts>
    <vt:vector size="68" baseType="lpstr">
      <vt:lpstr>General Settings</vt:lpstr>
      <vt:lpstr>SynthDepo</vt:lpstr>
      <vt:lpstr>RateHelpersFra</vt:lpstr>
      <vt:lpstr>Contribution</vt:lpstr>
      <vt:lpstr>SynthFra</vt:lpstr>
      <vt:lpstr>FRACharts</vt:lpstr>
      <vt:lpstr>basis 3M</vt:lpstr>
      <vt:lpstr>3M Depo Charts</vt:lpstr>
      <vt:lpstr>basis 6M </vt:lpstr>
      <vt:lpstr>6M Depo Charts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'3M Depo Charts'!DayCounter3M</vt:lpstr>
      <vt:lpstr>'6M Depo Charts'!DayCounter3M</vt:lpstr>
      <vt:lpstr>'3M Depo Charts'!DayCounterOIS</vt:lpstr>
      <vt:lpstr>'6M Depo Charts'!DayCounterOIS</vt:lpstr>
      <vt:lpstr>'3M Depo Charts'!DayCounterON</vt:lpstr>
      <vt:lpstr>'6M Depo Charts'!DayCounterON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2014-09-08T09:41:35Z</dcterms:modified>
</cp:coreProperties>
</file>