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updateLinks="always" defaultThemeVersion="166925"/>
  <mc:AlternateContent xmlns:mc="http://schemas.openxmlformats.org/markup-compatibility/2006">
    <mc:Choice Requires="x15">
      <x15ac:absPath xmlns:x15ac="http://schemas.microsoft.com/office/spreadsheetml/2010/11/ac" url="C:\Users\ASUS\Desktop\PyRChicken\Template\Subjects\"/>
    </mc:Choice>
  </mc:AlternateContent>
  <xr:revisionPtr revIDLastSave="0" documentId="13_ncr:1_{80223199-9D8B-4152-B746-A8A08F1AA9F3}" xr6:coauthVersionLast="47" xr6:coauthVersionMax="47" xr10:uidLastSave="{00000000-0000-0000-0000-000000000000}"/>
  <bookViews>
    <workbookView xWindow="-108" yWindow="-108" windowWidth="23256" windowHeight="12456" tabRatio="822" activeTab="5" xr2:uid="{944508B3-3DA5-4EAB-A99C-6102358CCCCC}"/>
  </bookViews>
  <sheets>
    <sheet name="Info" sheetId="12" r:id="rId1"/>
    <sheet name="NS (Mid.S)" sheetId="13" r:id="rId2"/>
    <sheet name="NP (Mid.S)" sheetId="1" r:id="rId3"/>
    <sheet name="NK (Mid.S)" sheetId="7" r:id="rId4"/>
    <sheet name="NS (S)" sheetId="14" r:id="rId5"/>
    <sheet name="NP (S)" sheetId="2" r:id="rId6"/>
    <sheet name="NK (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8" l="1"/>
  <c r="H4" i="2"/>
  <c r="I4" i="2"/>
  <c r="G4" i="8"/>
  <c r="H4" i="8"/>
  <c r="I4" i="8"/>
  <c r="J4" i="8"/>
  <c r="K4" i="8"/>
  <c r="L4" i="8"/>
  <c r="M4" i="8"/>
  <c r="N4" i="8"/>
  <c r="O4" i="8"/>
  <c r="P4" i="8"/>
  <c r="G5" i="8"/>
  <c r="H5" i="8"/>
  <c r="I5" i="8"/>
  <c r="J5" i="8"/>
  <c r="K5" i="8"/>
  <c r="L5" i="8"/>
  <c r="M5" i="8"/>
  <c r="N5" i="8"/>
  <c r="O5" i="8"/>
  <c r="P5" i="8"/>
  <c r="G6" i="8"/>
  <c r="H6" i="8"/>
  <c r="I6" i="8"/>
  <c r="J6" i="8"/>
  <c r="K6" i="8"/>
  <c r="L6" i="8"/>
  <c r="M6" i="8"/>
  <c r="N6" i="8"/>
  <c r="O6" i="8"/>
  <c r="P6" i="8"/>
  <c r="G7" i="8"/>
  <c r="H7" i="8"/>
  <c r="I7" i="8"/>
  <c r="J7" i="8"/>
  <c r="K7" i="8"/>
  <c r="L7" i="8"/>
  <c r="M7" i="8"/>
  <c r="N7" i="8"/>
  <c r="O7" i="8"/>
  <c r="P7" i="8"/>
  <c r="G8" i="8"/>
  <c r="H8" i="8"/>
  <c r="I8" i="8"/>
  <c r="J8" i="8"/>
  <c r="K8" i="8"/>
  <c r="L8" i="8"/>
  <c r="M8" i="8"/>
  <c r="N8" i="8"/>
  <c r="O8" i="8"/>
  <c r="P8" i="8"/>
  <c r="G9" i="8"/>
  <c r="H9" i="8"/>
  <c r="I9" i="8"/>
  <c r="J9" i="8"/>
  <c r="K9" i="8"/>
  <c r="L9" i="8"/>
  <c r="M9" i="8"/>
  <c r="N9" i="8"/>
  <c r="O9" i="8"/>
  <c r="P9" i="8"/>
  <c r="G10" i="8"/>
  <c r="H10" i="8"/>
  <c r="I10" i="8"/>
  <c r="J10" i="8"/>
  <c r="K10" i="8"/>
  <c r="L10" i="8"/>
  <c r="M10" i="8"/>
  <c r="N10" i="8"/>
  <c r="O10" i="8"/>
  <c r="P10" i="8"/>
  <c r="G11" i="8"/>
  <c r="H11" i="8"/>
  <c r="I11" i="8"/>
  <c r="J11" i="8"/>
  <c r="K11" i="8"/>
  <c r="L11" i="8"/>
  <c r="M11" i="8"/>
  <c r="N11" i="8"/>
  <c r="O11" i="8"/>
  <c r="P11" i="8"/>
  <c r="G12" i="8"/>
  <c r="H12" i="8"/>
  <c r="I12" i="8"/>
  <c r="J12" i="8"/>
  <c r="K12" i="8"/>
  <c r="L12" i="8"/>
  <c r="M12" i="8"/>
  <c r="N12" i="8"/>
  <c r="O12" i="8"/>
  <c r="P12" i="8"/>
  <c r="H3" i="8"/>
  <c r="I3" i="8"/>
  <c r="J3" i="8"/>
  <c r="K3" i="8"/>
  <c r="L3" i="8"/>
  <c r="M3" i="8"/>
  <c r="N3" i="8"/>
  <c r="O3" i="8"/>
  <c r="P3" i="8"/>
  <c r="G5" i="2"/>
  <c r="H5" i="2"/>
  <c r="I5" i="2"/>
  <c r="J5" i="2"/>
  <c r="K5" i="2"/>
  <c r="L5" i="2"/>
  <c r="M5" i="2"/>
  <c r="N5" i="2"/>
  <c r="O5" i="2"/>
  <c r="P5" i="2"/>
  <c r="Q5" i="2"/>
  <c r="G6" i="2"/>
  <c r="H6" i="2"/>
  <c r="I6" i="2"/>
  <c r="J6" i="2"/>
  <c r="K6" i="2"/>
  <c r="L6" i="2"/>
  <c r="M6" i="2"/>
  <c r="N6" i="2"/>
  <c r="O6" i="2"/>
  <c r="P6" i="2"/>
  <c r="Q6" i="2"/>
  <c r="G7" i="2"/>
  <c r="H7" i="2"/>
  <c r="I7" i="2"/>
  <c r="J7" i="2"/>
  <c r="K7" i="2"/>
  <c r="L7" i="2"/>
  <c r="M7" i="2"/>
  <c r="N7" i="2"/>
  <c r="O7" i="2"/>
  <c r="P7" i="2"/>
  <c r="Q7" i="2"/>
  <c r="G8" i="2"/>
  <c r="H8" i="2"/>
  <c r="I8" i="2"/>
  <c r="J8" i="2"/>
  <c r="K8" i="2"/>
  <c r="L8" i="2"/>
  <c r="M8" i="2"/>
  <c r="N8" i="2"/>
  <c r="O8" i="2"/>
  <c r="P8" i="2"/>
  <c r="Q8" i="2"/>
  <c r="G9" i="2"/>
  <c r="H9" i="2"/>
  <c r="I9" i="2"/>
  <c r="J9" i="2"/>
  <c r="K9" i="2"/>
  <c r="L9" i="2"/>
  <c r="M9" i="2"/>
  <c r="N9" i="2"/>
  <c r="O9" i="2"/>
  <c r="P9" i="2"/>
  <c r="Q9" i="2"/>
  <c r="G10" i="2"/>
  <c r="H10" i="2"/>
  <c r="I10" i="2"/>
  <c r="J10" i="2"/>
  <c r="K10" i="2"/>
  <c r="L10" i="2"/>
  <c r="M10" i="2"/>
  <c r="N10" i="2"/>
  <c r="O10" i="2"/>
  <c r="P10" i="2"/>
  <c r="Q10" i="2"/>
  <c r="G11" i="2"/>
  <c r="H11" i="2"/>
  <c r="I11" i="2"/>
  <c r="J11" i="2"/>
  <c r="K11" i="2"/>
  <c r="L11" i="2"/>
  <c r="M11" i="2"/>
  <c r="N11" i="2"/>
  <c r="O11" i="2"/>
  <c r="P11" i="2"/>
  <c r="Q11" i="2"/>
  <c r="G12" i="2"/>
  <c r="H12" i="2"/>
  <c r="I12" i="2"/>
  <c r="J12" i="2"/>
  <c r="K12" i="2"/>
  <c r="L12" i="2"/>
  <c r="M12" i="2"/>
  <c r="N12" i="2"/>
  <c r="O12" i="2"/>
  <c r="P12" i="2"/>
  <c r="Q12" i="2"/>
  <c r="G13" i="2"/>
  <c r="H13" i="2"/>
  <c r="I13" i="2"/>
  <c r="J13" i="2"/>
  <c r="K13" i="2"/>
  <c r="L13" i="2"/>
  <c r="M13" i="2"/>
  <c r="N13" i="2"/>
  <c r="O13" i="2"/>
  <c r="P13" i="2"/>
  <c r="Q13" i="2"/>
  <c r="J4" i="2"/>
  <c r="K4" i="2"/>
  <c r="L4" i="2"/>
  <c r="M4" i="2"/>
  <c r="N4" i="2"/>
  <c r="O4" i="2"/>
  <c r="P4" i="2"/>
  <c r="Q4" i="2"/>
  <c r="T4" i="2" s="1"/>
  <c r="G4" i="2"/>
  <c r="F4" i="7"/>
  <c r="G4" i="7"/>
  <c r="H4" i="7"/>
  <c r="I4" i="7"/>
  <c r="J4" i="7"/>
  <c r="K4" i="7"/>
  <c r="L4" i="7"/>
  <c r="M4" i="7"/>
  <c r="N4" i="7"/>
  <c r="O4" i="7"/>
  <c r="F5" i="7"/>
  <c r="G5" i="7"/>
  <c r="H5" i="7"/>
  <c r="I5" i="7"/>
  <c r="J5" i="7"/>
  <c r="K5" i="7"/>
  <c r="L5" i="7"/>
  <c r="M5" i="7"/>
  <c r="N5" i="7"/>
  <c r="O5" i="7"/>
  <c r="F6" i="7"/>
  <c r="G6" i="7"/>
  <c r="H6" i="7"/>
  <c r="I6" i="7"/>
  <c r="J6" i="7"/>
  <c r="K6" i="7"/>
  <c r="L6" i="7"/>
  <c r="M6" i="7"/>
  <c r="N6" i="7"/>
  <c r="O6" i="7"/>
  <c r="F7" i="7"/>
  <c r="G7" i="7"/>
  <c r="H7" i="7"/>
  <c r="I7" i="7"/>
  <c r="J7" i="7"/>
  <c r="K7" i="7"/>
  <c r="L7" i="7"/>
  <c r="M7" i="7"/>
  <c r="N7" i="7"/>
  <c r="O7" i="7"/>
  <c r="F8" i="7"/>
  <c r="G8" i="7"/>
  <c r="H8" i="7"/>
  <c r="I8" i="7"/>
  <c r="J8" i="7"/>
  <c r="K8" i="7"/>
  <c r="L8" i="7"/>
  <c r="M8" i="7"/>
  <c r="N8" i="7"/>
  <c r="O8" i="7"/>
  <c r="F9" i="7"/>
  <c r="G9" i="7"/>
  <c r="H9" i="7"/>
  <c r="I9" i="7"/>
  <c r="J9" i="7"/>
  <c r="K9" i="7"/>
  <c r="L9" i="7"/>
  <c r="M9" i="7"/>
  <c r="N9" i="7"/>
  <c r="O9" i="7"/>
  <c r="F10" i="7"/>
  <c r="G10" i="7"/>
  <c r="H10" i="7"/>
  <c r="I10" i="7"/>
  <c r="J10" i="7"/>
  <c r="K10" i="7"/>
  <c r="L10" i="7"/>
  <c r="M10" i="7"/>
  <c r="N10" i="7"/>
  <c r="O10" i="7"/>
  <c r="F11" i="7"/>
  <c r="G11" i="7"/>
  <c r="H11" i="7"/>
  <c r="I11" i="7"/>
  <c r="J11" i="7"/>
  <c r="K11" i="7"/>
  <c r="L11" i="7"/>
  <c r="M11" i="7"/>
  <c r="N11" i="7"/>
  <c r="O11" i="7"/>
  <c r="F12" i="7"/>
  <c r="G12" i="7"/>
  <c r="H12" i="7"/>
  <c r="I12" i="7"/>
  <c r="J12" i="7"/>
  <c r="K12" i="7"/>
  <c r="L12" i="7"/>
  <c r="M12" i="7"/>
  <c r="N12" i="7"/>
  <c r="O12" i="7"/>
  <c r="G3" i="7"/>
  <c r="H3" i="7"/>
  <c r="I3" i="7"/>
  <c r="J3" i="7"/>
  <c r="K3" i="7"/>
  <c r="L3" i="7"/>
  <c r="M3" i="7"/>
  <c r="N3" i="7"/>
  <c r="O3" i="7"/>
  <c r="F3" i="7"/>
  <c r="F5" i="1"/>
  <c r="G5" i="1"/>
  <c r="H5" i="1"/>
  <c r="I5" i="1"/>
  <c r="J5" i="1"/>
  <c r="K5" i="1"/>
  <c r="L5" i="1"/>
  <c r="M5" i="1"/>
  <c r="N5" i="1"/>
  <c r="O5" i="1"/>
  <c r="P5" i="1"/>
  <c r="S5" i="1" s="1"/>
  <c r="F6" i="1"/>
  <c r="G6" i="1"/>
  <c r="H6" i="1"/>
  <c r="I6" i="1"/>
  <c r="J6" i="1"/>
  <c r="K6" i="1"/>
  <c r="L6" i="1"/>
  <c r="M6" i="1"/>
  <c r="N6" i="1"/>
  <c r="O6" i="1"/>
  <c r="P6" i="1"/>
  <c r="S6" i="1" s="1"/>
  <c r="F7" i="1"/>
  <c r="G7" i="1"/>
  <c r="H7" i="1"/>
  <c r="I7" i="1"/>
  <c r="J7" i="1"/>
  <c r="K7" i="1"/>
  <c r="L7" i="1"/>
  <c r="M7" i="1"/>
  <c r="N7" i="1"/>
  <c r="O7" i="1"/>
  <c r="P7" i="1"/>
  <c r="F8" i="1"/>
  <c r="G8" i="1"/>
  <c r="H8" i="1"/>
  <c r="I8" i="1"/>
  <c r="J8" i="1"/>
  <c r="K8" i="1"/>
  <c r="L8" i="1"/>
  <c r="M8" i="1"/>
  <c r="N8" i="1"/>
  <c r="O8" i="1"/>
  <c r="P8" i="1"/>
  <c r="S8" i="1" s="1"/>
  <c r="F9" i="1"/>
  <c r="G9" i="1"/>
  <c r="H9" i="1"/>
  <c r="I9" i="1"/>
  <c r="J9" i="1"/>
  <c r="K9" i="1"/>
  <c r="L9" i="1"/>
  <c r="M9" i="1"/>
  <c r="N9" i="1"/>
  <c r="O9" i="1"/>
  <c r="P9" i="1"/>
  <c r="F10" i="1"/>
  <c r="G10" i="1"/>
  <c r="H10" i="1"/>
  <c r="I10" i="1"/>
  <c r="J10" i="1"/>
  <c r="K10" i="1"/>
  <c r="L10" i="1"/>
  <c r="M10" i="1"/>
  <c r="N10" i="1"/>
  <c r="O10" i="1"/>
  <c r="P10" i="1"/>
  <c r="F11" i="1"/>
  <c r="G11" i="1"/>
  <c r="H11" i="1"/>
  <c r="I11" i="1"/>
  <c r="J11" i="1"/>
  <c r="K11" i="1"/>
  <c r="L11" i="1"/>
  <c r="M11" i="1"/>
  <c r="N11" i="1"/>
  <c r="O11" i="1"/>
  <c r="P11" i="1"/>
  <c r="S11" i="1" s="1"/>
  <c r="F12" i="1"/>
  <c r="G12" i="1"/>
  <c r="H12" i="1"/>
  <c r="I12" i="1"/>
  <c r="J12" i="1"/>
  <c r="K12" i="1"/>
  <c r="L12" i="1"/>
  <c r="M12" i="1"/>
  <c r="N12" i="1"/>
  <c r="O12" i="1"/>
  <c r="P12" i="1"/>
  <c r="S12" i="1" s="1"/>
  <c r="F13" i="1"/>
  <c r="G13" i="1"/>
  <c r="H13" i="1"/>
  <c r="I13" i="1"/>
  <c r="J13" i="1"/>
  <c r="K13" i="1"/>
  <c r="L13" i="1"/>
  <c r="M13" i="1"/>
  <c r="N13" i="1"/>
  <c r="O13" i="1"/>
  <c r="P13" i="1"/>
  <c r="S13" i="1" s="1"/>
  <c r="G4" i="1"/>
  <c r="H4" i="1"/>
  <c r="I4" i="1"/>
  <c r="J4" i="1"/>
  <c r="K4" i="1"/>
  <c r="L4" i="1"/>
  <c r="M4" i="1"/>
  <c r="N4" i="1"/>
  <c r="O4" i="1"/>
  <c r="P4" i="1"/>
  <c r="S4" i="1" s="1"/>
  <c r="F4" i="1"/>
  <c r="S9" i="1"/>
  <c r="T5" i="2"/>
  <c r="S7" i="1"/>
  <c r="S10" i="1"/>
  <c r="S14" i="1"/>
  <c r="S17" i="1"/>
  <c r="S21" i="1"/>
  <c r="S22" i="1"/>
  <c r="S23" i="1"/>
  <c r="S18" i="1"/>
  <c r="S26" i="1"/>
  <c r="S15" i="1"/>
  <c r="S16" i="1"/>
  <c r="S19" i="1"/>
  <c r="S20" i="1"/>
  <c r="S24" i="1"/>
  <c r="S25" i="1"/>
  <c r="S27" i="1"/>
  <c r="S28" i="1"/>
  <c r="D3" i="8"/>
  <c r="E3" i="8"/>
  <c r="D4" i="8"/>
  <c r="E4" i="8"/>
  <c r="D5" i="8"/>
  <c r="E5" i="8"/>
  <c r="D6" i="8"/>
  <c r="E6" i="8"/>
  <c r="D7" i="8"/>
  <c r="E7" i="8"/>
  <c r="D8" i="8"/>
  <c r="E8" i="8"/>
  <c r="D9" i="8"/>
  <c r="E9" i="8"/>
  <c r="D10" i="8"/>
  <c r="E10" i="8"/>
  <c r="D11" i="8"/>
  <c r="E11" i="8"/>
  <c r="D12" i="8"/>
  <c r="E12" i="8"/>
  <c r="D13" i="8"/>
  <c r="E13" i="8"/>
  <c r="D14" i="8"/>
  <c r="E14" i="8"/>
  <c r="D15" i="8"/>
  <c r="E15" i="8"/>
  <c r="D16" i="8"/>
  <c r="E16" i="8"/>
  <c r="D17" i="8"/>
  <c r="E17" i="8"/>
  <c r="D18" i="8"/>
  <c r="E18" i="8"/>
  <c r="D19" i="8"/>
  <c r="E19" i="8"/>
  <c r="D20" i="8"/>
  <c r="E20" i="8"/>
  <c r="D21" i="8"/>
  <c r="E21" i="8"/>
  <c r="D22" i="8"/>
  <c r="E22" i="8"/>
  <c r="D23" i="8"/>
  <c r="E23" i="8"/>
  <c r="D24" i="8"/>
  <c r="E24" i="8"/>
  <c r="D25" i="8"/>
  <c r="E25" i="8"/>
  <c r="D26" i="8"/>
  <c r="E26" i="8"/>
  <c r="D27" i="8"/>
  <c r="E27" i="8"/>
  <c r="D4" i="1"/>
  <c r="E4" i="1"/>
  <c r="D5" i="1"/>
  <c r="E5" i="1"/>
  <c r="D6" i="1"/>
  <c r="E6" i="1"/>
  <c r="D7" i="1"/>
  <c r="E7" i="1"/>
  <c r="D8" i="1"/>
  <c r="E8" i="1"/>
  <c r="D9" i="1"/>
  <c r="E9" i="1"/>
  <c r="D10" i="1"/>
  <c r="E10" i="1"/>
  <c r="D11" i="1"/>
  <c r="E11" i="1"/>
  <c r="D12" i="1"/>
  <c r="E12" i="1"/>
  <c r="D13" i="1"/>
  <c r="E13" i="1"/>
  <c r="D14" i="1"/>
  <c r="E14" i="1"/>
  <c r="D15" i="1"/>
  <c r="E15" i="1"/>
  <c r="D16" i="1"/>
  <c r="E16" i="1"/>
  <c r="D17" i="1"/>
  <c r="E17" i="1"/>
  <c r="D18" i="1"/>
  <c r="E18" i="1"/>
  <c r="D19" i="1"/>
  <c r="E19" i="1"/>
  <c r="D20" i="1"/>
  <c r="E20" i="1"/>
  <c r="D21" i="1"/>
  <c r="E21" i="1"/>
  <c r="D22" i="1"/>
  <c r="E22" i="1"/>
  <c r="D23" i="1"/>
  <c r="E23" i="1"/>
  <c r="D24" i="1"/>
  <c r="E24" i="1"/>
  <c r="D25" i="1"/>
  <c r="E25" i="1"/>
  <c r="D26" i="1"/>
  <c r="E26" i="1"/>
  <c r="D27" i="1"/>
  <c r="E27" i="1"/>
  <c r="D28" i="1"/>
  <c r="E28" i="1"/>
  <c r="D3" i="7"/>
  <c r="E3" i="7"/>
  <c r="D4" i="7"/>
  <c r="E4" i="7"/>
  <c r="D5" i="7"/>
  <c r="E5" i="7"/>
  <c r="D6" i="7"/>
  <c r="E6" i="7"/>
  <c r="D7" i="7"/>
  <c r="E7" i="7"/>
  <c r="D8" i="7"/>
  <c r="E8" i="7"/>
  <c r="D9" i="7"/>
  <c r="E9" i="7"/>
  <c r="D10" i="7"/>
  <c r="E10" i="7"/>
  <c r="D11" i="7"/>
  <c r="E11" i="7"/>
  <c r="D12" i="7"/>
  <c r="E12" i="7"/>
  <c r="D13" i="7"/>
  <c r="E13" i="7"/>
  <c r="D14" i="7"/>
  <c r="E14" i="7"/>
  <c r="D15" i="7"/>
  <c r="E15" i="7"/>
  <c r="D16" i="7"/>
  <c r="E16" i="7"/>
  <c r="D17" i="7"/>
  <c r="E17" i="7"/>
  <c r="D18" i="7"/>
  <c r="E18" i="7"/>
  <c r="D19" i="7"/>
  <c r="E19" i="7"/>
  <c r="D20" i="7"/>
  <c r="E20" i="7"/>
  <c r="D21" i="7"/>
  <c r="E21" i="7"/>
  <c r="D22" i="7"/>
  <c r="E22" i="7"/>
  <c r="D23" i="7"/>
  <c r="E23" i="7"/>
  <c r="D24" i="7"/>
  <c r="E24" i="7"/>
  <c r="D25" i="7"/>
  <c r="E25" i="7"/>
  <c r="D26" i="7"/>
  <c r="E26" i="7"/>
  <c r="D27" i="7"/>
  <c r="E27" i="7"/>
  <c r="D3" i="14"/>
  <c r="E3" i="14"/>
  <c r="D4" i="14"/>
  <c r="E4" i="14"/>
  <c r="D5" i="14"/>
  <c r="E5" i="14"/>
  <c r="D6" i="14"/>
  <c r="E6" i="14"/>
  <c r="D7" i="14"/>
  <c r="E7" i="14"/>
  <c r="D8" i="14"/>
  <c r="E8" i="14"/>
  <c r="D9" i="14"/>
  <c r="E9" i="14"/>
  <c r="D10" i="14"/>
  <c r="E10" i="14"/>
  <c r="D11" i="14"/>
  <c r="E11" i="14"/>
  <c r="D12" i="14"/>
  <c r="E12" i="14"/>
  <c r="D13" i="14"/>
  <c r="E13" i="14"/>
  <c r="D14" i="14"/>
  <c r="E14" i="14"/>
  <c r="D15" i="14"/>
  <c r="E15" i="14"/>
  <c r="D16" i="14"/>
  <c r="E16" i="14"/>
  <c r="D17" i="14"/>
  <c r="E17" i="14"/>
  <c r="D18" i="14"/>
  <c r="E18" i="14"/>
  <c r="D19" i="14"/>
  <c r="E19" i="14"/>
  <c r="D20" i="14"/>
  <c r="E20" i="14"/>
  <c r="D21" i="14"/>
  <c r="E21" i="14"/>
  <c r="D22" i="14"/>
  <c r="E22" i="14"/>
  <c r="D23" i="14"/>
  <c r="E23" i="14"/>
  <c r="D24" i="14"/>
  <c r="E24" i="14"/>
  <c r="D25" i="14"/>
  <c r="E25" i="14"/>
  <c r="D26" i="14"/>
  <c r="E26" i="14"/>
  <c r="D27" i="14"/>
  <c r="E27" i="14"/>
  <c r="D4" i="2"/>
  <c r="E4" i="2"/>
  <c r="D5" i="2"/>
  <c r="E5" i="2"/>
  <c r="D6" i="2"/>
  <c r="E6" i="2"/>
  <c r="D7" i="2"/>
  <c r="E7" i="2"/>
  <c r="D8" i="2"/>
  <c r="E8" i="2"/>
  <c r="D9" i="2"/>
  <c r="E9" i="2"/>
  <c r="D10" i="2"/>
  <c r="E10" i="2"/>
  <c r="D11" i="2"/>
  <c r="E11" i="2"/>
  <c r="D12" i="2"/>
  <c r="E12" i="2"/>
  <c r="D13" i="2"/>
  <c r="E13" i="2"/>
  <c r="D14" i="2"/>
  <c r="E14" i="2"/>
  <c r="D15" i="2"/>
  <c r="E15" i="2"/>
  <c r="D16" i="2"/>
  <c r="E16" i="2"/>
  <c r="D17" i="2"/>
  <c r="E17" i="2"/>
  <c r="D18" i="2"/>
  <c r="E18" i="2"/>
  <c r="D19" i="2"/>
  <c r="E19" i="2"/>
  <c r="D20" i="2"/>
  <c r="E20" i="2"/>
  <c r="D21" i="2"/>
  <c r="E21" i="2"/>
  <c r="D22" i="2"/>
  <c r="E22" i="2"/>
  <c r="D23" i="2"/>
  <c r="E23" i="2"/>
  <c r="D24" i="2"/>
  <c r="E24" i="2"/>
  <c r="D25" i="2"/>
  <c r="E25" i="2"/>
  <c r="D26" i="2"/>
  <c r="E26" i="2"/>
  <c r="D27" i="2"/>
  <c r="E27" i="2"/>
  <c r="D28" i="2"/>
  <c r="E28" i="2"/>
  <c r="A1" i="14"/>
  <c r="A3" i="8" l="1"/>
  <c r="A4" i="8"/>
  <c r="A5" i="8"/>
  <c r="A6" i="8"/>
  <c r="A7" i="8"/>
  <c r="A8" i="8"/>
  <c r="A9" i="8"/>
  <c r="A10" i="8"/>
  <c r="A11" i="8"/>
  <c r="A12" i="8"/>
  <c r="A13" i="8"/>
  <c r="A14" i="8"/>
  <c r="A15" i="8"/>
  <c r="A16" i="8"/>
  <c r="A17" i="8"/>
  <c r="A18" i="8"/>
  <c r="A19" i="8"/>
  <c r="A20" i="8"/>
  <c r="A21" i="8"/>
  <c r="A22" i="8"/>
  <c r="A23" i="8"/>
  <c r="A24" i="8"/>
  <c r="A25" i="8"/>
  <c r="A26" i="8"/>
  <c r="A27" i="8"/>
  <c r="B3" i="8"/>
  <c r="B4" i="8"/>
  <c r="B5" i="8"/>
  <c r="B6" i="8"/>
  <c r="B7" i="8"/>
  <c r="B8" i="8"/>
  <c r="B9" i="8"/>
  <c r="B10" i="8"/>
  <c r="B11" i="8"/>
  <c r="B12" i="8"/>
  <c r="B13" i="8"/>
  <c r="B14" i="8"/>
  <c r="B15" i="8"/>
  <c r="B16" i="8"/>
  <c r="B17" i="8"/>
  <c r="B18" i="8"/>
  <c r="B19" i="8"/>
  <c r="B20" i="8"/>
  <c r="B21" i="8"/>
  <c r="B22" i="8"/>
  <c r="B23" i="8"/>
  <c r="B24" i="8"/>
  <c r="B25" i="8"/>
  <c r="B26" i="8"/>
  <c r="B27" i="8"/>
  <c r="C3" i="8"/>
  <c r="C4" i="8"/>
  <c r="C5" i="8"/>
  <c r="C6" i="8"/>
  <c r="C7" i="8"/>
  <c r="C8" i="8"/>
  <c r="C9" i="8"/>
  <c r="C10" i="8"/>
  <c r="C11" i="8"/>
  <c r="C12" i="8"/>
  <c r="C13" i="8"/>
  <c r="C14" i="8"/>
  <c r="C15" i="8"/>
  <c r="C16" i="8"/>
  <c r="C17" i="8"/>
  <c r="C18" i="8"/>
  <c r="C19" i="8"/>
  <c r="C20" i="8"/>
  <c r="C21" i="8"/>
  <c r="C22" i="8"/>
  <c r="C23" i="8"/>
  <c r="C24" i="8"/>
  <c r="C25" i="8"/>
  <c r="C26" i="8"/>
  <c r="C27" i="8"/>
  <c r="A3" i="7"/>
  <c r="A4" i="7"/>
  <c r="A5" i="7"/>
  <c r="A6" i="7"/>
  <c r="A7" i="7"/>
  <c r="A8" i="7"/>
  <c r="A9" i="7"/>
  <c r="A10" i="7"/>
  <c r="A11" i="7"/>
  <c r="A12" i="7"/>
  <c r="A13" i="7"/>
  <c r="A14" i="7"/>
  <c r="A15" i="7"/>
  <c r="A16" i="7"/>
  <c r="A17" i="7"/>
  <c r="A18" i="7"/>
  <c r="A19" i="7"/>
  <c r="A20" i="7"/>
  <c r="A21" i="7"/>
  <c r="A22" i="7"/>
  <c r="A23" i="7"/>
  <c r="A24" i="7"/>
  <c r="A25" i="7"/>
  <c r="A26" i="7"/>
  <c r="A27" i="7"/>
  <c r="B3" i="7"/>
  <c r="B4" i="7"/>
  <c r="B5" i="7"/>
  <c r="B6" i="7"/>
  <c r="B7" i="7"/>
  <c r="B8" i="7"/>
  <c r="B9" i="7"/>
  <c r="B10" i="7"/>
  <c r="B11" i="7"/>
  <c r="B12" i="7"/>
  <c r="B13" i="7"/>
  <c r="B14" i="7"/>
  <c r="B15" i="7"/>
  <c r="B16" i="7"/>
  <c r="B17" i="7"/>
  <c r="B18" i="7"/>
  <c r="B19" i="7"/>
  <c r="B20" i="7"/>
  <c r="B21" i="7"/>
  <c r="B22" i="7"/>
  <c r="B23" i="7"/>
  <c r="B24" i="7"/>
  <c r="B25" i="7"/>
  <c r="B26" i="7"/>
  <c r="B27" i="7"/>
  <c r="C3" i="7"/>
  <c r="C4" i="7"/>
  <c r="C5" i="7"/>
  <c r="C6" i="7"/>
  <c r="C7" i="7"/>
  <c r="C8" i="7"/>
  <c r="C9" i="7"/>
  <c r="C10" i="7"/>
  <c r="C11" i="7"/>
  <c r="C12" i="7"/>
  <c r="C13" i="7"/>
  <c r="C14" i="7"/>
  <c r="C15" i="7"/>
  <c r="C16" i="7"/>
  <c r="C17" i="7"/>
  <c r="C18" i="7"/>
  <c r="C19" i="7"/>
  <c r="C20" i="7"/>
  <c r="C21" i="7"/>
  <c r="C22" i="7"/>
  <c r="C23" i="7"/>
  <c r="C24" i="7"/>
  <c r="C25" i="7"/>
  <c r="C26" i="7"/>
  <c r="C27" i="7"/>
  <c r="A4" i="2"/>
  <c r="A5" i="2"/>
  <c r="A6" i="2"/>
  <c r="A7" i="2"/>
  <c r="A8" i="2"/>
  <c r="A9" i="2"/>
  <c r="A10" i="2"/>
  <c r="A11" i="2"/>
  <c r="A12" i="2"/>
  <c r="A13" i="2"/>
  <c r="A14" i="2"/>
  <c r="A15" i="2"/>
  <c r="A16" i="2"/>
  <c r="A17" i="2"/>
  <c r="A18" i="2"/>
  <c r="A19" i="2"/>
  <c r="A20" i="2"/>
  <c r="A21" i="2"/>
  <c r="A22" i="2"/>
  <c r="A23" i="2"/>
  <c r="A24" i="2"/>
  <c r="A25" i="2"/>
  <c r="A26" i="2"/>
  <c r="A27" i="2"/>
  <c r="A28" i="2"/>
  <c r="B4" i="2"/>
  <c r="B5" i="2"/>
  <c r="B6" i="2"/>
  <c r="B7" i="2"/>
  <c r="B8" i="2"/>
  <c r="B9" i="2"/>
  <c r="B10" i="2"/>
  <c r="B11" i="2"/>
  <c r="B12" i="2"/>
  <c r="B13" i="2"/>
  <c r="B14" i="2"/>
  <c r="B15" i="2"/>
  <c r="B16" i="2"/>
  <c r="B17" i="2"/>
  <c r="B18" i="2"/>
  <c r="B19" i="2"/>
  <c r="B20" i="2"/>
  <c r="B21" i="2"/>
  <c r="B22" i="2"/>
  <c r="B23" i="2"/>
  <c r="B24" i="2"/>
  <c r="B25" i="2"/>
  <c r="B26" i="2"/>
  <c r="B27" i="2"/>
  <c r="B28" i="2"/>
  <c r="C4" i="2"/>
  <c r="C5" i="2"/>
  <c r="C6" i="2"/>
  <c r="C7" i="2"/>
  <c r="C8" i="2"/>
  <c r="C9" i="2"/>
  <c r="C10" i="2"/>
  <c r="C11" i="2"/>
  <c r="C12" i="2"/>
  <c r="C13" i="2"/>
  <c r="C14" i="2"/>
  <c r="C15" i="2"/>
  <c r="C16" i="2"/>
  <c r="C17" i="2"/>
  <c r="C18" i="2"/>
  <c r="C19" i="2"/>
  <c r="C20" i="2"/>
  <c r="C21" i="2"/>
  <c r="C22" i="2"/>
  <c r="C23" i="2"/>
  <c r="C24" i="2"/>
  <c r="C25" i="2"/>
  <c r="C26" i="2"/>
  <c r="C27" i="2"/>
  <c r="C28" i="2"/>
  <c r="C5" i="1"/>
  <c r="C6" i="1"/>
  <c r="C7" i="1"/>
  <c r="C8" i="1"/>
  <c r="C9" i="1"/>
  <c r="C10" i="1"/>
  <c r="C11" i="1"/>
  <c r="C12" i="1"/>
  <c r="C13" i="1"/>
  <c r="C14" i="1"/>
  <c r="C15" i="1"/>
  <c r="C16" i="1"/>
  <c r="C17" i="1"/>
  <c r="C18" i="1"/>
  <c r="C19" i="1"/>
  <c r="C20" i="1"/>
  <c r="C21" i="1"/>
  <c r="C22" i="1"/>
  <c r="C23" i="1"/>
  <c r="C24" i="1"/>
  <c r="C25" i="1"/>
  <c r="C26" i="1"/>
  <c r="C27" i="1"/>
  <c r="C28" i="1"/>
  <c r="B5" i="1"/>
  <c r="B6" i="1"/>
  <c r="B7" i="1"/>
  <c r="B8" i="1"/>
  <c r="B9" i="1"/>
  <c r="B10" i="1"/>
  <c r="B11" i="1"/>
  <c r="B12" i="1"/>
  <c r="B13" i="1"/>
  <c r="B14" i="1"/>
  <c r="B15" i="1"/>
  <c r="B16" i="1"/>
  <c r="B17" i="1"/>
  <c r="B18" i="1"/>
  <c r="B19" i="1"/>
  <c r="B20" i="1"/>
  <c r="B21" i="1"/>
  <c r="B22" i="1"/>
  <c r="B23" i="1"/>
  <c r="B24" i="1"/>
  <c r="B25" i="1"/>
  <c r="B26" i="1"/>
  <c r="B27" i="1"/>
  <c r="B28" i="1"/>
  <c r="B4" i="1"/>
  <c r="C4" i="1"/>
  <c r="A4" i="1"/>
  <c r="A5" i="1"/>
  <c r="A6" i="1"/>
  <c r="A7" i="1"/>
  <c r="A8" i="1"/>
  <c r="A9" i="1"/>
  <c r="A10" i="1"/>
  <c r="A11" i="1"/>
  <c r="A12" i="1"/>
  <c r="A13" i="1"/>
  <c r="A14" i="1"/>
  <c r="A15" i="1"/>
  <c r="A16" i="1"/>
  <c r="A17" i="1"/>
  <c r="A18" i="1"/>
  <c r="A19" i="1"/>
  <c r="A20" i="1"/>
  <c r="A21" i="1"/>
  <c r="A22" i="1"/>
  <c r="A23" i="1"/>
  <c r="A24" i="1"/>
  <c r="A25" i="1"/>
  <c r="A26" i="1"/>
  <c r="A27" i="1"/>
  <c r="A28" i="1"/>
  <c r="C3" i="14"/>
  <c r="C4" i="14"/>
  <c r="C5" i="14"/>
  <c r="C6" i="14"/>
  <c r="C7" i="14"/>
  <c r="C8" i="14"/>
  <c r="C9" i="14"/>
  <c r="C10" i="14"/>
  <c r="C11" i="14"/>
  <c r="C12" i="14"/>
  <c r="C13" i="14"/>
  <c r="C14" i="14"/>
  <c r="C15" i="14"/>
  <c r="C16" i="14"/>
  <c r="C17" i="14"/>
  <c r="C18" i="14"/>
  <c r="C19" i="14"/>
  <c r="C20" i="14"/>
  <c r="C21" i="14"/>
  <c r="C22" i="14"/>
  <c r="C23" i="14"/>
  <c r="C24" i="14"/>
  <c r="C25" i="14"/>
  <c r="C26" i="14"/>
  <c r="C27" i="14"/>
  <c r="B3" i="14"/>
  <c r="B4" i="14"/>
  <c r="B5" i="14"/>
  <c r="B6" i="14"/>
  <c r="B7" i="14"/>
  <c r="B8" i="14"/>
  <c r="B9" i="14"/>
  <c r="B10" i="14"/>
  <c r="B11" i="14"/>
  <c r="B12" i="14"/>
  <c r="B13" i="14"/>
  <c r="B14" i="14"/>
  <c r="B15" i="14"/>
  <c r="B16" i="14"/>
  <c r="B17" i="14"/>
  <c r="B18" i="14"/>
  <c r="B19" i="14"/>
  <c r="B20" i="14"/>
  <c r="B21" i="14"/>
  <c r="B22" i="14"/>
  <c r="B23" i="14"/>
  <c r="B24" i="14"/>
  <c r="B25" i="14"/>
  <c r="B26" i="14"/>
  <c r="B27" i="14"/>
  <c r="A3" i="14"/>
  <c r="A4" i="14"/>
  <c r="A5" i="14"/>
  <c r="A6" i="14"/>
  <c r="A7" i="14"/>
  <c r="A8" i="14"/>
  <c r="A9" i="14"/>
  <c r="A10" i="14"/>
  <c r="A11" i="14"/>
  <c r="A12" i="14"/>
  <c r="A13" i="14"/>
  <c r="A14" i="14"/>
  <c r="A15" i="14"/>
  <c r="A16" i="14"/>
  <c r="A17" i="14"/>
  <c r="A18" i="14"/>
  <c r="A19" i="14"/>
  <c r="A20" i="14"/>
  <c r="A21" i="14"/>
  <c r="A22" i="14"/>
  <c r="A23" i="14"/>
  <c r="A24" i="14"/>
  <c r="A25" i="14"/>
  <c r="A26" i="14"/>
  <c r="A27" i="14"/>
  <c r="DR27" i="14" l="1"/>
  <c r="DQ27" i="14"/>
  <c r="DP27" i="14"/>
  <c r="DO27" i="14"/>
  <c r="DN27" i="14"/>
  <c r="DM27" i="14"/>
  <c r="DL27" i="14"/>
  <c r="DK27" i="14"/>
  <c r="DJ27" i="14"/>
  <c r="DI27" i="14"/>
  <c r="DH27" i="14"/>
  <c r="DG27" i="14"/>
  <c r="DF27" i="14"/>
  <c r="DE27" i="14"/>
  <c r="DD27" i="14"/>
  <c r="DC27" i="14"/>
  <c r="DB27" i="14"/>
  <c r="DA27" i="14"/>
  <c r="CZ27" i="14"/>
  <c r="CY27" i="14"/>
  <c r="CX27" i="14"/>
  <c r="CW27" i="14"/>
  <c r="CV27" i="14"/>
  <c r="CU27" i="14"/>
  <c r="CT27" i="14"/>
  <c r="CS27" i="14"/>
  <c r="CR27" i="14"/>
  <c r="CQ27" i="14"/>
  <c r="CP27" i="14"/>
  <c r="CO27" i="14"/>
  <c r="CN27" i="14"/>
  <c r="CM27" i="14"/>
  <c r="CL27" i="14"/>
  <c r="CK27" i="14"/>
  <c r="CJ27" i="14"/>
  <c r="CI27" i="14"/>
  <c r="CH27" i="14"/>
  <c r="CG27" i="14"/>
  <c r="CF27" i="14"/>
  <c r="CE27" i="14"/>
  <c r="CD27" i="14"/>
  <c r="CC27" i="14"/>
  <c r="CB27" i="14"/>
  <c r="CA27" i="14"/>
  <c r="BZ27"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DR25" i="14"/>
  <c r="DQ25" i="14"/>
  <c r="DP25" i="14"/>
  <c r="DO25" i="14"/>
  <c r="DN25" i="14"/>
  <c r="DM25" i="14"/>
  <c r="DL25" i="14"/>
  <c r="DK25" i="14"/>
  <c r="DJ25" i="14"/>
  <c r="DI25" i="14"/>
  <c r="DH25" i="14"/>
  <c r="DG25" i="14"/>
  <c r="DF25" i="14"/>
  <c r="DE25" i="14"/>
  <c r="DD25" i="14"/>
  <c r="DC25" i="14"/>
  <c r="DB25" i="14"/>
  <c r="DA25" i="14"/>
  <c r="CZ25" i="14"/>
  <c r="CY25" i="14"/>
  <c r="CX25" i="14"/>
  <c r="CW25" i="14"/>
  <c r="CV25" i="14"/>
  <c r="CU25" i="14"/>
  <c r="CT25" i="14"/>
  <c r="CS25" i="14"/>
  <c r="CR25" i="14"/>
  <c r="CQ25" i="14"/>
  <c r="CP25" i="14"/>
  <c r="CO25" i="14"/>
  <c r="CN25" i="14"/>
  <c r="CM25" i="14"/>
  <c r="CL25" i="14"/>
  <c r="CK25" i="14"/>
  <c r="CJ25" i="14"/>
  <c r="CI25" i="14"/>
  <c r="CH25" i="14"/>
  <c r="CG25" i="14"/>
  <c r="CF25" i="14"/>
  <c r="CE25" i="14"/>
  <c r="CD25" i="14"/>
  <c r="CC25" i="14"/>
  <c r="CB25" i="14"/>
  <c r="CA25" i="14"/>
  <c r="BZ25" i="14"/>
  <c r="DR24" i="14"/>
  <c r="DQ24" i="14"/>
  <c r="DP24" i="14"/>
  <c r="DO24" i="14"/>
  <c r="DN24" i="14"/>
  <c r="DM24" i="14"/>
  <c r="DL24" i="14"/>
  <c r="DK24" i="14"/>
  <c r="DJ24" i="14"/>
  <c r="DI24" i="14"/>
  <c r="DH24" i="14"/>
  <c r="DG24" i="14"/>
  <c r="DF24" i="14"/>
  <c r="DE24" i="14"/>
  <c r="DD24" i="14"/>
  <c r="DC24" i="14"/>
  <c r="DB24" i="14"/>
  <c r="DA24" i="14"/>
  <c r="CZ24" i="14"/>
  <c r="CY24" i="14"/>
  <c r="CX24" i="14"/>
  <c r="CW24" i="14"/>
  <c r="CV24" i="14"/>
  <c r="CU24" i="14"/>
  <c r="CT24" i="14"/>
  <c r="CS24" i="14"/>
  <c r="CR24" i="14"/>
  <c r="CQ24" i="14"/>
  <c r="CP24" i="14"/>
  <c r="CO24" i="14"/>
  <c r="CN24" i="14"/>
  <c r="CM24" i="14"/>
  <c r="CL24" i="14"/>
  <c r="CK24" i="14"/>
  <c r="CJ24" i="14"/>
  <c r="CI24" i="14"/>
  <c r="CH24" i="14"/>
  <c r="CG24" i="14"/>
  <c r="CF24" i="14"/>
  <c r="CE24" i="14"/>
  <c r="CD24" i="14"/>
  <c r="CC24" i="14"/>
  <c r="CB24" i="14"/>
  <c r="CA24" i="14"/>
  <c r="BZ24" i="14"/>
  <c r="BW24" i="14" s="1"/>
  <c r="DR23" i="14"/>
  <c r="DQ23" i="14"/>
  <c r="DP23" i="14"/>
  <c r="DO23" i="14"/>
  <c r="DN23" i="14"/>
  <c r="DM23" i="14"/>
  <c r="DL23" i="14"/>
  <c r="DK23" i="14"/>
  <c r="DJ23" i="14"/>
  <c r="DI23" i="14"/>
  <c r="DH23" i="14"/>
  <c r="DG23" i="14"/>
  <c r="DF23" i="14"/>
  <c r="DE23" i="14"/>
  <c r="DD23" i="14"/>
  <c r="DC23" i="14"/>
  <c r="DB23" i="14"/>
  <c r="DA23" i="14"/>
  <c r="CZ23" i="14"/>
  <c r="CY23" i="14"/>
  <c r="CX23" i="14"/>
  <c r="CW23" i="14"/>
  <c r="CV23" i="14"/>
  <c r="CU23" i="14"/>
  <c r="CT23" i="14"/>
  <c r="CS23" i="14"/>
  <c r="CR23" i="14"/>
  <c r="CQ23" i="14"/>
  <c r="CP23" i="14"/>
  <c r="CO23" i="14"/>
  <c r="CN23" i="14"/>
  <c r="CM23" i="14"/>
  <c r="CL23" i="14"/>
  <c r="CK23" i="14"/>
  <c r="CJ23" i="14"/>
  <c r="CI23" i="14"/>
  <c r="CH23" i="14"/>
  <c r="CG23" i="14"/>
  <c r="CF23" i="14"/>
  <c r="CE23" i="14"/>
  <c r="CD23" i="14"/>
  <c r="CC23" i="14"/>
  <c r="CB23" i="14"/>
  <c r="CA23" i="14"/>
  <c r="BZ23" i="14"/>
  <c r="DR22" i="14"/>
  <c r="DQ22" i="14"/>
  <c r="DP22" i="14"/>
  <c r="DO22" i="14"/>
  <c r="DN22" i="14"/>
  <c r="DM22" i="14"/>
  <c r="DL22" i="14"/>
  <c r="DK22" i="14"/>
  <c r="DJ22" i="14"/>
  <c r="DI22" i="14"/>
  <c r="DH22" i="14"/>
  <c r="DG22" i="14"/>
  <c r="DF22" i="14"/>
  <c r="DE22" i="14"/>
  <c r="DD22" i="14"/>
  <c r="DC22" i="14"/>
  <c r="DB22" i="14"/>
  <c r="DA22" i="14"/>
  <c r="CZ22" i="14"/>
  <c r="CY22" i="14"/>
  <c r="CX22" i="14"/>
  <c r="CW22" i="14"/>
  <c r="CV22" i="14"/>
  <c r="CU22" i="14"/>
  <c r="CT22" i="14"/>
  <c r="CS22" i="14"/>
  <c r="CR22" i="14"/>
  <c r="CQ22" i="14"/>
  <c r="CP22" i="14"/>
  <c r="CO22" i="14"/>
  <c r="CN22" i="14"/>
  <c r="CM22" i="14"/>
  <c r="CL22" i="14"/>
  <c r="CK22" i="14"/>
  <c r="CJ22" i="14"/>
  <c r="CI22" i="14"/>
  <c r="CH22" i="14"/>
  <c r="CG22" i="14"/>
  <c r="CF22" i="14"/>
  <c r="CE22" i="14"/>
  <c r="CD22" i="14"/>
  <c r="CC22" i="14"/>
  <c r="CB22" i="14"/>
  <c r="CA22" i="14"/>
  <c r="BZ22" i="14"/>
  <c r="DR21" i="14"/>
  <c r="DQ21" i="14"/>
  <c r="DP21" i="14"/>
  <c r="DO21" i="14"/>
  <c r="DN21" i="14"/>
  <c r="DM21" i="14"/>
  <c r="DL21" i="14"/>
  <c r="DK21" i="14"/>
  <c r="DJ21" i="14"/>
  <c r="DI21" i="14"/>
  <c r="DH21" i="14"/>
  <c r="DG21" i="14"/>
  <c r="DF21" i="14"/>
  <c r="DE21" i="14"/>
  <c r="DD21" i="14"/>
  <c r="DC21" i="14"/>
  <c r="DB21" i="14"/>
  <c r="DA21" i="14"/>
  <c r="CZ21" i="14"/>
  <c r="CY21" i="14"/>
  <c r="CX21" i="14"/>
  <c r="CW21" i="14"/>
  <c r="CV21" i="14"/>
  <c r="CU21" i="14"/>
  <c r="CT21" i="14"/>
  <c r="CS21" i="14"/>
  <c r="CR21" i="14"/>
  <c r="CQ21" i="14"/>
  <c r="CP21" i="14"/>
  <c r="CO21" i="14"/>
  <c r="CN21" i="14"/>
  <c r="CM21" i="14"/>
  <c r="CL21" i="14"/>
  <c r="CK21" i="14"/>
  <c r="CJ21" i="14"/>
  <c r="CI21" i="14"/>
  <c r="CH21" i="14"/>
  <c r="CG21" i="14"/>
  <c r="CF21" i="14"/>
  <c r="CE21" i="14"/>
  <c r="CD21" i="14"/>
  <c r="CC21" i="14"/>
  <c r="CB21" i="14"/>
  <c r="CA21" i="14"/>
  <c r="BZ21" i="14"/>
  <c r="DR20" i="14"/>
  <c r="DQ20" i="14"/>
  <c r="DP20" i="14"/>
  <c r="DO20" i="14"/>
  <c r="DN20" i="14"/>
  <c r="DM20" i="14"/>
  <c r="DL20" i="14"/>
  <c r="DK20" i="14"/>
  <c r="DJ20" i="14"/>
  <c r="DI20" i="14"/>
  <c r="DH20" i="14"/>
  <c r="DG20" i="14"/>
  <c r="DF20" i="14"/>
  <c r="DE20" i="14"/>
  <c r="DD20" i="14"/>
  <c r="DC20" i="14"/>
  <c r="DB20" i="14"/>
  <c r="DA20" i="14"/>
  <c r="CZ20" i="14"/>
  <c r="CY20" i="14"/>
  <c r="CX20" i="14"/>
  <c r="CW20" i="14"/>
  <c r="CV20" i="14"/>
  <c r="CU20" i="14"/>
  <c r="CT20" i="14"/>
  <c r="CS20" i="14"/>
  <c r="CR20" i="14"/>
  <c r="CQ20" i="14"/>
  <c r="CP20" i="14"/>
  <c r="CO20" i="14"/>
  <c r="CN20" i="14"/>
  <c r="CM20" i="14"/>
  <c r="CL20" i="14"/>
  <c r="CK20" i="14"/>
  <c r="CJ20" i="14"/>
  <c r="CI20" i="14"/>
  <c r="CH20" i="14"/>
  <c r="CG20" i="14"/>
  <c r="CF20" i="14"/>
  <c r="CE20" i="14"/>
  <c r="CD20" i="14"/>
  <c r="CC20" i="14"/>
  <c r="CB20" i="14"/>
  <c r="CA20" i="14"/>
  <c r="BZ20" i="14"/>
  <c r="DR19" i="14"/>
  <c r="DQ19" i="14"/>
  <c r="DP19" i="14"/>
  <c r="DO19" i="14"/>
  <c r="DN19" i="14"/>
  <c r="DM19" i="14"/>
  <c r="DL19" i="14"/>
  <c r="DK19" i="14"/>
  <c r="DJ19" i="14"/>
  <c r="DI19" i="14"/>
  <c r="DH19" i="14"/>
  <c r="DG19" i="14"/>
  <c r="DF19" i="14"/>
  <c r="DE19" i="14"/>
  <c r="DD19" i="14"/>
  <c r="DC19" i="14"/>
  <c r="DB19" i="14"/>
  <c r="DA19" i="14"/>
  <c r="CZ19" i="14"/>
  <c r="CY19" i="14"/>
  <c r="CX19" i="14"/>
  <c r="CW19" i="14"/>
  <c r="CV19" i="14"/>
  <c r="CU19" i="14"/>
  <c r="CT19" i="14"/>
  <c r="CS19" i="14"/>
  <c r="CR19" i="14"/>
  <c r="CQ19" i="14"/>
  <c r="CP19" i="14"/>
  <c r="CO19" i="14"/>
  <c r="CN19" i="14"/>
  <c r="CM19" i="14"/>
  <c r="CL19" i="14"/>
  <c r="CK19" i="14"/>
  <c r="CJ19" i="14"/>
  <c r="CI19" i="14"/>
  <c r="CH19" i="14"/>
  <c r="CG19" i="14"/>
  <c r="CF19" i="14"/>
  <c r="CE19" i="14"/>
  <c r="CD19" i="14"/>
  <c r="CC19" i="14"/>
  <c r="CB19" i="14"/>
  <c r="CA19" i="14"/>
  <c r="BZ19" i="14"/>
  <c r="DR18" i="14"/>
  <c r="DQ18" i="14"/>
  <c r="DP18" i="14"/>
  <c r="DO18" i="14"/>
  <c r="DN18" i="14"/>
  <c r="DM18" i="14"/>
  <c r="DL18" i="14"/>
  <c r="DK18" i="14"/>
  <c r="DJ18" i="14"/>
  <c r="DI18" i="14"/>
  <c r="DH18" i="14"/>
  <c r="DG18" i="14"/>
  <c r="DF18" i="14"/>
  <c r="DE18" i="14"/>
  <c r="DD18" i="14"/>
  <c r="DC18" i="14"/>
  <c r="DB18" i="14"/>
  <c r="DA18" i="14"/>
  <c r="CZ18" i="14"/>
  <c r="CY18" i="14"/>
  <c r="CX18" i="14"/>
  <c r="CW18" i="14"/>
  <c r="CV18" i="14"/>
  <c r="CU18" i="14"/>
  <c r="CT18" i="14"/>
  <c r="CS18" i="14"/>
  <c r="CR18" i="14"/>
  <c r="CQ18" i="14"/>
  <c r="CP18" i="14"/>
  <c r="CO18" i="14"/>
  <c r="CN18" i="14"/>
  <c r="CM18" i="14"/>
  <c r="CL18" i="14"/>
  <c r="CK18" i="14"/>
  <c r="CJ18" i="14"/>
  <c r="CI18" i="14"/>
  <c r="CH18" i="14"/>
  <c r="CG18" i="14"/>
  <c r="CF18" i="14"/>
  <c r="CE18" i="14"/>
  <c r="CD18" i="14"/>
  <c r="CC18" i="14"/>
  <c r="CB18" i="14"/>
  <c r="CA18" i="14"/>
  <c r="BZ18" i="14"/>
  <c r="DR17" i="14"/>
  <c r="DQ17" i="14"/>
  <c r="DP17" i="14"/>
  <c r="DO17" i="14"/>
  <c r="DN17" i="14"/>
  <c r="DM17" i="14"/>
  <c r="DL17" i="14"/>
  <c r="DK17" i="14"/>
  <c r="DJ17" i="14"/>
  <c r="DI17" i="14"/>
  <c r="DH17" i="14"/>
  <c r="DG17" i="14"/>
  <c r="DF17" i="14"/>
  <c r="DE17" i="14"/>
  <c r="DD17" i="14"/>
  <c r="DC17" i="14"/>
  <c r="DB17" i="14"/>
  <c r="DA17" i="14"/>
  <c r="CZ17" i="14"/>
  <c r="CY17" i="14"/>
  <c r="CX17" i="14"/>
  <c r="CW17" i="14"/>
  <c r="CV17" i="14"/>
  <c r="CU17" i="14"/>
  <c r="CT17" i="14"/>
  <c r="CS17" i="14"/>
  <c r="CR17" i="14"/>
  <c r="CQ17" i="14"/>
  <c r="CP17" i="14"/>
  <c r="CO17" i="14"/>
  <c r="CN17" i="14"/>
  <c r="CM17" i="14"/>
  <c r="CL17" i="14"/>
  <c r="CK17" i="14"/>
  <c r="CJ17" i="14"/>
  <c r="CI17" i="14"/>
  <c r="CH17" i="14"/>
  <c r="CG17" i="14"/>
  <c r="CF17" i="14"/>
  <c r="CE17" i="14"/>
  <c r="CD17" i="14"/>
  <c r="CC17" i="14"/>
  <c r="CB17" i="14"/>
  <c r="CA17" i="14"/>
  <c r="BZ17" i="14"/>
  <c r="DR16" i="14"/>
  <c r="DQ16" i="14"/>
  <c r="DP16" i="14"/>
  <c r="DO16" i="14"/>
  <c r="DN16" i="14"/>
  <c r="DM16" i="14"/>
  <c r="DL16" i="14"/>
  <c r="DK16" i="14"/>
  <c r="DJ16" i="14"/>
  <c r="DI16" i="14"/>
  <c r="DH16" i="14"/>
  <c r="DG16" i="14"/>
  <c r="DF16" i="14"/>
  <c r="DE16" i="14"/>
  <c r="DD16" i="14"/>
  <c r="DC16" i="14"/>
  <c r="DB16" i="14"/>
  <c r="DA16" i="14"/>
  <c r="CZ16" i="14"/>
  <c r="CY16" i="14"/>
  <c r="CX16" i="14"/>
  <c r="CW16" i="14"/>
  <c r="CV16" i="14"/>
  <c r="CU16" i="14"/>
  <c r="CT16" i="14"/>
  <c r="CS16" i="14"/>
  <c r="CR16" i="14"/>
  <c r="CQ16" i="14"/>
  <c r="CP16" i="14"/>
  <c r="CO16" i="14"/>
  <c r="CN16" i="14"/>
  <c r="CM16" i="14"/>
  <c r="CL16" i="14"/>
  <c r="CK16" i="14"/>
  <c r="CJ16" i="14"/>
  <c r="CI16" i="14"/>
  <c r="CH16" i="14"/>
  <c r="CG16" i="14"/>
  <c r="CF16" i="14"/>
  <c r="CE16" i="14"/>
  <c r="CD16" i="14"/>
  <c r="CC16" i="14"/>
  <c r="CB16" i="14"/>
  <c r="CA16" i="14"/>
  <c r="BZ16" i="14"/>
  <c r="DR15" i="14"/>
  <c r="DQ15" i="14"/>
  <c r="DP15" i="14"/>
  <c r="DO15" i="14"/>
  <c r="DN15" i="14"/>
  <c r="DM15" i="14"/>
  <c r="DL15" i="14"/>
  <c r="DK15" i="14"/>
  <c r="DJ15" i="14"/>
  <c r="DI15" i="14"/>
  <c r="DH15" i="14"/>
  <c r="DG15" i="14"/>
  <c r="DF15" i="14"/>
  <c r="DE15" i="14"/>
  <c r="DD15" i="14"/>
  <c r="DC15" i="14"/>
  <c r="DB15" i="14"/>
  <c r="DA15" i="14"/>
  <c r="CZ15" i="14"/>
  <c r="CY15" i="14"/>
  <c r="CX15" i="14"/>
  <c r="CW15" i="14"/>
  <c r="CV15" i="14"/>
  <c r="CU15" i="14"/>
  <c r="CT15" i="14"/>
  <c r="CS15" i="14"/>
  <c r="CR15" i="14"/>
  <c r="CQ15" i="14"/>
  <c r="CP15" i="14"/>
  <c r="CO15" i="14"/>
  <c r="CN15" i="14"/>
  <c r="CM15" i="14"/>
  <c r="CL15" i="14"/>
  <c r="CK15" i="14"/>
  <c r="CJ15" i="14"/>
  <c r="CI15" i="14"/>
  <c r="CH15" i="14"/>
  <c r="CG15" i="14"/>
  <c r="CF15" i="14"/>
  <c r="CE15" i="14"/>
  <c r="CD15" i="14"/>
  <c r="CC15" i="14"/>
  <c r="CB15" i="14"/>
  <c r="CA15" i="14"/>
  <c r="BZ15" i="14"/>
  <c r="DR14" i="14"/>
  <c r="DQ14" i="14"/>
  <c r="DP14" i="14"/>
  <c r="DO14" i="14"/>
  <c r="DN14" i="14"/>
  <c r="DM14" i="14"/>
  <c r="DL14" i="14"/>
  <c r="DK14" i="14"/>
  <c r="DJ14" i="14"/>
  <c r="DI14" i="14"/>
  <c r="DH14" i="14"/>
  <c r="DG14" i="14"/>
  <c r="DF14" i="14"/>
  <c r="DE14" i="14"/>
  <c r="DD14" i="14"/>
  <c r="DC14" i="14"/>
  <c r="DB14" i="14"/>
  <c r="DA14" i="14"/>
  <c r="CZ14" i="14"/>
  <c r="CY14" i="14"/>
  <c r="CX14" i="14"/>
  <c r="CW14" i="14"/>
  <c r="CV14" i="14"/>
  <c r="CU14" i="14"/>
  <c r="CT14" i="14"/>
  <c r="CS14" i="14"/>
  <c r="CR14" i="14"/>
  <c r="CQ14" i="14"/>
  <c r="CP14" i="14"/>
  <c r="CO14" i="14"/>
  <c r="CN14" i="14"/>
  <c r="CM14" i="14"/>
  <c r="CL14" i="14"/>
  <c r="CK14" i="14"/>
  <c r="CJ14" i="14"/>
  <c r="CI14" i="14"/>
  <c r="CH14" i="14"/>
  <c r="CG14" i="14"/>
  <c r="CF14" i="14"/>
  <c r="CE14" i="14"/>
  <c r="CD14" i="14"/>
  <c r="CC14" i="14"/>
  <c r="CB14" i="14"/>
  <c r="CA14" i="14"/>
  <c r="BZ14" i="14"/>
  <c r="DR13" i="14"/>
  <c r="DQ13" i="14"/>
  <c r="DP13" i="14"/>
  <c r="DO13" i="14"/>
  <c r="DN13" i="14"/>
  <c r="DM13" i="14"/>
  <c r="DL13" i="14"/>
  <c r="DK13" i="14"/>
  <c r="DJ13" i="14"/>
  <c r="DI13" i="14"/>
  <c r="DH13" i="14"/>
  <c r="DG13" i="14"/>
  <c r="DF13" i="14"/>
  <c r="DE13" i="14"/>
  <c r="DD13" i="14"/>
  <c r="DC13" i="14"/>
  <c r="DB13" i="14"/>
  <c r="DA13" i="14"/>
  <c r="CZ13" i="14"/>
  <c r="CY13" i="14"/>
  <c r="CX13" i="14"/>
  <c r="CW13" i="14"/>
  <c r="CV13" i="14"/>
  <c r="CU13" i="14"/>
  <c r="CT13" i="14"/>
  <c r="CS13" i="14"/>
  <c r="CR13" i="14"/>
  <c r="CQ13" i="14"/>
  <c r="CP13" i="14"/>
  <c r="CO13" i="14"/>
  <c r="CN13" i="14"/>
  <c r="CM13" i="14"/>
  <c r="CL13" i="14"/>
  <c r="CK13" i="14"/>
  <c r="CJ13" i="14"/>
  <c r="CI13" i="14"/>
  <c r="CH13" i="14"/>
  <c r="CG13" i="14"/>
  <c r="CF13" i="14"/>
  <c r="CE13" i="14"/>
  <c r="CD13" i="14"/>
  <c r="CC13" i="14"/>
  <c r="CB13" i="14"/>
  <c r="CA13" i="14"/>
  <c r="BZ13" i="14"/>
  <c r="BW13" i="14" s="1"/>
  <c r="DR12" i="14"/>
  <c r="DQ12" i="14"/>
  <c r="DP12" i="14"/>
  <c r="DO12" i="14"/>
  <c r="DN12" i="14"/>
  <c r="DM12" i="14"/>
  <c r="DL12" i="14"/>
  <c r="DK12" i="14"/>
  <c r="DJ12" i="14"/>
  <c r="DI12" i="14"/>
  <c r="DH12" i="14"/>
  <c r="DG12" i="14"/>
  <c r="DF12" i="14"/>
  <c r="DE12" i="14"/>
  <c r="DD12" i="14"/>
  <c r="DC12" i="14"/>
  <c r="DB12" i="14"/>
  <c r="DA12" i="14"/>
  <c r="CZ12" i="14"/>
  <c r="CY12" i="14"/>
  <c r="CX12" i="14"/>
  <c r="CW12" i="14"/>
  <c r="CV12" i="14"/>
  <c r="CU12" i="14"/>
  <c r="CT12" i="14"/>
  <c r="CS12" i="14"/>
  <c r="CR12" i="14"/>
  <c r="CQ12" i="14"/>
  <c r="CP12" i="14"/>
  <c r="CO12" i="14"/>
  <c r="CN12" i="14"/>
  <c r="CM12" i="14"/>
  <c r="CL12" i="14"/>
  <c r="CK12" i="14"/>
  <c r="CJ12" i="14"/>
  <c r="CI12" i="14"/>
  <c r="CH12" i="14"/>
  <c r="CG12" i="14"/>
  <c r="CF12" i="14"/>
  <c r="CE12" i="14"/>
  <c r="CD12" i="14"/>
  <c r="CC12" i="14"/>
  <c r="CB12" i="14"/>
  <c r="CA12" i="14"/>
  <c r="BZ12" i="14"/>
  <c r="DR11" i="14"/>
  <c r="DQ11" i="14"/>
  <c r="DP11" i="14"/>
  <c r="DO11" i="14"/>
  <c r="DN11" i="14"/>
  <c r="DM11" i="14"/>
  <c r="DL11" i="14"/>
  <c r="DK11" i="14"/>
  <c r="DJ11" i="14"/>
  <c r="DI11" i="14"/>
  <c r="DH11" i="14"/>
  <c r="DG11" i="14"/>
  <c r="DF11" i="14"/>
  <c r="DE11" i="14"/>
  <c r="DD11" i="14"/>
  <c r="DC11" i="14"/>
  <c r="DB11" i="14"/>
  <c r="DA11" i="14"/>
  <c r="CZ11" i="14"/>
  <c r="CY11" i="14"/>
  <c r="CX11" i="14"/>
  <c r="CW11" i="14"/>
  <c r="CV11" i="14"/>
  <c r="CU11" i="14"/>
  <c r="CT11" i="14"/>
  <c r="CS11" i="14"/>
  <c r="CR11" i="14"/>
  <c r="CQ11" i="14"/>
  <c r="CP11" i="14"/>
  <c r="CO11" i="14"/>
  <c r="CN11" i="14"/>
  <c r="CM11" i="14"/>
  <c r="CL11" i="14"/>
  <c r="CK11" i="14"/>
  <c r="CJ11" i="14"/>
  <c r="CI11" i="14"/>
  <c r="CH11" i="14"/>
  <c r="CG11" i="14"/>
  <c r="CF11" i="14"/>
  <c r="CE11" i="14"/>
  <c r="CD11" i="14"/>
  <c r="CC11" i="14"/>
  <c r="CB11" i="14"/>
  <c r="CA11" i="14"/>
  <c r="BZ11" i="14"/>
  <c r="DR10" i="14"/>
  <c r="DQ10" i="14"/>
  <c r="DP10" i="14"/>
  <c r="DO10" i="14"/>
  <c r="DN10" i="14"/>
  <c r="DM10" i="14"/>
  <c r="DL10" i="14"/>
  <c r="DK10" i="14"/>
  <c r="DJ10" i="14"/>
  <c r="DI10" i="14"/>
  <c r="DH10" i="14"/>
  <c r="DG10" i="14"/>
  <c r="DF10" i="14"/>
  <c r="DE10" i="14"/>
  <c r="DD10" i="14"/>
  <c r="DC10" i="14"/>
  <c r="DB10" i="14"/>
  <c r="DA10" i="14"/>
  <c r="CZ10" i="14"/>
  <c r="CY10" i="14"/>
  <c r="CX10" i="14"/>
  <c r="CW10" i="14"/>
  <c r="CV10" i="14"/>
  <c r="CU10" i="14"/>
  <c r="CT10" i="14"/>
  <c r="CS10" i="14"/>
  <c r="CR10" i="14"/>
  <c r="CQ10" i="14"/>
  <c r="CP10" i="14"/>
  <c r="CO10" i="14"/>
  <c r="CN10" i="14"/>
  <c r="CM10" i="14"/>
  <c r="CL10" i="14"/>
  <c r="CK10" i="14"/>
  <c r="CJ10" i="14"/>
  <c r="CI10" i="14"/>
  <c r="CH10" i="14"/>
  <c r="CG10" i="14"/>
  <c r="CF10" i="14"/>
  <c r="CE10" i="14"/>
  <c r="CD10" i="14"/>
  <c r="CC10" i="14"/>
  <c r="CB10" i="14"/>
  <c r="CA10" i="14"/>
  <c r="BZ10" i="14"/>
  <c r="DR9" i="14"/>
  <c r="DQ9" i="14"/>
  <c r="DP9" i="14"/>
  <c r="DO9" i="14"/>
  <c r="DN9" i="14"/>
  <c r="DM9" i="14"/>
  <c r="DL9" i="14"/>
  <c r="DK9" i="14"/>
  <c r="DJ9" i="14"/>
  <c r="DI9" i="14"/>
  <c r="DH9" i="14"/>
  <c r="DG9" i="14"/>
  <c r="DF9" i="14"/>
  <c r="DE9" i="14"/>
  <c r="DD9" i="14"/>
  <c r="DC9" i="14"/>
  <c r="DB9" i="14"/>
  <c r="DA9" i="14"/>
  <c r="CZ9" i="14"/>
  <c r="CY9" i="14"/>
  <c r="CX9" i="14"/>
  <c r="CW9" i="14"/>
  <c r="CV9" i="14"/>
  <c r="CU9" i="14"/>
  <c r="CT9" i="14"/>
  <c r="CS9" i="14"/>
  <c r="CR9" i="14"/>
  <c r="CQ9" i="14"/>
  <c r="CP9" i="14"/>
  <c r="CO9" i="14"/>
  <c r="CN9" i="14"/>
  <c r="CM9" i="14"/>
  <c r="CL9" i="14"/>
  <c r="CK9" i="14"/>
  <c r="CJ9" i="14"/>
  <c r="CI9" i="14"/>
  <c r="CH9" i="14"/>
  <c r="CG9" i="14"/>
  <c r="CF9" i="14"/>
  <c r="CE9" i="14"/>
  <c r="CD9" i="14"/>
  <c r="CC9" i="14"/>
  <c r="CB9" i="14"/>
  <c r="CA9" i="14"/>
  <c r="BZ9" i="14"/>
  <c r="DR8" i="14"/>
  <c r="DQ8" i="14"/>
  <c r="DP8" i="14"/>
  <c r="DO8" i="14"/>
  <c r="BU8" i="14" s="1"/>
  <c r="BK8" i="14" s="1"/>
  <c r="DN8" i="14"/>
  <c r="DM8" i="14"/>
  <c r="DL8" i="14"/>
  <c r="DK8" i="14"/>
  <c r="DJ8" i="14"/>
  <c r="DI8" i="14"/>
  <c r="DH8" i="14"/>
  <c r="DG8" i="14"/>
  <c r="DF8" i="14"/>
  <c r="DE8" i="14"/>
  <c r="DD8" i="14"/>
  <c r="DC8" i="14"/>
  <c r="DB8" i="14"/>
  <c r="DA8" i="14"/>
  <c r="CZ8" i="14"/>
  <c r="CY8" i="14"/>
  <c r="CX8" i="14"/>
  <c r="CW8" i="14"/>
  <c r="CV8" i="14"/>
  <c r="CU8" i="14"/>
  <c r="CT8" i="14"/>
  <c r="CS8" i="14"/>
  <c r="CR8" i="14"/>
  <c r="CQ8" i="14"/>
  <c r="CP8" i="14"/>
  <c r="CO8" i="14"/>
  <c r="CN8" i="14"/>
  <c r="CM8" i="14"/>
  <c r="CL8" i="14"/>
  <c r="CK8" i="14"/>
  <c r="CJ8" i="14"/>
  <c r="CI8" i="14"/>
  <c r="CH8" i="14"/>
  <c r="CG8" i="14"/>
  <c r="CF8" i="14"/>
  <c r="CE8" i="14"/>
  <c r="CD8" i="14"/>
  <c r="CC8" i="14"/>
  <c r="CB8" i="14"/>
  <c r="CA8" i="14"/>
  <c r="BZ8" i="14"/>
  <c r="DR7" i="14"/>
  <c r="DQ7" i="14"/>
  <c r="DP7" i="14"/>
  <c r="DO7" i="14"/>
  <c r="DN7" i="14"/>
  <c r="DM7" i="14"/>
  <c r="DL7" i="14"/>
  <c r="DK7" i="14"/>
  <c r="DJ7" i="14"/>
  <c r="DI7" i="14"/>
  <c r="DH7" i="14"/>
  <c r="DG7" i="14"/>
  <c r="DF7" i="14"/>
  <c r="DE7" i="14"/>
  <c r="DD7" i="14"/>
  <c r="DC7" i="14"/>
  <c r="DB7" i="14"/>
  <c r="DA7" i="14"/>
  <c r="CZ7" i="14"/>
  <c r="CY7" i="14"/>
  <c r="CX7" i="14"/>
  <c r="CW7" i="14"/>
  <c r="CV7" i="14"/>
  <c r="CU7" i="14"/>
  <c r="CT7" i="14"/>
  <c r="CS7" i="14"/>
  <c r="CR7" i="14"/>
  <c r="CQ7" i="14"/>
  <c r="CP7" i="14"/>
  <c r="CO7" i="14"/>
  <c r="CN7" i="14"/>
  <c r="CM7" i="14"/>
  <c r="CL7" i="14"/>
  <c r="CK7" i="14"/>
  <c r="CJ7" i="14"/>
  <c r="CI7" i="14"/>
  <c r="CH7" i="14"/>
  <c r="CG7" i="14"/>
  <c r="CF7" i="14"/>
  <c r="CE7" i="14"/>
  <c r="CD7" i="14"/>
  <c r="CC7" i="14"/>
  <c r="CB7" i="14"/>
  <c r="CA7" i="14"/>
  <c r="BZ7" i="14"/>
  <c r="DR6" i="14"/>
  <c r="DQ6" i="14"/>
  <c r="DP6" i="14"/>
  <c r="DO6" i="14"/>
  <c r="DN6" i="14"/>
  <c r="DM6" i="14"/>
  <c r="DL6" i="14"/>
  <c r="DK6" i="14"/>
  <c r="DJ6" i="14"/>
  <c r="DI6" i="14"/>
  <c r="DH6" i="14"/>
  <c r="DG6" i="14"/>
  <c r="DF6" i="14"/>
  <c r="DE6" i="14"/>
  <c r="DD6" i="14"/>
  <c r="DC6" i="14"/>
  <c r="DB6" i="14"/>
  <c r="DA6" i="14"/>
  <c r="CZ6" i="14"/>
  <c r="CY6" i="14"/>
  <c r="CX6" i="14"/>
  <c r="CW6" i="14"/>
  <c r="CV6" i="14"/>
  <c r="CU6" i="14"/>
  <c r="CT6" i="14"/>
  <c r="CS6" i="14"/>
  <c r="CR6" i="14"/>
  <c r="CQ6" i="14"/>
  <c r="CP6" i="14"/>
  <c r="CO6" i="14"/>
  <c r="CN6" i="14"/>
  <c r="CM6" i="14"/>
  <c r="CL6" i="14"/>
  <c r="CK6" i="14"/>
  <c r="CJ6" i="14"/>
  <c r="CI6" i="14"/>
  <c r="CH6" i="14"/>
  <c r="CG6" i="14"/>
  <c r="CF6" i="14"/>
  <c r="CE6" i="14"/>
  <c r="CD6" i="14"/>
  <c r="CC6" i="14"/>
  <c r="CB6" i="14"/>
  <c r="CA6" i="14"/>
  <c r="BZ6" i="14"/>
  <c r="DR5" i="14"/>
  <c r="DQ5" i="14"/>
  <c r="DP5" i="14"/>
  <c r="DO5" i="14"/>
  <c r="DN5" i="14"/>
  <c r="DM5" i="14"/>
  <c r="DL5" i="14"/>
  <c r="DK5" i="14"/>
  <c r="DJ5" i="14"/>
  <c r="DI5" i="14"/>
  <c r="DH5" i="14"/>
  <c r="DG5" i="14"/>
  <c r="DF5" i="14"/>
  <c r="DE5" i="14"/>
  <c r="DD5" i="14"/>
  <c r="DC5" i="14"/>
  <c r="DB5" i="14"/>
  <c r="DA5" i="14"/>
  <c r="CZ5" i="14"/>
  <c r="CY5" i="14"/>
  <c r="CX5" i="14"/>
  <c r="CW5" i="14"/>
  <c r="CV5" i="14"/>
  <c r="CU5" i="14"/>
  <c r="CT5" i="14"/>
  <c r="CS5" i="14"/>
  <c r="CR5" i="14"/>
  <c r="CQ5" i="14"/>
  <c r="CP5" i="14"/>
  <c r="CO5" i="14"/>
  <c r="CN5" i="14"/>
  <c r="CM5" i="14"/>
  <c r="CL5" i="14"/>
  <c r="CK5" i="14"/>
  <c r="CJ5" i="14"/>
  <c r="CI5" i="14"/>
  <c r="CH5" i="14"/>
  <c r="CG5" i="14"/>
  <c r="CF5" i="14"/>
  <c r="CE5" i="14"/>
  <c r="CD5" i="14"/>
  <c r="CC5" i="14"/>
  <c r="CB5" i="14"/>
  <c r="CA5" i="14"/>
  <c r="BZ5" i="14"/>
  <c r="DR4" i="14"/>
  <c r="DQ4" i="14"/>
  <c r="DP4" i="14"/>
  <c r="DO4" i="14"/>
  <c r="DN4" i="14"/>
  <c r="DM4" i="14"/>
  <c r="DL4" i="14"/>
  <c r="DK4" i="14"/>
  <c r="DJ4" i="14"/>
  <c r="DI4" i="14"/>
  <c r="DH4" i="14"/>
  <c r="DG4" i="14"/>
  <c r="DF4" i="14"/>
  <c r="DE4" i="14"/>
  <c r="DD4" i="14"/>
  <c r="DC4" i="14"/>
  <c r="DB4" i="14"/>
  <c r="DA4" i="14"/>
  <c r="CZ4" i="14"/>
  <c r="CY4" i="14"/>
  <c r="CX4" i="14"/>
  <c r="CW4" i="14"/>
  <c r="CV4" i="14"/>
  <c r="CU4" i="14"/>
  <c r="CT4" i="14"/>
  <c r="CS4" i="14"/>
  <c r="CR4" i="14"/>
  <c r="CQ4" i="14"/>
  <c r="CP4" i="14"/>
  <c r="CO4" i="14"/>
  <c r="CN4" i="14"/>
  <c r="CM4" i="14"/>
  <c r="CL4" i="14"/>
  <c r="CK4" i="14"/>
  <c r="CJ4" i="14"/>
  <c r="CI4" i="14"/>
  <c r="CH4" i="14"/>
  <c r="CG4" i="14"/>
  <c r="CF4" i="14"/>
  <c r="CE4" i="14"/>
  <c r="CD4" i="14"/>
  <c r="CC4" i="14"/>
  <c r="CB4" i="14"/>
  <c r="CA4" i="14"/>
  <c r="BZ4" i="14"/>
  <c r="DR3" i="14"/>
  <c r="DQ3" i="14"/>
  <c r="DP3" i="14"/>
  <c r="DO3" i="14"/>
  <c r="DN3" i="14"/>
  <c r="DM3" i="14"/>
  <c r="DL3" i="14"/>
  <c r="DK3" i="14"/>
  <c r="DJ3" i="14"/>
  <c r="DI3" i="14"/>
  <c r="DH3" i="14"/>
  <c r="DG3" i="14"/>
  <c r="DF3" i="14"/>
  <c r="DE3" i="14"/>
  <c r="DD3" i="14"/>
  <c r="DC3" i="14"/>
  <c r="DB3" i="14"/>
  <c r="DA3" i="14"/>
  <c r="CZ3" i="14"/>
  <c r="BR3" i="14" s="1"/>
  <c r="BH3" i="14" s="1"/>
  <c r="CY3" i="14"/>
  <c r="CX3" i="14"/>
  <c r="CW3" i="14"/>
  <c r="CV3" i="14"/>
  <c r="CU3" i="14"/>
  <c r="CT3" i="14"/>
  <c r="CS3" i="14"/>
  <c r="CR3" i="14"/>
  <c r="CQ3" i="14"/>
  <c r="CP3" i="14"/>
  <c r="CO3" i="14"/>
  <c r="CN3" i="14"/>
  <c r="CM3" i="14"/>
  <c r="CL3" i="14"/>
  <c r="CK3" i="14"/>
  <c r="CJ3" i="14"/>
  <c r="CI3" i="14"/>
  <c r="CH3" i="14"/>
  <c r="CG3" i="14"/>
  <c r="CF3" i="14"/>
  <c r="CE3" i="14"/>
  <c r="CD3" i="14"/>
  <c r="CC3" i="14"/>
  <c r="CB3" i="14"/>
  <c r="CA3" i="14"/>
  <c r="BZ3" i="14"/>
  <c r="DP27" i="13"/>
  <c r="DO27" i="13"/>
  <c r="DN27" i="13"/>
  <c r="DM27" i="13"/>
  <c r="DL27" i="13"/>
  <c r="DK27" i="13"/>
  <c r="DJ27" i="13"/>
  <c r="DI27" i="13"/>
  <c r="DH27" i="13"/>
  <c r="DG27" i="13"/>
  <c r="DF27" i="13"/>
  <c r="DE27" i="13"/>
  <c r="DD27" i="13"/>
  <c r="DC27" i="13"/>
  <c r="DB27" i="13"/>
  <c r="DA27" i="13"/>
  <c r="CZ27" i="13"/>
  <c r="CY27" i="13"/>
  <c r="CX27" i="13"/>
  <c r="CW27" i="13"/>
  <c r="CV27" i="13"/>
  <c r="CU27" i="13"/>
  <c r="CT27" i="13"/>
  <c r="CS27" i="13"/>
  <c r="CR27" i="13"/>
  <c r="CQ27" i="13"/>
  <c r="CP27" i="13"/>
  <c r="CO27" i="13"/>
  <c r="CN27" i="13"/>
  <c r="CM27" i="13"/>
  <c r="CL27" i="13"/>
  <c r="CK27" i="13"/>
  <c r="CJ27" i="13"/>
  <c r="CI27" i="13"/>
  <c r="CH27" i="13"/>
  <c r="CG27" i="13"/>
  <c r="CF27" i="13"/>
  <c r="CE27" i="13"/>
  <c r="CD27" i="13"/>
  <c r="CC27" i="13"/>
  <c r="CB27" i="13"/>
  <c r="CA27" i="13"/>
  <c r="BZ27" i="13"/>
  <c r="BY27" i="13"/>
  <c r="BX27" i="13"/>
  <c r="DP26" i="13"/>
  <c r="DO26" i="13"/>
  <c r="DN26" i="13"/>
  <c r="DM26" i="13"/>
  <c r="DL26" i="13"/>
  <c r="DK26" i="13"/>
  <c r="DJ26" i="13"/>
  <c r="DI26" i="13"/>
  <c r="DH26" i="13"/>
  <c r="DG26" i="13"/>
  <c r="DF26" i="13"/>
  <c r="DE26" i="13"/>
  <c r="DD26" i="13"/>
  <c r="DC26" i="13"/>
  <c r="DB26" i="13"/>
  <c r="DA26" i="13"/>
  <c r="CZ26" i="13"/>
  <c r="CY26" i="13"/>
  <c r="CX26" i="13"/>
  <c r="CW26" i="13"/>
  <c r="CV26" i="13"/>
  <c r="CU26" i="13"/>
  <c r="CT26" i="13"/>
  <c r="CS26" i="13"/>
  <c r="CR26" i="13"/>
  <c r="CQ26" i="13"/>
  <c r="CP26" i="13"/>
  <c r="CO26" i="13"/>
  <c r="CN26" i="13"/>
  <c r="CM26" i="13"/>
  <c r="CL26" i="13"/>
  <c r="CK26" i="13"/>
  <c r="CJ26" i="13"/>
  <c r="CI26" i="13"/>
  <c r="CH26" i="13"/>
  <c r="CG26" i="13"/>
  <c r="CF26" i="13"/>
  <c r="CE26" i="13"/>
  <c r="CD26" i="13"/>
  <c r="CC26" i="13"/>
  <c r="CB26" i="13"/>
  <c r="CA26" i="13"/>
  <c r="BZ26" i="13"/>
  <c r="BY26" i="13"/>
  <c r="BX26" i="13"/>
  <c r="DP25" i="13"/>
  <c r="DO25" i="13"/>
  <c r="DN25" i="13"/>
  <c r="DM25" i="13"/>
  <c r="DL25" i="13"/>
  <c r="DK25" i="13"/>
  <c r="DJ25" i="13"/>
  <c r="DI25" i="13"/>
  <c r="DH25" i="13"/>
  <c r="DG25" i="13"/>
  <c r="DF25" i="13"/>
  <c r="DE25" i="13"/>
  <c r="DD25" i="13"/>
  <c r="DC25" i="13"/>
  <c r="DB25" i="13"/>
  <c r="DA25" i="13"/>
  <c r="CZ25" i="13"/>
  <c r="CY25" i="13"/>
  <c r="CX25" i="13"/>
  <c r="CW25" i="13"/>
  <c r="CV25" i="13"/>
  <c r="CU25" i="13"/>
  <c r="CT25" i="13"/>
  <c r="CS25" i="13"/>
  <c r="CR25" i="13"/>
  <c r="CQ25" i="13"/>
  <c r="CP25" i="13"/>
  <c r="CO25" i="13"/>
  <c r="CN25" i="13"/>
  <c r="CM25" i="13"/>
  <c r="CL25" i="13"/>
  <c r="CK25" i="13"/>
  <c r="CJ25" i="13"/>
  <c r="CI25" i="13"/>
  <c r="CH25" i="13"/>
  <c r="CG25" i="13"/>
  <c r="CF25" i="13"/>
  <c r="CE25" i="13"/>
  <c r="CD25" i="13"/>
  <c r="CC25" i="13"/>
  <c r="CB25" i="13"/>
  <c r="CA25" i="13"/>
  <c r="BZ25" i="13"/>
  <c r="BY25" i="13"/>
  <c r="BX25" i="13"/>
  <c r="DP24" i="13"/>
  <c r="DO24" i="13"/>
  <c r="DN24" i="13"/>
  <c r="DM24" i="13"/>
  <c r="DL24" i="13"/>
  <c r="DK24" i="13"/>
  <c r="DJ24" i="13"/>
  <c r="DI24" i="13"/>
  <c r="DH24" i="13"/>
  <c r="DG24" i="13"/>
  <c r="DF24" i="13"/>
  <c r="DE24" i="13"/>
  <c r="DD24" i="13"/>
  <c r="DC24" i="13"/>
  <c r="DB24" i="13"/>
  <c r="DA24" i="13"/>
  <c r="CZ24" i="13"/>
  <c r="CY24" i="13"/>
  <c r="CX24" i="13"/>
  <c r="CW24" i="13"/>
  <c r="CV24" i="13"/>
  <c r="CU24" i="13"/>
  <c r="CT24" i="13"/>
  <c r="CS24" i="13"/>
  <c r="CR24" i="13"/>
  <c r="CQ24" i="13"/>
  <c r="CP24" i="13"/>
  <c r="CO24" i="13"/>
  <c r="CN24" i="13"/>
  <c r="CM24" i="13"/>
  <c r="CL24" i="13"/>
  <c r="CK24" i="13"/>
  <c r="CJ24" i="13"/>
  <c r="CI24" i="13"/>
  <c r="CH24" i="13"/>
  <c r="CG24" i="13"/>
  <c r="CF24" i="13"/>
  <c r="CE24" i="13"/>
  <c r="CD24" i="13"/>
  <c r="CC24" i="13"/>
  <c r="CB24" i="13"/>
  <c r="CA24" i="13"/>
  <c r="BZ24" i="13"/>
  <c r="BY24" i="13"/>
  <c r="BX24" i="13"/>
  <c r="DP23" i="13"/>
  <c r="DO23" i="13"/>
  <c r="DN23" i="13"/>
  <c r="DM23" i="13"/>
  <c r="DL23" i="13"/>
  <c r="DK23" i="13"/>
  <c r="DJ23" i="13"/>
  <c r="DI23" i="13"/>
  <c r="DH23" i="13"/>
  <c r="DG23" i="13"/>
  <c r="DF23" i="13"/>
  <c r="DE23" i="13"/>
  <c r="DD23" i="13"/>
  <c r="DC23" i="13"/>
  <c r="DB23" i="13"/>
  <c r="DA23" i="13"/>
  <c r="CZ23" i="13"/>
  <c r="CY23" i="13"/>
  <c r="CX23" i="13"/>
  <c r="CW23" i="13"/>
  <c r="CV23" i="13"/>
  <c r="CU23" i="13"/>
  <c r="CT23" i="13"/>
  <c r="CS23" i="13"/>
  <c r="CR23" i="13"/>
  <c r="CQ23" i="13"/>
  <c r="CP23" i="13"/>
  <c r="CO23" i="13"/>
  <c r="CN23" i="13"/>
  <c r="CM23" i="13"/>
  <c r="CL23" i="13"/>
  <c r="CK23" i="13"/>
  <c r="CJ23" i="13"/>
  <c r="CI23" i="13"/>
  <c r="CH23" i="13"/>
  <c r="CG23" i="13"/>
  <c r="CF23" i="13"/>
  <c r="CE23" i="13"/>
  <c r="CD23" i="13"/>
  <c r="CC23" i="13"/>
  <c r="CB23" i="13"/>
  <c r="CA23" i="13"/>
  <c r="BZ23" i="13"/>
  <c r="BY23" i="13"/>
  <c r="BX23" i="13"/>
  <c r="DP22" i="13"/>
  <c r="DO22" i="13"/>
  <c r="DN22" i="13"/>
  <c r="DM22" i="13"/>
  <c r="DL22" i="13"/>
  <c r="DK22" i="13"/>
  <c r="DJ22" i="13"/>
  <c r="DI22" i="13"/>
  <c r="DH22" i="13"/>
  <c r="DG22" i="13"/>
  <c r="DF22" i="13"/>
  <c r="DE22" i="13"/>
  <c r="DD22" i="13"/>
  <c r="DC22" i="13"/>
  <c r="DB22" i="13"/>
  <c r="DA22" i="13"/>
  <c r="CZ22" i="13"/>
  <c r="CY22" i="13"/>
  <c r="CX22" i="13"/>
  <c r="CW22" i="13"/>
  <c r="CV22" i="13"/>
  <c r="CU22" i="13"/>
  <c r="CT22" i="13"/>
  <c r="CS22" i="13"/>
  <c r="CR22" i="13"/>
  <c r="CQ22" i="13"/>
  <c r="CP22" i="13"/>
  <c r="CO22" i="13"/>
  <c r="CN22" i="13"/>
  <c r="CM22" i="13"/>
  <c r="CL22" i="13"/>
  <c r="CK22" i="13"/>
  <c r="CJ22" i="13"/>
  <c r="CI22" i="13"/>
  <c r="CH22" i="13"/>
  <c r="CG22" i="13"/>
  <c r="CF22" i="13"/>
  <c r="CE22" i="13"/>
  <c r="CD22" i="13"/>
  <c r="CC22" i="13"/>
  <c r="CB22" i="13"/>
  <c r="CA22" i="13"/>
  <c r="BZ22" i="13"/>
  <c r="BY22" i="13"/>
  <c r="BX22" i="13"/>
  <c r="DP21" i="13"/>
  <c r="DO21" i="13"/>
  <c r="DN21" i="13"/>
  <c r="DM21" i="13"/>
  <c r="DL21" i="13"/>
  <c r="DK21" i="13"/>
  <c r="DJ21" i="13"/>
  <c r="DI21" i="13"/>
  <c r="DH21" i="13"/>
  <c r="DG21" i="13"/>
  <c r="DF21" i="13"/>
  <c r="DE21" i="13"/>
  <c r="DD21" i="13"/>
  <c r="DC21" i="13"/>
  <c r="DB21" i="13"/>
  <c r="DA21" i="13"/>
  <c r="CZ21" i="13"/>
  <c r="CY21" i="13"/>
  <c r="CX21" i="13"/>
  <c r="CW21" i="13"/>
  <c r="CV21" i="13"/>
  <c r="CU21" i="13"/>
  <c r="CT21" i="13"/>
  <c r="CS21" i="13"/>
  <c r="CR21" i="13"/>
  <c r="CQ21" i="13"/>
  <c r="CP21" i="13"/>
  <c r="CO21" i="13"/>
  <c r="CN21" i="13"/>
  <c r="CM21" i="13"/>
  <c r="CL21" i="13"/>
  <c r="CK21" i="13"/>
  <c r="CJ21" i="13"/>
  <c r="CI21" i="13"/>
  <c r="CH21" i="13"/>
  <c r="CG21" i="13"/>
  <c r="CF21" i="13"/>
  <c r="CE21" i="13"/>
  <c r="CD21" i="13"/>
  <c r="CC21" i="13"/>
  <c r="CB21" i="13"/>
  <c r="CA21" i="13"/>
  <c r="BZ21" i="13"/>
  <c r="BY21" i="13"/>
  <c r="BX21" i="13"/>
  <c r="DP20" i="13"/>
  <c r="DO20" i="13"/>
  <c r="DN20" i="13"/>
  <c r="DM20" i="13"/>
  <c r="DL20" i="13"/>
  <c r="DK20" i="13"/>
  <c r="DJ20" i="13"/>
  <c r="DI20" i="13"/>
  <c r="DH20" i="13"/>
  <c r="DG20" i="13"/>
  <c r="DF20" i="13"/>
  <c r="DE20" i="13"/>
  <c r="DD20" i="13"/>
  <c r="DC20" i="13"/>
  <c r="DB20" i="13"/>
  <c r="DA20" i="13"/>
  <c r="CZ20" i="13"/>
  <c r="CY20" i="13"/>
  <c r="CX20" i="13"/>
  <c r="CW20" i="13"/>
  <c r="CV20" i="13"/>
  <c r="CU20" i="13"/>
  <c r="CT20" i="13"/>
  <c r="CS20" i="13"/>
  <c r="CR20" i="13"/>
  <c r="CQ20" i="13"/>
  <c r="CP20" i="13"/>
  <c r="CO20" i="13"/>
  <c r="CN20" i="13"/>
  <c r="CM20" i="13"/>
  <c r="CL20" i="13"/>
  <c r="CK20" i="13"/>
  <c r="CJ20" i="13"/>
  <c r="CI20" i="13"/>
  <c r="CH20" i="13"/>
  <c r="CG20" i="13"/>
  <c r="CF20" i="13"/>
  <c r="CE20" i="13"/>
  <c r="CD20" i="13"/>
  <c r="CC20" i="13"/>
  <c r="CB20" i="13"/>
  <c r="CA20" i="13"/>
  <c r="BZ20" i="13"/>
  <c r="BY20" i="13"/>
  <c r="BX20" i="13"/>
  <c r="DP19" i="13"/>
  <c r="DO19" i="13"/>
  <c r="DN19" i="13"/>
  <c r="DM19" i="13"/>
  <c r="DL19" i="13"/>
  <c r="DK19" i="13"/>
  <c r="DJ19" i="13"/>
  <c r="DI19" i="13"/>
  <c r="DH19" i="13"/>
  <c r="DG19" i="13"/>
  <c r="DF19" i="13"/>
  <c r="DE19" i="13"/>
  <c r="DD19" i="13"/>
  <c r="DC19" i="13"/>
  <c r="DB19" i="13"/>
  <c r="DA19" i="13"/>
  <c r="CZ19" i="13"/>
  <c r="CY19" i="13"/>
  <c r="CX19" i="13"/>
  <c r="BP19" i="13" s="1"/>
  <c r="BF19" i="13" s="1"/>
  <c r="CW19" i="13"/>
  <c r="CV19" i="13"/>
  <c r="CU19" i="13"/>
  <c r="CT19" i="13"/>
  <c r="CS19" i="13"/>
  <c r="CR19" i="13"/>
  <c r="CQ19" i="13"/>
  <c r="CP19" i="13"/>
  <c r="CO19" i="13"/>
  <c r="CN19" i="13"/>
  <c r="CM19" i="13"/>
  <c r="CL19" i="13"/>
  <c r="CK19" i="13"/>
  <c r="CJ19" i="13"/>
  <c r="CI19" i="13"/>
  <c r="CH19" i="13"/>
  <c r="CG19" i="13"/>
  <c r="CF19" i="13"/>
  <c r="CE19" i="13"/>
  <c r="CD19" i="13"/>
  <c r="CC19" i="13"/>
  <c r="CB19" i="13"/>
  <c r="CA19" i="13"/>
  <c r="BZ19" i="13"/>
  <c r="BY19" i="13"/>
  <c r="BX19" i="13"/>
  <c r="DP18" i="13"/>
  <c r="DO18" i="13"/>
  <c r="DN18" i="13"/>
  <c r="DM18" i="13"/>
  <c r="DL18" i="13"/>
  <c r="DK18" i="13"/>
  <c r="DJ18" i="13"/>
  <c r="DI18" i="13"/>
  <c r="DH18" i="13"/>
  <c r="DG18" i="13"/>
  <c r="DF18" i="13"/>
  <c r="DE18" i="13"/>
  <c r="DD18" i="13"/>
  <c r="DC18" i="13"/>
  <c r="DB18" i="13"/>
  <c r="DA18" i="13"/>
  <c r="CZ18" i="13"/>
  <c r="CY18" i="13"/>
  <c r="CX18" i="13"/>
  <c r="CW18" i="13"/>
  <c r="CV18" i="13"/>
  <c r="CU18" i="13"/>
  <c r="CT18" i="13"/>
  <c r="CS18" i="13"/>
  <c r="CR18" i="13"/>
  <c r="CQ18" i="13"/>
  <c r="CP18" i="13"/>
  <c r="CO18" i="13"/>
  <c r="CN18" i="13"/>
  <c r="CM18" i="13"/>
  <c r="CL18" i="13"/>
  <c r="CK18" i="13"/>
  <c r="CJ18" i="13"/>
  <c r="CI18" i="13"/>
  <c r="CH18" i="13"/>
  <c r="CG18" i="13"/>
  <c r="CF18" i="13"/>
  <c r="CE18" i="13"/>
  <c r="CD18" i="13"/>
  <c r="CC18" i="13"/>
  <c r="CB18" i="13"/>
  <c r="CA18" i="13"/>
  <c r="BZ18" i="13"/>
  <c r="BY18" i="13"/>
  <c r="BX18" i="13"/>
  <c r="DP17" i="13"/>
  <c r="DO17" i="13"/>
  <c r="DN17" i="13"/>
  <c r="DM17" i="13"/>
  <c r="DL17" i="13"/>
  <c r="DK17" i="13"/>
  <c r="DJ17" i="13"/>
  <c r="DI17" i="13"/>
  <c r="DH17" i="13"/>
  <c r="DG17" i="13"/>
  <c r="DF17" i="13"/>
  <c r="DE17" i="13"/>
  <c r="DD17" i="13"/>
  <c r="DC17" i="13"/>
  <c r="DB17" i="13"/>
  <c r="DA17" i="13"/>
  <c r="CZ17" i="13"/>
  <c r="CY17" i="13"/>
  <c r="CX17" i="13"/>
  <c r="CW17" i="13"/>
  <c r="CV17" i="13"/>
  <c r="CU17" i="13"/>
  <c r="CT17" i="13"/>
  <c r="CS17" i="13"/>
  <c r="CR17" i="13"/>
  <c r="CQ17" i="13"/>
  <c r="CP17" i="13"/>
  <c r="CO17" i="13"/>
  <c r="CN17" i="13"/>
  <c r="CM17" i="13"/>
  <c r="CL17" i="13"/>
  <c r="CK17" i="13"/>
  <c r="CJ17" i="13"/>
  <c r="CI17" i="13"/>
  <c r="CH17" i="13"/>
  <c r="CG17" i="13"/>
  <c r="CF17" i="13"/>
  <c r="CE17" i="13"/>
  <c r="CD17" i="13"/>
  <c r="CC17" i="13"/>
  <c r="CB17" i="13"/>
  <c r="CA17" i="13"/>
  <c r="BZ17" i="13"/>
  <c r="BY17" i="13"/>
  <c r="BX17" i="13"/>
  <c r="DP16" i="13"/>
  <c r="DO16" i="13"/>
  <c r="DN16" i="13"/>
  <c r="DM16" i="13"/>
  <c r="DL16" i="13"/>
  <c r="DK16" i="13"/>
  <c r="DJ16" i="13"/>
  <c r="DI16" i="13"/>
  <c r="DH16" i="13"/>
  <c r="DG16" i="13"/>
  <c r="DF16" i="13"/>
  <c r="DE16" i="13"/>
  <c r="DD16" i="13"/>
  <c r="DC16" i="13"/>
  <c r="DB16" i="13"/>
  <c r="DA16" i="13"/>
  <c r="CZ16" i="13"/>
  <c r="CY16" i="13"/>
  <c r="CX16" i="13"/>
  <c r="CW16" i="13"/>
  <c r="CV16" i="13"/>
  <c r="CU16" i="13"/>
  <c r="CT16" i="13"/>
  <c r="CS16" i="13"/>
  <c r="CR16" i="13"/>
  <c r="CQ16" i="13"/>
  <c r="CP16" i="13"/>
  <c r="CO16" i="13"/>
  <c r="CN16" i="13"/>
  <c r="CM16" i="13"/>
  <c r="CL16" i="13"/>
  <c r="CK16" i="13"/>
  <c r="CJ16" i="13"/>
  <c r="CI16" i="13"/>
  <c r="CH16" i="13"/>
  <c r="CG16" i="13"/>
  <c r="CF16" i="13"/>
  <c r="CE16" i="13"/>
  <c r="CD16" i="13"/>
  <c r="CC16" i="13"/>
  <c r="CB16" i="13"/>
  <c r="CA16" i="13"/>
  <c r="BZ16" i="13"/>
  <c r="BY16" i="13"/>
  <c r="BV16" i="13" s="1"/>
  <c r="BX16" i="13"/>
  <c r="DP15" i="13"/>
  <c r="DO15" i="13"/>
  <c r="DN15" i="13"/>
  <c r="DM15" i="13"/>
  <c r="DL15" i="13"/>
  <c r="DK15" i="13"/>
  <c r="DJ15" i="13"/>
  <c r="DI15" i="13"/>
  <c r="DH15" i="13"/>
  <c r="DG15" i="13"/>
  <c r="DF15" i="13"/>
  <c r="DE15" i="13"/>
  <c r="DD15" i="13"/>
  <c r="DC15" i="13"/>
  <c r="DB15" i="13"/>
  <c r="DA15" i="13"/>
  <c r="CZ15" i="13"/>
  <c r="CY15" i="13"/>
  <c r="CX15" i="13"/>
  <c r="CW15" i="13"/>
  <c r="CV15" i="13"/>
  <c r="CU15" i="13"/>
  <c r="CT15" i="13"/>
  <c r="CS15" i="13"/>
  <c r="CR15" i="13"/>
  <c r="CQ15" i="13"/>
  <c r="CP15" i="13"/>
  <c r="CO15" i="13"/>
  <c r="CN15" i="13"/>
  <c r="CM15" i="13"/>
  <c r="CL15" i="13"/>
  <c r="CK15" i="13"/>
  <c r="CJ15" i="13"/>
  <c r="CI15" i="13"/>
  <c r="CH15" i="13"/>
  <c r="CG15" i="13"/>
  <c r="CF15" i="13"/>
  <c r="CE15" i="13"/>
  <c r="CD15" i="13"/>
  <c r="BL15" i="13" s="1"/>
  <c r="BB15" i="13" s="1"/>
  <c r="CC15" i="13"/>
  <c r="CB15" i="13"/>
  <c r="CA15" i="13"/>
  <c r="BZ15" i="13"/>
  <c r="BY15" i="13"/>
  <c r="BX15" i="13"/>
  <c r="DP14" i="13"/>
  <c r="DO14" i="13"/>
  <c r="DN14" i="13"/>
  <c r="DM14" i="13"/>
  <c r="DL14" i="13"/>
  <c r="DK14" i="13"/>
  <c r="DJ14" i="13"/>
  <c r="DI14" i="13"/>
  <c r="DH14" i="13"/>
  <c r="DG14" i="13"/>
  <c r="DF14" i="13"/>
  <c r="DE14" i="13"/>
  <c r="DD14" i="13"/>
  <c r="DC14" i="13"/>
  <c r="DB14" i="13"/>
  <c r="DA14" i="13"/>
  <c r="CZ14" i="13"/>
  <c r="CY14" i="13"/>
  <c r="CX14" i="13"/>
  <c r="CW14" i="13"/>
  <c r="CV14" i="13"/>
  <c r="CU14" i="13"/>
  <c r="CT14" i="13"/>
  <c r="CS14" i="13"/>
  <c r="CR14" i="13"/>
  <c r="CQ14" i="13"/>
  <c r="CP14" i="13"/>
  <c r="CO14" i="13"/>
  <c r="CN14" i="13"/>
  <c r="CM14" i="13"/>
  <c r="CL14" i="13"/>
  <c r="CK14" i="13"/>
  <c r="CJ14" i="13"/>
  <c r="CI14" i="13"/>
  <c r="CH14" i="13"/>
  <c r="CG14" i="13"/>
  <c r="CF14" i="13"/>
  <c r="CE14" i="13"/>
  <c r="CD14" i="13"/>
  <c r="CC14" i="13"/>
  <c r="CB14" i="13"/>
  <c r="CA14" i="13"/>
  <c r="BZ14" i="13"/>
  <c r="BY14" i="13"/>
  <c r="BX14" i="13"/>
  <c r="DP13" i="13"/>
  <c r="DO13" i="13"/>
  <c r="DN13" i="13"/>
  <c r="DM13" i="13"/>
  <c r="DL13" i="13"/>
  <c r="DK13" i="13"/>
  <c r="DJ13" i="13"/>
  <c r="DI13" i="13"/>
  <c r="DH13" i="13"/>
  <c r="DG13" i="13"/>
  <c r="DF13" i="13"/>
  <c r="DE13" i="13"/>
  <c r="DD13" i="13"/>
  <c r="DC13" i="13"/>
  <c r="DB13" i="13"/>
  <c r="DA13" i="13"/>
  <c r="CZ13" i="13"/>
  <c r="CY13" i="13"/>
  <c r="CX13" i="13"/>
  <c r="CW13" i="13"/>
  <c r="CV13" i="13"/>
  <c r="CU13" i="13"/>
  <c r="CT13" i="13"/>
  <c r="CS13" i="13"/>
  <c r="CR13" i="13"/>
  <c r="CQ13" i="13"/>
  <c r="CP13" i="13"/>
  <c r="CO13" i="13"/>
  <c r="CN13" i="13"/>
  <c r="CM13" i="13"/>
  <c r="CL13" i="13"/>
  <c r="CK13" i="13"/>
  <c r="CJ13" i="13"/>
  <c r="CI13" i="13"/>
  <c r="CH13" i="13"/>
  <c r="CG13" i="13"/>
  <c r="CF13" i="13"/>
  <c r="CE13" i="13"/>
  <c r="CD13" i="13"/>
  <c r="CC13" i="13"/>
  <c r="CB13" i="13"/>
  <c r="CA13" i="13"/>
  <c r="BZ13" i="13"/>
  <c r="BY13" i="13"/>
  <c r="BX13" i="13"/>
  <c r="DP12" i="13"/>
  <c r="DO12" i="13"/>
  <c r="DN12" i="13"/>
  <c r="DM12" i="13"/>
  <c r="DL12" i="13"/>
  <c r="DK12" i="13"/>
  <c r="DJ12" i="13"/>
  <c r="DI12" i="13"/>
  <c r="DH12" i="13"/>
  <c r="DG12" i="13"/>
  <c r="DF12" i="13"/>
  <c r="DE12" i="13"/>
  <c r="DD12" i="13"/>
  <c r="DC12" i="13"/>
  <c r="DB12" i="13"/>
  <c r="DA12" i="13"/>
  <c r="CZ12" i="13"/>
  <c r="CY12" i="13"/>
  <c r="CX12" i="13"/>
  <c r="CW12" i="13"/>
  <c r="CV12" i="13"/>
  <c r="CU12" i="13"/>
  <c r="CT12" i="13"/>
  <c r="CS12" i="13"/>
  <c r="CR12" i="13"/>
  <c r="CQ12" i="13"/>
  <c r="CP12" i="13"/>
  <c r="CO12" i="13"/>
  <c r="CN12" i="13"/>
  <c r="CM12" i="13"/>
  <c r="CL12" i="13"/>
  <c r="CK12" i="13"/>
  <c r="CJ12" i="13"/>
  <c r="CI12" i="13"/>
  <c r="CH12" i="13"/>
  <c r="CG12" i="13"/>
  <c r="CF12" i="13"/>
  <c r="CE12" i="13"/>
  <c r="CD12" i="13"/>
  <c r="CC12" i="13"/>
  <c r="CB12" i="13"/>
  <c r="CA12" i="13"/>
  <c r="BZ12" i="13"/>
  <c r="BY12" i="13"/>
  <c r="BX12" i="13"/>
  <c r="DP11" i="13"/>
  <c r="DO11" i="13"/>
  <c r="DN11" i="13"/>
  <c r="DM11" i="13"/>
  <c r="DL11" i="13"/>
  <c r="DK11" i="13"/>
  <c r="DJ11" i="13"/>
  <c r="DI11" i="13"/>
  <c r="DH11" i="13"/>
  <c r="DG11" i="13"/>
  <c r="DF11" i="13"/>
  <c r="DE11" i="13"/>
  <c r="DD11" i="13"/>
  <c r="DC11" i="13"/>
  <c r="DB11" i="13"/>
  <c r="DA11" i="13"/>
  <c r="CZ11" i="13"/>
  <c r="CY11" i="13"/>
  <c r="CX11" i="13"/>
  <c r="CW11" i="13"/>
  <c r="CV11" i="13"/>
  <c r="CU11" i="13"/>
  <c r="CT11" i="13"/>
  <c r="CS11" i="13"/>
  <c r="CR11" i="13"/>
  <c r="CQ11" i="13"/>
  <c r="CP11" i="13"/>
  <c r="CO11" i="13"/>
  <c r="CN11" i="13"/>
  <c r="CM11" i="13"/>
  <c r="CL11" i="13"/>
  <c r="CK11" i="13"/>
  <c r="CJ11" i="13"/>
  <c r="CI11" i="13"/>
  <c r="CH11" i="13"/>
  <c r="CG11" i="13"/>
  <c r="CF11" i="13"/>
  <c r="CE11" i="13"/>
  <c r="CD11" i="13"/>
  <c r="CC11" i="13"/>
  <c r="CB11" i="13"/>
  <c r="CA11" i="13"/>
  <c r="BZ11" i="13"/>
  <c r="BY11" i="13"/>
  <c r="BX11" i="13"/>
  <c r="DP10" i="13"/>
  <c r="DO10" i="13"/>
  <c r="DN10" i="13"/>
  <c r="DM10" i="13"/>
  <c r="DL10" i="13"/>
  <c r="DK10" i="13"/>
  <c r="DJ10" i="13"/>
  <c r="DI10" i="13"/>
  <c r="DH10" i="13"/>
  <c r="DG10" i="13"/>
  <c r="DF10" i="13"/>
  <c r="DE10" i="13"/>
  <c r="DD10" i="13"/>
  <c r="DC10" i="13"/>
  <c r="DB10" i="13"/>
  <c r="DA10" i="13"/>
  <c r="CZ10" i="13"/>
  <c r="CY10" i="13"/>
  <c r="CX10" i="13"/>
  <c r="CW10" i="13"/>
  <c r="CV10" i="13"/>
  <c r="CU10" i="13"/>
  <c r="CT10" i="13"/>
  <c r="CS10" i="13"/>
  <c r="CR10" i="13"/>
  <c r="CQ10" i="13"/>
  <c r="CP10" i="13"/>
  <c r="CO10" i="13"/>
  <c r="CN10" i="13"/>
  <c r="CM10" i="13"/>
  <c r="CL10" i="13"/>
  <c r="CK10" i="13"/>
  <c r="CJ10" i="13"/>
  <c r="CI10" i="13"/>
  <c r="CH10" i="13"/>
  <c r="CG10" i="13"/>
  <c r="CF10" i="13"/>
  <c r="CE10" i="13"/>
  <c r="CD10" i="13"/>
  <c r="CC10" i="13"/>
  <c r="CB10" i="13"/>
  <c r="CA10" i="13"/>
  <c r="BZ10" i="13"/>
  <c r="BY10" i="13"/>
  <c r="BX10" i="13"/>
  <c r="DP9" i="13"/>
  <c r="DO9" i="13"/>
  <c r="DN9" i="13"/>
  <c r="DM9" i="13"/>
  <c r="DL9" i="13"/>
  <c r="DK9" i="13"/>
  <c r="DJ9" i="13"/>
  <c r="DI9" i="13"/>
  <c r="DH9" i="13"/>
  <c r="DG9" i="13"/>
  <c r="DF9" i="13"/>
  <c r="DE9" i="13"/>
  <c r="DD9" i="13"/>
  <c r="DC9" i="13"/>
  <c r="DB9" i="13"/>
  <c r="DA9" i="13"/>
  <c r="CZ9" i="13"/>
  <c r="CY9" i="13"/>
  <c r="CX9" i="13"/>
  <c r="CW9" i="13"/>
  <c r="CV9" i="13"/>
  <c r="CU9" i="13"/>
  <c r="CT9" i="13"/>
  <c r="CS9" i="13"/>
  <c r="CR9" i="13"/>
  <c r="CQ9" i="13"/>
  <c r="CP9" i="13"/>
  <c r="CO9" i="13"/>
  <c r="CN9" i="13"/>
  <c r="CM9" i="13"/>
  <c r="CL9" i="13"/>
  <c r="CK9" i="13"/>
  <c r="CJ9" i="13"/>
  <c r="CI9" i="13"/>
  <c r="CH9" i="13"/>
  <c r="CG9" i="13"/>
  <c r="CF9" i="13"/>
  <c r="CE9" i="13"/>
  <c r="CD9" i="13"/>
  <c r="CC9" i="13"/>
  <c r="CB9" i="13"/>
  <c r="CA9" i="13"/>
  <c r="BZ9" i="13"/>
  <c r="BY9" i="13"/>
  <c r="BX9" i="13"/>
  <c r="DP8" i="13"/>
  <c r="DO8" i="13"/>
  <c r="DN8" i="13"/>
  <c r="DM8" i="13"/>
  <c r="DL8" i="13"/>
  <c r="DK8" i="13"/>
  <c r="DJ8" i="13"/>
  <c r="DI8" i="13"/>
  <c r="DH8" i="13"/>
  <c r="DG8" i="13"/>
  <c r="DF8" i="13"/>
  <c r="DE8" i="13"/>
  <c r="DD8" i="13"/>
  <c r="DC8" i="13"/>
  <c r="DB8" i="13"/>
  <c r="DA8" i="13"/>
  <c r="CZ8" i="13"/>
  <c r="CY8" i="13"/>
  <c r="CX8" i="13"/>
  <c r="CW8" i="13"/>
  <c r="CV8" i="13"/>
  <c r="CU8" i="13"/>
  <c r="CT8" i="13"/>
  <c r="CS8" i="13"/>
  <c r="CR8" i="13"/>
  <c r="CQ8" i="13"/>
  <c r="CP8" i="13"/>
  <c r="CO8" i="13"/>
  <c r="CN8" i="13"/>
  <c r="CM8" i="13"/>
  <c r="CL8" i="13"/>
  <c r="CK8" i="13"/>
  <c r="CJ8" i="13"/>
  <c r="CI8" i="13"/>
  <c r="CH8" i="13"/>
  <c r="CG8" i="13"/>
  <c r="CF8" i="13"/>
  <c r="CE8" i="13"/>
  <c r="CD8" i="13"/>
  <c r="CC8" i="13"/>
  <c r="CB8" i="13"/>
  <c r="CA8" i="13"/>
  <c r="BZ8" i="13"/>
  <c r="BY8" i="13"/>
  <c r="BX8" i="13"/>
  <c r="DP7" i="13"/>
  <c r="DO7" i="13"/>
  <c r="DN7" i="13"/>
  <c r="DM7" i="13"/>
  <c r="DL7" i="13"/>
  <c r="DK7" i="13"/>
  <c r="DJ7" i="13"/>
  <c r="DI7" i="13"/>
  <c r="DH7" i="13"/>
  <c r="DG7" i="13"/>
  <c r="DF7" i="13"/>
  <c r="DE7" i="13"/>
  <c r="DD7" i="13"/>
  <c r="DC7" i="13"/>
  <c r="DB7" i="13"/>
  <c r="DA7" i="13"/>
  <c r="CZ7" i="13"/>
  <c r="CY7" i="13"/>
  <c r="CX7" i="13"/>
  <c r="CW7" i="13"/>
  <c r="CV7" i="13"/>
  <c r="CU7" i="13"/>
  <c r="CT7" i="13"/>
  <c r="CS7" i="13"/>
  <c r="CR7" i="13"/>
  <c r="CQ7" i="13"/>
  <c r="CP7" i="13"/>
  <c r="CO7" i="13"/>
  <c r="CN7" i="13"/>
  <c r="CM7" i="13"/>
  <c r="CL7" i="13"/>
  <c r="CK7" i="13"/>
  <c r="CJ7" i="13"/>
  <c r="CI7" i="13"/>
  <c r="CH7" i="13"/>
  <c r="CG7" i="13"/>
  <c r="CF7" i="13"/>
  <c r="CE7" i="13"/>
  <c r="CD7" i="13"/>
  <c r="CC7" i="13"/>
  <c r="CB7" i="13"/>
  <c r="CA7" i="13"/>
  <c r="BZ7" i="13"/>
  <c r="BY7" i="13"/>
  <c r="BX7" i="13"/>
  <c r="DP6" i="13"/>
  <c r="DO6" i="13"/>
  <c r="DN6" i="13"/>
  <c r="DM6" i="13"/>
  <c r="DL6" i="13"/>
  <c r="DK6" i="13"/>
  <c r="DJ6" i="13"/>
  <c r="DI6" i="13"/>
  <c r="DH6" i="13"/>
  <c r="DG6" i="13"/>
  <c r="DF6" i="13"/>
  <c r="DE6" i="13"/>
  <c r="DD6" i="13"/>
  <c r="DC6" i="13"/>
  <c r="DB6" i="13"/>
  <c r="DA6" i="13"/>
  <c r="CZ6" i="13"/>
  <c r="CY6" i="13"/>
  <c r="CX6" i="13"/>
  <c r="CW6" i="13"/>
  <c r="CV6" i="13"/>
  <c r="CU6" i="13"/>
  <c r="CT6" i="13"/>
  <c r="CS6" i="13"/>
  <c r="CR6" i="13"/>
  <c r="CQ6" i="13"/>
  <c r="CP6" i="13"/>
  <c r="CO6" i="13"/>
  <c r="CN6" i="13"/>
  <c r="CM6" i="13"/>
  <c r="CL6" i="13"/>
  <c r="CK6" i="13"/>
  <c r="CJ6" i="13"/>
  <c r="CI6" i="13"/>
  <c r="CH6" i="13"/>
  <c r="CG6" i="13"/>
  <c r="CF6" i="13"/>
  <c r="CE6" i="13"/>
  <c r="CD6" i="13"/>
  <c r="CC6" i="13"/>
  <c r="CB6" i="13"/>
  <c r="CA6" i="13"/>
  <c r="BZ6" i="13"/>
  <c r="BY6" i="13"/>
  <c r="BX6" i="13"/>
  <c r="DP5" i="13"/>
  <c r="DO5" i="13"/>
  <c r="DN5" i="13"/>
  <c r="DM5" i="13"/>
  <c r="DL5" i="13"/>
  <c r="DK5" i="13"/>
  <c r="DJ5" i="13"/>
  <c r="DI5" i="13"/>
  <c r="DH5" i="13"/>
  <c r="DG5" i="13"/>
  <c r="DF5" i="13"/>
  <c r="DE5" i="13"/>
  <c r="DD5" i="13"/>
  <c r="DC5" i="13"/>
  <c r="DB5" i="13"/>
  <c r="DA5" i="13"/>
  <c r="CZ5" i="13"/>
  <c r="CY5" i="13"/>
  <c r="CX5" i="13"/>
  <c r="CW5" i="13"/>
  <c r="CV5" i="13"/>
  <c r="CU5" i="13"/>
  <c r="CT5" i="13"/>
  <c r="CS5" i="13"/>
  <c r="CR5" i="13"/>
  <c r="CQ5" i="13"/>
  <c r="CP5" i="13"/>
  <c r="CO5" i="13"/>
  <c r="CN5" i="13"/>
  <c r="CM5" i="13"/>
  <c r="CL5" i="13"/>
  <c r="CK5" i="13"/>
  <c r="CJ5" i="13"/>
  <c r="CI5" i="13"/>
  <c r="CH5" i="13"/>
  <c r="CG5" i="13"/>
  <c r="CF5" i="13"/>
  <c r="CE5" i="13"/>
  <c r="CD5" i="13"/>
  <c r="CC5" i="13"/>
  <c r="CB5" i="13"/>
  <c r="CA5" i="13"/>
  <c r="BZ5" i="13"/>
  <c r="BY5" i="13"/>
  <c r="BX5" i="13"/>
  <c r="DP4" i="13"/>
  <c r="DO4" i="13"/>
  <c r="DN4" i="13"/>
  <c r="DM4" i="13"/>
  <c r="DL4" i="13"/>
  <c r="DK4" i="13"/>
  <c r="DJ4" i="13"/>
  <c r="DI4" i="13"/>
  <c r="DH4" i="13"/>
  <c r="DG4" i="13"/>
  <c r="DF4" i="13"/>
  <c r="DE4" i="13"/>
  <c r="DD4" i="13"/>
  <c r="DC4" i="13"/>
  <c r="DB4" i="13"/>
  <c r="DA4" i="13"/>
  <c r="CZ4" i="13"/>
  <c r="CY4" i="13"/>
  <c r="CX4" i="13"/>
  <c r="CW4" i="13"/>
  <c r="CV4" i="13"/>
  <c r="CU4" i="13"/>
  <c r="CT4" i="13"/>
  <c r="CS4" i="13"/>
  <c r="CR4" i="13"/>
  <c r="CQ4" i="13"/>
  <c r="CP4" i="13"/>
  <c r="CO4" i="13"/>
  <c r="CN4" i="13"/>
  <c r="CM4" i="13"/>
  <c r="CL4" i="13"/>
  <c r="CK4" i="13"/>
  <c r="CJ4" i="13"/>
  <c r="CI4" i="13"/>
  <c r="CH4" i="13"/>
  <c r="CG4" i="13"/>
  <c r="CF4" i="13"/>
  <c r="CE4" i="13"/>
  <c r="CD4" i="13"/>
  <c r="CC4" i="13"/>
  <c r="CB4" i="13"/>
  <c r="CA4" i="13"/>
  <c r="BZ4" i="13"/>
  <c r="BY4" i="13"/>
  <c r="BX4" i="13"/>
  <c r="DP3" i="13"/>
  <c r="DO3" i="13"/>
  <c r="DN3" i="13"/>
  <c r="DM3" i="13"/>
  <c r="DL3" i="13"/>
  <c r="DK3" i="13"/>
  <c r="DJ3" i="13"/>
  <c r="DI3" i="13"/>
  <c r="DH3" i="13"/>
  <c r="DG3" i="13"/>
  <c r="DF3" i="13"/>
  <c r="DE3" i="13"/>
  <c r="DD3" i="13"/>
  <c r="DC3" i="13"/>
  <c r="DB3" i="13"/>
  <c r="DA3" i="13"/>
  <c r="CZ3" i="13"/>
  <c r="CY3" i="13"/>
  <c r="CX3" i="13"/>
  <c r="BP3" i="13" s="1"/>
  <c r="BF3" i="13" s="1"/>
  <c r="CW3" i="13"/>
  <c r="CV3" i="13"/>
  <c r="CU3" i="13"/>
  <c r="CT3" i="13"/>
  <c r="CS3" i="13"/>
  <c r="CR3" i="13"/>
  <c r="CQ3" i="13"/>
  <c r="CP3" i="13"/>
  <c r="CO3" i="13"/>
  <c r="CN3" i="13"/>
  <c r="CM3" i="13"/>
  <c r="CL3" i="13"/>
  <c r="CK3" i="13"/>
  <c r="CJ3" i="13"/>
  <c r="CI3" i="13"/>
  <c r="CH3" i="13"/>
  <c r="CG3" i="13"/>
  <c r="CF3" i="13"/>
  <c r="CE3" i="13"/>
  <c r="CD3" i="13"/>
  <c r="CC3" i="13"/>
  <c r="CB3" i="13"/>
  <c r="CA3" i="13"/>
  <c r="BZ3" i="13"/>
  <c r="BY3" i="13"/>
  <c r="BX3" i="13"/>
  <c r="BO15" i="13" l="1"/>
  <c r="BE15" i="13" s="1"/>
  <c r="BM7" i="14"/>
  <c r="BC7" i="14" s="1"/>
  <c r="BU7" i="14"/>
  <c r="BK7" i="14" s="1"/>
  <c r="BU16" i="14"/>
  <c r="BK16" i="14" s="1"/>
  <c r="BN24" i="14"/>
  <c r="BD24" i="14" s="1"/>
  <c r="BN27" i="14"/>
  <c r="BD27" i="14" s="1"/>
  <c r="BU4" i="14"/>
  <c r="BK4" i="14" s="1"/>
  <c r="BP6" i="14"/>
  <c r="BF6" i="14" s="1"/>
  <c r="BR10" i="14"/>
  <c r="BH10" i="14" s="1"/>
  <c r="BN23" i="14"/>
  <c r="BD23" i="14" s="1"/>
  <c r="BP9" i="14"/>
  <c r="BF9" i="14" s="1"/>
  <c r="BP22" i="14"/>
  <c r="BF22" i="14" s="1"/>
  <c r="BS14" i="14"/>
  <c r="BI14" i="14" s="1"/>
  <c r="BS16" i="14"/>
  <c r="BI16" i="14" s="1"/>
  <c r="BW19" i="14"/>
  <c r="BM4" i="14"/>
  <c r="BC4" i="14" s="1"/>
  <c r="BQ4" i="14"/>
  <c r="BG4" i="14" s="1"/>
  <c r="BQ7" i="14"/>
  <c r="BG7" i="14" s="1"/>
  <c r="BM14" i="14"/>
  <c r="BC14" i="14" s="1"/>
  <c r="BX24" i="14"/>
  <c r="G24" i="14" s="1"/>
  <c r="BQ24" i="14"/>
  <c r="BG24" i="14" s="1"/>
  <c r="BR24" i="14"/>
  <c r="BH24" i="14" s="1"/>
  <c r="BW25" i="14"/>
  <c r="BM8" i="14"/>
  <c r="BC8" i="14" s="1"/>
  <c r="BU11" i="14"/>
  <c r="BK11" i="14" s="1"/>
  <c r="BT12" i="14"/>
  <c r="BJ12" i="14" s="1"/>
  <c r="BQ13" i="14"/>
  <c r="BG13" i="14" s="1"/>
  <c r="BW17" i="14"/>
  <c r="BP17" i="14"/>
  <c r="BF17" i="14" s="1"/>
  <c r="BT17" i="14"/>
  <c r="BJ17" i="14" s="1"/>
  <c r="BT22" i="14"/>
  <c r="BJ22" i="14" s="1"/>
  <c r="BW23" i="14"/>
  <c r="BU25" i="14"/>
  <c r="BK25" i="14" s="1"/>
  <c r="BP26" i="14"/>
  <c r="BF26" i="14" s="1"/>
  <c r="BS26" i="14"/>
  <c r="BI26" i="14" s="1"/>
  <c r="BU24" i="14"/>
  <c r="BK24" i="14" s="1"/>
  <c r="BP25" i="14"/>
  <c r="BF25" i="14" s="1"/>
  <c r="BT25" i="14"/>
  <c r="BJ25" i="14" s="1"/>
  <c r="BR27" i="14"/>
  <c r="BH27" i="14" s="1"/>
  <c r="BW5" i="14"/>
  <c r="BP5" i="14"/>
  <c r="BF5" i="14" s="1"/>
  <c r="BT5" i="14"/>
  <c r="BJ5" i="14" s="1"/>
  <c r="BX6" i="14"/>
  <c r="BN6" i="14"/>
  <c r="BD6" i="14" s="1"/>
  <c r="BO6" i="14"/>
  <c r="BE6" i="14" s="1"/>
  <c r="BS6" i="14"/>
  <c r="BI6" i="14" s="1"/>
  <c r="BQ8" i="14"/>
  <c r="BG8" i="14" s="1"/>
  <c r="BX9" i="14"/>
  <c r="BO9" i="14"/>
  <c r="BE9" i="14" s="1"/>
  <c r="BS9" i="14"/>
  <c r="BI9" i="14" s="1"/>
  <c r="BX12" i="14"/>
  <c r="BP12" i="14"/>
  <c r="BF12" i="14" s="1"/>
  <c r="BM13" i="14"/>
  <c r="BC13" i="14" s="1"/>
  <c r="BR13" i="14"/>
  <c r="BH13" i="14" s="1"/>
  <c r="BS15" i="14"/>
  <c r="BI15" i="14" s="1"/>
  <c r="BN19" i="14"/>
  <c r="BD19" i="14" s="1"/>
  <c r="BP21" i="14"/>
  <c r="BF21" i="14" s="1"/>
  <c r="BU21" i="14"/>
  <c r="BK21" i="14" s="1"/>
  <c r="BR23" i="14"/>
  <c r="BH23" i="14" s="1"/>
  <c r="BX26" i="14"/>
  <c r="BM14" i="13"/>
  <c r="BC14" i="13" s="1"/>
  <c r="BR14" i="13"/>
  <c r="BH14" i="13" s="1"/>
  <c r="BQ20" i="13"/>
  <c r="BG20" i="13" s="1"/>
  <c r="BS21" i="13"/>
  <c r="BI21" i="13" s="1"/>
  <c r="BL7" i="13"/>
  <c r="BB7" i="13" s="1"/>
  <c r="BP9" i="13"/>
  <c r="BF9" i="13" s="1"/>
  <c r="BP13" i="13"/>
  <c r="BF13" i="13" s="1"/>
  <c r="BU19" i="13"/>
  <c r="BU4" i="13"/>
  <c r="BN4" i="13"/>
  <c r="BD4" i="13" s="1"/>
  <c r="BR4" i="13"/>
  <c r="BH4" i="13" s="1"/>
  <c r="BL10" i="13"/>
  <c r="BB10" i="13" s="1"/>
  <c r="BU10" i="13"/>
  <c r="BU23" i="13"/>
  <c r="BS23" i="13"/>
  <c r="BI23" i="13" s="1"/>
  <c r="BQ24" i="13"/>
  <c r="BG24" i="13" s="1"/>
  <c r="BV27" i="13"/>
  <c r="BL27" i="13"/>
  <c r="BB27" i="13" s="1"/>
  <c r="BO27" i="13"/>
  <c r="BE27" i="13" s="1"/>
  <c r="BS27" i="13"/>
  <c r="BI27" i="13" s="1"/>
  <c r="BU5" i="13"/>
  <c r="BP5" i="13"/>
  <c r="BF5" i="13" s="1"/>
  <c r="BU7" i="13"/>
  <c r="BV9" i="13"/>
  <c r="BP10" i="13"/>
  <c r="BF10" i="13" s="1"/>
  <c r="BV12" i="13"/>
  <c r="BN12" i="13"/>
  <c r="BD12" i="13" s="1"/>
  <c r="BV24" i="13"/>
  <c r="BX5" i="14"/>
  <c r="G5" i="14" s="1"/>
  <c r="BX11" i="14"/>
  <c r="BQ11" i="14"/>
  <c r="BG11" i="14" s="1"/>
  <c r="BP13" i="14"/>
  <c r="BF13" i="14" s="1"/>
  <c r="BT13" i="14"/>
  <c r="BJ13" i="14" s="1"/>
  <c r="BW14" i="14"/>
  <c r="BP14" i="14"/>
  <c r="BF14" i="14" s="1"/>
  <c r="BT14" i="14"/>
  <c r="BJ14" i="14" s="1"/>
  <c r="BW18" i="14"/>
  <c r="BP18" i="14"/>
  <c r="BF18" i="14" s="1"/>
  <c r="BT18" i="14"/>
  <c r="BJ18" i="14" s="1"/>
  <c r="BL3" i="13"/>
  <c r="BB3" i="13" s="1"/>
  <c r="BK8" i="13"/>
  <c r="BA8" i="13" s="1"/>
  <c r="BO8" i="13"/>
  <c r="BE8" i="13" s="1"/>
  <c r="BP8" i="13"/>
  <c r="BF8" i="13" s="1"/>
  <c r="BS8" i="13"/>
  <c r="BI8" i="13" s="1"/>
  <c r="BU15" i="13"/>
  <c r="BP15" i="13"/>
  <c r="BF15" i="13" s="1"/>
  <c r="BV17" i="13"/>
  <c r="BO17" i="13"/>
  <c r="BE17" i="13" s="1"/>
  <c r="BS17" i="13"/>
  <c r="BI17" i="13" s="1"/>
  <c r="BU18" i="13"/>
  <c r="BN18" i="13"/>
  <c r="BD18" i="13" s="1"/>
  <c r="BR18" i="13"/>
  <c r="BH18" i="13" s="1"/>
  <c r="BK19" i="13"/>
  <c r="BA19" i="13" s="1"/>
  <c r="BL19" i="13"/>
  <c r="BB19" i="13" s="1"/>
  <c r="BV22" i="13"/>
  <c r="BL23" i="13"/>
  <c r="BB23" i="13" s="1"/>
  <c r="BO23" i="13"/>
  <c r="BE23" i="13" s="1"/>
  <c r="BP23" i="13"/>
  <c r="BF23" i="13" s="1"/>
  <c r="BK25" i="13"/>
  <c r="BA25" i="13" s="1"/>
  <c r="BP25" i="13"/>
  <c r="BF25" i="13" s="1"/>
  <c r="BU26" i="13"/>
  <c r="BN26" i="13"/>
  <c r="BD26" i="13" s="1"/>
  <c r="BQ26" i="13"/>
  <c r="BG26" i="13" s="1"/>
  <c r="BR26" i="13"/>
  <c r="BH26" i="13" s="1"/>
  <c r="BX4" i="14"/>
  <c r="BX8" i="14"/>
  <c r="BM11" i="14"/>
  <c r="BC11" i="14" s="1"/>
  <c r="BU13" i="14"/>
  <c r="BK13" i="14" s="1"/>
  <c r="BX14" i="14"/>
  <c r="BQ14" i="14"/>
  <c r="BG14" i="14" s="1"/>
  <c r="BU14" i="14"/>
  <c r="BK14" i="14" s="1"/>
  <c r="BQ16" i="14"/>
  <c r="BG16" i="14" s="1"/>
  <c r="BN17" i="14"/>
  <c r="BD17" i="14" s="1"/>
  <c r="BR17" i="14"/>
  <c r="BH17" i="14" s="1"/>
  <c r="BR19" i="14"/>
  <c r="BH19" i="14" s="1"/>
  <c r="BQ20" i="14"/>
  <c r="BG20" i="14" s="1"/>
  <c r="BU20" i="14"/>
  <c r="BK20" i="14" s="1"/>
  <c r="BW22" i="14"/>
  <c r="BS23" i="14"/>
  <c r="BI23" i="14" s="1"/>
  <c r="BL5" i="13"/>
  <c r="BB5" i="13" s="1"/>
  <c r="BV6" i="13"/>
  <c r="BN6" i="13"/>
  <c r="BD6" i="13" s="1"/>
  <c r="BR6" i="13"/>
  <c r="BH6" i="13" s="1"/>
  <c r="BP7" i="13"/>
  <c r="BF7" i="13" s="1"/>
  <c r="BK10" i="13"/>
  <c r="BA10" i="13" s="1"/>
  <c r="BO10" i="13"/>
  <c r="BE10" i="13" s="1"/>
  <c r="BR10" i="13"/>
  <c r="BH10" i="13" s="1"/>
  <c r="BU11" i="13"/>
  <c r="BN11" i="13"/>
  <c r="BD11" i="13" s="1"/>
  <c r="BR11" i="13"/>
  <c r="BH11" i="13" s="1"/>
  <c r="BU13" i="13"/>
  <c r="BN13" i="13"/>
  <c r="BD13" i="13" s="1"/>
  <c r="BO13" i="13"/>
  <c r="BE13" i="13" s="1"/>
  <c r="BS13" i="13"/>
  <c r="BI13" i="13" s="1"/>
  <c r="BM16" i="13"/>
  <c r="BC16" i="13" s="1"/>
  <c r="BN16" i="13"/>
  <c r="BD16" i="13" s="1"/>
  <c r="BQ16" i="13"/>
  <c r="BG16" i="13" s="1"/>
  <c r="BV20" i="13"/>
  <c r="BR20" i="13"/>
  <c r="BH20" i="13" s="1"/>
  <c r="BL21" i="13"/>
  <c r="BB21" i="13" s="1"/>
  <c r="BO21" i="13"/>
  <c r="BE21" i="13" s="1"/>
  <c r="BR6" i="14"/>
  <c r="BH6" i="14" s="1"/>
  <c r="BN7" i="14"/>
  <c r="BD7" i="14" s="1"/>
  <c r="BR7" i="14"/>
  <c r="BH7" i="14" s="1"/>
  <c r="BW9" i="14"/>
  <c r="BN10" i="14"/>
  <c r="BD10" i="14" s="1"/>
  <c r="BW12" i="14"/>
  <c r="BW15" i="14"/>
  <c r="BP15" i="14"/>
  <c r="BF15" i="14" s="1"/>
  <c r="BT15" i="14"/>
  <c r="BJ15" i="14" s="1"/>
  <c r="BS19" i="14"/>
  <c r="BI19" i="14" s="1"/>
  <c r="BW21" i="14"/>
  <c r="BT21" i="14"/>
  <c r="BJ21" i="14" s="1"/>
  <c r="BO26" i="14"/>
  <c r="BE26" i="14" s="1"/>
  <c r="BL25" i="13"/>
  <c r="BB25" i="13" s="1"/>
  <c r="BM22" i="13"/>
  <c r="BC22" i="13" s="1"/>
  <c r="BQ22" i="13"/>
  <c r="BG22" i="13" s="1"/>
  <c r="BN22" i="13"/>
  <c r="BD22" i="13" s="1"/>
  <c r="BR22" i="13"/>
  <c r="BH22" i="13" s="1"/>
  <c r="BM24" i="13"/>
  <c r="BC24" i="13" s="1"/>
  <c r="BV4" i="13"/>
  <c r="BM9" i="13"/>
  <c r="BC9" i="13" s="1"/>
  <c r="BQ9" i="13"/>
  <c r="BG9" i="13" s="1"/>
  <c r="BN10" i="13"/>
  <c r="BD10" i="13" s="1"/>
  <c r="BS15" i="13"/>
  <c r="BI15" i="13" s="1"/>
  <c r="BN9" i="13"/>
  <c r="BD9" i="13" s="1"/>
  <c r="BS10" i="13"/>
  <c r="BI10" i="13" s="1"/>
  <c r="BM12" i="13"/>
  <c r="BC12" i="13" s="1"/>
  <c r="BU14" i="13"/>
  <c r="BN14" i="13"/>
  <c r="BD14" i="13" s="1"/>
  <c r="BM20" i="13"/>
  <c r="BC20" i="13" s="1"/>
  <c r="F4" i="13"/>
  <c r="F4" i="14" s="1"/>
  <c r="BU9" i="13"/>
  <c r="BR9" i="13"/>
  <c r="BH9" i="13" s="1"/>
  <c r="BL11" i="13"/>
  <c r="BB11" i="13" s="1"/>
  <c r="BP11" i="13"/>
  <c r="BF11" i="13" s="1"/>
  <c r="BQ12" i="13"/>
  <c r="BG12" i="13" s="1"/>
  <c r="BU6" i="13"/>
  <c r="F6" i="13" s="1"/>
  <c r="F6" i="14" s="1"/>
  <c r="BU8" i="13"/>
  <c r="BN8" i="13"/>
  <c r="BD8" i="13" s="1"/>
  <c r="BR8" i="13"/>
  <c r="BH8" i="13" s="1"/>
  <c r="BM11" i="13"/>
  <c r="BC11" i="13" s="1"/>
  <c r="BU12" i="13"/>
  <c r="F12" i="13" s="1"/>
  <c r="F12" i="14" s="1"/>
  <c r="BV19" i="13"/>
  <c r="F19" i="13" s="1"/>
  <c r="F19" i="14" s="1"/>
  <c r="BO19" i="13"/>
  <c r="BE19" i="13" s="1"/>
  <c r="BS19" i="13"/>
  <c r="BI19" i="13" s="1"/>
  <c r="BP21" i="13"/>
  <c r="BF21" i="13" s="1"/>
  <c r="BU3" i="13"/>
  <c r="BM3" i="13"/>
  <c r="BC3" i="13" s="1"/>
  <c r="BN3" i="13"/>
  <c r="BD3" i="13" s="1"/>
  <c r="BO3" i="13"/>
  <c r="BE3" i="13" s="1"/>
  <c r="BQ3" i="13"/>
  <c r="BG3" i="13" s="1"/>
  <c r="BR3" i="13"/>
  <c r="BH3" i="13" s="1"/>
  <c r="BS3" i="13"/>
  <c r="BI3" i="13" s="1"/>
  <c r="BK4" i="13"/>
  <c r="BA4" i="13" s="1"/>
  <c r="BL4" i="13"/>
  <c r="BB4" i="13" s="1"/>
  <c r="BM4" i="13"/>
  <c r="BC4" i="13" s="1"/>
  <c r="BO4" i="13"/>
  <c r="BE4" i="13" s="1"/>
  <c r="BP4" i="13"/>
  <c r="BF4" i="13" s="1"/>
  <c r="BQ4" i="13"/>
  <c r="BG4" i="13" s="1"/>
  <c r="BS4" i="13"/>
  <c r="BI4" i="13" s="1"/>
  <c r="BK5" i="13"/>
  <c r="BA5" i="13" s="1"/>
  <c r="BM5" i="13"/>
  <c r="BC5" i="13" s="1"/>
  <c r="BN5" i="13"/>
  <c r="BD5" i="13" s="1"/>
  <c r="BO5" i="13"/>
  <c r="BE5" i="13" s="1"/>
  <c r="BQ5" i="13"/>
  <c r="BG5" i="13" s="1"/>
  <c r="BR5" i="13"/>
  <c r="BH5" i="13" s="1"/>
  <c r="BS5" i="13"/>
  <c r="BI5" i="13" s="1"/>
  <c r="BK6" i="13"/>
  <c r="BA6" i="13" s="1"/>
  <c r="BL6" i="13"/>
  <c r="BB6" i="13" s="1"/>
  <c r="BM6" i="13"/>
  <c r="BC6" i="13" s="1"/>
  <c r="BO6" i="13"/>
  <c r="BE6" i="13" s="1"/>
  <c r="BP6" i="13"/>
  <c r="BF6" i="13" s="1"/>
  <c r="BQ6" i="13"/>
  <c r="BG6" i="13" s="1"/>
  <c r="BS6" i="13"/>
  <c r="BI6" i="13" s="1"/>
  <c r="BK7" i="13"/>
  <c r="BA7" i="13" s="1"/>
  <c r="BM7" i="13"/>
  <c r="BC7" i="13" s="1"/>
  <c r="BN7" i="13"/>
  <c r="BD7" i="13" s="1"/>
  <c r="BO7" i="13"/>
  <c r="BE7" i="13" s="1"/>
  <c r="BQ7" i="13"/>
  <c r="BG7" i="13" s="1"/>
  <c r="BR7" i="13"/>
  <c r="BH7" i="13" s="1"/>
  <c r="BS7" i="13"/>
  <c r="BI7" i="13" s="1"/>
  <c r="BL8" i="13"/>
  <c r="BB8" i="13" s="1"/>
  <c r="BM8" i="13"/>
  <c r="BC8" i="13" s="1"/>
  <c r="BQ8" i="13"/>
  <c r="BG8" i="13" s="1"/>
  <c r="BL9" i="13"/>
  <c r="BB9" i="13" s="1"/>
  <c r="BM10" i="13"/>
  <c r="BC10" i="13" s="1"/>
  <c r="BQ10" i="13"/>
  <c r="BG10" i="13" s="1"/>
  <c r="BK11" i="13"/>
  <c r="BA11" i="13" s="1"/>
  <c r="BO11" i="13"/>
  <c r="BE11" i="13" s="1"/>
  <c r="BQ11" i="13"/>
  <c r="BG11" i="13" s="1"/>
  <c r="BS11" i="13"/>
  <c r="BI11" i="13" s="1"/>
  <c r="BK12" i="13"/>
  <c r="BA12" i="13" s="1"/>
  <c r="BL12" i="13"/>
  <c r="BB12" i="13" s="1"/>
  <c r="BP12" i="13"/>
  <c r="BF12" i="13" s="1"/>
  <c r="BK13" i="13"/>
  <c r="BA13" i="13" s="1"/>
  <c r="BM13" i="13"/>
  <c r="BC13" i="13" s="1"/>
  <c r="BQ13" i="13"/>
  <c r="BG13" i="13" s="1"/>
  <c r="BR13" i="13"/>
  <c r="BH13" i="13" s="1"/>
  <c r="BK14" i="13"/>
  <c r="BA14" i="13" s="1"/>
  <c r="BV14" i="13"/>
  <c r="F14" i="13" s="1"/>
  <c r="F14" i="14" s="1"/>
  <c r="BO14" i="13"/>
  <c r="BE14" i="13" s="1"/>
  <c r="BS14" i="13"/>
  <c r="BI14" i="13" s="1"/>
  <c r="BM15" i="13"/>
  <c r="BC15" i="13" s="1"/>
  <c r="BN15" i="13"/>
  <c r="BD15" i="13" s="1"/>
  <c r="BQ15" i="13"/>
  <c r="BG15" i="13" s="1"/>
  <c r="BR15" i="13"/>
  <c r="BH15" i="13" s="1"/>
  <c r="BL16" i="13"/>
  <c r="BB16" i="13" s="1"/>
  <c r="BP16" i="13"/>
  <c r="BF16" i="13" s="1"/>
  <c r="BU17" i="13"/>
  <c r="BN17" i="13"/>
  <c r="BD17" i="13" s="1"/>
  <c r="BP17" i="13"/>
  <c r="BF17" i="13" s="1"/>
  <c r="BR17" i="13"/>
  <c r="BH17" i="13" s="1"/>
  <c r="BV18" i="13"/>
  <c r="F18" i="13" s="1"/>
  <c r="F18" i="14" s="1"/>
  <c r="BM18" i="13"/>
  <c r="BC18" i="13" s="1"/>
  <c r="BQ18" i="13"/>
  <c r="BG18" i="13" s="1"/>
  <c r="BN19" i="13"/>
  <c r="BD19" i="13" s="1"/>
  <c r="BR19" i="13"/>
  <c r="BH19" i="13" s="1"/>
  <c r="BK20" i="13"/>
  <c r="BA20" i="13" s="1"/>
  <c r="BL20" i="13"/>
  <c r="BB20" i="13" s="1"/>
  <c r="BN20" i="13"/>
  <c r="BD20" i="13" s="1"/>
  <c r="BO20" i="13"/>
  <c r="BE20" i="13" s="1"/>
  <c r="BP20" i="13"/>
  <c r="BF20" i="13" s="1"/>
  <c r="BS20" i="13"/>
  <c r="BI20" i="13" s="1"/>
  <c r="BK21" i="13"/>
  <c r="BA21" i="13" s="1"/>
  <c r="BU21" i="13"/>
  <c r="BM21" i="13"/>
  <c r="BC21" i="13" s="1"/>
  <c r="BK22" i="13"/>
  <c r="BA22" i="13" s="1"/>
  <c r="BL22" i="13"/>
  <c r="BB22" i="13" s="1"/>
  <c r="BO22" i="13"/>
  <c r="BE22" i="13" s="1"/>
  <c r="BP22" i="13"/>
  <c r="BF22" i="13" s="1"/>
  <c r="BS22" i="13"/>
  <c r="BI22" i="13" s="1"/>
  <c r="BM23" i="13"/>
  <c r="BC23" i="13" s="1"/>
  <c r="BN23" i="13"/>
  <c r="BD23" i="13" s="1"/>
  <c r="BQ23" i="13"/>
  <c r="BG23" i="13" s="1"/>
  <c r="BR23" i="13"/>
  <c r="BH23" i="13" s="1"/>
  <c r="BK24" i="13"/>
  <c r="BA24" i="13" s="1"/>
  <c r="BL24" i="13"/>
  <c r="BB24" i="13" s="1"/>
  <c r="BN24" i="13"/>
  <c r="BD24" i="13" s="1"/>
  <c r="BO24" i="13"/>
  <c r="BE24" i="13" s="1"/>
  <c r="BP24" i="13"/>
  <c r="BF24" i="13" s="1"/>
  <c r="BS24" i="13"/>
  <c r="BI24" i="13" s="1"/>
  <c r="BO25" i="13"/>
  <c r="BE25" i="13" s="1"/>
  <c r="BS25" i="13"/>
  <c r="BI25" i="13" s="1"/>
  <c r="BV26" i="13"/>
  <c r="F26" i="13" s="1"/>
  <c r="F26" i="14" s="1"/>
  <c r="BM26" i="13"/>
  <c r="BC26" i="13" s="1"/>
  <c r="BU27" i="13"/>
  <c r="F27" i="13" s="1"/>
  <c r="F27" i="14" s="1"/>
  <c r="BM27" i="13"/>
  <c r="BC27" i="13" s="1"/>
  <c r="BN27" i="13"/>
  <c r="BD27" i="13" s="1"/>
  <c r="BP27" i="13"/>
  <c r="BF27" i="13" s="1"/>
  <c r="BQ27" i="13"/>
  <c r="BG27" i="13" s="1"/>
  <c r="BR27" i="13"/>
  <c r="BH27" i="13" s="1"/>
  <c r="BM3" i="14"/>
  <c r="BC3" i="14" s="1"/>
  <c r="BO3" i="14"/>
  <c r="BE3" i="14" s="1"/>
  <c r="BP3" i="14"/>
  <c r="BF3" i="14" s="1"/>
  <c r="BQ3" i="14"/>
  <c r="BG3" i="14" s="1"/>
  <c r="BS3" i="14"/>
  <c r="BI3" i="14" s="1"/>
  <c r="BT3" i="14"/>
  <c r="BJ3" i="14" s="1"/>
  <c r="BU3" i="14"/>
  <c r="BK3" i="14" s="1"/>
  <c r="BW4" i="14"/>
  <c r="BN4" i="14"/>
  <c r="BD4" i="14" s="1"/>
  <c r="BO4" i="14"/>
  <c r="BE4" i="14" s="1"/>
  <c r="BP4" i="14"/>
  <c r="BF4" i="14" s="1"/>
  <c r="BR4" i="14"/>
  <c r="BH4" i="14" s="1"/>
  <c r="BS4" i="14"/>
  <c r="BI4" i="14" s="1"/>
  <c r="BT4" i="14"/>
  <c r="BJ4" i="14" s="1"/>
  <c r="BM5" i="14"/>
  <c r="BC5" i="14" s="1"/>
  <c r="BN5" i="14"/>
  <c r="BD5" i="14" s="1"/>
  <c r="BO5" i="14"/>
  <c r="BE5" i="14" s="1"/>
  <c r="BQ5" i="14"/>
  <c r="BG5" i="14" s="1"/>
  <c r="BR5" i="14"/>
  <c r="BH5" i="14" s="1"/>
  <c r="BS5" i="14"/>
  <c r="BI5" i="14" s="1"/>
  <c r="BU5" i="14"/>
  <c r="BK5" i="14" s="1"/>
  <c r="BW6" i="14"/>
  <c r="G6" i="14" s="1"/>
  <c r="BW7" i="14"/>
  <c r="BP8" i="14"/>
  <c r="BF8" i="14" s="1"/>
  <c r="BT8" i="14"/>
  <c r="BJ8" i="14" s="1"/>
  <c r="G9" i="14"/>
  <c r="BM9" i="14"/>
  <c r="BC9" i="14" s="1"/>
  <c r="BN9" i="14"/>
  <c r="BD9" i="14" s="1"/>
  <c r="BQ9" i="14"/>
  <c r="BG9" i="14" s="1"/>
  <c r="BR9" i="14"/>
  <c r="BH9" i="14" s="1"/>
  <c r="BT9" i="14"/>
  <c r="BJ9" i="14" s="1"/>
  <c r="BU9" i="14"/>
  <c r="BK9" i="14" s="1"/>
  <c r="BW10" i="14"/>
  <c r="BO10" i="14"/>
  <c r="BE10" i="14" s="1"/>
  <c r="BP10" i="14"/>
  <c r="BF10" i="14" s="1"/>
  <c r="BQ10" i="14"/>
  <c r="BG10" i="14" s="1"/>
  <c r="BS10" i="14"/>
  <c r="BI10" i="14" s="1"/>
  <c r="BT10" i="14"/>
  <c r="BJ10" i="14" s="1"/>
  <c r="BU10" i="14"/>
  <c r="BK10" i="14" s="1"/>
  <c r="BW11" i="14"/>
  <c r="BN11" i="14"/>
  <c r="BD11" i="14" s="1"/>
  <c r="BO11" i="14"/>
  <c r="BE11" i="14" s="1"/>
  <c r="BP11" i="14"/>
  <c r="BF11" i="14" s="1"/>
  <c r="BR11" i="14"/>
  <c r="BH11" i="14" s="1"/>
  <c r="BS11" i="14"/>
  <c r="BI11" i="14" s="1"/>
  <c r="BT11" i="14"/>
  <c r="BJ11" i="14" s="1"/>
  <c r="BM12" i="14"/>
  <c r="BC12" i="14" s="1"/>
  <c r="BN12" i="14"/>
  <c r="BD12" i="14" s="1"/>
  <c r="BO12" i="14"/>
  <c r="BE12" i="14" s="1"/>
  <c r="BQ12" i="14"/>
  <c r="BG12" i="14" s="1"/>
  <c r="BR12" i="14"/>
  <c r="BH12" i="14" s="1"/>
  <c r="BS12" i="14"/>
  <c r="BI12" i="14" s="1"/>
  <c r="BU12" i="14"/>
  <c r="BK12" i="14" s="1"/>
  <c r="BN13" i="14"/>
  <c r="BD13" i="14" s="1"/>
  <c r="BO13" i="14"/>
  <c r="BE13" i="14" s="1"/>
  <c r="BS13" i="14"/>
  <c r="BI13" i="14" s="1"/>
  <c r="BO14" i="14"/>
  <c r="BE14" i="14" s="1"/>
  <c r="BN15" i="14"/>
  <c r="BD15" i="14" s="1"/>
  <c r="BO15" i="14"/>
  <c r="BE15" i="14" s="1"/>
  <c r="BW16" i="14"/>
  <c r="BO16" i="14"/>
  <c r="BE16" i="14" s="1"/>
  <c r="BP16" i="14"/>
  <c r="BF16" i="14" s="1"/>
  <c r="BR16" i="14"/>
  <c r="BH16" i="14" s="1"/>
  <c r="BT16" i="14"/>
  <c r="BJ16" i="14" s="1"/>
  <c r="BM17" i="14"/>
  <c r="BC17" i="14" s="1"/>
  <c r="BQ17" i="14"/>
  <c r="BG17" i="14" s="1"/>
  <c r="BU17" i="14"/>
  <c r="BK17" i="14" s="1"/>
  <c r="BX18" i="14"/>
  <c r="BO18" i="14"/>
  <c r="BE18" i="14" s="1"/>
  <c r="BS18" i="14"/>
  <c r="BI18" i="14" s="1"/>
  <c r="BO19" i="14"/>
  <c r="BE19" i="14" s="1"/>
  <c r="BP19" i="14"/>
  <c r="BF19" i="14" s="1"/>
  <c r="BQ19" i="14"/>
  <c r="BG19" i="14" s="1"/>
  <c r="BT19" i="14"/>
  <c r="BJ19" i="14" s="1"/>
  <c r="BU19" i="14"/>
  <c r="BK19" i="14" s="1"/>
  <c r="BW20" i="14"/>
  <c r="BN20" i="14"/>
  <c r="BD20" i="14" s="1"/>
  <c r="BO20" i="14"/>
  <c r="BE20" i="14" s="1"/>
  <c r="BP20" i="14"/>
  <c r="BF20" i="14" s="1"/>
  <c r="BR20" i="14"/>
  <c r="BH20" i="14" s="1"/>
  <c r="BS20" i="14"/>
  <c r="BI20" i="14" s="1"/>
  <c r="BT20" i="14"/>
  <c r="BJ20" i="14" s="1"/>
  <c r="BN21" i="14"/>
  <c r="BD21" i="14" s="1"/>
  <c r="BO21" i="14"/>
  <c r="BE21" i="14" s="1"/>
  <c r="BQ21" i="14"/>
  <c r="BG21" i="14" s="1"/>
  <c r="BR21" i="14"/>
  <c r="BH21" i="14" s="1"/>
  <c r="BS21" i="14"/>
  <c r="BI21" i="14" s="1"/>
  <c r="BX22" i="14"/>
  <c r="BO22" i="14"/>
  <c r="BE22" i="14" s="1"/>
  <c r="BS22" i="14"/>
  <c r="BI22" i="14" s="1"/>
  <c r="BM23" i="14"/>
  <c r="BC23" i="14" s="1"/>
  <c r="BO23" i="14"/>
  <c r="BE23" i="14" s="1"/>
  <c r="BP23" i="14"/>
  <c r="BF23" i="14" s="1"/>
  <c r="BQ23" i="14"/>
  <c r="BG23" i="14" s="1"/>
  <c r="BT23" i="14"/>
  <c r="BJ23" i="14" s="1"/>
  <c r="BU23" i="14"/>
  <c r="BK23" i="14" s="1"/>
  <c r="BO24" i="14"/>
  <c r="BE24" i="14" s="1"/>
  <c r="BP24" i="14"/>
  <c r="BF24" i="14" s="1"/>
  <c r="BS24" i="14"/>
  <c r="BI24" i="14" s="1"/>
  <c r="BT24" i="14"/>
  <c r="BJ24" i="14" s="1"/>
  <c r="BM25" i="14"/>
  <c r="BC25" i="14" s="1"/>
  <c r="BN25" i="14"/>
  <c r="BD25" i="14" s="1"/>
  <c r="BO25" i="14"/>
  <c r="BE25" i="14" s="1"/>
  <c r="BQ25" i="14"/>
  <c r="BG25" i="14" s="1"/>
  <c r="BR25" i="14"/>
  <c r="BH25" i="14" s="1"/>
  <c r="BS25" i="14"/>
  <c r="BI25" i="14" s="1"/>
  <c r="BM26" i="14"/>
  <c r="BC26" i="14" s="1"/>
  <c r="BN26" i="14"/>
  <c r="BD26" i="14" s="1"/>
  <c r="BQ26" i="14"/>
  <c r="BG26" i="14" s="1"/>
  <c r="BR26" i="14"/>
  <c r="BH26" i="14" s="1"/>
  <c r="BT26" i="14"/>
  <c r="BJ26" i="14" s="1"/>
  <c r="BU26" i="14"/>
  <c r="BK26" i="14" s="1"/>
  <c r="BW27" i="14"/>
  <c r="BO27" i="14"/>
  <c r="BE27" i="14" s="1"/>
  <c r="BP27" i="14"/>
  <c r="BF27" i="14" s="1"/>
  <c r="BQ27" i="14"/>
  <c r="BG27" i="14" s="1"/>
  <c r="BS27" i="14"/>
  <c r="BI27" i="14" s="1"/>
  <c r="BT27" i="14"/>
  <c r="BJ27" i="14" s="1"/>
  <c r="BU27" i="14"/>
  <c r="BK27" i="14" s="1"/>
  <c r="BN3" i="14"/>
  <c r="BD3" i="14" s="1"/>
  <c r="BW3" i="14"/>
  <c r="H6" i="14"/>
  <c r="DT6" i="14" s="1"/>
  <c r="BK3" i="13"/>
  <c r="BA3" i="13" s="1"/>
  <c r="G4" i="14"/>
  <c r="BM10" i="14"/>
  <c r="BC10" i="14" s="1"/>
  <c r="BX10" i="14"/>
  <c r="BX3" i="14"/>
  <c r="BM6" i="14"/>
  <c r="BC6" i="14" s="1"/>
  <c r="BQ6" i="14"/>
  <c r="BG6" i="14" s="1"/>
  <c r="BT6" i="14"/>
  <c r="BJ6" i="14" s="1"/>
  <c r="BU6" i="14"/>
  <c r="BK6" i="14" s="1"/>
  <c r="BX7" i="14"/>
  <c r="BO7" i="14"/>
  <c r="BE7" i="14" s="1"/>
  <c r="BP7" i="14"/>
  <c r="BF7" i="14" s="1"/>
  <c r="BS7" i="14"/>
  <c r="BI7" i="14" s="1"/>
  <c r="BT7" i="14"/>
  <c r="BJ7" i="14" s="1"/>
  <c r="BW8" i="14"/>
  <c r="BN8" i="14"/>
  <c r="BD8" i="14" s="1"/>
  <c r="BO8" i="14"/>
  <c r="BE8" i="14" s="1"/>
  <c r="BR8" i="14"/>
  <c r="BH8" i="14" s="1"/>
  <c r="BS8" i="14"/>
  <c r="BI8" i="14" s="1"/>
  <c r="G12" i="14"/>
  <c r="BR15" i="14"/>
  <c r="BH15" i="14" s="1"/>
  <c r="BX16" i="14"/>
  <c r="G16" i="14" s="1"/>
  <c r="BM16" i="14"/>
  <c r="BC16" i="14" s="1"/>
  <c r="BN16" i="14"/>
  <c r="BD16" i="14" s="1"/>
  <c r="BM19" i="14"/>
  <c r="BC19" i="14" s="1"/>
  <c r="BX19" i="14"/>
  <c r="G19" i="14" s="1"/>
  <c r="BX20" i="14"/>
  <c r="G20" i="14" s="1"/>
  <c r="BM20" i="14"/>
  <c r="BC20" i="14" s="1"/>
  <c r="BX21" i="14"/>
  <c r="BM22" i="14"/>
  <c r="BC22" i="14" s="1"/>
  <c r="BN22" i="14"/>
  <c r="BD22" i="14" s="1"/>
  <c r="BQ22" i="14"/>
  <c r="BG22" i="14" s="1"/>
  <c r="BR22" i="14"/>
  <c r="BH22" i="14" s="1"/>
  <c r="BU22" i="14"/>
  <c r="BK22" i="14" s="1"/>
  <c r="BM27" i="14"/>
  <c r="BC27" i="14" s="1"/>
  <c r="BX27" i="14"/>
  <c r="BX13" i="14"/>
  <c r="G13" i="14" s="1"/>
  <c r="BM15" i="14"/>
  <c r="BC15" i="14" s="1"/>
  <c r="BQ15" i="14"/>
  <c r="BG15" i="14" s="1"/>
  <c r="BU15" i="14"/>
  <c r="BK15" i="14" s="1"/>
  <c r="BO17" i="14"/>
  <c r="BE17" i="14" s="1"/>
  <c r="BS17" i="14"/>
  <c r="BI17" i="14" s="1"/>
  <c r="BN14" i="14"/>
  <c r="BD14" i="14" s="1"/>
  <c r="BR14" i="14"/>
  <c r="BH14" i="14" s="1"/>
  <c r="BX15" i="14"/>
  <c r="G15" i="14" s="1"/>
  <c r="BX17" i="14"/>
  <c r="G17" i="14" s="1"/>
  <c r="BM18" i="14"/>
  <c r="BC18" i="14" s="1"/>
  <c r="BN18" i="14"/>
  <c r="BD18" i="14" s="1"/>
  <c r="BQ18" i="14"/>
  <c r="BG18" i="14" s="1"/>
  <c r="BR18" i="14"/>
  <c r="BH18" i="14" s="1"/>
  <c r="BU18" i="14"/>
  <c r="BK18" i="14" s="1"/>
  <c r="BM21" i="14"/>
  <c r="BC21" i="14" s="1"/>
  <c r="BX23" i="14"/>
  <c r="G23" i="14" s="1"/>
  <c r="BM24" i="14"/>
  <c r="BC24" i="14" s="1"/>
  <c r="BX25" i="14"/>
  <c r="G25" i="14" s="1"/>
  <c r="BW26" i="14"/>
  <c r="G26" i="14" s="1"/>
  <c r="F17" i="13"/>
  <c r="F17" i="14" s="1"/>
  <c r="H17" i="14" s="1"/>
  <c r="DT17" i="14" s="1"/>
  <c r="BV3" i="13"/>
  <c r="BV5" i="13"/>
  <c r="F5" i="13" s="1"/>
  <c r="F5" i="14" s="1"/>
  <c r="BV7" i="13"/>
  <c r="F7" i="13" s="1"/>
  <c r="F7" i="14" s="1"/>
  <c r="BV8" i="13"/>
  <c r="F8" i="13" s="1"/>
  <c r="F8" i="14" s="1"/>
  <c r="BV11" i="13"/>
  <c r="BR12" i="13"/>
  <c r="BH12" i="13" s="1"/>
  <c r="BL14" i="13"/>
  <c r="BB14" i="13" s="1"/>
  <c r="BP14" i="13"/>
  <c r="BF14" i="13" s="1"/>
  <c r="BQ14" i="13"/>
  <c r="BG14" i="13" s="1"/>
  <c r="BL17" i="13"/>
  <c r="BB17" i="13" s="1"/>
  <c r="BU22" i="13"/>
  <c r="F22" i="13" s="1"/>
  <c r="F22" i="14" s="1"/>
  <c r="BV10" i="13"/>
  <c r="F10" i="13" s="1"/>
  <c r="F10" i="14" s="1"/>
  <c r="BK18" i="13"/>
  <c r="BA18" i="13" s="1"/>
  <c r="BO18" i="13"/>
  <c r="BE18" i="13" s="1"/>
  <c r="BS18" i="13"/>
  <c r="BI18" i="13" s="1"/>
  <c r="BV23" i="13"/>
  <c r="F23" i="13" s="1"/>
  <c r="F23" i="14" s="1"/>
  <c r="BK23" i="13"/>
  <c r="BA23" i="13" s="1"/>
  <c r="BU24" i="13"/>
  <c r="BR24" i="13"/>
  <c r="BH24" i="13" s="1"/>
  <c r="BK9" i="13"/>
  <c r="BA9" i="13" s="1"/>
  <c r="BO9" i="13"/>
  <c r="BE9" i="13" s="1"/>
  <c r="BS9" i="13"/>
  <c r="BI9" i="13" s="1"/>
  <c r="BO12" i="13"/>
  <c r="BE12" i="13" s="1"/>
  <c r="BS12" i="13"/>
  <c r="BI12" i="13" s="1"/>
  <c r="BL13" i="13"/>
  <c r="BB13" i="13" s="1"/>
  <c r="BV15" i="13"/>
  <c r="F15" i="13" s="1"/>
  <c r="F15" i="14" s="1"/>
  <c r="BK15" i="13"/>
  <c r="BA15" i="13" s="1"/>
  <c r="BU16" i="13"/>
  <c r="F16" i="13" s="1"/>
  <c r="F16" i="14" s="1"/>
  <c r="BR16" i="13"/>
  <c r="BH16" i="13" s="1"/>
  <c r="BK17" i="13"/>
  <c r="BA17" i="13" s="1"/>
  <c r="BM17" i="13"/>
  <c r="BC17" i="13" s="1"/>
  <c r="BQ17" i="13"/>
  <c r="BG17" i="13" s="1"/>
  <c r="BV25" i="13"/>
  <c r="BU25" i="13"/>
  <c r="BM25" i="13"/>
  <c r="BC25" i="13" s="1"/>
  <c r="BN25" i="13"/>
  <c r="BD25" i="13" s="1"/>
  <c r="BQ25" i="13"/>
  <c r="BG25" i="13" s="1"/>
  <c r="BR25" i="13"/>
  <c r="BH25" i="13" s="1"/>
  <c r="BK27" i="13"/>
  <c r="BA27" i="13" s="1"/>
  <c r="BV13" i="13"/>
  <c r="F13" i="13" s="1"/>
  <c r="F13" i="14" s="1"/>
  <c r="BK16" i="13"/>
  <c r="BA16" i="13" s="1"/>
  <c r="BO16" i="13"/>
  <c r="BE16" i="13" s="1"/>
  <c r="BS16" i="13"/>
  <c r="BI16" i="13" s="1"/>
  <c r="BL18" i="13"/>
  <c r="BB18" i="13" s="1"/>
  <c r="BP18" i="13"/>
  <c r="BF18" i="13" s="1"/>
  <c r="BM19" i="13"/>
  <c r="BC19" i="13" s="1"/>
  <c r="BQ19" i="13"/>
  <c r="BG19" i="13" s="1"/>
  <c r="BU20" i="13"/>
  <c r="F20" i="13" s="1"/>
  <c r="F20" i="14" s="1"/>
  <c r="H20" i="14" s="1"/>
  <c r="DT20" i="14" s="1"/>
  <c r="BV21" i="13"/>
  <c r="F21" i="13" s="1"/>
  <c r="F21" i="14" s="1"/>
  <c r="BN21" i="13"/>
  <c r="BD21" i="13" s="1"/>
  <c r="BQ21" i="13"/>
  <c r="BG21" i="13" s="1"/>
  <c r="BR21" i="13"/>
  <c r="BH21" i="13" s="1"/>
  <c r="BK26" i="13"/>
  <c r="BA26" i="13" s="1"/>
  <c r="BL26" i="13"/>
  <c r="BB26" i="13" s="1"/>
  <c r="BO26" i="13"/>
  <c r="BE26" i="13" s="1"/>
  <c r="BP26" i="13"/>
  <c r="BF26" i="13" s="1"/>
  <c r="BS26" i="13"/>
  <c r="BI26" i="13" s="1"/>
  <c r="G22" i="14" l="1"/>
  <c r="G14" i="14"/>
  <c r="F9" i="13"/>
  <c r="F9" i="14" s="1"/>
  <c r="G8" i="14"/>
  <c r="G27" i="14"/>
  <c r="G18" i="14"/>
  <c r="H18" i="14" s="1"/>
  <c r="DT18" i="14" s="1"/>
  <c r="G11" i="14"/>
  <c r="G10" i="14"/>
  <c r="F24" i="13"/>
  <c r="F24" i="14" s="1"/>
  <c r="H24" i="14" s="1"/>
  <c r="DT24" i="14" s="1"/>
  <c r="H5" i="14"/>
  <c r="DT5" i="14" s="1"/>
  <c r="G21" i="14"/>
  <c r="H21" i="14" s="1"/>
  <c r="DT21" i="14" s="1"/>
  <c r="H12" i="14"/>
  <c r="DT12" i="14" s="1"/>
  <c r="F11" i="13"/>
  <c r="F11" i="14" s="1"/>
  <c r="F3" i="13"/>
  <c r="F3" i="14" s="1"/>
  <c r="G7" i="14"/>
  <c r="H7" i="14" s="1"/>
  <c r="DT7" i="14" s="1"/>
  <c r="H4" i="14"/>
  <c r="DT4" i="14" s="1"/>
  <c r="F25" i="13"/>
  <c r="F25" i="14" s="1"/>
  <c r="H25" i="14" s="1"/>
  <c r="DT25" i="14" s="1"/>
  <c r="H26" i="14"/>
  <c r="DT26" i="14" s="1"/>
  <c r="H19" i="14"/>
  <c r="DT19" i="14" s="1"/>
  <c r="H23" i="14"/>
  <c r="DT23" i="14" s="1"/>
  <c r="H15" i="14"/>
  <c r="DT15" i="14" s="1"/>
  <c r="H22" i="14"/>
  <c r="DT22" i="14" s="1"/>
  <c r="H13" i="14"/>
  <c r="DT13" i="14" s="1"/>
  <c r="H27" i="14"/>
  <c r="DT27" i="14" s="1"/>
  <c r="H16" i="14"/>
  <c r="DT16" i="14" s="1"/>
  <c r="H14" i="14"/>
  <c r="DT14" i="14" s="1"/>
  <c r="H8" i="14"/>
  <c r="DT8" i="14" s="1"/>
  <c r="H10" i="14"/>
  <c r="DT10" i="14" s="1"/>
  <c r="H9" i="14"/>
  <c r="DT9" i="14" s="1"/>
  <c r="G3" i="14"/>
  <c r="H3" i="14" s="1"/>
  <c r="DT3" i="14" s="1"/>
  <c r="V28" i="1"/>
  <c r="T28" i="2"/>
  <c r="U28" i="2"/>
  <c r="V28" i="2"/>
  <c r="H11" i="14" l="1"/>
  <c r="DT11" i="14" s="1"/>
  <c r="W28" i="1"/>
  <c r="X28" i="2"/>
  <c r="P3" i="7"/>
  <c r="P27" i="7"/>
  <c r="Q27" i="7" s="1"/>
  <c r="P26" i="7"/>
  <c r="P25" i="7"/>
  <c r="P24" i="7"/>
  <c r="P23" i="7"/>
  <c r="Q23" i="7" s="1"/>
  <c r="P22" i="7"/>
  <c r="P21" i="7"/>
  <c r="Q21" i="7" s="1"/>
  <c r="P20" i="7"/>
  <c r="P19" i="7"/>
  <c r="Q19" i="7" s="1"/>
  <c r="P18" i="7"/>
  <c r="P17" i="7"/>
  <c r="P16" i="7"/>
  <c r="P15" i="7"/>
  <c r="Q15" i="7" s="1"/>
  <c r="P14" i="7"/>
  <c r="P13" i="7"/>
  <c r="Q13" i="7" s="1"/>
  <c r="P12" i="7"/>
  <c r="P11" i="7"/>
  <c r="Q11" i="7" s="1"/>
  <c r="P10" i="7"/>
  <c r="P9" i="7"/>
  <c r="P8" i="7"/>
  <c r="P7" i="7"/>
  <c r="Q7" i="7" s="1"/>
  <c r="P6" i="7"/>
  <c r="P5" i="7"/>
  <c r="Q5" i="7" s="1"/>
  <c r="P4" i="7"/>
  <c r="F4" i="8" l="1"/>
  <c r="Q4" i="8" s="1"/>
  <c r="Q4" i="7"/>
  <c r="F8" i="8"/>
  <c r="Q8" i="8" s="1"/>
  <c r="Q8" i="7"/>
  <c r="F12" i="8"/>
  <c r="Q12" i="8" s="1"/>
  <c r="Q12" i="7"/>
  <c r="F16" i="8"/>
  <c r="Q16" i="8" s="1"/>
  <c r="Q16" i="7"/>
  <c r="F20" i="8"/>
  <c r="Q20" i="8" s="1"/>
  <c r="Q20" i="7"/>
  <c r="F24" i="8"/>
  <c r="Q24" i="8" s="1"/>
  <c r="Q24" i="7"/>
  <c r="F3" i="8"/>
  <c r="Q3" i="8" s="1"/>
  <c r="Q3" i="7"/>
  <c r="F9" i="8"/>
  <c r="Q9" i="8" s="1"/>
  <c r="Q9" i="7"/>
  <c r="F17" i="8"/>
  <c r="Q17" i="8" s="1"/>
  <c r="Q17" i="7"/>
  <c r="F25" i="8"/>
  <c r="Q25" i="8" s="1"/>
  <c r="Q25" i="7"/>
  <c r="F6" i="8"/>
  <c r="Q6" i="8" s="1"/>
  <c r="Q6" i="7"/>
  <c r="F10" i="8"/>
  <c r="Q10" i="8" s="1"/>
  <c r="Q10" i="7"/>
  <c r="F14" i="8"/>
  <c r="Q14" i="8" s="1"/>
  <c r="Q14" i="7"/>
  <c r="F18" i="8"/>
  <c r="Q18" i="8" s="1"/>
  <c r="Q18" i="7"/>
  <c r="F22" i="8"/>
  <c r="Q22" i="8" s="1"/>
  <c r="Q22" i="7"/>
  <c r="F26" i="8"/>
  <c r="Q26" i="8" s="1"/>
  <c r="Q26" i="7"/>
  <c r="X28" i="1"/>
  <c r="Y28" i="1" s="1"/>
  <c r="F19" i="8"/>
  <c r="Q19" i="8" s="1"/>
  <c r="F11" i="8"/>
  <c r="Q11" i="8" s="1"/>
  <c r="F27" i="8"/>
  <c r="Q27" i="8" s="1"/>
  <c r="F23" i="8"/>
  <c r="Q23" i="8" s="1"/>
  <c r="F7" i="8"/>
  <c r="Q7" i="8" s="1"/>
  <c r="F15" i="8"/>
  <c r="Q15" i="8" s="1"/>
  <c r="F21" i="8"/>
  <c r="Q21" i="8" s="1"/>
  <c r="F13" i="8"/>
  <c r="Q13" i="8" s="1"/>
  <c r="F5" i="8"/>
  <c r="Q5" i="8" s="1"/>
  <c r="V27" i="2"/>
  <c r="U27" i="2"/>
  <c r="T27" i="2"/>
  <c r="V26" i="2"/>
  <c r="U26" i="2"/>
  <c r="T26" i="2"/>
  <c r="V25" i="2"/>
  <c r="U25" i="2"/>
  <c r="T25" i="2"/>
  <c r="V24" i="2"/>
  <c r="U24" i="2"/>
  <c r="T24" i="2"/>
  <c r="V23" i="2"/>
  <c r="U23" i="2"/>
  <c r="T23" i="2"/>
  <c r="V22" i="2"/>
  <c r="U22" i="2"/>
  <c r="T22" i="2"/>
  <c r="V21" i="2"/>
  <c r="U21" i="2"/>
  <c r="T21" i="2"/>
  <c r="V20" i="2"/>
  <c r="U20" i="2"/>
  <c r="T20" i="2"/>
  <c r="V19" i="2"/>
  <c r="U19" i="2"/>
  <c r="T19" i="2"/>
  <c r="V18" i="2"/>
  <c r="U18" i="2"/>
  <c r="T18" i="2"/>
  <c r="V17" i="2"/>
  <c r="U17" i="2"/>
  <c r="T17" i="2"/>
  <c r="V16" i="2"/>
  <c r="U16" i="2"/>
  <c r="T16" i="2"/>
  <c r="V15" i="2"/>
  <c r="U15" i="2"/>
  <c r="T15" i="2"/>
  <c r="V14" i="2"/>
  <c r="U14" i="2"/>
  <c r="T14" i="2"/>
  <c r="V13" i="2"/>
  <c r="U13" i="2"/>
  <c r="T13" i="2"/>
  <c r="V12" i="2"/>
  <c r="U12" i="2"/>
  <c r="T12" i="2"/>
  <c r="V11" i="2"/>
  <c r="U11" i="2"/>
  <c r="T11" i="2"/>
  <c r="V10" i="2"/>
  <c r="U10" i="2"/>
  <c r="T10" i="2"/>
  <c r="V9" i="2"/>
  <c r="U9" i="2"/>
  <c r="T9" i="2"/>
  <c r="V8" i="2"/>
  <c r="U8" i="2"/>
  <c r="T8" i="2"/>
  <c r="V7" i="2"/>
  <c r="U7" i="2"/>
  <c r="T7" i="2"/>
  <c r="V6" i="2"/>
  <c r="U6" i="2"/>
  <c r="T6" i="2"/>
  <c r="V5" i="2"/>
  <c r="U5" i="2"/>
  <c r="V4" i="2"/>
  <c r="U4" i="2"/>
  <c r="V4" i="1"/>
  <c r="F4" i="2" l="1"/>
  <c r="W4" i="2" s="1"/>
  <c r="R21" i="8"/>
  <c r="W21" i="8" s="1"/>
  <c r="S21" i="8" s="1"/>
  <c r="R15" i="8"/>
  <c r="W15" i="8" s="1"/>
  <c r="S15" i="8" s="1"/>
  <c r="R26" i="8"/>
  <c r="W26" i="8" s="1"/>
  <c r="S26" i="8" s="1"/>
  <c r="R18" i="8"/>
  <c r="W18" i="8" s="1"/>
  <c r="S18" i="8" s="1"/>
  <c r="R25" i="8"/>
  <c r="W25" i="8" s="1"/>
  <c r="S25" i="8" s="1"/>
  <c r="R9" i="8"/>
  <c r="W9" i="8" s="1"/>
  <c r="S9" i="8" s="1"/>
  <c r="R24" i="8"/>
  <c r="W24" i="8" s="1"/>
  <c r="S24" i="8" s="1"/>
  <c r="R16" i="8"/>
  <c r="W16" i="8" s="1"/>
  <c r="S16" i="8" s="1"/>
  <c r="R8" i="8"/>
  <c r="W8" i="8" s="1"/>
  <c r="S8" i="8" s="1"/>
  <c r="R27" i="8"/>
  <c r="W27" i="8" s="1"/>
  <c r="S27" i="8" s="1"/>
  <c r="R11" i="8"/>
  <c r="W11" i="8" s="1"/>
  <c r="S11" i="8" s="1"/>
  <c r="R10" i="8"/>
  <c r="W10" i="8" s="1"/>
  <c r="S10" i="8" s="1"/>
  <c r="R5" i="8"/>
  <c r="W5" i="8" s="1"/>
  <c r="S5" i="8" s="1"/>
  <c r="R7" i="8"/>
  <c r="W7" i="8" s="1"/>
  <c r="S7" i="8" s="1"/>
  <c r="R19" i="8"/>
  <c r="W19" i="8" s="1"/>
  <c r="S19" i="8" s="1"/>
  <c r="R13" i="8"/>
  <c r="W13" i="8" s="1"/>
  <c r="S13" i="8" s="1"/>
  <c r="R23" i="8"/>
  <c r="W23" i="8" s="1"/>
  <c r="S23" i="8" s="1"/>
  <c r="R22" i="8"/>
  <c r="W22" i="8" s="1"/>
  <c r="S22" i="8" s="1"/>
  <c r="R14" i="8"/>
  <c r="W14" i="8" s="1"/>
  <c r="S14" i="8" s="1"/>
  <c r="R6" i="8"/>
  <c r="W6" i="8" s="1"/>
  <c r="S6" i="8" s="1"/>
  <c r="R17" i="8"/>
  <c r="W17" i="8" s="1"/>
  <c r="S17" i="8" s="1"/>
  <c r="R3" i="8"/>
  <c r="W3" i="8" s="1"/>
  <c r="S3" i="8" s="1"/>
  <c r="R20" i="8"/>
  <c r="W20" i="8" s="1"/>
  <c r="S20" i="8" s="1"/>
  <c r="R12" i="8"/>
  <c r="W12" i="8" s="1"/>
  <c r="S12" i="8" s="1"/>
  <c r="R4" i="8"/>
  <c r="W4" i="8" s="1"/>
  <c r="S4" i="8" s="1"/>
  <c r="X7" i="2"/>
  <c r="X11" i="2"/>
  <c r="X15" i="2"/>
  <c r="X19" i="2"/>
  <c r="X23" i="2"/>
  <c r="X27" i="2"/>
  <c r="X5" i="2"/>
  <c r="X9" i="2"/>
  <c r="X13" i="2"/>
  <c r="X17" i="2"/>
  <c r="X21" i="2"/>
  <c r="X25" i="2"/>
  <c r="X4" i="2"/>
  <c r="X8" i="2"/>
  <c r="X12" i="2"/>
  <c r="X16" i="2"/>
  <c r="X20" i="2"/>
  <c r="X24" i="2"/>
  <c r="X6" i="2"/>
  <c r="X10" i="2"/>
  <c r="X14" i="2"/>
  <c r="X18" i="2"/>
  <c r="X22" i="2"/>
  <c r="X26" i="2"/>
  <c r="F28" i="2" l="1"/>
  <c r="W28" i="2" s="1"/>
  <c r="Y28" i="2" s="1"/>
  <c r="Z28" i="2" s="1"/>
  <c r="V26" i="1"/>
  <c r="F26" i="2" s="1"/>
  <c r="W26" i="2" s="1"/>
  <c r="V27" i="1"/>
  <c r="F27" i="2" s="1"/>
  <c r="W27" i="2" s="1"/>
  <c r="V20" i="1"/>
  <c r="F20" i="2" s="1"/>
  <c r="W20" i="2" s="1"/>
  <c r="V21" i="1"/>
  <c r="F21" i="2" s="1"/>
  <c r="W21" i="2" s="1"/>
  <c r="V22" i="1"/>
  <c r="F22" i="2" s="1"/>
  <c r="W22" i="2" s="1"/>
  <c r="V23" i="1"/>
  <c r="F23" i="2" s="1"/>
  <c r="W23" i="2" s="1"/>
  <c r="V24" i="1"/>
  <c r="F24" i="2" s="1"/>
  <c r="W24" i="2" s="1"/>
  <c r="V25" i="1"/>
  <c r="F25" i="2" s="1"/>
  <c r="W25" i="2" s="1"/>
  <c r="V18" i="1"/>
  <c r="F18" i="2" s="1"/>
  <c r="W18" i="2" s="1"/>
  <c r="V19" i="1"/>
  <c r="F19" i="2" s="1"/>
  <c r="W19" i="2" s="1"/>
  <c r="V11" i="1"/>
  <c r="F11" i="2" s="1"/>
  <c r="W11" i="2" s="1"/>
  <c r="V12" i="1"/>
  <c r="F12" i="2" s="1"/>
  <c r="W12" i="2" s="1"/>
  <c r="V13" i="1"/>
  <c r="F13" i="2" s="1"/>
  <c r="W13" i="2" s="1"/>
  <c r="V14" i="1"/>
  <c r="F14" i="2" s="1"/>
  <c r="W14" i="2" s="1"/>
  <c r="V15" i="1"/>
  <c r="F15" i="2" s="1"/>
  <c r="W15" i="2" s="1"/>
  <c r="V16" i="1"/>
  <c r="F16" i="2" s="1"/>
  <c r="W16" i="2" s="1"/>
  <c r="V17" i="1"/>
  <c r="F17" i="2" s="1"/>
  <c r="W17" i="2" s="1"/>
  <c r="W18" i="1" l="1"/>
  <c r="W26" i="1"/>
  <c r="W22" i="1"/>
  <c r="X22" i="1" s="1"/>
  <c r="W24" i="1"/>
  <c r="X24" i="1" s="1"/>
  <c r="W25" i="1"/>
  <c r="X25" i="1" s="1"/>
  <c r="W21" i="1"/>
  <c r="X21" i="1" s="1"/>
  <c r="W23" i="1"/>
  <c r="X23" i="1" s="1"/>
  <c r="W19" i="1"/>
  <c r="X19" i="1" s="1"/>
  <c r="W27" i="1"/>
  <c r="X27" i="1" s="1"/>
  <c r="W13" i="1"/>
  <c r="X13" i="1" s="1"/>
  <c r="W20" i="1"/>
  <c r="X20" i="1" s="1"/>
  <c r="W17" i="1"/>
  <c r="X17" i="1" s="1"/>
  <c r="W16" i="1"/>
  <c r="X16" i="1" s="1"/>
  <c r="W12" i="1"/>
  <c r="X12" i="1" s="1"/>
  <c r="W15" i="1"/>
  <c r="X15" i="1" s="1"/>
  <c r="W11" i="1"/>
  <c r="X11" i="1" s="1"/>
  <c r="W14" i="1"/>
  <c r="X14" i="1" s="1"/>
  <c r="Y26" i="2" l="1"/>
  <c r="Z26" i="2" s="1"/>
  <c r="X26" i="1"/>
  <c r="Y26" i="1" s="1"/>
  <c r="Y18" i="2"/>
  <c r="Z18" i="2" s="1"/>
  <c r="X18" i="1"/>
  <c r="Y18" i="1" s="1"/>
  <c r="AE28" i="2"/>
  <c r="AA28" i="2" s="1"/>
  <c r="Y15" i="1"/>
  <c r="Y15" i="2"/>
  <c r="Z15" i="2" s="1"/>
  <c r="Y20" i="1"/>
  <c r="Y20" i="2"/>
  <c r="Z20" i="2" s="1"/>
  <c r="Y19" i="1"/>
  <c r="Y19" i="2"/>
  <c r="Z19" i="2" s="1"/>
  <c r="Y24" i="1"/>
  <c r="Y24" i="2"/>
  <c r="Z24" i="2" s="1"/>
  <c r="Y11" i="1"/>
  <c r="Y11" i="2"/>
  <c r="Z11" i="2" s="1"/>
  <c r="Y17" i="1"/>
  <c r="Y17" i="2"/>
  <c r="Z17" i="2" s="1"/>
  <c r="Y25" i="1"/>
  <c r="Y25" i="2"/>
  <c r="Z25" i="2" s="1"/>
  <c r="Y12" i="1"/>
  <c r="Y12" i="2"/>
  <c r="Z12" i="2" s="1"/>
  <c r="Y23" i="1"/>
  <c r="Y23" i="2"/>
  <c r="Z23" i="2" s="1"/>
  <c r="Y27" i="1"/>
  <c r="Y27" i="2"/>
  <c r="Z27" i="2" s="1"/>
  <c r="Y14" i="1"/>
  <c r="Y14" i="2"/>
  <c r="Z14" i="2" s="1"/>
  <c r="Y16" i="1"/>
  <c r="Y16" i="2"/>
  <c r="Z16" i="2" s="1"/>
  <c r="Y13" i="1"/>
  <c r="Y13" i="2"/>
  <c r="Z13" i="2" s="1"/>
  <c r="Y21" i="1"/>
  <c r="Y21" i="2"/>
  <c r="Z21" i="2" s="1"/>
  <c r="Y22" i="1"/>
  <c r="Y22" i="2"/>
  <c r="Z22" i="2" s="1"/>
  <c r="AE18" i="2" l="1"/>
  <c r="AA18" i="2" s="1"/>
  <c r="AE26" i="2"/>
  <c r="AA26" i="2" s="1"/>
  <c r="AE15" i="2"/>
  <c r="V8" i="1"/>
  <c r="F8" i="2" s="1"/>
  <c r="W8" i="2" s="1"/>
  <c r="V5" i="1"/>
  <c r="F5" i="2" s="1"/>
  <c r="W5" i="2" s="1"/>
  <c r="V6" i="1"/>
  <c r="F6" i="2" s="1"/>
  <c r="W6" i="2" s="1"/>
  <c r="V7" i="1"/>
  <c r="F7" i="2" s="1"/>
  <c r="W7" i="2" s="1"/>
  <c r="V9" i="1"/>
  <c r="F9" i="2" s="1"/>
  <c r="W9" i="2" s="1"/>
  <c r="V10" i="1"/>
  <c r="F10" i="2" s="1"/>
  <c r="W10" i="2" s="1"/>
  <c r="AE12" i="2" l="1"/>
  <c r="AA12" i="2" s="1"/>
  <c r="AE20" i="2"/>
  <c r="AA20" i="2" s="1"/>
  <c r="AE13" i="2"/>
  <c r="AA13" i="2" s="1"/>
  <c r="AE11" i="2"/>
  <c r="AA11" i="2" s="1"/>
  <c r="AE19" i="2"/>
  <c r="AA19" i="2" s="1"/>
  <c r="AE24" i="2"/>
  <c r="AA24" i="2" s="1"/>
  <c r="AE27" i="2"/>
  <c r="AA27" i="2" s="1"/>
  <c r="AE23" i="2"/>
  <c r="AA23" i="2" s="1"/>
  <c r="AE25" i="2"/>
  <c r="AA25" i="2" s="1"/>
  <c r="AE21" i="2"/>
  <c r="AA21" i="2" s="1"/>
  <c r="AA15" i="2"/>
  <c r="AE17" i="2"/>
  <c r="AA17" i="2" s="1"/>
  <c r="AE16" i="2"/>
  <c r="AA16" i="2" s="1"/>
  <c r="AE22" i="2"/>
  <c r="AA22" i="2" s="1"/>
  <c r="AE14" i="2"/>
  <c r="AA14" i="2" s="1"/>
  <c r="W7" i="1"/>
  <c r="W4" i="1"/>
  <c r="X4" i="1" s="1"/>
  <c r="W9" i="1"/>
  <c r="X9" i="1" s="1"/>
  <c r="W5" i="1"/>
  <c r="X5" i="1" s="1"/>
  <c r="W6" i="1"/>
  <c r="X6" i="1" s="1"/>
  <c r="W8" i="1"/>
  <c r="W10" i="1"/>
  <c r="X10" i="1" s="1"/>
  <c r="Y7" i="2" l="1"/>
  <c r="Z7" i="2" s="1"/>
  <c r="X7" i="1"/>
  <c r="Y7" i="1" s="1"/>
  <c r="Y8" i="2"/>
  <c r="Z8" i="2" s="1"/>
  <c r="X8" i="1"/>
  <c r="Y8" i="1" s="1"/>
  <c r="Y4" i="2"/>
  <c r="Z4" i="2" s="1"/>
  <c r="Y4" i="1"/>
  <c r="Y5" i="1"/>
  <c r="Y5" i="2"/>
  <c r="Z5" i="2" s="1"/>
  <c r="Y10" i="1"/>
  <c r="Y10" i="2"/>
  <c r="Z10" i="2" s="1"/>
  <c r="Y9" i="1"/>
  <c r="Y9" i="2"/>
  <c r="Z9" i="2" s="1"/>
  <c r="Y6" i="1"/>
  <c r="Y6" i="2"/>
  <c r="Z6" i="2" s="1"/>
  <c r="AE4" i="2" l="1"/>
  <c r="AA4" i="2" s="1"/>
  <c r="AE8" i="2"/>
  <c r="AA8" i="2" s="1"/>
  <c r="AE7" i="2"/>
  <c r="AA7" i="2" s="1"/>
  <c r="AE5" i="2"/>
  <c r="AA5" i="2" s="1"/>
  <c r="AE6" i="2" l="1"/>
  <c r="AA6" i="2" s="1"/>
  <c r="AE9" i="2"/>
  <c r="AA9" i="2" s="1"/>
  <c r="AE10" i="2"/>
  <c r="AA10" i="2" s="1"/>
</calcChain>
</file>

<file path=xl/sharedStrings.xml><?xml version="1.0" encoding="utf-8"?>
<sst xmlns="http://schemas.openxmlformats.org/spreadsheetml/2006/main" count="2671" uniqueCount="178">
  <si>
    <t>Informasi / Keterangan</t>
  </si>
  <si>
    <t>NS (Mid.S)</t>
  </si>
  <si>
    <t>Nilai Sikap Mid Semester</t>
  </si>
  <si>
    <t>NS (S)</t>
  </si>
  <si>
    <t>Nilai Sikap Semester</t>
  </si>
  <si>
    <t>Nag (Mid.S)</t>
  </si>
  <si>
    <t>Nilai Agama Mid Semester</t>
  </si>
  <si>
    <t>Nag (S)</t>
  </si>
  <si>
    <t>Nilai Agama Semester</t>
  </si>
  <si>
    <t>NP (Mid.S)</t>
  </si>
  <si>
    <t>Nilai Pengetahuan Mid Semester</t>
  </si>
  <si>
    <t>NP (S)</t>
  </si>
  <si>
    <t>Nilai Pengetahuan Semester</t>
  </si>
  <si>
    <t>NK (Mid.S)</t>
  </si>
  <si>
    <t>Nilai Keterampilan Mid Semester</t>
  </si>
  <si>
    <t>NK (S)</t>
  </si>
  <si>
    <t>Nilai Keterampilan Semester</t>
  </si>
  <si>
    <t>Perhatian</t>
  </si>
  <si>
    <t>Untuk Nilai Sikap dan Nilai Agama untuk tidak dilakukannya pengisian nilai dengan cara Copy - Paste. Lakukanlah penilaian dengan memilih</t>
  </si>
  <si>
    <t>Minggu 1</t>
  </si>
  <si>
    <t>Minggu 2</t>
  </si>
  <si>
    <t>Minggu 3</t>
  </si>
  <si>
    <t>Minggu 4</t>
  </si>
  <si>
    <t>Minggu 5</t>
  </si>
  <si>
    <t>Minggu 6</t>
  </si>
  <si>
    <t>Minggu 7</t>
  </si>
  <si>
    <t>Minggu 8</t>
  </si>
  <si>
    <t>Minggu 9</t>
  </si>
  <si>
    <t>Cambridge Report</t>
  </si>
  <si>
    <t>Level of Effort Cambridge</t>
  </si>
  <si>
    <t>Cambridge Score Converstion Result</t>
  </si>
  <si>
    <t>No</t>
  </si>
  <si>
    <t>Nama Siswa</t>
  </si>
  <si>
    <t>Nomor Induk</t>
  </si>
  <si>
    <t>NISN</t>
  </si>
  <si>
    <t>Jurusan</t>
  </si>
  <si>
    <t>Nsi.TS</t>
  </si>
  <si>
    <t>KU.1</t>
  </si>
  <si>
    <t>TJ.1</t>
  </si>
  <si>
    <t>Ker.1</t>
  </si>
  <si>
    <t>Ped.1</t>
  </si>
  <si>
    <t>Pro-A.1</t>
  </si>
  <si>
    <t>KU.2</t>
  </si>
  <si>
    <t>TJ.2</t>
  </si>
  <si>
    <t>Ker.2</t>
  </si>
  <si>
    <t>Ped.2</t>
  </si>
  <si>
    <t>Pro-A.2</t>
  </si>
  <si>
    <t>KU.3</t>
  </si>
  <si>
    <t>TJ.3</t>
  </si>
  <si>
    <t>Ker.3</t>
  </si>
  <si>
    <t>Ped.3</t>
  </si>
  <si>
    <t>Pro-A.3</t>
  </si>
  <si>
    <t>KU.4</t>
  </si>
  <si>
    <t>TJ.4</t>
  </si>
  <si>
    <t>Ker.4</t>
  </si>
  <si>
    <t>Ped.4</t>
  </si>
  <si>
    <t>Pro-A.4</t>
  </si>
  <si>
    <t>KU.5</t>
  </si>
  <si>
    <t>TJ.5</t>
  </si>
  <si>
    <t>Ker.5</t>
  </si>
  <si>
    <t>Ped.5</t>
  </si>
  <si>
    <t>Pro-A.5</t>
  </si>
  <si>
    <t>KU.6</t>
  </si>
  <si>
    <t>TJ.6</t>
  </si>
  <si>
    <t>Ker.6</t>
  </si>
  <si>
    <t>Ped.6</t>
  </si>
  <si>
    <t>Pro-A.6</t>
  </si>
  <si>
    <t>KU.7</t>
  </si>
  <si>
    <t>TJ.7</t>
  </si>
  <si>
    <t>Ker.7</t>
  </si>
  <si>
    <t>Ped.7</t>
  </si>
  <si>
    <t>Pro-A.7</t>
  </si>
  <si>
    <t>KU.8</t>
  </si>
  <si>
    <t>TJ.8</t>
  </si>
  <si>
    <t>Ker.8</t>
  </si>
  <si>
    <t>Ped.8</t>
  </si>
  <si>
    <t>Pro-A.8</t>
  </si>
  <si>
    <t>KU.9</t>
  </si>
  <si>
    <t>TJ.9</t>
  </si>
  <si>
    <t>Ker.9</t>
  </si>
  <si>
    <t>Ped.9</t>
  </si>
  <si>
    <t>Pro-A.9</t>
  </si>
  <si>
    <t>Week 1</t>
  </si>
  <si>
    <t>Week 2</t>
  </si>
  <si>
    <t>Week 3</t>
  </si>
  <si>
    <t>Week 4</t>
  </si>
  <si>
    <t>Week 5</t>
  </si>
  <si>
    <t>Week 6</t>
  </si>
  <si>
    <t>Week 7</t>
  </si>
  <si>
    <t>Week 8</t>
  </si>
  <si>
    <t>Week 9</t>
  </si>
  <si>
    <t>LE.1</t>
  </si>
  <si>
    <t>LE.2</t>
  </si>
  <si>
    <t>LE.3</t>
  </si>
  <si>
    <t>LE.4</t>
  </si>
  <si>
    <t>LE.5</t>
  </si>
  <si>
    <t>LE.6</t>
  </si>
  <si>
    <t>LE.7</t>
  </si>
  <si>
    <t>LE.8</t>
  </si>
  <si>
    <t>LE.9</t>
  </si>
  <si>
    <t>KU Average</t>
  </si>
  <si>
    <t>TKPP Average</t>
  </si>
  <si>
    <t>-</t>
  </si>
  <si>
    <t>Nilai Ujian Tengah Semester</t>
  </si>
  <si>
    <t>Nilai Pengetahuan</t>
  </si>
  <si>
    <t>Nilai Raport Nasional &amp; Cambridge</t>
  </si>
  <si>
    <t>NP 1</t>
  </si>
  <si>
    <t>NP 2</t>
  </si>
  <si>
    <t>NP 3</t>
  </si>
  <si>
    <t>NP 4</t>
  </si>
  <si>
    <t>NP 5</t>
  </si>
  <si>
    <t>NP 6</t>
  </si>
  <si>
    <t>NP 7</t>
  </si>
  <si>
    <t>NP 8</t>
  </si>
  <si>
    <t>NP 9</t>
  </si>
  <si>
    <t>NP 10</t>
  </si>
  <si>
    <t>Paper 1</t>
  </si>
  <si>
    <t>Paper 2</t>
  </si>
  <si>
    <t>Paper 3</t>
  </si>
  <si>
    <t>Nilai P1</t>
  </si>
  <si>
    <t>Nilai P2</t>
  </si>
  <si>
    <t>Nilai P3</t>
  </si>
  <si>
    <t>Rata2 NP</t>
  </si>
  <si>
    <t>NTS</t>
  </si>
  <si>
    <t>NRap.TS</t>
  </si>
  <si>
    <t>Predikat</t>
  </si>
  <si>
    <t>Nilai Keterampilan</t>
  </si>
  <si>
    <t>NK 1</t>
  </si>
  <si>
    <t>NK 2</t>
  </si>
  <si>
    <t>NK 3</t>
  </si>
  <si>
    <t>NK 4</t>
  </si>
  <si>
    <t>NK 5</t>
  </si>
  <si>
    <t>NK 6</t>
  </si>
  <si>
    <t>NK 7</t>
  </si>
  <si>
    <t>NK 8</t>
  </si>
  <si>
    <t>NK 9</t>
  </si>
  <si>
    <t>NK 10</t>
  </si>
  <si>
    <t>Rata2 NK</t>
  </si>
  <si>
    <t>Deskripsi Nilai Sikap</t>
  </si>
  <si>
    <t>NS.iS</t>
  </si>
  <si>
    <t>NSi.SR</t>
  </si>
  <si>
    <t>Deskripsi</t>
  </si>
  <si>
    <t>Nilai Semester</t>
  </si>
  <si>
    <t>Rata2 NP Mid.S</t>
  </si>
  <si>
    <t>Rata2 NP2</t>
  </si>
  <si>
    <t>NS</t>
  </si>
  <si>
    <t>NRap.S</t>
  </si>
  <si>
    <t>Deskripsi Nilai</t>
  </si>
  <si>
    <t>Kompetensi Dasar</t>
  </si>
  <si>
    <t>Skala Predikat</t>
  </si>
  <si>
    <t>Nilai Konversi Predikat</t>
  </si>
  <si>
    <t xml:space="preserve">sangat baik </t>
  </si>
  <si>
    <t xml:space="preserve">baik </t>
  </si>
  <si>
    <t xml:space="preserve">cukup baik </t>
  </si>
  <si>
    <t xml:space="preserve">namun masih memerlukan bimbingan </t>
  </si>
  <si>
    <t>Rata2 Mid.NK</t>
  </si>
  <si>
    <t>Wangi Aminah</t>
  </si>
  <si>
    <t>Anwar Setiawan</t>
  </si>
  <si>
    <t>Harun Budi</t>
  </si>
  <si>
    <t>Bima Citra</t>
  </si>
  <si>
    <t>Lutfi Dian</t>
  </si>
  <si>
    <t>Aditya Krisna</t>
  </si>
  <si>
    <t>Tirto Mohamad</t>
  </si>
  <si>
    <t>Harun Amir</t>
  </si>
  <si>
    <t>Wangi Daud</t>
  </si>
  <si>
    <t>Hadijah Tirta</t>
  </si>
  <si>
    <t>IPA</t>
  </si>
  <si>
    <t>IPS</t>
  </si>
  <si>
    <t>1/HBICSHIGH/20</t>
  </si>
  <si>
    <t>2/HBICSHIGH/20</t>
  </si>
  <si>
    <t>3/HBICSHIGH/20</t>
  </si>
  <si>
    <t>4/HBICSHIGH/20</t>
  </si>
  <si>
    <t>5/HBICSHIGH/20</t>
  </si>
  <si>
    <t>6/HBICSHIGH/20</t>
  </si>
  <si>
    <t>7/HBICSHIGH/20</t>
  </si>
  <si>
    <t>8/HBICSHIGH/20</t>
  </si>
  <si>
    <t>9/HBICSHIGH/20</t>
  </si>
  <si>
    <t>10/HBICSHIGH/20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</si>
</sst>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8"/>
      <name val="Calibri"/>
      <family val="2"/>
      <scheme val="minor"/>
    </font>
    <font>
      <b/>
      <i/>
      <sz val="11"/>
      <name val="Calibri"/>
      <family val="2"/>
      <scheme val="minor"/>
    </font>
    <font>
      <b/>
      <sz val="11"/>
      <name val="Calibri"/>
      <family val="2"/>
      <scheme val="minor"/>
    </font>
    <font>
      <sz val="11"/>
      <name val="Calibri"/>
      <family val="2"/>
      <scheme val="minor"/>
    </font>
    <font>
      <b/>
      <sz val="18"/>
      <color rgb="FFFF0000"/>
      <name val="Calibri"/>
      <family val="2"/>
      <scheme val="minor"/>
    </font>
    <font>
      <b/>
      <u/>
      <sz val="22"/>
      <color rgb="FFFF0000"/>
      <name val="Calibri"/>
      <family val="2"/>
      <scheme val="minor"/>
    </font>
    <font>
      <b/>
      <i/>
      <sz val="18"/>
      <color rgb="FFFF0000"/>
      <name val="Calibri"/>
      <family val="2"/>
      <scheme val="minor"/>
    </font>
    <font>
      <sz val="12"/>
      <color theme="1"/>
      <name val="Calibri"/>
      <family val="2"/>
      <scheme val="minor"/>
    </font>
    <font>
      <sz val="11"/>
      <color theme="1"/>
      <name val="Calibri"/>
      <family val="2"/>
    </font>
  </fonts>
  <fills count="23">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9"/>
        <bgColor indexed="64"/>
      </patternFill>
    </fill>
    <fill>
      <patternFill patternType="solid">
        <fgColor theme="7"/>
        <bgColor indexed="64"/>
      </patternFill>
    </fill>
    <fill>
      <patternFill patternType="solid">
        <fgColor theme="7" tint="0.79998168889431442"/>
        <bgColor indexed="64"/>
      </patternFill>
    </fill>
    <fill>
      <patternFill patternType="solid">
        <fgColor theme="5"/>
        <bgColor indexed="64"/>
      </patternFill>
    </fill>
    <fill>
      <patternFill patternType="solid">
        <fgColor theme="5" tint="0.79998168889431442"/>
        <bgColor indexed="64"/>
      </patternFill>
    </fill>
    <fill>
      <patternFill patternType="solid">
        <fgColor theme="3"/>
        <bgColor indexed="64"/>
      </patternFill>
    </fill>
    <fill>
      <patternFill patternType="solid">
        <fgColor theme="3" tint="0.79998168889431442"/>
        <bgColor indexed="64"/>
      </patternFill>
    </fill>
    <fill>
      <patternFill patternType="solid">
        <fgColor theme="9" tint="-0.499984740745262"/>
        <bgColor indexed="64"/>
      </patternFill>
    </fill>
    <fill>
      <patternFill patternType="solid">
        <fgColor theme="9" tint="0.59999389629810485"/>
        <bgColor indexed="64"/>
      </patternFill>
    </fill>
    <fill>
      <patternFill patternType="solid">
        <fgColor theme="3" tint="0.79998168889431442"/>
        <bgColor rgb="FF000000"/>
      </patternFill>
    </fill>
    <fill>
      <patternFill patternType="solid">
        <fgColor theme="8"/>
        <bgColor indexed="64"/>
      </patternFill>
    </fill>
    <fill>
      <patternFill patternType="solid">
        <fgColor theme="8"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6" tint="0.79998168889431442"/>
        <bgColor indexed="64"/>
      </patternFill>
    </fill>
    <fill>
      <patternFill patternType="solid">
        <fgColor theme="7" tint="0.59999389629810485"/>
        <bgColor indexed="64"/>
      </patternFill>
    </fill>
    <fill>
      <patternFill patternType="solid">
        <fgColor rgb="FFFFFFFF"/>
      </patternFill>
    </fill>
  </fills>
  <borders count="2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theme="4" tint="0.39997558519241921"/>
      </bottom>
      <diagonal/>
    </border>
    <border>
      <left style="thin">
        <color indexed="64"/>
      </left>
      <right style="thin">
        <color indexed="64"/>
      </right>
      <top style="thin">
        <color indexed="64"/>
      </top>
      <bottom style="thin">
        <color theme="4" tint="0.3999755851924192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0" fontId="12" fillId="0" borderId="0"/>
  </cellStyleXfs>
  <cellXfs count="107">
    <xf numFmtId="0" fontId="0" fillId="0" borderId="0" xfId="0"/>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0" borderId="0" xfId="0" applyAlignment="1">
      <alignment horizontal="center" vertical="center"/>
    </xf>
    <xf numFmtId="0" fontId="4" fillId="4" borderId="3" xfId="0" applyFont="1" applyFill="1" applyBorder="1" applyAlignment="1">
      <alignment horizontal="center" vertical="center"/>
    </xf>
    <xf numFmtId="0" fontId="4" fillId="7" borderId="3" xfId="0" applyFont="1" applyFill="1" applyBorder="1" applyAlignment="1">
      <alignment horizontal="center" vertical="center"/>
    </xf>
    <xf numFmtId="0" fontId="4" fillId="5" borderId="3" xfId="0" applyFont="1" applyFill="1" applyBorder="1" applyAlignment="1">
      <alignment horizontal="center" vertical="center"/>
    </xf>
    <xf numFmtId="0" fontId="4" fillId="9" borderId="4" xfId="0" applyFont="1" applyFill="1" applyBorder="1" applyAlignment="1">
      <alignment horizontal="center" vertical="center"/>
    </xf>
    <xf numFmtId="0" fontId="0" fillId="3" borderId="1" xfId="0" applyFill="1" applyBorder="1" applyAlignment="1">
      <alignment horizontal="center" vertical="center"/>
    </xf>
    <xf numFmtId="0" fontId="0" fillId="8" borderId="1" xfId="0" applyFill="1" applyBorder="1" applyAlignment="1">
      <alignment horizontal="center" vertical="center"/>
    </xf>
    <xf numFmtId="0" fontId="0" fillId="2" borderId="5" xfId="0" applyFill="1" applyBorder="1" applyAlignment="1">
      <alignment horizontal="center" vertical="center"/>
    </xf>
    <xf numFmtId="0" fontId="0" fillId="10" borderId="6" xfId="0" applyFill="1" applyBorder="1" applyAlignment="1">
      <alignment horizontal="center" vertical="center"/>
    </xf>
    <xf numFmtId="0" fontId="2" fillId="7" borderId="3" xfId="0" applyFont="1" applyFill="1" applyBorder="1" applyAlignment="1">
      <alignment horizontal="center" vertical="center"/>
    </xf>
    <xf numFmtId="0" fontId="4" fillId="9" borderId="3" xfId="0" applyFont="1" applyFill="1" applyBorder="1" applyAlignment="1">
      <alignment horizontal="center" vertical="center"/>
    </xf>
    <xf numFmtId="0" fontId="0" fillId="10" borderId="1" xfId="0" applyFill="1" applyBorder="1" applyAlignment="1">
      <alignment horizontal="center" vertical="center"/>
    </xf>
    <xf numFmtId="0" fontId="0" fillId="3" borderId="1" xfId="0"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9" fontId="6" fillId="7" borderId="1" xfId="1" applyFont="1" applyFill="1" applyBorder="1" applyAlignment="1" applyProtection="1">
      <alignment horizontal="center" vertical="center"/>
      <protection locked="0"/>
    </xf>
    <xf numFmtId="0" fontId="4" fillId="11" borderId="3" xfId="0" applyFont="1" applyFill="1" applyBorder="1" applyAlignment="1">
      <alignment horizontal="center" vertical="center"/>
    </xf>
    <xf numFmtId="0" fontId="0" fillId="12" borderId="1" xfId="0" applyFill="1" applyBorder="1" applyAlignment="1">
      <alignment horizontal="center" vertical="center"/>
    </xf>
    <xf numFmtId="0" fontId="4" fillId="9" borderId="10" xfId="0" applyFont="1" applyFill="1" applyBorder="1" applyAlignment="1">
      <alignment horizontal="center" vertical="center"/>
    </xf>
    <xf numFmtId="0" fontId="0" fillId="13" borderId="6" xfId="0" applyFill="1" applyBorder="1" applyAlignment="1">
      <alignment horizontal="left" vertical="center" wrapText="1"/>
    </xf>
    <xf numFmtId="0" fontId="0" fillId="0" borderId="0" xfId="0" applyAlignment="1">
      <alignment vertical="center"/>
    </xf>
    <xf numFmtId="0" fontId="0" fillId="0" borderId="11" xfId="0" applyBorder="1" applyAlignment="1">
      <alignment horizontal="center" vertical="center"/>
    </xf>
    <xf numFmtId="0" fontId="0" fillId="0" borderId="9" xfId="0"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2" fillId="4" borderId="3"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4" xfId="0" applyFont="1" applyFill="1" applyBorder="1" applyAlignment="1">
      <alignment horizontal="center" vertical="center"/>
    </xf>
    <xf numFmtId="0" fontId="3" fillId="0" borderId="0" xfId="0" applyFont="1" applyAlignment="1">
      <alignment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xf>
    <xf numFmtId="0" fontId="0" fillId="2" borderId="9" xfId="0" applyFill="1" applyBorder="1" applyAlignment="1">
      <alignment horizontal="center" vertical="center"/>
    </xf>
    <xf numFmtId="0" fontId="8" fillId="15" borderId="11" xfId="0" applyFont="1" applyFill="1" applyBorder="1" applyAlignment="1">
      <alignment horizontal="center" vertical="center"/>
    </xf>
    <xf numFmtId="0" fontId="2" fillId="14" borderId="3" xfId="0" applyFont="1" applyFill="1" applyBorder="1" applyAlignment="1">
      <alignment horizontal="center" vertical="center"/>
    </xf>
    <xf numFmtId="0" fontId="8" fillId="3" borderId="11" xfId="0" applyFont="1" applyFill="1" applyBorder="1" applyAlignment="1" applyProtection="1">
      <alignment horizontal="center" vertical="center"/>
      <protection locked="0"/>
    </xf>
    <xf numFmtId="0" fontId="4" fillId="16" borderId="3" xfId="0" applyFont="1" applyFill="1" applyBorder="1" applyAlignment="1">
      <alignment horizontal="center" vertical="center"/>
    </xf>
    <xf numFmtId="0" fontId="0" fillId="17" borderId="1" xfId="0" applyFill="1" applyBorder="1" applyAlignment="1">
      <alignment horizontal="center" vertical="center"/>
    </xf>
    <xf numFmtId="0" fontId="8" fillId="15" borderId="1" xfId="0" applyFont="1" applyFill="1" applyBorder="1" applyAlignment="1">
      <alignment horizontal="center" vertical="center"/>
    </xf>
    <xf numFmtId="0" fontId="8" fillId="6" borderId="1" xfId="0" applyFont="1" applyFill="1" applyBorder="1" applyAlignment="1" applyProtection="1">
      <alignment horizontal="center" vertical="center"/>
      <protection locked="0"/>
    </xf>
    <xf numFmtId="0" fontId="0" fillId="2" borderId="1" xfId="0" applyFill="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2" borderId="5" xfId="0" applyFill="1" applyBorder="1" applyAlignment="1">
      <alignment horizontal="left" vertical="center"/>
    </xf>
    <xf numFmtId="0" fontId="0" fillId="0" borderId="1" xfId="0" applyBorder="1" applyAlignment="1">
      <alignment vertical="center"/>
    </xf>
    <xf numFmtId="0" fontId="0" fillId="0" borderId="0" xfId="0" applyAlignment="1">
      <alignment vertical="top"/>
    </xf>
    <xf numFmtId="0" fontId="10" fillId="0" borderId="0" xfId="0" applyFont="1" applyAlignment="1">
      <alignment vertical="center"/>
    </xf>
    <xf numFmtId="0" fontId="9" fillId="0" borderId="0" xfId="0" applyFont="1" applyAlignment="1">
      <alignment vertical="top" wrapText="1"/>
    </xf>
    <xf numFmtId="0" fontId="0" fillId="0" borderId="0" xfId="0" applyAlignment="1">
      <alignment horizontal="left" vertical="center"/>
    </xf>
    <xf numFmtId="0" fontId="0" fillId="0" borderId="0" xfId="0" applyAlignment="1">
      <alignment vertical="center" wrapText="1"/>
    </xf>
    <xf numFmtId="0" fontId="2" fillId="9"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9" borderId="1" xfId="0" applyFont="1" applyFill="1" applyBorder="1" applyAlignment="1">
      <alignment horizontal="center" vertical="center"/>
    </xf>
    <xf numFmtId="0" fontId="0" fillId="8" borderId="1" xfId="0" applyFill="1" applyBorder="1" applyAlignment="1">
      <alignment horizontal="left" vertical="center"/>
    </xf>
    <xf numFmtId="0" fontId="0" fillId="20" borderId="1" xfId="0" applyFill="1" applyBorder="1" applyAlignment="1">
      <alignment horizontal="center" vertical="center"/>
    </xf>
    <xf numFmtId="0" fontId="0" fillId="13" borderId="0" xfId="0" applyFill="1" applyAlignment="1">
      <alignment horizontal="left" vertical="center" wrapText="1"/>
    </xf>
    <xf numFmtId="0" fontId="3" fillId="0" borderId="8" xfId="0" applyFont="1" applyBorder="1" applyAlignment="1">
      <alignment vertical="center"/>
    </xf>
    <xf numFmtId="0" fontId="8" fillId="2" borderId="7" xfId="0" applyFont="1" applyFill="1" applyBorder="1" applyAlignment="1">
      <alignment horizontal="center" vertical="center" wrapText="1"/>
    </xf>
    <xf numFmtId="0" fontId="8" fillId="2" borderId="11" xfId="0" applyFont="1" applyFill="1" applyBorder="1" applyAlignment="1">
      <alignment horizontal="left" vertical="center" wrapText="1"/>
    </xf>
    <xf numFmtId="0" fontId="8" fillId="2" borderId="11" xfId="0" applyFont="1" applyFill="1" applyBorder="1" applyAlignment="1">
      <alignment horizontal="center" vertical="center" wrapText="1"/>
    </xf>
    <xf numFmtId="0" fontId="8" fillId="2" borderId="5" xfId="0"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1" xfId="0" applyFont="1"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left" vertical="center" wrapText="1"/>
    </xf>
    <xf numFmtId="0" fontId="3" fillId="21" borderId="1" xfId="0" applyFont="1" applyFill="1" applyBorder="1" applyAlignment="1">
      <alignment horizontal="center" vertical="center"/>
    </xf>
    <xf numFmtId="0" fontId="2" fillId="4" borderId="2" xfId="0" applyFont="1" applyFill="1" applyBorder="1" applyAlignment="1">
      <alignment horizontal="center" vertical="center"/>
    </xf>
    <xf numFmtId="0" fontId="8" fillId="3" borderId="16" xfId="0" applyFont="1" applyFill="1" applyBorder="1" applyAlignment="1">
      <alignment horizontal="center" vertical="center"/>
    </xf>
    <xf numFmtId="0" fontId="8" fillId="3" borderId="17" xfId="0" applyFont="1" applyFill="1" applyBorder="1" applyAlignment="1">
      <alignment horizontal="center" vertical="center"/>
    </xf>
    <xf numFmtId="0" fontId="8" fillId="3" borderId="7" xfId="0" applyFont="1" applyFill="1" applyBorder="1" applyAlignment="1">
      <alignment horizontal="center" vertical="center"/>
    </xf>
    <xf numFmtId="0" fontId="8" fillId="3" borderId="11" xfId="0" applyFont="1" applyFill="1" applyBorder="1" applyAlignment="1">
      <alignment horizontal="center" vertical="center"/>
    </xf>
    <xf numFmtId="0" fontId="0" fillId="0" borderId="14" xfId="0" applyBorder="1" applyAlignment="1" applyProtection="1">
      <alignment vertical="center" wrapText="1"/>
      <protection locked="0"/>
    </xf>
    <xf numFmtId="0" fontId="0" fillId="0" borderId="13" xfId="0" applyBorder="1" applyAlignment="1" applyProtection="1">
      <alignment vertical="center" wrapText="1"/>
      <protection locked="0"/>
    </xf>
    <xf numFmtId="0" fontId="3" fillId="0" borderId="0" xfId="0" applyFont="1" applyAlignment="1">
      <alignment horizontal="center" vertical="center"/>
    </xf>
    <xf numFmtId="0" fontId="0" fillId="2" borderId="10" xfId="0" applyFill="1" applyBorder="1" applyAlignment="1">
      <alignment horizontal="center" vertical="center"/>
    </xf>
    <xf numFmtId="0" fontId="7" fillId="2" borderId="10" xfId="0" applyFont="1" applyFill="1" applyBorder="1" applyAlignment="1">
      <alignment horizontal="center" vertical="center"/>
    </xf>
    <xf numFmtId="0" fontId="8" fillId="2" borderId="7" xfId="0" applyFont="1" applyFill="1" applyBorder="1" applyAlignment="1" applyProtection="1">
      <alignment horizontal="center" vertical="center" wrapText="1"/>
      <protection locked="0"/>
    </xf>
    <xf numFmtId="49" fontId="8" fillId="2" borderId="11" xfId="0" applyNumberFormat="1" applyFont="1" applyFill="1" applyBorder="1" applyAlignment="1" applyProtection="1">
      <alignment horizontal="left" vertical="center" wrapText="1"/>
      <protection locked="0"/>
    </xf>
    <xf numFmtId="49" fontId="8" fillId="2" borderId="11" xfId="0" applyNumberFormat="1" applyFont="1" applyFill="1" applyBorder="1" applyAlignment="1" applyProtection="1">
      <alignment horizontal="center" vertical="center" wrapText="1"/>
      <protection locked="0"/>
    </xf>
    <xf numFmtId="0" fontId="8" fillId="2" borderId="5" xfId="0" applyFont="1" applyFill="1" applyBorder="1" applyAlignment="1" applyProtection="1">
      <alignment horizontal="center" vertical="center" wrapText="1"/>
      <protection locked="0"/>
    </xf>
    <xf numFmtId="49" fontId="8" fillId="2" borderId="1" xfId="0" applyNumberFormat="1" applyFont="1" applyFill="1" applyBorder="1" applyAlignment="1" applyProtection="1">
      <alignment horizontal="left" vertical="center" wrapText="1"/>
      <protection locked="0"/>
    </xf>
    <xf numFmtId="49" fontId="8" fillId="2" borderId="1" xfId="0" applyNumberFormat="1" applyFont="1" applyFill="1" applyBorder="1" applyAlignment="1" applyProtection="1">
      <alignment horizontal="center" vertical="center" wrapText="1"/>
      <protection locked="0"/>
    </xf>
    <xf numFmtId="0" fontId="13" fillId="22" borderId="18" xfId="0" applyFont="1" applyFill="1" applyBorder="1" applyAlignment="1">
      <alignment horizontal="left" vertical="center" wrapText="1"/>
    </xf>
    <xf numFmtId="0" fontId="13" fillId="0" borderId="19" xfId="0" applyFont="1" applyBorder="1" applyAlignment="1">
      <alignment horizontal="center" vertical="center"/>
    </xf>
    <xf numFmtId="164" fontId="0" fillId="0" borderId="1" xfId="0" applyNumberFormat="1" applyBorder="1" applyAlignment="1">
      <alignment horizontal="center" vertical="center"/>
    </xf>
    <xf numFmtId="0" fontId="13" fillId="22" borderId="20" xfId="0" applyFont="1" applyFill="1" applyBorder="1" applyAlignment="1">
      <alignment horizontal="center" vertical="center" wrapText="1"/>
    </xf>
    <xf numFmtId="0" fontId="13" fillId="0" borderId="18" xfId="0" applyFont="1" applyBorder="1" applyAlignment="1">
      <alignment horizontal="left" vertical="center"/>
    </xf>
    <xf numFmtId="0" fontId="13" fillId="0" borderId="20" xfId="0" applyFont="1" applyBorder="1" applyAlignment="1">
      <alignment horizontal="center" vertical="center"/>
    </xf>
    <xf numFmtId="0" fontId="13" fillId="0" borderId="20" xfId="0" applyFont="1" applyBorder="1" applyAlignment="1">
      <alignment horizontal="center" vertical="center" wrapText="1"/>
    </xf>
    <xf numFmtId="0" fontId="11" fillId="0" borderId="0" xfId="0" applyFont="1" applyAlignment="1">
      <alignment horizontal="left" vertical="top" wrapText="1"/>
    </xf>
    <xf numFmtId="0" fontId="0" fillId="21" borderId="1" xfId="0" applyFill="1" applyBorder="1" applyAlignment="1" applyProtection="1">
      <alignment horizontal="left" vertical="center"/>
      <protection locked="0"/>
    </xf>
    <xf numFmtId="0" fontId="3" fillId="12" borderId="0" xfId="0" applyFont="1" applyFill="1" applyAlignment="1" applyProtection="1">
      <alignment horizontal="center" vertical="center"/>
      <protection locked="0"/>
    </xf>
    <xf numFmtId="0" fontId="3" fillId="12" borderId="15" xfId="0" applyFont="1" applyFill="1" applyBorder="1" applyAlignment="1" applyProtection="1">
      <alignment horizontal="center" vertical="center"/>
      <protection locked="0"/>
    </xf>
    <xf numFmtId="0" fontId="3" fillId="0" borderId="0" xfId="0" applyFont="1" applyAlignment="1">
      <alignment horizontal="center" vertical="center"/>
    </xf>
    <xf numFmtId="0" fontId="3" fillId="0" borderId="8" xfId="0" applyFont="1" applyBorder="1" applyAlignment="1">
      <alignment horizontal="center" vertical="center"/>
    </xf>
    <xf numFmtId="0" fontId="3" fillId="12" borderId="0" xfId="0" applyFont="1" applyFill="1" applyAlignment="1">
      <alignment horizontal="center" vertical="center"/>
    </xf>
    <xf numFmtId="0" fontId="3" fillId="12" borderId="15" xfId="0" applyFont="1" applyFill="1" applyBorder="1" applyAlignment="1">
      <alignment horizontal="center" vertical="center"/>
    </xf>
    <xf numFmtId="0" fontId="0" fillId="18" borderId="1" xfId="0" applyFill="1" applyBorder="1" applyAlignment="1" applyProtection="1">
      <alignment vertical="top" wrapText="1"/>
      <protection locked="0"/>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cellXfs>
  <cellStyles count="4">
    <cellStyle name="Normal" xfId="0" builtinId="0"/>
    <cellStyle name="Normal 2" xfId="2" xr:uid="{012388AA-DB3E-4FDC-B436-7D88B4BCC798}"/>
    <cellStyle name="Normal 3" xfId="3" xr:uid="{9254EA3A-16D6-478A-BBEE-8C70DED4A61E}"/>
    <cellStyle name="Percent" xfId="1" builtinId="5"/>
  </cellStyles>
  <dxfs count="405">
    <dxf>
      <numFmt numFmtId="0" formatCode="General"/>
      <fill>
        <patternFill patternType="solid">
          <fgColor rgb="FF000000"/>
          <bgColor theme="3" tint="0.79998168889431442"/>
        </patternFill>
      </fill>
      <alignment horizontal="left" vertical="center" textRotation="0" wrapText="1"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399975585192419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rgb="FF000000"/>
          <bgColor theme="3" tint="0.79998168889431442"/>
        </patternFill>
      </fill>
      <alignment horizontal="center" vertical="center" textRotation="0" wrapText="0" indent="0" justifyLastLine="0" shrinkToFit="0" readingOrder="0"/>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general" vertical="center" textRotation="0" wrapText="1" indent="0" justifyLastLine="0" shrinkToFit="0" readingOrder="0"/>
      <border diagonalUp="0" diagonalDown="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protection locked="0" hidden="0"/>
    </dxf>
    <dxf>
      <border>
        <bottom style="thin">
          <color indexed="64"/>
        </bottom>
      </border>
    </dxf>
    <dxf>
      <font>
        <b/>
      </font>
      <alignment horizontal="general"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auto="1"/>
        <name val="Calibri"/>
        <family val="2"/>
        <scheme val="none"/>
      </font>
      <fill>
        <patternFill patternType="solid">
          <fgColor rgb="FF000000"/>
          <bgColor rgb="FFFFF2CC"/>
        </patternFill>
      </fill>
      <alignment horizontal="center"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dxf>
    <dxf>
      <border>
        <bottom style="thin">
          <color rgb="FF000000"/>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11"/>
        <color auto="1"/>
        <name val="Calibri"/>
        <family val="2"/>
        <scheme val="none"/>
      </font>
      <alignment horizontal="center" vertical="center" textRotation="0" wrapText="0" indent="0" justifyLastLine="0" shrinkToFit="0" readingOrder="0"/>
    </dxf>
    <dxf>
      <border>
        <bottom style="thin">
          <color rgb="FF000000"/>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theme="0" tint="-4.9989318521683403E-2"/>
        </patternFill>
      </fill>
    </dxf>
    <dxf>
      <fill>
        <patternFill>
          <bgColor theme="0" tint="-4.9989318521683403E-2"/>
        </patternFill>
      </fill>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9" tint="0.5999938962981048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top style="thin">
          <color indexed="64"/>
        </top>
        <bottom style="thin">
          <color indexed="64"/>
        </bottom>
      </border>
      <protection locked="1"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patternType="solid">
          <fgColor rgb="FF000000"/>
          <bgColor rgb="FFFFFFFF"/>
        </patternFill>
      </fill>
      <alignment horizontal="center" vertical="center" textRotation="0" wrapText="0" indent="0" justifyLastLine="0" shrinkToFit="0" readingOrder="0"/>
      <protection locked="1" hidden="0"/>
    </dxf>
    <dxf>
      <border>
        <bottom style="thin">
          <color rgb="FF000000"/>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protection locked="1" hidden="0"/>
    </dxf>
    <dxf>
      <numFmt numFmtId="0" formatCode="General"/>
      <fill>
        <patternFill patternType="solid">
          <fgColor indexed="64"/>
          <bgColor theme="3"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numFmt numFmtId="0" formatCode="General"/>
      <fill>
        <patternFill patternType="solid">
          <fgColor indexed="64"/>
          <bgColor theme="5"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1" hidden="0"/>
    </dxf>
    <dxf>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protection locked="1" hidden="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ill>
        <patternFill>
          <bgColor theme="0" tint="-4.9989318521683403E-2"/>
        </patternFill>
      </fill>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theme="4" tint="0.39997558519241921"/>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theme="4" tint="0.39997558519241921"/>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7"/>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center"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fill>
        <patternFill patternType="solid">
          <fgColor indexed="64"/>
          <bgColor theme="0"/>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solid">
          <fgColor indexed="64"/>
          <bgColor theme="0"/>
        </patternFill>
      </fill>
      <alignment horizontal="center" vertical="center" textRotation="0" wrapText="0" indent="0" justifyLastLine="0" shrinkToFit="0" readingOrder="0"/>
    </dxf>
    <dxf>
      <border>
        <bottom style="thin">
          <color indexed="64"/>
        </bottom>
      </border>
    </dxf>
    <dxf>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strike val="0"/>
        <outline val="0"/>
        <shadow val="0"/>
        <u val="none"/>
        <vertAlign val="baseline"/>
        <sz val="11"/>
        <color auto="1"/>
        <name val="Calibri"/>
        <family val="2"/>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alignment horizontal="center"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auto="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006100"/>
      </font>
      <fill>
        <patternFill>
          <bgColor rgb="FFC6EFCE"/>
        </patternFill>
      </fill>
    </dxf>
    <dxf>
      <font>
        <color rgb="FF9C5700"/>
      </font>
      <fill>
        <patternFill>
          <bgColor rgb="FFFFEB9C"/>
        </patternFill>
      </fill>
    </dxf>
  </dxfs>
  <tableStyles count="0" defaultTableStyle="TableStyleMedium2" defaultPivotStyle="PivotStyleLight16"/>
  <colors>
    <mruColors>
      <color rgb="FF5B0D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20368D-1341-4651-A9DF-0D3A02EFDCE8}" name="NSi.TS" displayName="NSi.TS" ref="A2:AY27" totalsRowShown="0" headerRowDxfId="402" dataDxfId="400" headerRowBorderDxfId="401" tableBorderDxfId="399" totalsRowBorderDxfId="398">
  <autoFilter ref="A2:AY27" xr:uid="{1D8F9E49-C4C7-4B29-93E9-1FA37E6E028E}"/>
  <tableColumns count="51">
    <tableColumn id="1" xr3:uid="{78A7E1E5-79ED-4979-883E-F345E90E65F1}" name="No" dataDxfId="397"/>
    <tableColumn id="2" xr3:uid="{D9B66794-6C25-4D19-B24B-D2DD5AECE534}" name="Nama Siswa" dataDxfId="396"/>
    <tableColumn id="3" xr3:uid="{43575615-066E-49EC-AB74-23D1320A49A4}" name="Nomor Induk" dataDxfId="395"/>
    <tableColumn id="10" xr3:uid="{09098A0D-F3A4-45C4-BF5E-5787F4C44CC2}" name="NISN" dataDxfId="394"/>
    <tableColumn id="4" xr3:uid="{A3CFB980-E4A0-43CE-B694-4E7EFAB27763}" name="Jurusan" dataDxfId="393"/>
    <tableColumn id="60" xr3:uid="{C220267E-67EF-4698-86BD-42B4C5973B64}" name="Nsi.TS" dataDxfId="392">
      <calculatedColumnFormula>IFERROR(ROUND(AVERAGE(CSCR[#This Row]),0),"")</calculatedColumnFormula>
    </tableColumn>
    <tableColumn id="5" xr3:uid="{DD72CAFB-3185-45E3-9BD4-E3D1E25DDE96}" name="KU.1" dataDxfId="391"/>
    <tableColumn id="6" xr3:uid="{761FD9B8-7D4B-4BAD-AD6D-19BB5C3B4BFF}" name="TJ.1" dataDxfId="390"/>
    <tableColumn id="7" xr3:uid="{67324E88-3711-48F6-844E-7D35AF095FA8}" name="Ker.1" dataDxfId="389"/>
    <tableColumn id="8" xr3:uid="{22A51FA2-BD6D-4592-86C8-9E09594C7148}" name="Ped.1" dataDxfId="388"/>
    <tableColumn id="9" xr3:uid="{FA43C0AD-B7ED-4FAE-BFD1-925FBABB340E}" name="Pro-A.1" dataDxfId="387"/>
    <tableColumn id="20" xr3:uid="{D31ABBD9-A642-4D50-B643-60DD6121E942}" name="KU.2" dataDxfId="386"/>
    <tableColumn id="21" xr3:uid="{FBD248AF-0D4C-44D4-8854-C6F90D76B090}" name="TJ.2" dataDxfId="385"/>
    <tableColumn id="22" xr3:uid="{27FCFE0E-8189-4577-8779-E9B588F28528}" name="Ker.2" dataDxfId="384"/>
    <tableColumn id="23" xr3:uid="{CCA0DB0D-CF3C-4354-A1C6-476E4B89889D}" name="Ped.2" dataDxfId="383"/>
    <tableColumn id="24" xr3:uid="{C6F7C292-053E-460E-8FAB-18DC41B5AD5B}" name="Pro-A.2" dataDxfId="382"/>
    <tableColumn id="25" xr3:uid="{17A1B911-1777-4FDC-89FD-409F0C2DE4E9}" name="KU.3" dataDxfId="381"/>
    <tableColumn id="26" xr3:uid="{8E7EF905-3643-456B-9F6A-2615A6EA006F}" name="TJ.3" dataDxfId="380"/>
    <tableColumn id="27" xr3:uid="{057C2E27-396B-47F1-AAF2-F0AA9505733A}" name="Ker.3" dataDxfId="379"/>
    <tableColumn id="28" xr3:uid="{184A3A1F-FA25-4EB9-82A2-1C59F7AC349D}" name="Ped.3" dataDxfId="378"/>
    <tableColumn id="29" xr3:uid="{12652E5A-0720-498D-9D41-F2389D5C49E7}" name="Pro-A.3" dataDxfId="377"/>
    <tableColumn id="30" xr3:uid="{6C82E4A0-4C64-431D-B349-0841FB8794D4}" name="KU.4" dataDxfId="376"/>
    <tableColumn id="31" xr3:uid="{6A937D98-B571-47EF-A739-E1B0E73B7D33}" name="TJ.4" dataDxfId="375"/>
    <tableColumn id="32" xr3:uid="{333714F2-453E-4A30-BB1F-88435BBBC079}" name="Ker.4" dataDxfId="374"/>
    <tableColumn id="33" xr3:uid="{CFE563FC-708A-443E-A2FE-29045EA9B640}" name="Ped.4" dataDxfId="373"/>
    <tableColumn id="34" xr3:uid="{08123448-0889-46F0-88D4-59999A55FF0E}" name="Pro-A.4" dataDxfId="372"/>
    <tableColumn id="35" xr3:uid="{ACE634DA-1E21-446A-B23B-E537C40DE121}" name="KU.5" dataDxfId="371"/>
    <tableColumn id="36" xr3:uid="{E576BA24-930F-4EA6-99DA-7D01D7E5E80A}" name="TJ.5" dataDxfId="370"/>
    <tableColumn id="37" xr3:uid="{27C7F4FC-46A3-4F14-BF1F-2EB47AA118A9}" name="Ker.5" dataDxfId="369"/>
    <tableColumn id="38" xr3:uid="{867F8EF9-1E49-4D03-9860-72A6061F1A27}" name="Ped.5" dataDxfId="368"/>
    <tableColumn id="39" xr3:uid="{0A29DE8F-7377-454E-B891-227C5A54A339}" name="Pro-A.5" dataDxfId="367"/>
    <tableColumn id="40" xr3:uid="{3CF9CEAE-7483-450D-BB92-F67270830C9E}" name="KU.6" dataDxfId="366"/>
    <tableColumn id="41" xr3:uid="{BA0475D4-4A2B-46F6-8785-2956DAC5F1CE}" name="TJ.6" dataDxfId="365"/>
    <tableColumn id="42" xr3:uid="{3532C79C-142E-4BF4-A127-4E4BC174A1CC}" name="Ker.6" dataDxfId="364"/>
    <tableColumn id="43" xr3:uid="{EE95A382-F39C-4BBB-9F8B-760A26B23E9C}" name="Ped.6" dataDxfId="363"/>
    <tableColumn id="44" xr3:uid="{BB878126-B78F-413E-AE8E-5F5B32B92EEE}" name="Pro-A.6" dataDxfId="362"/>
    <tableColumn id="45" xr3:uid="{2DA749C4-B7C3-4088-82EE-671674E703DE}" name="KU.7" dataDxfId="361"/>
    <tableColumn id="46" xr3:uid="{8920D008-5E3C-4CF4-ADC5-1A325C89BB0C}" name="TJ.7" dataDxfId="360"/>
    <tableColumn id="47" xr3:uid="{27F0C4DF-5201-416F-B814-A5A89B29942E}" name="Ker.7" dataDxfId="359"/>
    <tableColumn id="48" xr3:uid="{21FF7A34-5B1B-4099-9ED7-0816F02EDF9F}" name="Ped.7" dataDxfId="358"/>
    <tableColumn id="49" xr3:uid="{60A748AF-E34B-4FAC-8F62-076A16467F1F}" name="Pro-A.7" dataDxfId="357"/>
    <tableColumn id="50" xr3:uid="{3E632843-E978-4EBD-98D8-5946F619612A}" name="KU.8" dataDxfId="356"/>
    <tableColumn id="51" xr3:uid="{D465555E-311F-46C8-88C6-3E1CFC19D020}" name="TJ.8" dataDxfId="355"/>
    <tableColumn id="52" xr3:uid="{3031F3F3-23C5-4CF6-9B91-3EF81EE564E5}" name="Ker.8" dataDxfId="354"/>
    <tableColumn id="53" xr3:uid="{6D52E33F-1739-4121-B5FC-F7AB429E8E59}" name="Ped.8" dataDxfId="353"/>
    <tableColumn id="54" xr3:uid="{83076D9C-7C03-4FD5-A1D1-8167171D2333}" name="Pro-A.8" dataDxfId="352"/>
    <tableColumn id="55" xr3:uid="{6F6E0303-5C3A-4673-BA3A-711CBB461467}" name="KU.9" dataDxfId="351"/>
    <tableColumn id="56" xr3:uid="{9A0E7269-5396-4F9F-9A63-42D77E9B55EA}" name="TJ.9" dataDxfId="350"/>
    <tableColumn id="57" xr3:uid="{5F0A741C-F46F-4FF9-95DA-F627639D8975}" name="Ker.9" dataDxfId="349"/>
    <tableColumn id="58" xr3:uid="{786E176E-E58B-435E-8BB3-A94DADE7349D}" name="Ped.9" dataDxfId="348"/>
    <tableColumn id="59" xr3:uid="{27A2B5CD-5CB4-4D7B-8A9D-B52381673A78}" name="Pro-A.9" dataDxfId="3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55EB6B5-7EAB-43BE-AE92-3BF5FB67B2B2}" name="A.LoE.S" displayName="A.LoE.S" ref="BM2:BU27" totalsRowShown="0" headerRowDxfId="133" dataDxfId="131" headerRowBorderDxfId="132" tableBorderDxfId="130" totalsRowBorderDxfId="129">
  <autoFilter ref="BM2:BU27" xr:uid="{7AC1B0CA-E2AC-4A60-98FB-62FF0F60E91E}"/>
  <tableColumns count="9">
    <tableColumn id="1" xr3:uid="{B816BC09-F993-4702-B68F-586CB0467EA5}" name="LE.1" dataDxfId="128">
      <calculatedColumnFormula>IFERROR(ROUND(AVERAGE(Con.Sk.S[[#This Row],[TJ.1]:[Pro-A.1]]),0),"-")</calculatedColumnFormula>
    </tableColumn>
    <tableColumn id="2" xr3:uid="{E53AF893-C8A5-45A2-A4C4-07324242FC81}" name="LE.2" dataDxfId="127">
      <calculatedColumnFormula>IFERROR(ROUND(AVERAGE(Con.Sk.S[[#This Row],[TJ.2]:[Pro-A.2]]),0),"-")</calculatedColumnFormula>
    </tableColumn>
    <tableColumn id="3" xr3:uid="{A691989F-A116-4C4F-88CD-F6FF0BC32688}" name="LE.3" dataDxfId="126">
      <calculatedColumnFormula>IFERROR(ROUND(AVERAGE(Con.Sk.S[[#This Row],[TJ.3]:[Pro-A.3]]),0),"-")</calculatedColumnFormula>
    </tableColumn>
    <tableColumn id="4" xr3:uid="{C757FCEF-92C0-4E0B-AD1B-6720496DB8FC}" name="LE.4" dataDxfId="125">
      <calculatedColumnFormula>IFERROR(ROUND(AVERAGE(Con.Sk.S[[#This Row],[TJ.4]:[Pro-A.4]]),0),"-")</calculatedColumnFormula>
    </tableColumn>
    <tableColumn id="5" xr3:uid="{58C8B831-0BFC-4825-8256-41D6C57FE1D8}" name="LE.5" dataDxfId="124">
      <calculatedColumnFormula>IFERROR(ROUND(AVERAGE(Con.Sk.S[[#This Row],[TJ.5]:[Pro-A.5]]),0),"-")</calculatedColumnFormula>
    </tableColumn>
    <tableColumn id="6" xr3:uid="{7B7670BB-99C9-44C5-A5BA-47C4417D9C01}" name="LE.6" dataDxfId="123">
      <calculatedColumnFormula>IFERROR(ROUND(AVERAGE(Con.Sk.S[[#This Row],[TJ.6]:[Pro-A.6]]),0),"-")</calculatedColumnFormula>
    </tableColumn>
    <tableColumn id="7" xr3:uid="{251C358F-F268-4053-823C-F1B0E48DD1E7}" name="LE.7" dataDxfId="122">
      <calculatedColumnFormula>IFERROR(ROUND(AVERAGE(Con.Sk.S[[#This Row],[TJ.7]:[Pro-A.7]]),0),"-")</calculatedColumnFormula>
    </tableColumn>
    <tableColumn id="8" xr3:uid="{C6A2B8F7-E4F0-414D-89EB-76F4C98432DB}" name="LE.8" dataDxfId="121">
      <calculatedColumnFormula>IFERROR(ROUND(AVERAGE(Con.Sk.S[[#This Row],[TJ.8]:[Pro-A.8]]),0),"-")</calculatedColumnFormula>
    </tableColumn>
    <tableColumn id="9" xr3:uid="{D5FF678A-311C-4BEA-A6E6-74640727C14B}" name="LE.9" dataDxfId="120">
      <calculatedColumnFormula>IFERROR(ROUND(AVERAGE(Con.Sk.S[[#This Row],[TJ.9]:[Pro-A.9]]),0),"-")</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FA621731-5513-43AB-B915-F228FE1B578F}" name="Con.Sk.S" displayName="Con.Sk.S" ref="BZ2:DR27" totalsRowShown="0" headerRowDxfId="119" dataDxfId="117" headerRowBorderDxfId="118" tableBorderDxfId="116" totalsRowBorderDxfId="115">
  <autoFilter ref="BZ2:DR27" xr:uid="{568A4AAF-F7BF-4DD6-958D-C4FC5EAEDEFE}"/>
  <tableColumns count="45">
    <tableColumn id="1" xr3:uid="{BFF5AE67-6D97-40DE-A016-BD8D64AF9F6F}" name="KU.1" dataDxfId="114">
      <calculatedColumnFormula>IF(NSi.SE[[#This Row],[KU.1]]="A",100,IF(NSi.SE[[#This Row],[KU.1]]="B",89,IF(NSi.SE[[#This Row],[KU.1]]="C",79,IF(NSi.SE[[#This Row],[KU.1]]="D",69,IF(NSi.SE[[#This Row],[KU.1]]="E",0,"-")))))</calculatedColumnFormula>
    </tableColumn>
    <tableColumn id="2" xr3:uid="{88D7F6A5-E43A-436A-A4AF-919331E3FA10}" name="TJ.1" dataDxfId="113">
      <calculatedColumnFormula>IF(NSi.SE[[#This Row],[TJ.1]]=1,100,IF(NSi.SE[[#This Row],[TJ.1]]=2,89,IF(NSi.SE[[#This Row],[TJ.1]]=3,79,IF(NSi.SE[[#This Row],[TJ.1]]=4,69,IF(NSi.SE[[#This Row],[TJ.1]]=5,0,"-")))))</calculatedColumnFormula>
    </tableColumn>
    <tableColumn id="3" xr3:uid="{175338B4-5DF4-4817-9EFD-5C4B31F15906}" name="Ker.1" dataDxfId="112">
      <calculatedColumnFormula>IF(NSi.SE[[#This Row],[Ker.1]]=1,100,IF(NSi.SE[[#This Row],[Ker.1]]=2,89,IF(NSi.SE[[#This Row],[Ker.1]]=3,79,IF(NSi.SE[[#This Row],[Ker.1]]=4,69,IF(NSi.SE[[#This Row],[Ker.1]]=5,0,"-")))))</calculatedColumnFormula>
    </tableColumn>
    <tableColumn id="4" xr3:uid="{644DB5D3-8465-4541-A1DF-2FF785A751E8}" name="Ped.1" dataDxfId="111">
      <calculatedColumnFormula>IF(NSi.SE[[#This Row],[Ped.1]]=1,100,IF(NSi.SE[[#This Row],[Ped.1]]=2,89,IF(NSi.SE[[#This Row],[Ped.1]]=3,79,IF(NSi.SE[[#This Row],[Ped.1]]=4,69,IF(NSi.SE[[#This Row],[Ped.1]]=5,0,"-")))))</calculatedColumnFormula>
    </tableColumn>
    <tableColumn id="5" xr3:uid="{C818D2F8-03B6-42B7-B266-DA77896A856E}" name="Pro-A.1" dataDxfId="110">
      <calculatedColumnFormula>IF(NSi.SE[[#This Row],[Pro-A.1]]=1,100,IF(NSi.SE[[#This Row],[Pro-A.1]]=2,89,IF(NSi.SE[[#This Row],[Pro-A.1]]=3,79,IF(NSi.SE[[#This Row],[Pro-A.1]]=4,69,IF(NSi.SE[[#This Row],[Pro-A.1]]=5,0,"-")))))</calculatedColumnFormula>
    </tableColumn>
    <tableColumn id="6" xr3:uid="{029B8B64-A3B1-48E1-B71C-3DCA0892B305}" name="KU.2" dataDxfId="109">
      <calculatedColumnFormula>IF(NSi.SE[[#This Row],[KU.2]]="A",100,IF(NSi.SE[[#This Row],[KU.2]]="B",89,IF(NSi.SE[[#This Row],[KU.2]]="C",79,IF(NSi.SE[[#This Row],[KU.2]]="D",69,IF(NSi.SE[[#This Row],[KU.2]]="E",0,"-")))))</calculatedColumnFormula>
    </tableColumn>
    <tableColumn id="7" xr3:uid="{9BB78704-55B5-46FC-8368-24720256FE42}" name="TJ.2" dataDxfId="108">
      <calculatedColumnFormula>IF(NSi.SE[[#This Row],[TJ.2]]=1,100,IF(NSi.SE[[#This Row],[TJ.2]]=2,89,IF(NSi.SE[[#This Row],[TJ.2]]=3,79,IF(NSi.SE[[#This Row],[TJ.2]]=4,69,IF(NSi.SE[[#This Row],[TJ.2]]=5,0,"-")))))</calculatedColumnFormula>
    </tableColumn>
    <tableColumn id="8" xr3:uid="{A9774561-C615-40FC-BB2A-62852398CF92}" name="Ker.2" dataDxfId="107">
      <calculatedColumnFormula>IF(NSi.SE[[#This Row],[Ker.2]]=1,100,IF(NSi.SE[[#This Row],[Ker.2]]=2,89,IF(NSi.SE[[#This Row],[Ker.2]]=3,79,IF(NSi.SE[[#This Row],[Ker.2]]=4,69,IF(NSi.SE[[#This Row],[Ker.2]]=5,0,"-")))))</calculatedColumnFormula>
    </tableColumn>
    <tableColumn id="9" xr3:uid="{D2D0C99D-2FEB-4F27-A211-C5CB77ED785C}" name="Ped.2" dataDxfId="106">
      <calculatedColumnFormula>IF(NSi.SE[[#This Row],[Ped.2]]=1,100,IF(NSi.SE[[#This Row],[Ped.2]]=2,89,IF(NSi.SE[[#This Row],[Ped.2]]=3,79,IF(NSi.SE[[#This Row],[Ped.2]]=4,69,IF(NSi.SE[[#This Row],[Ped.2]]=5,0,"-")))))</calculatedColumnFormula>
    </tableColumn>
    <tableColumn id="10" xr3:uid="{8B9DD157-8EF2-40B0-B454-ECEC8B4F58E0}" name="Pro-A.2" dataDxfId="105">
      <calculatedColumnFormula>IF(NSi.SE[[#This Row],[Pro-A.2]]=1,100,IF(NSi.SE[[#This Row],[Pro-A.2]]=2,89,IF(NSi.SE[[#This Row],[Pro-A.2]]=3,79,IF(NSi.SE[[#This Row],[Pro-A.2]]=4,69,IF(NSi.SE[[#This Row],[Pro-A.2]]=5,0,"-")))))</calculatedColumnFormula>
    </tableColumn>
    <tableColumn id="11" xr3:uid="{2C0302D7-512E-40AA-82C3-D1884D4ED630}" name="KU.3" dataDxfId="104">
      <calculatedColumnFormula>IF(NSi.SE[[#This Row],[KU.3]]="A",100,IF(NSi.SE[[#This Row],[KU.3]]="B",89,IF(NSi.SE[[#This Row],[KU.3]]="C",79,IF(NSi.SE[[#This Row],[KU.3]]="D",69,IF(NSi.SE[[#This Row],[KU.3]]="E",0,"-")))))</calculatedColumnFormula>
    </tableColumn>
    <tableColumn id="12" xr3:uid="{7975156F-4661-49BC-A9D4-951A50693D90}" name="TJ.3" dataDxfId="103">
      <calculatedColumnFormula>IF(NSi.SE[[#This Row],[TJ.3]]=1,100,IF(NSi.SE[[#This Row],[TJ.3]]=2,89,IF(NSi.SE[[#This Row],[TJ.3]]=3,79,IF(NSi.SE[[#This Row],[TJ.3]]=4,69,IF(NSi.SE[[#This Row],[TJ.3]]=5,0,"-")))))</calculatedColumnFormula>
    </tableColumn>
    <tableColumn id="13" xr3:uid="{613E0F33-C255-4486-B454-6925B78BF56F}" name="Ker.3" dataDxfId="102">
      <calculatedColumnFormula>IF(NSi.SE[[#This Row],[Ker.3]]=1,100,IF(NSi.SE[[#This Row],[Ker.3]]=2,89,IF(NSi.SE[[#This Row],[Ker.3]]=3,79,IF(NSi.SE[[#This Row],[Ker.3]]=4,69,IF(NSi.SE[[#This Row],[Ker.3]]=5,0,"-")))))</calculatedColumnFormula>
    </tableColumn>
    <tableColumn id="14" xr3:uid="{07669616-D1C4-4B59-978D-9D5AE6744ED3}" name="Ped.3" dataDxfId="101">
      <calculatedColumnFormula>IF(NSi.SE[[#This Row],[Ped.3]]=1,100,IF(NSi.SE[[#This Row],[Ped.3]]=2,89,IF(NSi.SE[[#This Row],[Ped.3]]=3,79,IF(NSi.SE[[#This Row],[Ped.3]]=4,69,IF(NSi.SE[[#This Row],[Ped.3]]=5,0,"-")))))</calculatedColumnFormula>
    </tableColumn>
    <tableColumn id="15" xr3:uid="{5ACEB335-BCB5-42CD-BF3F-5771D2A52303}" name="Pro-A.3" dataDxfId="100">
      <calculatedColumnFormula>IF(NSi.SE[[#This Row],[Pro-A.3]]=1,100,IF(NSi.SE[[#This Row],[Pro-A.3]]=2,89,IF(NSi.SE[[#This Row],[Pro-A.3]]=3,79,IF(NSi.SE[[#This Row],[Pro-A.3]]=4,69,IF(NSi.SE[[#This Row],[Pro-A.3]]=5,0,"-")))))</calculatedColumnFormula>
    </tableColumn>
    <tableColumn id="16" xr3:uid="{60C3BB15-F2BD-411B-9430-F0D717170364}" name="KU.4" dataDxfId="99">
      <calculatedColumnFormula>IF(NSi.SE[[#This Row],[KU.4]]="A",100,IF(NSi.SE[[#This Row],[KU.4]]="B",89,IF(NSi.SE[[#This Row],[KU.4]]="C",79,IF(NSi.SE[[#This Row],[KU.4]]="D",69,IF(NSi.SE[[#This Row],[KU.4]]="E",0,"-")))))</calculatedColumnFormula>
    </tableColumn>
    <tableColumn id="17" xr3:uid="{5B4E48F8-0F9E-4028-BAFA-28E7383B9AAE}" name="TJ.4" dataDxfId="98">
      <calculatedColumnFormula>IF(NSi.SE[[#This Row],[TJ.4]]=1,100,IF(NSi.SE[[#This Row],[TJ.4]]=2,89,IF(NSi.SE[[#This Row],[TJ.4]]=3,79,IF(NSi.SE[[#This Row],[TJ.4]]=4,69,IF(NSi.SE[[#This Row],[TJ.4]]=5,0,"-")))))</calculatedColumnFormula>
    </tableColumn>
    <tableColumn id="18" xr3:uid="{C81A1EED-CA92-47D4-B29D-3E524DF1B183}" name="Ker.4" dataDxfId="97">
      <calculatedColumnFormula>IF(NSi.SE[[#This Row],[Ker.4]]=1,100,IF(NSi.SE[[#This Row],[Ker.4]]=2,89,IF(NSi.SE[[#This Row],[Ker.4]]=3,79,IF(NSi.SE[[#This Row],[Ker.4]]=4,69,IF(NSi.SE[[#This Row],[Ker.4]]=5,0,"-")))))</calculatedColumnFormula>
    </tableColumn>
    <tableColumn id="19" xr3:uid="{43A21204-8BAB-4FDD-BD5A-94F43661B4AC}" name="Ped.4" dataDxfId="96">
      <calculatedColumnFormula>IF(NSi.SE[[#This Row],[Ped.4]]=1,100,IF(NSi.SE[[#This Row],[Ped.4]]=2,89,IF(NSi.SE[[#This Row],[Ped.4]]=3,79,IF(NSi.SE[[#This Row],[Ped.4]]=4,69,IF(NSi.SE[[#This Row],[Ped.4]]=5,0,"-")))))</calculatedColumnFormula>
    </tableColumn>
    <tableColumn id="20" xr3:uid="{9FDE1D44-7CAF-43B6-B36F-E8BA78E3CB79}" name="Pro-A.4" dataDxfId="95">
      <calculatedColumnFormula>IF(NSi.SE[[#This Row],[Pro-A.4]]=1,100,IF(NSi.SE[[#This Row],[Pro-A.4]]=2,89,IF(NSi.SE[[#This Row],[Pro-A.4]]=3,79,IF(NSi.SE[[#This Row],[Pro-A.4]]=4,69,IF(NSi.SE[[#This Row],[Pro-A.4]]=5,0,"-")))))</calculatedColumnFormula>
    </tableColumn>
    <tableColumn id="21" xr3:uid="{6BADA13E-9129-4114-9BB5-2D190D999D9D}" name="KU.5" dataDxfId="94">
      <calculatedColumnFormula>IF(NSi.SE[[#This Row],[KU.5]]="A",100,IF(NSi.SE[[#This Row],[KU.5]]="B",89,IF(NSi.SE[[#This Row],[KU.5]]="C",79,IF(NSi.SE[[#This Row],[KU.5]]="D",69,IF(NSi.SE[[#This Row],[KU.5]]="E",0,"-")))))</calculatedColumnFormula>
    </tableColumn>
    <tableColumn id="22" xr3:uid="{75F67629-BB0B-4D44-80D5-F38BFBA46DF4}" name="TJ.5" dataDxfId="93">
      <calculatedColumnFormula>IF(NSi.SE[[#This Row],[TJ.5]]=1,100,IF(NSi.SE[[#This Row],[TJ.5]]=2,89,IF(NSi.SE[[#This Row],[TJ.5]]=3,79,IF(NSi.SE[[#This Row],[TJ.5]]=4,69,IF(NSi.SE[[#This Row],[TJ.5]]=5,0,"-")))))</calculatedColumnFormula>
    </tableColumn>
    <tableColumn id="23" xr3:uid="{703DCFFA-8FE2-47B6-BB24-C04E3BA50E83}" name="Ker.5" dataDxfId="92">
      <calculatedColumnFormula>IF(NSi.SE[[#This Row],[Ker.5]]=1,100,IF(NSi.SE[[#This Row],[Ker.5]]=2,89,IF(NSi.SE[[#This Row],[Ker.5]]=3,79,IF(NSi.SE[[#This Row],[Ker.5]]=4,69,IF(NSi.SE[[#This Row],[Ker.5]]=5,0,"-")))))</calculatedColumnFormula>
    </tableColumn>
    <tableColumn id="24" xr3:uid="{276C96BD-DED8-4EE5-AB1F-CB8F72FFBF5C}" name="Ped.5" dataDxfId="91">
      <calculatedColumnFormula>IF(NSi.SE[[#This Row],[Ped.5]]=1,100,IF(NSi.SE[[#This Row],[Ped.5]]=2,89,IF(NSi.SE[[#This Row],[Ped.5]]=3,79,IF(NSi.SE[[#This Row],[Ped.5]]=4,69,IF(NSi.SE[[#This Row],[Ped.5]]=5,0,"-")))))</calculatedColumnFormula>
    </tableColumn>
    <tableColumn id="25" xr3:uid="{7607BFE8-571B-4AFE-B1FF-7D79697F1EA4}" name="Pro-A.5" dataDxfId="90">
      <calculatedColumnFormula>IF(NSi.SE[[#This Row],[Pro-A.5]]=1,100,IF(NSi.SE[[#This Row],[Pro-A.5]]=2,89,IF(NSi.SE[[#This Row],[Pro-A.5]]=3,79,IF(NSi.SE[[#This Row],[Pro-A.5]]=4,69,IF(NSi.SE[[#This Row],[Pro-A.5]]=5,0,"-")))))</calculatedColumnFormula>
    </tableColumn>
    <tableColumn id="26" xr3:uid="{D2E27BA0-C78A-412A-A175-A9A85A5F59F2}" name="KU.6" dataDxfId="89">
      <calculatedColumnFormula>IF(NSi.SE[[#This Row],[KU.6]]="A",100,IF(NSi.SE[[#This Row],[KU.6]]="B",89,IF(NSi.SE[[#This Row],[KU.6]]="C",79,IF(NSi.SE[[#This Row],[KU.6]]="D",69,IF(NSi.SE[[#This Row],[KU.6]]="E",0,"-")))))</calculatedColumnFormula>
    </tableColumn>
    <tableColumn id="27" xr3:uid="{93E78491-68A9-4230-AED4-D2DDE3F6FE4D}" name="TJ.6" dataDxfId="88">
      <calculatedColumnFormula>IF(NSi.SE[[#This Row],[TJ.6]]=1,100,IF(NSi.SE[[#This Row],[TJ.6]]=2,89,IF(NSi.SE[[#This Row],[TJ.6]]=3,79,IF(NSi.SE[[#This Row],[TJ.6]]=4,69,IF(NSi.SE[[#This Row],[TJ.6]]=5,0,"-")))))</calculatedColumnFormula>
    </tableColumn>
    <tableColumn id="28" xr3:uid="{1C5B87E0-DC69-4D56-90C8-910838BC668E}" name="Ker.6" dataDxfId="87">
      <calculatedColumnFormula>IF(NSi.SE[[#This Row],[Ker.6]]=1,100,IF(NSi.SE[[#This Row],[Ker.6]]=2,89,IF(NSi.SE[[#This Row],[Ker.6]]=3,79,IF(NSi.SE[[#This Row],[Ker.6]]=4,69,IF(NSi.SE[[#This Row],[Ker.6]]=5,0,"-")))))</calculatedColumnFormula>
    </tableColumn>
    <tableColumn id="29" xr3:uid="{85962964-3DE4-4E0D-89F0-D255930BBF8E}" name="Ped.6" dataDxfId="86">
      <calculatedColumnFormula>IF(NSi.SE[[#This Row],[Ped.6]]=1,100,IF(NSi.SE[[#This Row],[Ped.6]]=2,89,IF(NSi.SE[[#This Row],[Ped.6]]=3,79,IF(NSi.SE[[#This Row],[Ped.6]]=4,69,IF(NSi.SE[[#This Row],[Ped.6]]=5,0,"-")))))</calculatedColumnFormula>
    </tableColumn>
    <tableColumn id="30" xr3:uid="{C6E8127D-2A69-48DE-A81F-7F121DE57DB4}" name="Pro-A.6" dataDxfId="85">
      <calculatedColumnFormula>IF(NSi.SE[[#This Row],[Pro-A.6]]=1,100,IF(NSi.SE[[#This Row],[Pro-A.6]]=2,89,IF(NSi.SE[[#This Row],[Pro-A.6]]=3,79,IF(NSi.SE[[#This Row],[Pro-A.6]]=4,69,IF(NSi.SE[[#This Row],[Pro-A.6]]=5,0,"-")))))</calculatedColumnFormula>
    </tableColumn>
    <tableColumn id="31" xr3:uid="{7F367D3B-0533-42F1-9A9B-17E67143E085}" name="KU.7" dataDxfId="84">
      <calculatedColumnFormula>IF(NSi.SE[[#This Row],[KU.7]]="A",100,IF(NSi.SE[[#This Row],[KU.7]]="B",89,IF(NSi.SE[[#This Row],[KU.7]]="C",79,IF(NSi.SE[[#This Row],[KU.7]]="D",69,IF(NSi.SE[[#This Row],[KU.7]]="E",0,"-")))))</calculatedColumnFormula>
    </tableColumn>
    <tableColumn id="32" xr3:uid="{23AA5A4F-B59C-4737-B3D5-66C926DA1F11}" name="TJ.7" dataDxfId="83">
      <calculatedColumnFormula>IF(NSi.SE[[#This Row],[TJ.7]]=1,100,IF(NSi.SE[[#This Row],[TJ.7]]=2,89,IF(NSi.SE[[#This Row],[TJ.7]]=3,79,IF(NSi.SE[[#This Row],[TJ.7]]=4,69,IF(NSi.SE[[#This Row],[TJ.7]]=5,0,"-")))))</calculatedColumnFormula>
    </tableColumn>
    <tableColumn id="33" xr3:uid="{A2D995B3-F45C-4296-AA42-32C010B9AE48}" name="Ker.7" dataDxfId="82">
      <calculatedColumnFormula>IF(NSi.SE[[#This Row],[Ker.7]]=1,100,IF(NSi.SE[[#This Row],[Ker.7]]=2,89,IF(NSi.SE[[#This Row],[Ker.7]]=3,79,IF(NSi.SE[[#This Row],[Ker.7]]=4,69,IF(NSi.SE[[#This Row],[Ker.7]]=5,0,"-")))))</calculatedColumnFormula>
    </tableColumn>
    <tableColumn id="34" xr3:uid="{924CCE77-ADF1-4EA6-8725-6D4A4E006C23}" name="Ped.7" dataDxfId="81">
      <calculatedColumnFormula>IF(NSi.SE[[#This Row],[Ped.7]]=1,100,IF(NSi.SE[[#This Row],[Ped.7]]=2,89,IF(NSi.SE[[#This Row],[Ped.7]]=3,79,IF(NSi.SE[[#This Row],[Ped.7]]=4,69,IF(NSi.SE[[#This Row],[Ped.7]]=5,0,"-")))))</calculatedColumnFormula>
    </tableColumn>
    <tableColumn id="35" xr3:uid="{4463B93B-7A53-4048-83D8-2623963640E4}" name="Pro-A.7" dataDxfId="80">
      <calculatedColumnFormula>IF(NSi.SE[[#This Row],[Pro-A.7]]=1,100,IF(NSi.SE[[#This Row],[Pro-A.7]]=2,89,IF(NSi.SE[[#This Row],[Pro-A.7]]=3,79,IF(NSi.SE[[#This Row],[Pro-A.7]]=4,69,IF(NSi.SE[[#This Row],[Pro-A.7]]=5,0,"-")))))</calculatedColumnFormula>
    </tableColumn>
    <tableColumn id="36" xr3:uid="{0D36605A-EF4A-4831-BFE9-12381337CD35}" name="KU.8" dataDxfId="79">
      <calculatedColumnFormula>IF(NSi.SE[[#This Row],[KU.8]]="A",100,IF(NSi.SE[[#This Row],[KU.8]]="B",89,IF(NSi.SE[[#This Row],[KU.8]]="C",79,IF(NSi.SE[[#This Row],[KU.8]]="D",69,IF(NSi.SE[[#This Row],[KU.8]]="E",0,"-")))))</calculatedColumnFormula>
    </tableColumn>
    <tableColumn id="37" xr3:uid="{EF22A786-F166-4866-BA41-7EA8CA701AB0}" name="TJ.8" dataDxfId="78">
      <calculatedColumnFormula>IF(NSi.SE[[#This Row],[TJ.8]]=1,100,IF(NSi.SE[[#This Row],[TJ.8]]=2,89,IF(NSi.SE[[#This Row],[TJ.8]]=3,79,IF(NSi.SE[[#This Row],[TJ.8]]=4,69,IF(NSi.SE[[#This Row],[TJ.8]]=5,0,"-")))))</calculatedColumnFormula>
    </tableColumn>
    <tableColumn id="38" xr3:uid="{7CD4B88C-C9B9-4B21-854F-6C5400531F8F}" name="Ker.8" dataDxfId="77">
      <calculatedColumnFormula>IF(NSi.SE[[#This Row],[Ker.8]]=1,100,IF(NSi.SE[[#This Row],[Ker.8]]=2,89,IF(NSi.SE[[#This Row],[Ker.8]]=3,79,IF(NSi.SE[[#This Row],[Ker.8]]=4,69,IF(NSi.SE[[#This Row],[Ker.8]]=5,0,"-")))))</calculatedColumnFormula>
    </tableColumn>
    <tableColumn id="39" xr3:uid="{395BF314-5804-4024-A606-36457C7F6B07}" name="Ped.8" dataDxfId="76">
      <calculatedColumnFormula>IF(NSi.SE[[#This Row],[Ped.8]]=1,100,IF(NSi.SE[[#This Row],[Ped.8]]=2,89,IF(NSi.SE[[#This Row],[Ped.8]]=3,79,IF(NSi.SE[[#This Row],[Ped.8]]=4,69,IF(NSi.SE[[#This Row],[Ped.8]]=5,0,"-")))))</calculatedColumnFormula>
    </tableColumn>
    <tableColumn id="40" xr3:uid="{C77D3276-8A4B-477A-9553-75DDA7B3684C}" name="Pro-A.8" dataDxfId="75">
      <calculatedColumnFormula>IF(NSi.SE[[#This Row],[Pro-A.8]]=1,100,IF(NSi.SE[[#This Row],[Pro-A.8]]=2,89,IF(NSi.SE[[#This Row],[Pro-A.8]]=3,79,IF(NSi.SE[[#This Row],[Pro-A.8]]=4,69,IF(NSi.SE[[#This Row],[Pro-A.8]]=5,0,"-")))))</calculatedColumnFormula>
    </tableColumn>
    <tableColumn id="41" xr3:uid="{95E42EF0-EEE0-409D-A8E6-B2331D3FF530}" name="KU.9" dataDxfId="74">
      <calculatedColumnFormula>IF(NSi.SE[[#This Row],[KU.9]]="A",100,IF(NSi.SE[[#This Row],[KU.9]]="B",89,IF(NSi.SE[[#This Row],[KU.9]]="C",79,IF(NSi.SE[[#This Row],[KU.9]]="D",69,IF(NSi.SE[[#This Row],[KU.9]]="E",0,"-")))))</calculatedColumnFormula>
    </tableColumn>
    <tableColumn id="42" xr3:uid="{60465201-E901-47C7-BE38-885FF22F5CA2}" name="TJ.9" dataDxfId="73">
      <calculatedColumnFormula>IF(NSi.SE[[#This Row],[TJ.9]]=1,100,IF(NSi.SE[[#This Row],[TJ.9]]=2,89,IF(NSi.SE[[#This Row],[TJ.9]]=3,79,IF(NSi.SE[[#This Row],[TJ.9]]=4,69,IF(NSi.SE[[#This Row],[TJ.9]]=5,0,"-")))))</calculatedColumnFormula>
    </tableColumn>
    <tableColumn id="43" xr3:uid="{ACE7E4D6-9D0E-4EFA-A09B-57F1582624AA}" name="Ker.9" dataDxfId="72">
      <calculatedColumnFormula>IF(NSi.SE[[#This Row],[Ker.9]]=1,100,IF(NSi.SE[[#This Row],[Ker.9]]=2,89,IF(NSi.SE[[#This Row],[Ker.9]]=3,79,IF(NSi.SE[[#This Row],[Ker.9]]=4,69,IF(NSi.SE[[#This Row],[Ker.9]]=5,0,"-")))))</calculatedColumnFormula>
    </tableColumn>
    <tableColumn id="44" xr3:uid="{84C1D81F-CC57-41FE-815D-02686E6EECAF}" name="Ped.9" dataDxfId="71">
      <calculatedColumnFormula>IF(NSi.SE[[#This Row],[Ped.9]]=1,100,IF(NSi.SE[[#This Row],[Ped.9]]=2,89,IF(NSi.SE[[#This Row],[Ped.9]]=3,79,IF(NSi.SE[[#This Row],[Ped.9]]=4,69,IF(NSi.SE[[#This Row],[Ped.9]]=5,0,"-")))))</calculatedColumnFormula>
    </tableColumn>
    <tableColumn id="45" xr3:uid="{D24B87BC-902E-496C-8AF3-E1EC5F8BB065}" name="Pro-A.9" dataDxfId="70">
      <calculatedColumnFormula>IF(NSi.SE[[#This Row],[Pro-A.9]]=1,100,IF(NSi.SE[[#This Row],[Pro-A.9]]=2,89,IF(NSi.SE[[#This Row],[Pro-A.9]]=3,79,IF(NSi.SE[[#This Row],[Pro-A.9]]=4,69,IF(NSi.SE[[#This Row],[Pro-A.9]]=5,0,"-")))))</calculatedColumn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786FBEB-337C-4C5B-A616-FAAC3FF6572B}" name="CSCR.S" displayName="CSCR.S" ref="BW2:BX27" totalsRowShown="0" headerRowDxfId="69" headerRowBorderDxfId="68" tableBorderDxfId="67" totalsRowBorderDxfId="66">
  <autoFilter ref="BW2:BX27" xr:uid="{31828A06-E6A7-42A1-8247-CDFCBCDE56F5}"/>
  <tableColumns count="2">
    <tableColumn id="1" xr3:uid="{8D2DC3B6-F72C-4ACD-B51C-53B4EF34E5ED}" name="KU Average" dataDxfId="65">
      <calculatedColumnFormula>IFERROR(ROUND(AVERAGE(Con.Sk.S[[#This Row],[KU.1]],Con.Sk.S[[#This Row],[KU.2]],Con.Sk.S[[#This Row],[KU.3]],Con.Sk.S[[#This Row],[KU.4]],Con.Sk.S[[#This Row],[KU.5]],Con.Sk.S[[#This Row],[KU.6]],Con.Sk.S[[#This Row],[KU.7]],Con.Sk.S[[#This Row],[KU.8]],Con.Sk.S[[#This Row],[KU.9]]),0),"")</calculatedColumnFormula>
    </tableColumn>
    <tableColumn id="2" xr3:uid="{C91BCB4E-BDB3-47CB-8701-53A9BA5D0AA6}" name="TKPP Average" dataDxfId="64">
      <calculatedColumnFormula>IFERROR(ROUND(AVERAGE(Con.Sk.S[[#This Row],[TJ.1]:[Pro-A.1]],Con.Sk.S[[#This Row],[TJ.2]:[Pro-A.2]],Con.Sk.S[[#This Row],[TJ.3]:[Pro-A.3]],Con.Sk.S[[#This Row],[TJ.4]:[Pro-A.4]],Con.Sk.S[[#This Row],[TJ.5]:[Pro-A.5]],Con.Sk.S[[#This Row],[TJ.6]:[Pro-A.6]],Con.Sk.S[[#This Row],[TJ.7]:[Pro-A.7]],Con.Sk.S[[#This Row],[TJ.8]:[Pro-A.8]],Con.Sk.S[[#This Row],[TJ.9]:[Pro-A.9]]),0),"")</calculatedColumnFormula>
    </tableColumn>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D504297-8F07-4F9B-AFEA-5FBE1D69BF24}" name="Des.NS27" displayName="Des.NS27" ref="DT2:DT27" totalsRowShown="0" headerRowDxfId="63" dataDxfId="61" headerRowBorderDxfId="62" tableBorderDxfId="60" totalsRowBorderDxfId="59">
  <autoFilter ref="DT2:DT27" xr:uid="{C8C215DF-0052-4679-AE3A-4BD27F64A597}"/>
  <tableColumns count="1">
    <tableColumn id="1" xr3:uid="{6735E575-2360-4283-907E-A525F601FA1F}" name="Deskripsi" dataDxfId="58">
      <calculatedColumnFormula>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calculatedColumnFormula>
    </tableColumn>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5B018D-7F94-47A2-95B9-0A0B31D62385}" name="Sem" displayName="Sem" ref="A3:AA28" totalsRowShown="0" headerRowDxfId="56" dataDxfId="54" headerRowBorderDxfId="55" tableBorderDxfId="53" totalsRowBorderDxfId="52">
  <autoFilter ref="A3:AA28" xr:uid="{35726CA7-7731-4FAA-ADF6-59ECB1C6EA9E}"/>
  <tableColumns count="27">
    <tableColumn id="1" xr3:uid="{02E5C56B-3CEE-48C8-A5E1-A96D07A267A0}" name="No" dataDxfId="51">
      <calculatedColumnFormula>IF('NS (Mid.S)'!A3=0,"",'NS (Mid.S)'!A3)</calculatedColumnFormula>
    </tableColumn>
    <tableColumn id="2" xr3:uid="{7905DA01-E7FC-4FDB-B9DD-CA142F7D27B9}" name="Nama Siswa" dataDxfId="50">
      <calculatedColumnFormula>IF('NS (Mid.S)'!B3=0,"",'NS (Mid.S)'!B3)</calculatedColumnFormula>
    </tableColumn>
    <tableColumn id="3" xr3:uid="{1132ACC8-A0BE-43F4-9E13-BD860C78FDE3}" name="Nomor Induk" dataDxfId="49">
      <calculatedColumnFormula>IF('NS (Mid.S)'!C3=0,"",'NS (Mid.S)'!C3)</calculatedColumnFormula>
    </tableColumn>
    <tableColumn id="27" xr3:uid="{429EC176-C95E-40EA-A458-104A8B9E3085}" name="NISN" dataDxfId="48">
      <calculatedColumnFormula>IF('NS (Mid.S)'!D3=0,"",'NS (Mid.S)'!D3)</calculatedColumnFormula>
    </tableColumn>
    <tableColumn id="4" xr3:uid="{FA42354E-DC30-4412-B3F0-08BF455A7E70}" name="Jurusan" dataDxfId="47">
      <calculatedColumnFormula>IF('NS (Mid.S)'!E3=0,"",'NS (Mid.S)'!E3)</calculatedColumnFormula>
    </tableColumn>
    <tableColumn id="25" xr3:uid="{483308F1-62C6-49B1-AE5C-88B190E5F69B}" name="Rata2 NP Mid.S" dataDxfId="46">
      <calculatedColumnFormula>Mid.S[[#This Row],[Rata2 NP]]</calculatedColumnFormula>
    </tableColumn>
    <tableColumn id="5" xr3:uid="{C6C8B13D-1BDB-4259-8763-CB51AE7AF868}" name="NP 1" dataDxfId="45">
      <calculatedColumnFormula>INT(RAND()*100)</calculatedColumnFormula>
    </tableColumn>
    <tableColumn id="6" xr3:uid="{11B424E7-5576-438B-B733-289B82C9A6DA}" name="NP 2" dataDxfId="44"/>
    <tableColumn id="7" xr3:uid="{FE4C8EA1-EFF4-4645-9F73-A366CC453801}" name="NP 3" dataDxfId="43"/>
    <tableColumn id="8" xr3:uid="{A6C18B72-FB82-4F44-A1D6-E1077C04AC65}" name="NP 4" dataDxfId="42"/>
    <tableColumn id="9" xr3:uid="{BE8BAD73-F370-427E-A39A-0F7DFCB6AD08}" name="NP 5" dataDxfId="41"/>
    <tableColumn id="10" xr3:uid="{B72A7DD5-3DB2-4B70-B602-8A463796AD8B}" name="NP 6" dataDxfId="40"/>
    <tableColumn id="11" xr3:uid="{56CEBDDA-B131-41EB-AABD-96A8CC49C4BA}" name="NP 7" dataDxfId="39"/>
    <tableColumn id="12" xr3:uid="{6DF83133-6DE8-4BAF-9D88-A447799C9BA0}" name="NP 8" dataDxfId="38"/>
    <tableColumn id="13" xr3:uid="{DAE62618-ECAA-4E1E-9C21-F2D28EE97CE8}" name="NP 9" dataDxfId="37"/>
    <tableColumn id="14" xr3:uid="{93E3163B-41EA-4F77-8890-1BEF7DA167F8}" name="NP 10" dataDxfId="36"/>
    <tableColumn id="15" xr3:uid="{3FB7CA18-7810-4FD1-9B23-574EFDD64C33}" name="Paper 1" dataDxfId="35">
      <calculatedColumnFormula>INT(RAND()*100)</calculatedColumnFormula>
    </tableColumn>
    <tableColumn id="16" xr3:uid="{F40E83DF-193C-4571-9B27-3F75A53564F0}" name="Paper 2" dataDxfId="34"/>
    <tableColumn id="17" xr3:uid="{37B82E95-ECDD-4123-B540-3C4887AC18F7}" name="Paper 3" dataDxfId="33"/>
    <tableColumn id="18" xr3:uid="{0F2F23A0-917E-425E-B5A8-FD8EABCA12DA}" name="Nilai P1" dataDxfId="32">
      <calculatedColumnFormula>IFERROR(ROUND((Sem[[#This Row],[Paper 1]]/$Q$2*100)*$T$2,0),"")</calculatedColumnFormula>
    </tableColumn>
    <tableColumn id="19" xr3:uid="{31F93F26-7468-4EF9-8558-324D69418EE0}" name="Nilai P2" dataDxfId="31">
      <calculatedColumnFormula>IFERROR(ROUND((Sem[[#This Row],[Paper 2]]/$R$2*100)*$U$2,0),"")</calculatedColumnFormula>
    </tableColumn>
    <tableColumn id="20" xr3:uid="{020C6C69-56FA-4D48-81B7-9A7A23967B71}" name="Nilai P3" dataDxfId="30">
      <calculatedColumnFormula>IFERROR(ROUND((Sem[[#This Row],[Paper 3]]/$S$2*100)*$V$2,0),"")</calculatedColumnFormula>
    </tableColumn>
    <tableColumn id="22" xr3:uid="{3CD813E4-7A94-456D-87C3-36EF761C61F2}" name="Rata2 NP2" dataDxfId="29">
      <calculatedColumnFormula>IFERROR(ROUND(AVERAGE(Sem[[#This Row],[Rata2 NP Mid.S]:[NP 10]]),0),"")</calculatedColumnFormula>
    </tableColumn>
    <tableColumn id="21" xr3:uid="{134C4811-8CBC-41F8-8BE4-E6BA8AC42CDD}" name="NS" dataDxfId="28">
      <calculatedColumnFormula>IFERROR(IF(SUM(Sem[[#This Row],[Nilai P1]:[Nilai P3]])=0,"",SUM(Sem[[#This Row],[Nilai P1]:[Nilai P3]])),"")</calculatedColumnFormula>
    </tableColumn>
    <tableColumn id="23" xr3:uid="{0CDAC18D-C915-4BB6-8CEE-8771D5417483}" name="NRap.S" dataDxfId="27">
      <calculatedColumnFormula>IFERROR(ROUND(((Mid.S[[#This Row],[NTS]]*1)+(Sem[[#This Row],[NS]]*2)+(Sem[[#This Row],[Rata2 NP2]]*7))/10,0),"")</calculatedColumnFormula>
    </tableColumn>
    <tableColumn id="24" xr3:uid="{7F3D93A3-00BF-417A-A546-1794432188D2}" name="Predikat" dataDxfId="26">
      <calculatedColumnFormula>IF(Sem[[#This Row],[NRap.S]]="","Belum Terukur",IF(Sem[[#This Row],[NRap.S]]&gt;=92,"A",IF(Sem[[#This Row],[NRap.S]]&gt;=83,"B",IF(Sem[[#This Row],[NRap.S]]&gt;=75,"C","D"))))</calculatedColumnFormula>
    </tableColumn>
    <tableColumn id="26" xr3:uid="{5C96215C-DFA8-48EC-9D41-BEDBA3C4D752}" name="Deskripsi Nilai" dataDxfId="25">
      <calculatedColumnFormula>CONCATENATE("Siswa menunjukkan kemampuannya ",AE4,"dalam ",$AC$4)</calculatedColumnFormula>
    </tableColumn>
  </tableColumns>
  <tableStyleInfo name="TableStyleLight15"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BB5FB83-C2F0-4722-9C6E-91BF94137337}" name="K.Sem" displayName="K.Sem" ref="A2:S27" totalsRowShown="0" headerRowDxfId="23" dataDxfId="21" headerRowBorderDxfId="22" tableBorderDxfId="20" totalsRowBorderDxfId="19">
  <autoFilter ref="A2:S27" xr:uid="{35726CA7-7731-4FAA-ADF6-59ECB1C6EA9E}"/>
  <tableColumns count="19">
    <tableColumn id="1" xr3:uid="{73F07895-FF01-436A-BA20-19C31B2F9BF1}" name="No" dataDxfId="18">
      <calculatedColumnFormula>IF(NSi.TS[[#This Row],[No]]=0,"",NSi.TS[[#This Row],[No]])</calculatedColumnFormula>
    </tableColumn>
    <tableColumn id="2" xr3:uid="{8DB5DA28-E424-405F-B4A7-268D8A7DD861}" name="Nama Siswa" dataDxfId="17">
      <calculatedColumnFormula>IF(NSi.TS[[#This Row],[Nama Siswa]]=0,"",NSi.TS[[#This Row],[Nama Siswa]])</calculatedColumnFormula>
    </tableColumn>
    <tableColumn id="3" xr3:uid="{9B8201F7-3CF6-4CE4-9977-499D30EF06BF}" name="Nomor Induk" dataDxfId="16">
      <calculatedColumnFormula>IF(NSi.TS[[#This Row],[Nomor Induk]]=0,"",NSi.TS[[#This Row],[Nomor Induk]])</calculatedColumnFormula>
    </tableColumn>
    <tableColumn id="17" xr3:uid="{322B030A-7BAD-400B-B899-57209E8734B8}" name="NISN" dataDxfId="15">
      <calculatedColumnFormula>IF(NSi.TS[[#This Row],[NISN]]=0,"",NSi.TS[[#This Row],[NISN]])</calculatedColumnFormula>
    </tableColumn>
    <tableColumn id="4" xr3:uid="{F24EB34B-0DC9-4E33-92F0-A8D68FF80D06}" name="Jurusan" dataDxfId="14">
      <calculatedColumnFormula>IF(NSi.TS[[#This Row],[Jurusan]]=0,"",NSi.TS[[#This Row],[Jurusan]])</calculatedColumnFormula>
    </tableColumn>
    <tableColumn id="15" xr3:uid="{DACCCFA5-6221-4625-A408-0D2ECF11EE64}" name="Rata2 Mid.NK" dataDxfId="13">
      <calculatedColumnFormula>K.Mid.S[[#This Row],[Rata2 NK]]</calculatedColumnFormula>
    </tableColumn>
    <tableColumn id="5" xr3:uid="{20AEFFF2-FD7A-49F8-989C-9E22630A2DF8}" name="NK 1" dataDxfId="12">
      <calculatedColumnFormula>INT(RAND()*100)</calculatedColumnFormula>
    </tableColumn>
    <tableColumn id="6" xr3:uid="{75AC25B6-06B0-4128-9BB1-4752CCFBFEA1}" name="NK 2" dataDxfId="11"/>
    <tableColumn id="7" xr3:uid="{44ECA998-281E-42BD-A31A-A75407207F94}" name="NK 3" dataDxfId="10"/>
    <tableColumn id="8" xr3:uid="{7C3FF6F1-47CA-47C0-9E00-E6893BA8A537}" name="NK 4" dataDxfId="9"/>
    <tableColumn id="9" xr3:uid="{5A6E3772-69CA-47CC-A03B-FA62275AA984}" name="NK 5" dataDxfId="8"/>
    <tableColumn id="10" xr3:uid="{DF2B536F-552E-4086-B441-8A0440BDC003}" name="NK 6" dataDxfId="7"/>
    <tableColumn id="11" xr3:uid="{1C08BA8F-0E26-45AC-A3D0-BFF2F9D71A3F}" name="NK 7" dataDxfId="6"/>
    <tableColumn id="12" xr3:uid="{3B3B3A0A-90B1-4399-9993-EABCFCD3BF90}" name="NK 8" dataDxfId="5"/>
    <tableColumn id="13" xr3:uid="{DCCD03A5-7C8B-43E3-9665-351CDBBCBFAE}" name="NK 9" dataDxfId="4"/>
    <tableColumn id="14" xr3:uid="{68DC55C6-798C-4EAC-99C6-4BF8A39836DC}" name="NK 10" dataDxfId="3"/>
    <tableColumn id="22" xr3:uid="{53FE5981-2693-4EF1-AF36-4C704AA6692F}" name="Rata2 NK" dataDxfId="2">
      <calculatedColumnFormula>IFERROR(ROUND(AVERAGE(K.Sem[[#This Row],[Rata2 Mid.NK]:[NK 10]]),0),"")</calculatedColumnFormula>
    </tableColumn>
    <tableColumn id="24" xr3:uid="{0E2DDBA9-DCA0-4776-BEA9-6AF562B03BFC}" name="Predikat" dataDxfId="1">
      <calculatedColumnFormula>IF(K.Sem[[#This Row],[Rata2 NK]]="","Belum Terukur",IF(K.Sem[[#This Row],[Rata2 NK]]&gt;=92,"A",IF(K.Sem[[#This Row],[Rata2 NK]]&gt;=83,"B",IF(K.Sem[[#This Row],[Rata2 NK]]&gt;=75,"C","D"))))</calculatedColumnFormula>
    </tableColumn>
    <tableColumn id="16" xr3:uid="{68E275CD-2780-4D94-8BDD-DA332C6390CE}" name="Deskripsi Nilai" dataDxfId="0">
      <calculatedColumnFormula>CONCATENATE("Siswa menunjukkan kemampuannya ",W3,"dalam ",$AC$4)</calculatedColumnFormula>
    </tableColumn>
  </tableColumns>
  <tableStyleInfo name="TableStyleLight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61E0100-505C-4BA5-90A5-E03AAB927EAE}" name="Mid.Week.R" displayName="Mid.Week.R" ref="BA2:BI27" totalsRowShown="0" headerRowDxfId="346" dataDxfId="344" headerRowBorderDxfId="345" tableBorderDxfId="343" totalsRowBorderDxfId="342">
  <autoFilter ref="BA2:BI27" xr:uid="{622FEE11-82D9-4763-B259-9BDAA97047F5}"/>
  <tableColumns count="9">
    <tableColumn id="1" xr3:uid="{A72EB973-8A6A-42CC-8834-964E13149079}" name="Week 1" dataDxfId="341">
      <calculatedColumnFormula>CONCATENATE(NSi.TS[[#This Row],[KU.1]],(IF(A.LoE[[#This Row],[LE.1]]="-","-",IF(A.LoE[[#This Row],[LE.1]]&gt;=90,1,IF(A.LoE[[#This Row],[LE.1]]&gt;=80,2,IF(A.LoE[[#This Row],[LE.1]]&gt;=70,3,IF(A.LoE[[#This Row],[LE.1]]&gt;=1,4,5)))))))</calculatedColumnFormula>
    </tableColumn>
    <tableColumn id="3" xr3:uid="{B6E30AFC-56DA-4FE9-98EF-0DB10911CC80}" name="Week 2" dataDxfId="340">
      <calculatedColumnFormula>_xlfn.TEXTJOIN("",TRUE,NSi.TS[[#This Row],[KU.2]],(IF(A.LoE[[#This Row],[LE.2]]="-","-",IF(A.LoE[[#This Row],[LE.2]]&gt;=90,1,IF(A.LoE[[#This Row],[LE.2]]&gt;=80,2,IF(A.LoE[[#This Row],[LE.2]]&gt;=70,3,IF(A.LoE[[#This Row],[LE.2]]&gt;=1,4,5)))))))</calculatedColumnFormula>
    </tableColumn>
    <tableColumn id="10" xr3:uid="{7596A007-F773-48C2-8C58-78C15414F5C1}" name="Week 3" dataDxfId="339">
      <calculatedColumnFormula>_xlfn.TEXTJOIN("",TRUE,NSi.TS[[#This Row],[KU.3]],(IF(A.LoE[[#This Row],[LE.3]]="-","-",IF(A.LoE[[#This Row],[LE.3]]&gt;=90,1,IF(A.LoE[[#This Row],[LE.3]]&gt;=80,2,IF(A.LoE[[#This Row],[LE.3]]&gt;=70,3,IF(A.LoE[[#This Row],[LE.3]]&gt;=1,4,5)))))))</calculatedColumnFormula>
    </tableColumn>
    <tableColumn id="9" xr3:uid="{EAFDB83E-BBEB-4526-B5E9-1421EA68ACE4}" name="Week 4" dataDxfId="338">
      <calculatedColumnFormula>_xlfn.TEXTJOIN("",TRUE,NSi.TS[[#This Row],[KU.4]],(IF(A.LoE[[#This Row],[LE.4]]="-","-",IF(A.LoE[[#This Row],[LE.4]]&gt;=90,1,IF(A.LoE[[#This Row],[LE.4]]&gt;=80,2,IF(A.LoE[[#This Row],[LE.4]]&gt;=70,3,IF(A.LoE[[#This Row],[LE.4]]&gt;=1,4,5)))))))</calculatedColumnFormula>
    </tableColumn>
    <tableColumn id="8" xr3:uid="{6207A27F-BD09-4E9D-9170-856A6BB237FD}" name="Week 5" dataDxfId="337">
      <calculatedColumnFormula>_xlfn.TEXTJOIN("",TRUE,NSi.TS[[#This Row],[KU.5]],(IF(A.LoE[[#This Row],[LE.5]]="-","-",IF(A.LoE[[#This Row],[LE.5]]&gt;=90,1,IF(A.LoE[[#This Row],[LE.5]]&gt;=80,2,IF(A.LoE[[#This Row],[LE.5]]&gt;=70,3,IF(A.LoE[[#This Row],[LE.5]]&gt;=1,4,5)))))))</calculatedColumnFormula>
    </tableColumn>
    <tableColumn id="7" xr3:uid="{116440BF-BC41-4EBA-96E3-71B9F7C07B42}" name="Week 6" dataDxfId="336">
      <calculatedColumnFormula>_xlfn.TEXTJOIN("",TRUE,NSi.TS[[#This Row],[KU.6]],(IF(A.LoE[[#This Row],[LE.6]]="-","-",IF(A.LoE[[#This Row],[LE.6]]&gt;=90,1,IF(A.LoE[[#This Row],[LE.6]]&gt;=80,2,IF(A.LoE[[#This Row],[LE.6]]&gt;=70,3,IF(A.LoE[[#This Row],[LE.6]]&gt;=1,4,5)))))))</calculatedColumnFormula>
    </tableColumn>
    <tableColumn id="6" xr3:uid="{7BD3540B-22B2-40A3-B2D3-834CCB8A8AFE}" name="Week 7" dataDxfId="335">
      <calculatedColumnFormula>_xlfn.TEXTJOIN("",TRUE,NSi.TS[[#This Row],[KU.7]],(IF(A.LoE[[#This Row],[LE.7]]="-","-",IF(A.LoE[[#This Row],[LE.7]]&gt;=90,1,IF(A.LoE[[#This Row],[LE.7]]&gt;=80,2,IF(A.LoE[[#This Row],[LE.7]]&gt;=70,3,IF(A.LoE[[#This Row],[LE.7]]&gt;=1,4,5)))))))</calculatedColumnFormula>
    </tableColumn>
    <tableColumn id="5" xr3:uid="{9F509557-AC80-4515-819B-7E592E0C2DD8}" name="Week 8" dataDxfId="334">
      <calculatedColumnFormula>_xlfn.TEXTJOIN("",TRUE,NSi.TS[[#This Row],[KU.8]],(IF(A.LoE[[#This Row],[LE.8]]="-","-",IF(A.LoE[[#This Row],[LE.8]]&gt;=90,1,IF(A.LoE[[#This Row],[LE.8]]&gt;=80,2,IF(A.LoE[[#This Row],[LE.8]]&gt;=70,3,IF(A.LoE[[#This Row],[LE.8]]&gt;=1,4,5)))))))</calculatedColumnFormula>
    </tableColumn>
    <tableColumn id="4" xr3:uid="{8B0197D6-E210-4BD2-A0FC-0E7BDA987ACC}" name="Week 9" dataDxfId="333">
      <calculatedColumnFormula>_xlfn.TEXTJOIN("",TRUE,NSi.TS[[#This Row],[KU.9]],(IF(A.LoE[[#This Row],[LE.9]]="-","-",IF(A.LoE[[#This Row],[LE.9]]&gt;=90,1,IF(A.LoE[[#This Row],[LE.9]]&gt;=80,2,IF(A.LoE[[#This Row],[LE.9]]&gt;=70,3,IF(A.LoE[[#This Row],[LE.9]]&gt;=1,4,5)))))))</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DEF2D698-25F0-49E7-B565-C0C5A2C30FFF}" name="A.LoE" displayName="A.LoE" ref="BK2:BS27" totalsRowShown="0" headerRowDxfId="332" dataDxfId="330" headerRowBorderDxfId="331" tableBorderDxfId="329" totalsRowBorderDxfId="328">
  <autoFilter ref="BK2:BS27" xr:uid="{7AC1B0CA-E2AC-4A60-98FB-62FF0F60E91E}"/>
  <tableColumns count="9">
    <tableColumn id="1" xr3:uid="{8C3D9AC3-B450-4F7C-B403-713831BA3EAB}" name="LE.1" dataDxfId="327">
      <calculatedColumnFormula>IFERROR(ROUND(AVERAGE(Con.Sk[[#This Row],[TJ.1]:[Pro-A.1]]),0),"-")</calculatedColumnFormula>
    </tableColumn>
    <tableColumn id="2" xr3:uid="{9C2175A3-E409-40EA-B727-C7D613B04792}" name="LE.2" dataDxfId="326">
      <calculatedColumnFormula>IFERROR(ROUND(AVERAGE(Con.Sk[[#This Row],[TJ.2]:[Pro-A.2]]),0),"-")</calculatedColumnFormula>
    </tableColumn>
    <tableColumn id="3" xr3:uid="{A4208016-1F65-409B-8D3F-7163A6815A45}" name="LE.3" dataDxfId="325">
      <calculatedColumnFormula>IFERROR(ROUND(AVERAGE(Con.Sk[[#This Row],[TJ.3]:[Pro-A.3]]),0),"-")</calculatedColumnFormula>
    </tableColumn>
    <tableColumn id="4" xr3:uid="{75C03E4D-F145-44BC-8E88-52DFA488818E}" name="LE.4" dataDxfId="324">
      <calculatedColumnFormula>IFERROR(ROUND(AVERAGE(Con.Sk[[#This Row],[TJ.4]:[Pro-A.4]]),0),"-")</calculatedColumnFormula>
    </tableColumn>
    <tableColumn id="5" xr3:uid="{31CAE339-4105-428B-A17F-EAD3BA6BDF7F}" name="LE.5" dataDxfId="323">
      <calculatedColumnFormula>IFERROR(ROUND(AVERAGE(Con.Sk[[#This Row],[TJ.5]:[Pro-A.5]]),0),"-")</calculatedColumnFormula>
    </tableColumn>
    <tableColumn id="6" xr3:uid="{D63DB87A-68C5-43FC-8461-16DF5C5FEF6A}" name="LE.6" dataDxfId="322">
      <calculatedColumnFormula>IFERROR(ROUND(AVERAGE(Con.Sk[[#This Row],[TJ.6]:[Pro-A.6]]),0),"-")</calculatedColumnFormula>
    </tableColumn>
    <tableColumn id="7" xr3:uid="{1F5A6222-718A-49DC-BC68-D653FDD094D4}" name="LE.7" dataDxfId="321">
      <calculatedColumnFormula>IFERROR(ROUND(AVERAGE(Con.Sk[[#This Row],[TJ.7]:[Pro-A.7]]),0),"-")</calculatedColumnFormula>
    </tableColumn>
    <tableColumn id="8" xr3:uid="{5C7CA969-F6AE-40A7-8878-352098CC60F7}" name="LE.8" dataDxfId="320">
      <calculatedColumnFormula>IFERROR(ROUND(AVERAGE(Con.Sk[[#This Row],[TJ.8]:[Pro-A.8]]),0),"-")</calculatedColumnFormula>
    </tableColumn>
    <tableColumn id="9" xr3:uid="{DD80CEA4-B7C6-4EEC-BBE3-65FC17DE2955}" name="LE.9" dataDxfId="319">
      <calculatedColumnFormula>IFERROR(ROUND(AVERAGE(Con.Sk[[#This Row],[TJ.9]:[Pro-A.9]]),0),"-")</calculatedColumnFormula>
    </tableColumn>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87F9B13-6CFA-474B-9837-7941201FAF2D}" name="Con.Sk" displayName="Con.Sk" ref="BX2:DP27" totalsRowShown="0" headerRowDxfId="318" dataDxfId="316" headerRowBorderDxfId="317" tableBorderDxfId="315" totalsRowBorderDxfId="314">
  <autoFilter ref="BX2:DP27" xr:uid="{568A4AAF-F7BF-4DD6-958D-C4FC5EAEDEFE}"/>
  <tableColumns count="45">
    <tableColumn id="1" xr3:uid="{42F5B4C3-945F-4EB6-88A1-C0C3FDC502E1}" name="KU.1" dataDxfId="313">
      <calculatedColumnFormula>IF(NSi.TS[[#This Row],[KU.1]]="A",100,IF(NSi.TS[[#This Row],[KU.1]]="B",89,IF(NSi.TS[[#This Row],[KU.1]]="C",79,IF(NSi.TS[[#This Row],[KU.1]]="D",69,IF(NSi.TS[[#This Row],[KU.1]]="E",0,"-")))))</calculatedColumnFormula>
    </tableColumn>
    <tableColumn id="2" xr3:uid="{8BDF36ED-9349-4DD6-A129-F0E3E08004B1}" name="TJ.1" dataDxfId="312">
      <calculatedColumnFormula>IF(NSi.TS[[#This Row],[TJ.1]]=1,100,IF(NSi.TS[[#This Row],[TJ.1]]=2,89,IF(NSi.TS[[#This Row],[TJ.1]]=3,79,IF(NSi.TS[[#This Row],[TJ.1]]=4,69,IF(NSi.TS[[#This Row],[TJ.1]]=5,0,"-")))))</calculatedColumnFormula>
    </tableColumn>
    <tableColumn id="3" xr3:uid="{60BD9FCC-5353-4922-951F-ED2D9DCB30DE}" name="Ker.1" dataDxfId="311">
      <calculatedColumnFormula>IF(NSi.TS[[#This Row],[Ker.1]]=1,100,IF(NSi.TS[[#This Row],[Ker.1]]=2,89,IF(NSi.TS[[#This Row],[Ker.1]]=3,79,IF(NSi.TS[[#This Row],[Ker.1]]=4,69,IF(NSi.TS[[#This Row],[Ker.1]]=5,0,"-")))))</calculatedColumnFormula>
    </tableColumn>
    <tableColumn id="4" xr3:uid="{F7A595D8-2C08-47AF-AF18-89927338AE57}" name="Ped.1" dataDxfId="310">
      <calculatedColumnFormula>IF(NSi.TS[[#This Row],[Ped.1]]=1,100,IF(NSi.TS[[#This Row],[Ped.1]]=2,89,IF(NSi.TS[[#This Row],[Ped.1]]=3,79,IF(NSi.TS[[#This Row],[Ped.1]]=4,69,IF(NSi.TS[[#This Row],[Ped.1]]=5,0,"-")))))</calculatedColumnFormula>
    </tableColumn>
    <tableColumn id="5" xr3:uid="{B27EFA5E-6FCA-490C-B96C-8B6712B4B471}" name="Pro-A.1" dataDxfId="309">
      <calculatedColumnFormula>IF(NSi.TS[[#This Row],[Pro-A.1]]=1,100,IF(NSi.TS[[#This Row],[Pro-A.1]]=2,89,IF(NSi.TS[[#This Row],[Pro-A.1]]=3,79,IF(NSi.TS[[#This Row],[Pro-A.1]]=4,69,IF(NSi.TS[[#This Row],[Pro-A.1]]=5,0,"-")))))</calculatedColumnFormula>
    </tableColumn>
    <tableColumn id="6" xr3:uid="{14745F52-FA2B-469F-A0EA-CBC464D2CD06}" name="KU.2" dataDxfId="308">
      <calculatedColumnFormula>IF(NSi.TS[[#This Row],[KU.2]]="A",100,IF(NSi.TS[[#This Row],[KU.2]]="B",89,IF(NSi.TS[[#This Row],[KU.2]]="C",79,IF(NSi.TS[[#This Row],[KU.2]]="D",69,IF(NSi.TS[[#This Row],[KU.2]]="E",0,"-")))))</calculatedColumnFormula>
    </tableColumn>
    <tableColumn id="7" xr3:uid="{79E8D544-6712-47FA-B024-E1D8F6F9743D}" name="TJ.2" dataDxfId="307">
      <calculatedColumnFormula>IF(NSi.TS[[#This Row],[TJ.2]]=1,100,IF(NSi.TS[[#This Row],[TJ.2]]=2,89,IF(NSi.TS[[#This Row],[TJ.2]]=3,79,IF(NSi.TS[[#This Row],[TJ.2]]=4,69,IF(NSi.TS[[#This Row],[TJ.2]]=5,0,"-")))))</calculatedColumnFormula>
    </tableColumn>
    <tableColumn id="8" xr3:uid="{C1BA0A07-EF6B-4CFA-8A11-4A761F490EB2}" name="Ker.2" dataDxfId="306">
      <calculatedColumnFormula>IF(NSi.TS[[#This Row],[Ker.2]]=1,100,IF(NSi.TS[[#This Row],[Ker.2]]=2,89,IF(NSi.TS[[#This Row],[Ker.2]]=3,79,IF(NSi.TS[[#This Row],[Ker.2]]=4,69,IF(NSi.TS[[#This Row],[Ker.2]]=5,0,"-")))))</calculatedColumnFormula>
    </tableColumn>
    <tableColumn id="9" xr3:uid="{59DEB591-4C3A-4CB4-8AFB-70AF58ADC439}" name="Ped.2" dataDxfId="305">
      <calculatedColumnFormula>IF(NSi.TS[[#This Row],[Ped.2]]=1,100,IF(NSi.TS[[#This Row],[Ped.2]]=2,89,IF(NSi.TS[[#This Row],[Ped.2]]=3,79,IF(NSi.TS[[#This Row],[Ped.2]]=4,69,IF(NSi.TS[[#This Row],[Ped.2]]=5,0,"-")))))</calculatedColumnFormula>
    </tableColumn>
    <tableColumn id="10" xr3:uid="{5C42B653-C184-461C-90F6-81BF80D0B090}" name="Pro-A.2" dataDxfId="304">
      <calculatedColumnFormula>IF(NSi.TS[[#This Row],[Pro-A.2]]=1,100,IF(NSi.TS[[#This Row],[Pro-A.2]]=2,89,IF(NSi.TS[[#This Row],[Pro-A.2]]=3,79,IF(NSi.TS[[#This Row],[Pro-A.2]]=4,69,IF(NSi.TS[[#This Row],[Pro-A.2]]=5,0,"-")))))</calculatedColumnFormula>
    </tableColumn>
    <tableColumn id="11" xr3:uid="{CD906E9B-24B3-4674-B515-02B09798F61F}" name="KU.3" dataDxfId="303">
      <calculatedColumnFormula>IF(NSi.TS[[#This Row],[KU.3]]="A",100,IF(NSi.TS[[#This Row],[KU.3]]="B",89,IF(NSi.TS[[#This Row],[KU.3]]="C",79,IF(NSi.TS[[#This Row],[KU.3]]="D",69,IF(NSi.TS[[#This Row],[KU.3]]="E",0,"-")))))</calculatedColumnFormula>
    </tableColumn>
    <tableColumn id="12" xr3:uid="{E68D928A-6B10-49C7-9660-764F7655DEC0}" name="TJ.3" dataDxfId="302">
      <calculatedColumnFormula>IF(NSi.TS[[#This Row],[TJ.3]]=1,100,IF(NSi.TS[[#This Row],[TJ.3]]=2,89,IF(NSi.TS[[#This Row],[TJ.3]]=3,79,IF(NSi.TS[[#This Row],[TJ.3]]=4,69,IF(NSi.TS[[#This Row],[TJ.3]]=5,0,"-")))))</calculatedColumnFormula>
    </tableColumn>
    <tableColumn id="13" xr3:uid="{0F982BA8-72F7-45DA-8204-092448BC5D60}" name="Ker.3" dataDxfId="301">
      <calculatedColumnFormula>IF(NSi.TS[[#This Row],[Ker.3]]=1,100,IF(NSi.TS[[#This Row],[Ker.3]]=2,89,IF(NSi.TS[[#This Row],[Ker.3]]=3,79,IF(NSi.TS[[#This Row],[Ker.3]]=4,69,IF(NSi.TS[[#This Row],[Ker.3]]=5,0,"-")))))</calculatedColumnFormula>
    </tableColumn>
    <tableColumn id="14" xr3:uid="{F0DEC5F2-9B5A-4EC3-9C01-0A2BBB791C79}" name="Ped.3" dataDxfId="300">
      <calculatedColumnFormula>IF(NSi.TS[[#This Row],[Ped.3]]=1,100,IF(NSi.TS[[#This Row],[Ped.3]]=2,89,IF(NSi.TS[[#This Row],[Ped.3]]=3,79,IF(NSi.TS[[#This Row],[Ped.3]]=4,69,IF(NSi.TS[[#This Row],[Ped.3]]=5,0,"-")))))</calculatedColumnFormula>
    </tableColumn>
    <tableColumn id="15" xr3:uid="{FC9E99CA-3DC9-4CB3-A3B4-85832AB654EB}" name="Pro-A.3" dataDxfId="299">
      <calculatedColumnFormula>IF(NSi.TS[[#This Row],[Pro-A.3]]=1,100,IF(NSi.TS[[#This Row],[Pro-A.3]]=2,89,IF(NSi.TS[[#This Row],[Pro-A.3]]=3,79,IF(NSi.TS[[#This Row],[Pro-A.3]]=4,69,IF(NSi.TS[[#This Row],[Pro-A.3]]=5,0,"-")))))</calculatedColumnFormula>
    </tableColumn>
    <tableColumn id="16" xr3:uid="{E51C9B57-A854-476A-AA2F-EA5167F332E7}" name="KU.4" dataDxfId="298">
      <calculatedColumnFormula>IF(NSi.TS[[#This Row],[KU.4]]="A",100,IF(NSi.TS[[#This Row],[KU.4]]="B",89,IF(NSi.TS[[#This Row],[KU.4]]="C",79,IF(NSi.TS[[#This Row],[KU.4]]="D",69,IF(NSi.TS[[#This Row],[KU.4]]="E",0,"-")))))</calculatedColumnFormula>
    </tableColumn>
    <tableColumn id="17" xr3:uid="{E7C07C7D-3F97-44A1-B456-576C22103147}" name="TJ.4" dataDxfId="297">
      <calculatedColumnFormula>IF(NSi.TS[[#This Row],[TJ.4]]=1,100,IF(NSi.TS[[#This Row],[TJ.4]]=2,89,IF(NSi.TS[[#This Row],[TJ.4]]=3,79,IF(NSi.TS[[#This Row],[TJ.4]]=4,69,IF(NSi.TS[[#This Row],[TJ.4]]=5,0,"-")))))</calculatedColumnFormula>
    </tableColumn>
    <tableColumn id="18" xr3:uid="{10859023-6ED3-4A6F-9FDB-B3578A7959E7}" name="Ker.4" dataDxfId="296">
      <calculatedColumnFormula>IF(NSi.TS[[#This Row],[Ker.4]]=1,100,IF(NSi.TS[[#This Row],[Ker.4]]=2,89,IF(NSi.TS[[#This Row],[Ker.4]]=3,79,IF(NSi.TS[[#This Row],[Ker.4]]=4,69,IF(NSi.TS[[#This Row],[Ker.4]]=5,0,"-")))))</calculatedColumnFormula>
    </tableColumn>
    <tableColumn id="19" xr3:uid="{BBD05E4E-C274-4893-B910-314E9AC69364}" name="Ped.4" dataDxfId="295">
      <calculatedColumnFormula>IF(NSi.TS[[#This Row],[Ped.4]]=1,100,IF(NSi.TS[[#This Row],[Ped.4]]=2,89,IF(NSi.TS[[#This Row],[Ped.4]]=3,79,IF(NSi.TS[[#This Row],[Ped.4]]=4,69,IF(NSi.TS[[#This Row],[Ped.4]]=5,0,"-")))))</calculatedColumnFormula>
    </tableColumn>
    <tableColumn id="20" xr3:uid="{E6EE76B6-6307-404F-923C-EE8E1226BC6D}" name="Pro-A.4" dataDxfId="294">
      <calculatedColumnFormula>IF(NSi.TS[[#This Row],[Pro-A.4]]=1,100,IF(NSi.TS[[#This Row],[Pro-A.4]]=2,89,IF(NSi.TS[[#This Row],[Pro-A.4]]=3,79,IF(NSi.TS[[#This Row],[Pro-A.4]]=4,69,IF(NSi.TS[[#This Row],[Pro-A.4]]=5,0,"-")))))</calculatedColumnFormula>
    </tableColumn>
    <tableColumn id="21" xr3:uid="{722D40C6-07EE-45AB-ACB1-5C40C8C523EC}" name="KU.5" dataDxfId="293">
      <calculatedColumnFormula>IF(NSi.TS[[#This Row],[KU.5]]="A",100,IF(NSi.TS[[#This Row],[KU.5]]="B",89,IF(NSi.TS[[#This Row],[KU.5]]="C",79,IF(NSi.TS[[#This Row],[KU.5]]="D",69,IF(NSi.TS[[#This Row],[KU.5]]="E",0,"-")))))</calculatedColumnFormula>
    </tableColumn>
    <tableColumn id="22" xr3:uid="{6C55F34B-F568-4A27-8DED-16F403CB17A7}" name="TJ.5" dataDxfId="292">
      <calculatedColumnFormula>IF(NSi.TS[[#This Row],[TJ.5]]=1,100,IF(NSi.TS[[#This Row],[TJ.5]]=2,89,IF(NSi.TS[[#This Row],[TJ.5]]=3,79,IF(NSi.TS[[#This Row],[TJ.5]]=4,69,IF(NSi.TS[[#This Row],[TJ.5]]=5,0,"-")))))</calculatedColumnFormula>
    </tableColumn>
    <tableColumn id="23" xr3:uid="{39E92EE1-8FF4-4B3A-A340-30DE24504FEF}" name="Ker.5" dataDxfId="291">
      <calculatedColumnFormula>IF(NSi.TS[[#This Row],[Ker.5]]=1,100,IF(NSi.TS[[#This Row],[Ker.5]]=2,89,IF(NSi.TS[[#This Row],[Ker.5]]=3,79,IF(NSi.TS[[#This Row],[Ker.5]]=4,69,IF(NSi.TS[[#This Row],[Ker.5]]=5,0,"-")))))</calculatedColumnFormula>
    </tableColumn>
    <tableColumn id="24" xr3:uid="{B7BE2EE8-DF18-4ECD-AE56-446393A224D3}" name="Ped.5" dataDxfId="290">
      <calculatedColumnFormula>IF(NSi.TS[[#This Row],[Ped.5]]=1,100,IF(NSi.TS[[#This Row],[Ped.5]]=2,89,IF(NSi.TS[[#This Row],[Ped.5]]=3,79,IF(NSi.TS[[#This Row],[Ped.5]]=4,69,IF(NSi.TS[[#This Row],[Ped.5]]=5,0,"-")))))</calculatedColumnFormula>
    </tableColumn>
    <tableColumn id="25" xr3:uid="{FE4A8342-6521-4513-8AEC-FCBE11E4B521}" name="Pro-A.5" dataDxfId="289">
      <calculatedColumnFormula>IF(NSi.TS[[#This Row],[Pro-A.5]]=1,100,IF(NSi.TS[[#This Row],[Pro-A.5]]=2,89,IF(NSi.TS[[#This Row],[Pro-A.5]]=3,79,IF(NSi.TS[[#This Row],[Pro-A.5]]=4,69,IF(NSi.TS[[#This Row],[Pro-A.5]]=5,0,"-")))))</calculatedColumnFormula>
    </tableColumn>
    <tableColumn id="26" xr3:uid="{785B760C-305C-45F5-A90F-3D65C33DC862}" name="KU.6" dataDxfId="288">
      <calculatedColumnFormula>IF(NSi.TS[[#This Row],[KU.6]]="A",100,IF(NSi.TS[[#This Row],[KU.6]]="B",89,IF(NSi.TS[[#This Row],[KU.6]]="C",79,IF(NSi.TS[[#This Row],[KU.6]]="D",69,IF(NSi.TS[[#This Row],[KU.6]]="E",0,"-")))))</calculatedColumnFormula>
    </tableColumn>
    <tableColumn id="27" xr3:uid="{58B28CCD-108D-4EDB-8723-89026486DA35}" name="TJ.6" dataDxfId="287">
      <calculatedColumnFormula>IF(NSi.TS[[#This Row],[TJ.6]]=1,100,IF(NSi.TS[[#This Row],[TJ.6]]=2,89,IF(NSi.TS[[#This Row],[TJ.6]]=3,79,IF(NSi.TS[[#This Row],[TJ.6]]=4,69,IF(NSi.TS[[#This Row],[TJ.6]]=5,0,"-")))))</calculatedColumnFormula>
    </tableColumn>
    <tableColumn id="28" xr3:uid="{344B9FC5-4EFF-44D2-8D2F-9CFD70953091}" name="Ker.6" dataDxfId="286">
      <calculatedColumnFormula>IF(NSi.TS[[#This Row],[Ker.6]]=1,100,IF(NSi.TS[[#This Row],[Ker.6]]=2,89,IF(NSi.TS[[#This Row],[Ker.6]]=3,79,IF(NSi.TS[[#This Row],[Ker.6]]=4,69,IF(NSi.TS[[#This Row],[Ker.6]]=5,0,"-")))))</calculatedColumnFormula>
    </tableColumn>
    <tableColumn id="29" xr3:uid="{8060F67F-9612-40B9-9890-772211533ACC}" name="Ped.6" dataDxfId="285">
      <calculatedColumnFormula>IF(NSi.TS[[#This Row],[Ped.6]]=1,100,IF(NSi.TS[[#This Row],[Ped.6]]=2,89,IF(NSi.TS[[#This Row],[Ped.6]]=3,79,IF(NSi.TS[[#This Row],[Ped.6]]=4,69,IF(NSi.TS[[#This Row],[Ped.6]]=5,0,"-")))))</calculatedColumnFormula>
    </tableColumn>
    <tableColumn id="30" xr3:uid="{CFE9F17F-06F8-4A48-9082-71AE12CD5CE4}" name="Pro-A.6" dataDxfId="284">
      <calculatedColumnFormula>IF(NSi.TS[[#This Row],[Pro-A.6]]=1,100,IF(NSi.TS[[#This Row],[Pro-A.6]]=2,89,IF(NSi.TS[[#This Row],[Pro-A.6]]=3,79,IF(NSi.TS[[#This Row],[Pro-A.6]]=4,69,IF(NSi.TS[[#This Row],[Pro-A.6]]=5,0,"-")))))</calculatedColumnFormula>
    </tableColumn>
    <tableColumn id="31" xr3:uid="{C62AF072-51C3-417E-86D2-2F6C18A4BE71}" name="KU.7" dataDxfId="283">
      <calculatedColumnFormula>IF(NSi.TS[[#This Row],[KU.7]]="A",100,IF(NSi.TS[[#This Row],[KU.7]]="B",89,IF(NSi.TS[[#This Row],[KU.7]]="C",79,IF(NSi.TS[[#This Row],[KU.7]]="D",69,IF(NSi.TS[[#This Row],[KU.7]]="E",0,"-")))))</calculatedColumnFormula>
    </tableColumn>
    <tableColumn id="32" xr3:uid="{04566A4D-A6AD-4612-9CF9-152255949FAF}" name="TJ.7" dataDxfId="282">
      <calculatedColumnFormula>IF(NSi.TS[[#This Row],[TJ.7]]=1,100,IF(NSi.TS[[#This Row],[TJ.7]]=2,89,IF(NSi.TS[[#This Row],[TJ.7]]=3,79,IF(NSi.TS[[#This Row],[TJ.7]]=4,69,IF(NSi.TS[[#This Row],[TJ.7]]=5,0,"-")))))</calculatedColumnFormula>
    </tableColumn>
    <tableColumn id="33" xr3:uid="{6E59D36C-BC96-46AC-A0A7-799C50808A5F}" name="Ker.7" dataDxfId="281">
      <calculatedColumnFormula>IF(NSi.TS[[#This Row],[Ker.7]]=1,100,IF(NSi.TS[[#This Row],[Ker.7]]=2,89,IF(NSi.TS[[#This Row],[Ker.7]]=3,79,IF(NSi.TS[[#This Row],[Ker.7]]=4,69,IF(NSi.TS[[#This Row],[Ker.7]]=5,0,"-")))))</calculatedColumnFormula>
    </tableColumn>
    <tableColumn id="34" xr3:uid="{DBDCF510-0298-4D13-8FAE-E429E48D7ABC}" name="Ped.7" dataDxfId="280">
      <calculatedColumnFormula>IF(NSi.TS[[#This Row],[Ped.7]]=1,100,IF(NSi.TS[[#This Row],[Ped.7]]=2,89,IF(NSi.TS[[#This Row],[Ped.7]]=3,79,IF(NSi.TS[[#This Row],[Ped.7]]=4,69,IF(NSi.TS[[#This Row],[Ped.7]]=5,0,"-")))))</calculatedColumnFormula>
    </tableColumn>
    <tableColumn id="35" xr3:uid="{B3FCB410-0BA7-424D-8393-5624CE3EF84B}" name="Pro-A.7" dataDxfId="279">
      <calculatedColumnFormula>IF(NSi.TS[[#This Row],[Pro-A.7]]=1,100,IF(NSi.TS[[#This Row],[Pro-A.7]]=2,89,IF(NSi.TS[[#This Row],[Pro-A.7]]=3,79,IF(NSi.TS[[#This Row],[Pro-A.7]]=4,69,IF(NSi.TS[[#This Row],[Pro-A.7]]=5,0,"-")))))</calculatedColumnFormula>
    </tableColumn>
    <tableColumn id="36" xr3:uid="{50FCB5C9-E4C5-485F-970E-6E772C463D0A}" name="KU.8" dataDxfId="278">
      <calculatedColumnFormula>IF(NSi.TS[[#This Row],[KU.8]]="A",100,IF(NSi.TS[[#This Row],[KU.8]]="B",89,IF(NSi.TS[[#This Row],[KU.8]]="C",79,IF(NSi.TS[[#This Row],[KU.8]]="D",69,IF(NSi.TS[[#This Row],[KU.8]]="E",0,"-")))))</calculatedColumnFormula>
    </tableColumn>
    <tableColumn id="37" xr3:uid="{8BF6598F-6A2D-4C30-BCB0-A1C43203568F}" name="TJ.8" dataDxfId="277">
      <calculatedColumnFormula>IF(NSi.TS[[#This Row],[TJ.8]]=1,100,IF(NSi.TS[[#This Row],[TJ.8]]=2,89,IF(NSi.TS[[#This Row],[TJ.8]]=3,79,IF(NSi.TS[[#This Row],[TJ.8]]=4,69,IF(NSi.TS[[#This Row],[TJ.8]]=5,0,"-")))))</calculatedColumnFormula>
    </tableColumn>
    <tableColumn id="38" xr3:uid="{6E388A34-BD41-4657-A7E1-DEDC2174D9FE}" name="Ker.8" dataDxfId="276">
      <calculatedColumnFormula>IF(NSi.TS[[#This Row],[Ker.8]]=1,100,IF(NSi.TS[[#This Row],[Ker.8]]=2,89,IF(NSi.TS[[#This Row],[Ker.8]]=3,79,IF(NSi.TS[[#This Row],[Ker.8]]=4,69,IF(NSi.TS[[#This Row],[Ker.8]]=5,0,"-")))))</calculatedColumnFormula>
    </tableColumn>
    <tableColumn id="39" xr3:uid="{3C875097-A6FF-4CBD-953F-FAC87088D788}" name="Ped.8" dataDxfId="275">
      <calculatedColumnFormula>IF(NSi.TS[[#This Row],[Ped.8]]=1,100,IF(NSi.TS[[#This Row],[Ped.8]]=2,89,IF(NSi.TS[[#This Row],[Ped.8]]=3,79,IF(NSi.TS[[#This Row],[Ped.8]]=4,69,IF(NSi.TS[[#This Row],[Ped.8]]=5,0,"-")))))</calculatedColumnFormula>
    </tableColumn>
    <tableColumn id="40" xr3:uid="{8FB3C960-8266-40A7-B85B-FA4C2A9AC974}" name="Pro-A.8" dataDxfId="274">
      <calculatedColumnFormula>IF(NSi.TS[[#This Row],[Pro-A.8]]=1,100,IF(NSi.TS[[#This Row],[Pro-A.8]]=2,89,IF(NSi.TS[[#This Row],[Pro-A.8]]=3,79,IF(NSi.TS[[#This Row],[Pro-A.8]]=4,69,IF(NSi.TS[[#This Row],[Pro-A.8]]=5,0,"-")))))</calculatedColumnFormula>
    </tableColumn>
    <tableColumn id="41" xr3:uid="{E21FCE1B-0987-48CD-8E42-30A4BF283E36}" name="KU.9" dataDxfId="273">
      <calculatedColumnFormula>IF(NSi.TS[[#This Row],[KU.9]]="A",100,IF(NSi.TS[[#This Row],[KU.9]]="B",89,IF(NSi.TS[[#This Row],[KU.9]]="C",79,IF(NSi.TS[[#This Row],[KU.9]]="D",69,IF(NSi.TS[[#This Row],[KU.9]]="E",0,"-")))))</calculatedColumnFormula>
    </tableColumn>
    <tableColumn id="42" xr3:uid="{63397430-773D-4D38-B33C-843865974B6B}" name="TJ.9" dataDxfId="272">
      <calculatedColumnFormula>IF(NSi.TS[[#This Row],[TJ.9]]=1,100,IF(NSi.TS[[#This Row],[TJ.9]]=2,89,IF(NSi.TS[[#This Row],[TJ.9]]=3,79,IF(NSi.TS[[#This Row],[TJ.9]]=4,69,IF(NSi.TS[[#This Row],[TJ.9]]=5,0,"-")))))</calculatedColumnFormula>
    </tableColumn>
    <tableColumn id="43" xr3:uid="{64F6BB43-940B-49D3-AE4C-45D21D64F0E4}" name="Ker.9" dataDxfId="271">
      <calculatedColumnFormula>IF(NSi.TS[[#This Row],[Ker.9]]=1,100,IF(NSi.TS[[#This Row],[Ker.9]]=2,89,IF(NSi.TS[[#This Row],[Ker.9]]=3,79,IF(NSi.TS[[#This Row],[Ker.9]]=4,69,IF(NSi.TS[[#This Row],[Ker.9]]=5,0,"-")))))</calculatedColumnFormula>
    </tableColumn>
    <tableColumn id="44" xr3:uid="{4E6481F9-9552-4D12-96A9-4B5F73806D5B}" name="Ped.9" dataDxfId="270">
      <calculatedColumnFormula>IF(NSi.TS[[#This Row],[Ped.9]]=1,100,IF(NSi.TS[[#This Row],[Ped.9]]=2,89,IF(NSi.TS[[#This Row],[Ped.9]]=3,79,IF(NSi.TS[[#This Row],[Ped.9]]=4,69,IF(NSi.TS[[#This Row],[Ped.9]]=5,0,"-")))))</calculatedColumnFormula>
    </tableColumn>
    <tableColumn id="45" xr3:uid="{65136694-E01C-4BC8-9AD6-BCCE94ED706E}" name="Pro-A.9" dataDxfId="269">
      <calculatedColumnFormula>IF(NSi.TS[[#This Row],[Pro-A.9]]=1,100,IF(NSi.TS[[#This Row],[Pro-A.9]]=2,89,IF(NSi.TS[[#This Row],[Pro-A.9]]=3,79,IF(NSi.TS[[#This Row],[Pro-A.9]]=4,69,IF(NSi.TS[[#This Row],[Pro-A.9]]=5,0,"-")))))</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FD1EEF4-1761-4D3B-B79A-5DB31580CC3E}" name="CSCR" displayName="CSCR" ref="BU2:BV27" totalsRowShown="0" headerRowDxfId="268" headerRowBorderDxfId="267" tableBorderDxfId="266" totalsRowBorderDxfId="265">
  <autoFilter ref="BU2:BV27" xr:uid="{31828A06-E6A7-42A1-8247-CDFCBCDE56F5}"/>
  <tableColumns count="2">
    <tableColumn id="1" xr3:uid="{AE1B0309-FCDD-4401-96D6-F619D41301C1}" name="KU Average" dataDxfId="264">
      <calculatedColumnFormula>IFERROR(ROUND(AVERAGE(Con.Sk[[#This Row],[KU.1]],Con.Sk[[#This Row],[KU.2]],Con.Sk[[#This Row],[KU.3]],Con.Sk[[#This Row],[KU.4]],Con.Sk[[#This Row],[KU.5]],Con.Sk[[#This Row],[KU.6]],Con.Sk[[#This Row],[KU.7]],Con.Sk[[#This Row],[KU.8]],Con.Sk[[#This Row],[KU.9]]),0),"")</calculatedColumnFormula>
    </tableColumn>
    <tableColumn id="2" xr3:uid="{5A479A9C-39FE-4B26-A4EE-3754C7CCBFAE}" name="TKPP Average" dataDxfId="263">
      <calculatedColumnFormula>IFERROR(ROUND(AVERAGE(Con.Sk[[#This Row],[TJ.1]:[Pro-A.1]],Con.Sk[[#This Row],[TJ.2]:[Pro-A.2]],Con.Sk[[#This Row],[TJ.3]:[Pro-A.3]],Con.Sk[[#This Row],[TJ.4]:[Pro-A.4]],Con.Sk[[#This Row],[TJ.5]:[Pro-A.5]],Con.Sk[[#This Row],[TJ.6]:[Pro-A.6]],Con.Sk[[#This Row],[TJ.7]:[Pro-A.7]],Con.Sk[[#This Row],[TJ.8]:[Pro-A.8]],Con.Sk[[#This Row],[TJ.9]:[Pro-A.9]]),0),"")</calculatedColumnFormula>
    </tableColumn>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31CB46-33F9-49EE-B179-5C7B860912E6}" name="Mid.S" displayName="Mid.S" ref="A3:Y28" totalsRowShown="0" headerRowDxfId="261" dataDxfId="259" headerRowBorderDxfId="260" tableBorderDxfId="258" totalsRowBorderDxfId="257">
  <autoFilter ref="A3:Y28" xr:uid="{35726CA7-7731-4FAA-ADF6-59ECB1C6EA9E}"/>
  <tableColumns count="25">
    <tableColumn id="1" xr3:uid="{8B890536-2593-4F6E-9571-B83AE80C5E57}" name="No" dataDxfId="256">
      <calculatedColumnFormula>IF('NS (Mid.S)'!A3=0,"",'NS (Mid.S)'!A3)</calculatedColumnFormula>
    </tableColumn>
    <tableColumn id="2" xr3:uid="{AAFD35DF-F2D8-4E5E-BE03-B6FFCA23C23B}" name="Nama Siswa" dataDxfId="255">
      <calculatedColumnFormula>IF('NS (Mid.S)'!B3=0,"",'NS (Mid.S)'!B3)</calculatedColumnFormula>
    </tableColumn>
    <tableColumn id="3" xr3:uid="{1524FFF6-57F0-447B-9004-7AF30CD66681}" name="Nomor Induk" dataDxfId="254">
      <calculatedColumnFormula>IF('NS (Mid.S)'!C3=0,"",'NS (Mid.S)'!C3)</calculatedColumnFormula>
    </tableColumn>
    <tableColumn id="25" xr3:uid="{8C498AAA-4C04-428B-93C5-9C1CFAFFBFE1}" name="NISN" dataDxfId="253">
      <calculatedColumnFormula>IF('NS (Mid.S)'!D3=0,"",'NS (Mid.S)'!D3)</calculatedColumnFormula>
    </tableColumn>
    <tableColumn id="4" xr3:uid="{1EACCED0-3CDA-4FEC-873D-F4CFA40E9280}" name="Jurusan" dataDxfId="252">
      <calculatedColumnFormula>IF('NS (Mid.S)'!E3=0,"",'NS (Mid.S)'!E3)</calculatedColumnFormula>
    </tableColumn>
    <tableColumn id="5" xr3:uid="{6BF5E72D-F7AF-430D-9ACB-CA105A9DC115}" name="NP 1" dataDxfId="251"/>
    <tableColumn id="6" xr3:uid="{7096725E-C910-4409-90F7-DDACF58BEBBC}" name="NP 2" dataDxfId="250">
      <calculatedColumnFormula>INT(RAND()*100)</calculatedColumnFormula>
    </tableColumn>
    <tableColumn id="7" xr3:uid="{5750C149-E86D-4979-9F2C-3B8A2A6AFC69}" name="NP 3" dataDxfId="249"/>
    <tableColumn id="8" xr3:uid="{AACD66BC-66A2-4507-BE14-0236998A38AE}" name="NP 4" dataDxfId="248"/>
    <tableColumn id="9" xr3:uid="{A962F7D4-66C6-4744-9E62-6F75A10661B7}" name="NP 5" dataDxfId="247"/>
    <tableColumn id="10" xr3:uid="{74283E1D-2B02-4F6F-9BCA-3A96B29BD1E1}" name="NP 6" dataDxfId="246"/>
    <tableColumn id="11" xr3:uid="{24D76CDA-11D7-4004-92C3-1FBEE14C773B}" name="NP 7" dataDxfId="245"/>
    <tableColumn id="12" xr3:uid="{83410516-660D-4AC7-9894-DC0DB4D3028B}" name="NP 8" dataDxfId="244"/>
    <tableColumn id="13" xr3:uid="{8281E4A2-5D17-445D-BBD9-16F312722CBE}" name="NP 9" dataDxfId="243"/>
    <tableColumn id="14" xr3:uid="{D0D0F4D7-0141-4987-B563-29DC36DC761D}" name="NP 10" dataDxfId="242"/>
    <tableColumn id="15" xr3:uid="{7DD5016A-D91B-477A-8FDC-4E614498196A}" name="Paper 1" dataDxfId="241"/>
    <tableColumn id="16" xr3:uid="{C8100871-0F17-41DA-B54D-4C9B85EF0C2C}" name="Paper 2" dataDxfId="240"/>
    <tableColumn id="17" xr3:uid="{E62707F4-AA02-45E4-B3E8-16D8581D990D}" name="Paper 3" dataDxfId="239"/>
    <tableColumn id="18" xr3:uid="{175A86E2-51D1-46E0-A8EF-55098CC275D2}" name="Nilai P1" dataDxfId="238">
      <calculatedColumnFormula>IFERROR(ROUND((Mid.S[[#This Row],[Paper 1]]/$P$2*100)*$S$2,0),"")</calculatedColumnFormula>
    </tableColumn>
    <tableColumn id="19" xr3:uid="{BF8B5C6F-AF9F-4B33-9D36-D628F5AA683E}" name="Nilai P2" dataDxfId="237"/>
    <tableColumn id="20" xr3:uid="{F9992503-531E-4EBD-A011-DC9101541891}" name="Nilai P3" dataDxfId="236"/>
    <tableColumn id="22" xr3:uid="{167E1924-6F45-4588-A449-2B0D553F073D}" name="Rata2 NP" dataDxfId="235">
      <calculatedColumnFormula>IFERROR(ROUND(AVERAGE(Mid.S[[#This Row],[NP 1]:[NP 10]]),0),"")</calculatedColumnFormula>
    </tableColumn>
    <tableColumn id="21" xr3:uid="{69C11279-132C-48CA-9303-B8605F7B210C}" name="NTS" dataDxfId="234">
      <calculatedColumnFormula>IFERROR(IF(SUM(Mid.S[[#This Row],[Nilai P1]:[Nilai P3]])=0,"",SUM(Mid.S[[#This Row],[Nilai P1]:[Nilai P3]])),"")</calculatedColumnFormula>
    </tableColumn>
    <tableColumn id="23" xr3:uid="{CA01DE85-4368-41E6-A9A1-3F7BCDCF152C}" name="NRap.TS" dataDxfId="233">
      <calculatedColumnFormula>IFERROR(ROUND(((Mid.S[[#This Row],[NTS]]*2)+(Mid.S[[#This Row],[Rata2 NP]]*3))/5,0),"")</calculatedColumnFormula>
    </tableColumn>
    <tableColumn id="24" xr3:uid="{6DF7E8AA-526E-4E9A-8A04-4131D4FD5BD1}" name="Predikat" dataDxfId="232">
      <calculatedColumnFormula>IF(Mid.S[[#This Row],[NRap.TS]]="","Belum Terukur",IF(Mid.S[[#This Row],[NRap.TS]]&gt;=92,"A",IF(Mid.S[[#This Row],[NRap.TS]]&gt;=83,"B",IF(Mid.S[[#This Row],[NRap.TS]]&gt;=75,"C","D"))))</calculatedColumnFormula>
    </tableColumn>
  </tableColumns>
  <tableStyleInfo name="TableStyleLight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8F4F1B76-50E8-4CEB-885A-879C9F907D6C}" name="K.Mid.S" displayName="K.Mid.S" ref="A2:Q27" totalsRowShown="0" headerRowDxfId="230" dataDxfId="228" headerRowBorderDxfId="229" tableBorderDxfId="227" totalsRowBorderDxfId="226">
  <autoFilter ref="A2:Q27" xr:uid="{35726CA7-7731-4FAA-ADF6-59ECB1C6EA9E}"/>
  <tableColumns count="17">
    <tableColumn id="1" xr3:uid="{9B0F4E94-CC83-47E0-9E8D-7E0828F0CF5F}" name="No" dataDxfId="225">
      <calculatedColumnFormula>IF(NSi.TS[[#This Row],[No]]=0,"",NSi.TS[[#This Row],[No]])</calculatedColumnFormula>
    </tableColumn>
    <tableColumn id="2" xr3:uid="{023005B7-52E4-45DE-94B6-09DAD432E208}" name="Nama Siswa" dataDxfId="224">
      <calculatedColumnFormula>IF(NSi.TS[[#This Row],[Nama Siswa]]=0,"",NSi.TS[[#This Row],[Nama Siswa]])</calculatedColumnFormula>
    </tableColumn>
    <tableColumn id="3" xr3:uid="{FA48DB89-0781-40F4-8251-B05F482E3AEA}" name="Nomor Induk" dataDxfId="223">
      <calculatedColumnFormula>IF(NSi.TS[[#This Row],[Nomor Induk]]=0,"",NSi.TS[[#This Row],[Nomor Induk]])</calculatedColumnFormula>
    </tableColumn>
    <tableColumn id="15" xr3:uid="{A4C5D512-C934-4D0E-9012-D1035F439455}" name="NISN" dataDxfId="222">
      <calculatedColumnFormula>IF(NSi.TS[[#This Row],[NISN]]=0,"",NSi.TS[[#This Row],[NISN]])</calculatedColumnFormula>
    </tableColumn>
    <tableColumn id="4" xr3:uid="{1EC28C3B-A14D-4686-9A2E-462B71C2D42B}" name="Jurusan" dataDxfId="221">
      <calculatedColumnFormula>IF(NSi.TS[[#This Row],[Jurusan]]=0,"",NSi.TS[[#This Row],[Jurusan]])</calculatedColumnFormula>
    </tableColumn>
    <tableColumn id="5" xr3:uid="{97820157-D7C1-4327-BD53-3E922463F9EB}" name="NK 1" dataDxfId="220">
      <calculatedColumnFormula>INT(RAND()*100)</calculatedColumnFormula>
    </tableColumn>
    <tableColumn id="6" xr3:uid="{9DFFBCFA-18D8-48D6-BD0F-C357756CDADE}" name="NK 2" dataDxfId="219"/>
    <tableColumn id="7" xr3:uid="{14E29C41-3173-4E2E-B46D-215CDE547F23}" name="NK 3" dataDxfId="218"/>
    <tableColumn id="8" xr3:uid="{F5763FA4-E9C2-4C85-AF80-7F0E109D2BC3}" name="NK 4" dataDxfId="217"/>
    <tableColumn id="9" xr3:uid="{784DD0BA-C9B9-41D3-993C-3F2A498E4ED0}" name="NK 5" dataDxfId="216"/>
    <tableColumn id="10" xr3:uid="{E0E94159-F4FC-4993-98C1-B105B58F437C}" name="NK 6" dataDxfId="215"/>
    <tableColumn id="11" xr3:uid="{F925289A-0575-4F4D-8F1E-7295BA4150A9}" name="NK 7" dataDxfId="214"/>
    <tableColumn id="12" xr3:uid="{61EA4474-D318-48F4-AD06-1F0FB58B2409}" name="NK 8" dataDxfId="213"/>
    <tableColumn id="13" xr3:uid="{F7D01A95-C302-4EED-9D92-F4C7AF227D0B}" name="NK 9" dataDxfId="212"/>
    <tableColumn id="14" xr3:uid="{E36AE789-5694-4FE6-BBC7-61068C3313C8}" name="NK 10" dataDxfId="211"/>
    <tableColumn id="22" xr3:uid="{C8292BF0-0806-4C34-A4CD-CD906B4B40DC}" name="Rata2 NK" dataDxfId="210">
      <calculatedColumnFormula>IFERROR(ROUND(AVERAGE(K.Mid.S[[#This Row],[NK 1]:[NK 10]]),0),"")</calculatedColumnFormula>
    </tableColumn>
    <tableColumn id="24" xr3:uid="{09C8F101-8811-49FC-99E5-F27E6CE07347}" name="Predikat" dataDxfId="209">
      <calculatedColumnFormula>IF(K.Mid.S[[#This Row],[Rata2 NK]]="","Belum Terukur",IF(K.Mid.S[[#This Row],[Rata2 NK]]&gt;=92,"A",IF(K.Mid.S[[#This Row],[Rata2 NK]]&gt;=83,"B",IF(K.Mid.S[[#This Row],[Rata2 NK]]&gt;=75,"C","D"))))</calculatedColumnFormula>
    </tableColumn>
  </tableColumns>
  <tableStyleInfo name="TableStyleLight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EA71483-B90D-428F-B8F2-22587EFD0038}" name="NSi.SE" displayName="NSi.SE" ref="A2:BA27" totalsRowShown="0" headerRowDxfId="205" dataDxfId="203" headerRowBorderDxfId="204" tableBorderDxfId="202" totalsRowBorderDxfId="201">
  <autoFilter ref="A2:BA27" xr:uid="{1D8F9E49-C4C7-4B29-93E9-1FA37E6E028E}"/>
  <tableColumns count="53">
    <tableColumn id="1" xr3:uid="{89031263-2EB5-4EAF-B807-4F8684836112}" name="No" dataDxfId="200">
      <calculatedColumnFormula>IF(NSi.TS[[#This Row],[No]]=0,"",NSi.TS[[#This Row],[No]])</calculatedColumnFormula>
    </tableColumn>
    <tableColumn id="2" xr3:uid="{29F3CB92-C385-4AE7-90C2-EF65DEDD6DB5}" name="Nama Siswa" dataDxfId="199">
      <calculatedColumnFormula>IF(NSi.TS[[#This Row],[Nama Siswa]]=0,"",NSi.TS[[#This Row],[Nama Siswa]])</calculatedColumnFormula>
    </tableColumn>
    <tableColumn id="3" xr3:uid="{D33C2BEF-1B9D-44BE-A843-C27E9AA5DBF5}" name="Nomor Induk" dataDxfId="198">
      <calculatedColumnFormula>IF(NSi.TS[[#This Row],[Nomor Induk]]=0,"",NSi.TS[[#This Row],[Nomor Induk]])</calculatedColumnFormula>
    </tableColumn>
    <tableColumn id="12" xr3:uid="{F2444AFA-9F60-45E8-9365-D02727AEC3F0}" name="NISN" dataDxfId="197">
      <calculatedColumnFormula>IF(NSi.TS[[#This Row],[NISN]]=0,"",NSi.TS[[#This Row],[NISN]])</calculatedColumnFormula>
    </tableColumn>
    <tableColumn id="4" xr3:uid="{D095A4EC-07EE-476E-B302-2E825F10AEA9}" name="Jurusan" dataDxfId="196">
      <calculatedColumnFormula>IF(NSi.TS[[#This Row],[Jurusan]]=0,"",NSi.TS[[#This Row],[Jurusan]])</calculatedColumnFormula>
    </tableColumn>
    <tableColumn id="60" xr3:uid="{AE9FED12-4467-48A4-A7B8-E22A5DF90A6A}" name="Nsi.TS" dataDxfId="195">
      <calculatedColumnFormula>NSi.TS[[#This Row],[Nsi.TS]]</calculatedColumnFormula>
    </tableColumn>
    <tableColumn id="10" xr3:uid="{516A5C3C-532B-4BCF-841B-48BC48FC4DD9}" name="NS.iS" dataDxfId="194">
      <calculatedColumnFormula>IFERROR(ROUND(AVERAGE(CSCR.S[#This Row]),0),"")</calculatedColumnFormula>
    </tableColumn>
    <tableColumn id="11" xr3:uid="{75B24C81-62B1-4FC2-B272-6B7DDC656BA6}" name="NSi.SR" dataDxfId="193">
      <calculatedColumnFormula>IFERROR(ROUND(AVERAGE(NSi.SE[[#This Row],[Nsi.TS]:[NS.iS]]),0),"")</calculatedColumnFormula>
    </tableColumn>
    <tableColumn id="5" xr3:uid="{76D57FE1-1A2E-43B2-A963-B1858050E1BE}" name="KU.1" dataDxfId="192"/>
    <tableColumn id="6" xr3:uid="{B8F12E20-CE94-4269-8CAB-811EB43AC930}" name="TJ.1" dataDxfId="191"/>
    <tableColumn id="7" xr3:uid="{403DECF6-580A-444C-A02F-A8B65964E437}" name="Ker.1" dataDxfId="190"/>
    <tableColumn id="8" xr3:uid="{43078087-DA7E-48E8-B521-64EBA1FC9F9D}" name="Ped.1" dataDxfId="189"/>
    <tableColumn id="9" xr3:uid="{3DA53CD8-A604-4AC4-8F84-328B69110D7B}" name="Pro-A.1" dataDxfId="188"/>
    <tableColumn id="20" xr3:uid="{90ECADAC-A441-46AF-B72B-5308C178F63F}" name="KU.2" dataDxfId="187"/>
    <tableColumn id="21" xr3:uid="{38F86F51-FB41-42C5-8204-E57849879C88}" name="TJ.2" dataDxfId="186"/>
    <tableColumn id="22" xr3:uid="{B8C76E06-B188-4C20-ADBB-4707FF6E4AE6}" name="Ker.2" dataDxfId="185"/>
    <tableColumn id="23" xr3:uid="{82B29448-E29D-433A-9177-A7DEA68013E3}" name="Ped.2" dataDxfId="184"/>
    <tableColumn id="24" xr3:uid="{4485DC9A-7991-4D0C-9EC9-0373D8E35440}" name="Pro-A.2" dataDxfId="183"/>
    <tableColumn id="25" xr3:uid="{352ECBF4-CDEF-40B7-A0DD-D9E705EA071C}" name="KU.3" dataDxfId="182"/>
    <tableColumn id="26" xr3:uid="{E39D26D9-8CEE-448E-83E0-50EE9FC3C28E}" name="TJ.3" dataDxfId="181"/>
    <tableColumn id="27" xr3:uid="{777DE598-124A-415F-8277-8D703BC84BC4}" name="Ker.3" dataDxfId="180"/>
    <tableColumn id="28" xr3:uid="{DE3A8341-AC07-45B3-BAFF-C2949EF71BE7}" name="Ped.3" dataDxfId="179"/>
    <tableColumn id="29" xr3:uid="{8DBC58D4-5E8A-40F7-9325-E5E1C4E1E25B}" name="Pro-A.3" dataDxfId="178"/>
    <tableColumn id="30" xr3:uid="{77943B4D-568D-4AF0-80BC-26A62FB16093}" name="KU.4" dataDxfId="177"/>
    <tableColumn id="31" xr3:uid="{FACDED49-1714-4564-8FA7-800CF895EDDA}" name="TJ.4" dataDxfId="176"/>
    <tableColumn id="32" xr3:uid="{03D6548F-FCD0-4248-BC01-185E8E9EC645}" name="Ker.4" dataDxfId="175"/>
    <tableColumn id="33" xr3:uid="{B3ECE3BC-EC22-45E2-9F55-48A30D6C88F1}" name="Ped.4" dataDxfId="174"/>
    <tableColumn id="34" xr3:uid="{8F52674C-128C-4707-93BF-28A6757A6691}" name="Pro-A.4" dataDxfId="173"/>
    <tableColumn id="35" xr3:uid="{FCDEDEBA-C127-435D-8AA5-61B0F257E285}" name="KU.5" dataDxfId="172"/>
    <tableColumn id="36" xr3:uid="{B4A18F07-BD3C-43CC-94D7-CDE3294BD80B}" name="TJ.5" dataDxfId="171"/>
    <tableColumn id="37" xr3:uid="{E1808701-2F4A-4D23-8A71-614EDFA82CE1}" name="Ker.5" dataDxfId="170"/>
    <tableColumn id="38" xr3:uid="{43C7023F-1014-4536-81B2-25E5D20D20E8}" name="Ped.5" dataDxfId="169"/>
    <tableColumn id="39" xr3:uid="{E336D3F4-7CD5-4FC1-BA3F-F664851D5B9C}" name="Pro-A.5" dataDxfId="168"/>
    <tableColumn id="40" xr3:uid="{9AB54C55-4B0F-412D-B0C6-AD078EE4E365}" name="KU.6" dataDxfId="167"/>
    <tableColumn id="41" xr3:uid="{0F8FDFAA-7E4B-4354-91B5-C03462C39E66}" name="TJ.6" dataDxfId="166"/>
    <tableColumn id="42" xr3:uid="{238CCE10-C994-40A9-8932-D29A482FF3F2}" name="Ker.6" dataDxfId="165"/>
    <tableColumn id="43" xr3:uid="{327AA952-B5AE-43EA-8AFA-AF223EFDB2B8}" name="Ped.6" dataDxfId="164"/>
    <tableColumn id="44" xr3:uid="{A746FE51-7FC2-4664-9E97-3340E08A59D1}" name="Pro-A.6" dataDxfId="163"/>
    <tableColumn id="45" xr3:uid="{A27FF0AF-FBC7-4746-AD43-1CF6BF6BADDD}" name="KU.7" dataDxfId="162"/>
    <tableColumn id="46" xr3:uid="{0AE43F02-DFF6-4556-BCB3-D50134611262}" name="TJ.7" dataDxfId="161"/>
    <tableColumn id="47" xr3:uid="{879C43BC-B589-4380-92AD-33F4ABBB1EC3}" name="Ker.7" dataDxfId="160"/>
    <tableColumn id="48" xr3:uid="{B475C932-5A16-4999-8FB7-915EDB0E884B}" name="Ped.7" dataDxfId="159"/>
    <tableColumn id="49" xr3:uid="{B9804D73-780C-46BC-8F21-210B6447CB0F}" name="Pro-A.7" dataDxfId="158"/>
    <tableColumn id="50" xr3:uid="{4A0097AA-14EB-4685-8F75-1953E5BCAE11}" name="KU.8" dataDxfId="157"/>
    <tableColumn id="51" xr3:uid="{5B8BB909-37DB-4BC9-B1DC-985472FC4A4C}" name="TJ.8" dataDxfId="156"/>
    <tableColumn id="52" xr3:uid="{6BD016D6-53A2-4009-B388-A7F33D5A95B8}" name="Ker.8" dataDxfId="155"/>
    <tableColumn id="53" xr3:uid="{66AA3738-946D-45DD-8D9C-F8AE5AF630F8}" name="Ped.8" dataDxfId="154"/>
    <tableColumn id="54" xr3:uid="{76FBCE39-0C00-470A-94AA-A1680BA37D31}" name="Pro-A.8" dataDxfId="153"/>
    <tableColumn id="55" xr3:uid="{D932EB35-0FD9-4F25-8BCD-B0396F1EB096}" name="KU.9" dataDxfId="152"/>
    <tableColumn id="56" xr3:uid="{503A3F60-158B-4697-8966-C3132775D7BC}" name="TJ.9" dataDxfId="151"/>
    <tableColumn id="57" xr3:uid="{2FB5763B-B816-4D28-91D5-C84715C7E2D3}" name="Ker.9" dataDxfId="150"/>
    <tableColumn id="58" xr3:uid="{23402C18-5687-499B-999A-AE04A4A3761D}" name="Ped.9" dataDxfId="149"/>
    <tableColumn id="59" xr3:uid="{EDDA669F-2B7C-497C-B344-DBA35BA89877}" name="Pro-A.9" dataDxfId="14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3026C89-870C-4918-897A-94E5F2AB3D39}" name="Sem.Week" displayName="Sem.Week" ref="BC2:BK27" totalsRowShown="0" headerRowDxfId="147" dataDxfId="145" headerRowBorderDxfId="146" tableBorderDxfId="144" totalsRowBorderDxfId="143">
  <autoFilter ref="BC2:BK27" xr:uid="{622FEE11-82D9-4763-B259-9BDAA97047F5}"/>
  <tableColumns count="9">
    <tableColumn id="1" xr3:uid="{9CA0E656-1DBA-47F7-BF99-5D0D0D9EBADD}" name="Week 1" dataDxfId="142">
      <calculatedColumnFormula>_xlfn.TEXTJOIN("",TRUE,NSi.SE[[#This Row],[KU.1]],(IF(A.LoE.S[[#This Row],[LE.1]]="-","-",IF(A.LoE.S[[#This Row],[LE.1]]&gt;=90,1,IF(A.LoE.S[[#This Row],[LE.1]]&gt;=80,2,IF(A.LoE.S[[#This Row],[LE.1]]&gt;=70,3,IF(A.LoE.S[[#This Row],[LE.1]]&gt;=1,4,5)))))))</calculatedColumnFormula>
    </tableColumn>
    <tableColumn id="3" xr3:uid="{30F44290-503F-4E16-A4E7-F1D0848A5111}" name="Week 2" dataDxfId="141">
      <calculatedColumnFormula>_xlfn.TEXTJOIN("",TRUE,NSi.SE[[#This Row],[KU.2]],(IF(A.LoE.S[[#This Row],[LE.2]]="-","-",IF(A.LoE.S[[#This Row],[LE.2]]&gt;=90,1,IF(A.LoE.S[[#This Row],[LE.2]]&gt;=80,2,IF(A.LoE.S[[#This Row],[LE.2]]&gt;=70,3,IF(A.LoE.S[[#This Row],[LE.2]]&gt;=1,4,5)))))))</calculatedColumnFormula>
    </tableColumn>
    <tableColumn id="10" xr3:uid="{7DAF7C3F-1496-4136-858E-C1C74711B6FB}" name="Week 3" dataDxfId="140">
      <calculatedColumnFormula>_xlfn.TEXTJOIN("",TRUE,NSi.SE[[#This Row],[KU.3]],(IF(A.LoE.S[[#This Row],[LE.3]]="-","-",IF(A.LoE.S[[#This Row],[LE.3]]&gt;=90,1,IF(A.LoE.S[[#This Row],[LE.3]]&gt;=80,2,IF(A.LoE.S[[#This Row],[LE.3]]&gt;=70,3,IF(A.LoE.S[[#This Row],[LE.3]]&gt;=1,4,5)))))))</calculatedColumnFormula>
    </tableColumn>
    <tableColumn id="9" xr3:uid="{4A05E1EA-D02F-4EBB-B096-D162E5E166BD}" name="Week 4" dataDxfId="139">
      <calculatedColumnFormula>_xlfn.TEXTJOIN("",TRUE,NSi.SE[[#This Row],[KU.4]],(IF(A.LoE.S[[#This Row],[LE.4]]="-","-",IF(A.LoE.S[[#This Row],[LE.4]]&gt;=90,1,IF(A.LoE.S[[#This Row],[LE.4]]&gt;=80,2,IF(A.LoE.S[[#This Row],[LE.4]]&gt;=70,3,IF(A.LoE.S[[#This Row],[LE.4]]&gt;=1,4,5)))))))</calculatedColumnFormula>
    </tableColumn>
    <tableColumn id="8" xr3:uid="{8FB6054F-4168-4B36-8DCD-8839CB8C0F77}" name="Week 5" dataDxfId="138">
      <calculatedColumnFormula>_xlfn.TEXTJOIN("",TRUE,NSi.SE[[#This Row],[KU.5]],(IF(A.LoE.S[[#This Row],[LE.5]]="-","-",IF(A.LoE.S[[#This Row],[LE.5]]&gt;=90,1,IF(A.LoE.S[[#This Row],[LE.5]]&gt;=80,2,IF(A.LoE.S[[#This Row],[LE.5]]&gt;=70,3,IF(A.LoE.S[[#This Row],[LE.5]]&gt;=1,4,5)))))))</calculatedColumnFormula>
    </tableColumn>
    <tableColumn id="7" xr3:uid="{0C43F3BB-33AB-4188-BBDD-2EC8DFB489E0}" name="Week 6" dataDxfId="137">
      <calculatedColumnFormula>_xlfn.TEXTJOIN("",TRUE,NSi.SE[[#This Row],[KU.6]],(IF(A.LoE.S[[#This Row],[LE.6]]="-","-",IF(A.LoE.S[[#This Row],[LE.6]]&gt;=90,1,IF(A.LoE.S[[#This Row],[LE.6]]&gt;=80,2,IF(A.LoE.S[[#This Row],[LE.6]]&gt;=70,3,IF(A.LoE.S[[#This Row],[LE.6]]&gt;=1,4,5)))))))</calculatedColumnFormula>
    </tableColumn>
    <tableColumn id="6" xr3:uid="{6DF9F62D-C5F8-4224-91D8-63B551FE689C}" name="Week 7" dataDxfId="136">
      <calculatedColumnFormula>_xlfn.TEXTJOIN("",TRUE,NSi.SE[[#This Row],[KU.7]],(IF(A.LoE.S[[#This Row],[LE.7]]="-","-",IF(A.LoE.S[[#This Row],[LE.7]]&gt;=90,1,IF(A.LoE.S[[#This Row],[LE.7]]&gt;=80,2,IF(A.LoE.S[[#This Row],[LE.7]]&gt;=70,3,IF(A.LoE.S[[#This Row],[LE.7]]&gt;=1,4,5)))))))</calculatedColumnFormula>
    </tableColumn>
    <tableColumn id="5" xr3:uid="{AE6A19EA-6175-405A-A2D4-B9A446F9D57C}" name="Week 8" dataDxfId="135">
      <calculatedColumnFormula>_xlfn.TEXTJOIN("",TRUE,NSi.SE[[#This Row],[KU.8]],(IF(A.LoE.S[[#This Row],[LE.8]]="-","-",IF(A.LoE.S[[#This Row],[LE.8]]&gt;=90,1,IF(A.LoE.S[[#This Row],[LE.8]]&gt;=80,2,IF(A.LoE.S[[#This Row],[LE.8]]&gt;=70,3,IF(A.LoE.S[[#This Row],[LE.8]]&gt;=1,4,5)))))))</calculatedColumnFormula>
    </tableColumn>
    <tableColumn id="4" xr3:uid="{0DB8C4D9-F0D3-436C-995D-09066BF03A28}" name="Week 9" dataDxfId="134">
      <calculatedColumnFormula>_xlfn.TEXTJOIN("",TRUE,NSi.SE[[#This Row],[KU.9]],(IF(A.LoE.S[[#This Row],[LE.9]]="-","-",IF(A.LoE.S[[#This Row],[LE.9]]&gt;=90,1,IF(A.LoE.S[[#This Row],[LE.9]]&gt;=80,2,IF(A.LoE.S[[#This Row],[LE.9]]&gt;=70,3,IF(A.LoE.S[[#This Row],[LE.9]]&gt;=1,4,5)))))))</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7" Type="http://schemas.openxmlformats.org/officeDocument/2006/relationships/table" Target="../tables/table13.xml"/><Relationship Id="rId2" Type="http://schemas.openxmlformats.org/officeDocument/2006/relationships/table" Target="../tables/table8.xml"/><Relationship Id="rId1" Type="http://schemas.openxmlformats.org/officeDocument/2006/relationships/printerSettings" Target="../printerSettings/printerSettings5.bin"/><Relationship Id="rId6" Type="http://schemas.openxmlformats.org/officeDocument/2006/relationships/table" Target="../tables/table12.xml"/><Relationship Id="rId5" Type="http://schemas.openxmlformats.org/officeDocument/2006/relationships/table" Target="../tables/table11.xml"/><Relationship Id="rId4" Type="http://schemas.openxmlformats.org/officeDocument/2006/relationships/table" Target="../tables/table10.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10222-A723-4B27-8B4B-BC550924C46C}">
  <dimension ref="B3:F20"/>
  <sheetViews>
    <sheetView showGridLines="0" workbookViewId="0">
      <selection activeCell="B27" sqref="B27"/>
    </sheetView>
  </sheetViews>
  <sheetFormatPr defaultColWidth="9.21875" defaultRowHeight="14.4" x14ac:dyDescent="0.3"/>
  <cols>
    <col min="1" max="1" width="9.21875" style="23"/>
    <col min="2" max="2" width="21.77734375" style="23" bestFit="1" customWidth="1"/>
    <col min="3" max="3" width="31" style="23" bestFit="1" customWidth="1"/>
    <col min="4" max="16384" width="9.21875" style="23"/>
  </cols>
  <sheetData>
    <row r="3" spans="2:6" x14ac:dyDescent="0.3">
      <c r="B3" s="31" t="s">
        <v>0</v>
      </c>
    </row>
    <row r="4" spans="2:6" x14ac:dyDescent="0.3">
      <c r="B4" s="50" t="s">
        <v>1</v>
      </c>
      <c r="C4" s="50" t="s">
        <v>2</v>
      </c>
    </row>
    <row r="5" spans="2:6" x14ac:dyDescent="0.3">
      <c r="B5" s="50" t="s">
        <v>3</v>
      </c>
      <c r="C5" s="50" t="s">
        <v>4</v>
      </c>
    </row>
    <row r="6" spans="2:6" x14ac:dyDescent="0.3">
      <c r="B6" s="50" t="s">
        <v>5</v>
      </c>
      <c r="C6" s="50" t="s">
        <v>6</v>
      </c>
    </row>
    <row r="7" spans="2:6" x14ac:dyDescent="0.3">
      <c r="B7" s="50" t="s">
        <v>7</v>
      </c>
      <c r="C7" s="50" t="s">
        <v>8</v>
      </c>
    </row>
    <row r="8" spans="2:6" x14ac:dyDescent="0.3">
      <c r="B8" s="50" t="s">
        <v>9</v>
      </c>
      <c r="C8" s="50" t="s">
        <v>10</v>
      </c>
    </row>
    <row r="9" spans="2:6" x14ac:dyDescent="0.3">
      <c r="B9" s="50" t="s">
        <v>11</v>
      </c>
      <c r="C9" s="50" t="s">
        <v>12</v>
      </c>
    </row>
    <row r="10" spans="2:6" x14ac:dyDescent="0.3">
      <c r="B10" s="50" t="s">
        <v>13</v>
      </c>
      <c r="C10" s="50" t="s">
        <v>14</v>
      </c>
    </row>
    <row r="11" spans="2:6" x14ac:dyDescent="0.3">
      <c r="B11" s="50" t="s">
        <v>15</v>
      </c>
      <c r="C11" s="50" t="s">
        <v>16</v>
      </c>
    </row>
    <row r="13" spans="2:6" ht="28.8" x14ac:dyDescent="0.3">
      <c r="B13" s="52" t="s">
        <v>17</v>
      </c>
    </row>
    <row r="14" spans="2:6" s="51" customFormat="1" ht="15" customHeight="1" x14ac:dyDescent="0.3">
      <c r="B14" s="95" t="s">
        <v>18</v>
      </c>
      <c r="C14" s="95"/>
      <c r="D14" s="95"/>
      <c r="E14" s="95"/>
      <c r="F14" s="95"/>
    </row>
    <row r="15" spans="2:6" ht="15" customHeight="1" x14ac:dyDescent="0.3">
      <c r="B15" s="95"/>
      <c r="C15" s="95"/>
      <c r="D15" s="95"/>
      <c r="E15" s="95"/>
      <c r="F15" s="95"/>
    </row>
    <row r="16" spans="2:6" ht="15" customHeight="1" x14ac:dyDescent="0.3">
      <c r="B16" s="95"/>
      <c r="C16" s="95"/>
      <c r="D16" s="95"/>
      <c r="E16" s="95"/>
      <c r="F16" s="95"/>
    </row>
    <row r="17" spans="2:6" ht="15" customHeight="1" x14ac:dyDescent="0.3">
      <c r="B17" s="95"/>
      <c r="C17" s="95"/>
      <c r="D17" s="95"/>
      <c r="E17" s="95"/>
      <c r="F17" s="95"/>
    </row>
    <row r="18" spans="2:6" ht="15" customHeight="1" x14ac:dyDescent="0.3">
      <c r="B18" s="95"/>
      <c r="C18" s="95"/>
      <c r="D18" s="95"/>
      <c r="E18" s="95"/>
      <c r="F18" s="95"/>
    </row>
    <row r="19" spans="2:6" ht="15" customHeight="1" x14ac:dyDescent="0.3">
      <c r="B19" s="95"/>
      <c r="C19" s="95"/>
      <c r="D19" s="95"/>
      <c r="E19" s="95"/>
      <c r="F19" s="95"/>
    </row>
    <row r="20" spans="2:6" ht="15" customHeight="1" x14ac:dyDescent="0.3">
      <c r="B20" s="53"/>
      <c r="C20" s="53"/>
      <c r="D20" s="53"/>
      <c r="E20" s="53"/>
      <c r="F20" s="53"/>
    </row>
  </sheetData>
  <mergeCells count="1">
    <mergeCell ref="B14:F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9E2B74-D9E8-4086-AEC4-B5AD472300C6}">
  <sheetPr>
    <tabColor theme="9" tint="0.39997558519241921"/>
  </sheetPr>
  <dimension ref="A1:DP27"/>
  <sheetViews>
    <sheetView showGridLines="0" zoomScale="70" zoomScaleNormal="70" workbookViewId="0">
      <selection activeCell="B3" sqref="B3:E12"/>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7" width="9.77734375" style="23" bestFit="1" customWidth="1"/>
    <col min="8" max="8" width="8.77734375" style="23" bestFit="1" customWidth="1"/>
    <col min="9" max="9" width="10.21875" style="23" bestFit="1" customWidth="1"/>
    <col min="10" max="10" width="10.5546875" style="23" bestFit="1" customWidth="1"/>
    <col min="11" max="11" width="12.21875" style="23" bestFit="1" customWidth="1"/>
    <col min="12" max="12" width="9.77734375" style="23" bestFit="1" customWidth="1"/>
    <col min="13" max="13" width="8.77734375" style="23" bestFit="1" customWidth="1"/>
    <col min="14" max="14" width="10.21875" style="23" bestFit="1" customWidth="1"/>
    <col min="15" max="15" width="10.5546875" style="23" bestFit="1" customWidth="1"/>
    <col min="16" max="16" width="12.21875" style="23" bestFit="1" customWidth="1"/>
    <col min="17" max="17" width="9.77734375" style="23" bestFit="1" customWidth="1"/>
    <col min="18" max="18" width="8.77734375" style="23" bestFit="1" customWidth="1"/>
    <col min="19" max="19" width="10.21875" style="23" bestFit="1" customWidth="1"/>
    <col min="20" max="20" width="10.5546875" style="23" bestFit="1" customWidth="1"/>
    <col min="21" max="21" width="12.21875" style="23" bestFit="1" customWidth="1"/>
    <col min="22" max="22" width="9.77734375" style="23" bestFit="1" customWidth="1"/>
    <col min="23" max="23" width="8.77734375" style="23" bestFit="1" customWidth="1"/>
    <col min="24" max="24" width="10.21875" style="23" bestFit="1" customWidth="1"/>
    <col min="25" max="25" width="10.5546875" style="23" bestFit="1" customWidth="1"/>
    <col min="26" max="26" width="12.21875" style="23" bestFit="1" customWidth="1"/>
    <col min="27" max="27" width="9.77734375" style="23" bestFit="1" customWidth="1"/>
    <col min="28" max="28" width="8.77734375" style="23" bestFit="1" customWidth="1"/>
    <col min="29" max="29" width="10.21875" style="23" bestFit="1" customWidth="1"/>
    <col min="30" max="30" width="10.5546875" style="23" bestFit="1" customWidth="1"/>
    <col min="31" max="31" width="12.21875" style="23" bestFit="1" customWidth="1"/>
    <col min="32" max="32" width="9.77734375" style="23" bestFit="1" customWidth="1"/>
    <col min="33" max="33" width="8.77734375" style="23" bestFit="1" customWidth="1"/>
    <col min="34" max="34" width="10.21875" style="23" bestFit="1" customWidth="1"/>
    <col min="35" max="35" width="10.5546875" style="23" bestFit="1" customWidth="1"/>
    <col min="36" max="36" width="12.21875" style="23" bestFit="1" customWidth="1"/>
    <col min="37" max="37" width="9.77734375" style="23" bestFit="1" customWidth="1"/>
    <col min="38" max="38" width="8.77734375" style="23" bestFit="1" customWidth="1"/>
    <col min="39" max="39" width="10.21875" style="23" bestFit="1" customWidth="1"/>
    <col min="40" max="40" width="10.5546875" style="23" bestFit="1" customWidth="1"/>
    <col min="41" max="41" width="12.21875" style="23" bestFit="1" customWidth="1"/>
    <col min="42" max="42" width="9.77734375" style="23" bestFit="1" customWidth="1"/>
    <col min="43" max="43" width="8.77734375" style="23" bestFit="1" customWidth="1"/>
    <col min="44" max="44" width="10.21875" style="23" bestFit="1" customWidth="1"/>
    <col min="45" max="45" width="10.5546875" style="23" bestFit="1" customWidth="1"/>
    <col min="46" max="46" width="12.21875" style="23" bestFit="1" customWidth="1"/>
    <col min="47" max="47" width="9.77734375" style="23" bestFit="1" customWidth="1"/>
    <col min="48" max="48" width="8.77734375" style="23" bestFit="1" customWidth="1"/>
    <col min="49" max="49" width="10.21875" style="23" bestFit="1" customWidth="1"/>
    <col min="50" max="50" width="10.5546875" style="23" bestFit="1" customWidth="1"/>
    <col min="51" max="51" width="12.21875" style="23" bestFit="1" customWidth="1"/>
    <col min="52" max="52" width="9.21875" style="23"/>
    <col min="53" max="53" width="12.21875" style="23" bestFit="1" customWidth="1"/>
    <col min="54" max="61" width="12.21875" style="23" customWidth="1"/>
    <col min="62" max="62" width="9.21875" style="23"/>
    <col min="63" max="72" width="0" style="23" hidden="1" customWidth="1"/>
    <col min="73" max="73" width="16.5546875" style="23" hidden="1" customWidth="1"/>
    <col min="74" max="74" width="18.21875" style="23" hidden="1" customWidth="1"/>
    <col min="75" max="75" width="12.77734375" style="23" hidden="1" customWidth="1"/>
    <col min="76" max="79" width="0" style="23" hidden="1" customWidth="1"/>
    <col min="80" max="80" width="9.21875" style="23" hidden="1" customWidth="1"/>
    <col min="81" max="84" width="0" style="23" hidden="1" customWidth="1"/>
    <col min="85" max="85" width="9.21875" style="23" hidden="1" customWidth="1"/>
    <col min="86" max="89" width="0" style="23" hidden="1" customWidth="1"/>
    <col min="90" max="90" width="9.21875" style="23" hidden="1" customWidth="1"/>
    <col min="91" max="94" width="0" style="23" hidden="1" customWidth="1"/>
    <col min="95" max="95" width="9.21875" style="23" hidden="1" customWidth="1"/>
    <col min="96" max="99" width="0" style="23" hidden="1" customWidth="1"/>
    <col min="100" max="100" width="9.21875" style="23" hidden="1" customWidth="1"/>
    <col min="101" max="101" width="10.5546875" style="23" hidden="1" customWidth="1"/>
    <col min="102" max="102" width="9.77734375" style="23" hidden="1" customWidth="1"/>
    <col min="103" max="103" width="10.77734375" style="23" hidden="1" customWidth="1"/>
    <col min="104" max="104" width="11" style="23" hidden="1" customWidth="1"/>
    <col min="105" max="105" width="12.5546875" style="23" hidden="1" customWidth="1"/>
    <col min="106" max="109" width="0" style="23" hidden="1" customWidth="1"/>
    <col min="110" max="110" width="9.21875" style="23" hidden="1" customWidth="1"/>
    <col min="111" max="114" width="0" style="23" hidden="1" customWidth="1"/>
    <col min="115" max="115" width="9.21875" style="23" hidden="1" customWidth="1"/>
    <col min="116" max="119" width="0" style="23" hidden="1" customWidth="1"/>
    <col min="120" max="120" width="9.21875" style="23" hidden="1" customWidth="1"/>
    <col min="121" max="121" width="9.21875" style="23"/>
    <col min="122" max="122" width="11.21875" style="23" bestFit="1" customWidth="1"/>
    <col min="123" max="123" width="13.21875" style="23" bestFit="1" customWidth="1"/>
    <col min="124" max="16384" width="9.21875" style="23"/>
  </cols>
  <sheetData>
    <row r="1" spans="1:120" x14ac:dyDescent="0.3">
      <c r="A1" s="97"/>
      <c r="B1" s="97"/>
      <c r="C1" s="97"/>
      <c r="D1" s="97"/>
      <c r="E1" s="97"/>
      <c r="F1" s="98"/>
      <c r="G1" s="71" t="s">
        <v>19</v>
      </c>
      <c r="H1" s="96"/>
      <c r="I1" s="96"/>
      <c r="J1" s="96"/>
      <c r="K1" s="96"/>
      <c r="L1" s="71" t="s">
        <v>20</v>
      </c>
      <c r="M1" s="96"/>
      <c r="N1" s="96"/>
      <c r="O1" s="96"/>
      <c r="P1" s="96"/>
      <c r="Q1" s="71" t="s">
        <v>21</v>
      </c>
      <c r="R1" s="96"/>
      <c r="S1" s="96"/>
      <c r="T1" s="96"/>
      <c r="U1" s="96"/>
      <c r="V1" s="71" t="s">
        <v>22</v>
      </c>
      <c r="W1" s="96"/>
      <c r="X1" s="96"/>
      <c r="Y1" s="96"/>
      <c r="Z1" s="96"/>
      <c r="AA1" s="71" t="s">
        <v>23</v>
      </c>
      <c r="AB1" s="96"/>
      <c r="AC1" s="96"/>
      <c r="AD1" s="96"/>
      <c r="AE1" s="96"/>
      <c r="AF1" s="71" t="s">
        <v>24</v>
      </c>
      <c r="AG1" s="96"/>
      <c r="AH1" s="96"/>
      <c r="AI1" s="96"/>
      <c r="AJ1" s="96"/>
      <c r="AK1" s="71" t="s">
        <v>25</v>
      </c>
      <c r="AL1" s="96"/>
      <c r="AM1" s="96"/>
      <c r="AN1" s="96"/>
      <c r="AO1" s="96"/>
      <c r="AP1" s="71" t="s">
        <v>26</v>
      </c>
      <c r="AQ1" s="96"/>
      <c r="AR1" s="96"/>
      <c r="AS1" s="96"/>
      <c r="AT1" s="96"/>
      <c r="AU1" s="71" t="s">
        <v>27</v>
      </c>
      <c r="AV1" s="96"/>
      <c r="AW1" s="96"/>
      <c r="AX1" s="96"/>
      <c r="AY1" s="96"/>
      <c r="BA1" s="31" t="s">
        <v>28</v>
      </c>
      <c r="BK1" s="31" t="s">
        <v>29</v>
      </c>
      <c r="BU1" s="23" t="s">
        <v>30</v>
      </c>
    </row>
    <row r="2" spans="1:120" x14ac:dyDescent="0.3">
      <c r="A2" s="26" t="s">
        <v>31</v>
      </c>
      <c r="B2" s="27" t="s">
        <v>32</v>
      </c>
      <c r="C2" s="27" t="s">
        <v>33</v>
      </c>
      <c r="D2" s="27" t="s">
        <v>34</v>
      </c>
      <c r="E2" s="27" t="s">
        <v>35</v>
      </c>
      <c r="F2" s="40" t="s">
        <v>36</v>
      </c>
      <c r="G2" s="28" t="s">
        <v>37</v>
      </c>
      <c r="H2" s="29" t="s">
        <v>38</v>
      </c>
      <c r="I2" s="29" t="s">
        <v>39</v>
      </c>
      <c r="J2" s="29" t="s">
        <v>40</v>
      </c>
      <c r="K2" s="29" t="s">
        <v>41</v>
      </c>
      <c r="L2" s="28" t="s">
        <v>42</v>
      </c>
      <c r="M2" s="29" t="s">
        <v>43</v>
      </c>
      <c r="N2" s="29" t="s">
        <v>44</v>
      </c>
      <c r="O2" s="29" t="s">
        <v>45</v>
      </c>
      <c r="P2" s="29" t="s">
        <v>46</v>
      </c>
      <c r="Q2" s="28" t="s">
        <v>47</v>
      </c>
      <c r="R2" s="29" t="s">
        <v>48</v>
      </c>
      <c r="S2" s="29" t="s">
        <v>49</v>
      </c>
      <c r="T2" s="29" t="s">
        <v>50</v>
      </c>
      <c r="U2" s="29" t="s">
        <v>51</v>
      </c>
      <c r="V2" s="28" t="s">
        <v>52</v>
      </c>
      <c r="W2" s="29" t="s">
        <v>53</v>
      </c>
      <c r="X2" s="29" t="s">
        <v>54</v>
      </c>
      <c r="Y2" s="29" t="s">
        <v>55</v>
      </c>
      <c r="Z2" s="29" t="s">
        <v>56</v>
      </c>
      <c r="AA2" s="28" t="s">
        <v>57</v>
      </c>
      <c r="AB2" s="29" t="s">
        <v>58</v>
      </c>
      <c r="AC2" s="29" t="s">
        <v>59</v>
      </c>
      <c r="AD2" s="29" t="s">
        <v>60</v>
      </c>
      <c r="AE2" s="29" t="s">
        <v>61</v>
      </c>
      <c r="AF2" s="28" t="s">
        <v>62</v>
      </c>
      <c r="AG2" s="29" t="s">
        <v>63</v>
      </c>
      <c r="AH2" s="29" t="s">
        <v>64</v>
      </c>
      <c r="AI2" s="29" t="s">
        <v>65</v>
      </c>
      <c r="AJ2" s="29" t="s">
        <v>66</v>
      </c>
      <c r="AK2" s="28" t="s">
        <v>67</v>
      </c>
      <c r="AL2" s="29" t="s">
        <v>68</v>
      </c>
      <c r="AM2" s="29" t="s">
        <v>69</v>
      </c>
      <c r="AN2" s="29" t="s">
        <v>70</v>
      </c>
      <c r="AO2" s="29" t="s">
        <v>71</v>
      </c>
      <c r="AP2" s="28" t="s">
        <v>72</v>
      </c>
      <c r="AQ2" s="29" t="s">
        <v>73</v>
      </c>
      <c r="AR2" s="29" t="s">
        <v>74</v>
      </c>
      <c r="AS2" s="29" t="s">
        <v>75</v>
      </c>
      <c r="AT2" s="29" t="s">
        <v>76</v>
      </c>
      <c r="AU2" s="28" t="s">
        <v>77</v>
      </c>
      <c r="AV2" s="29" t="s">
        <v>78</v>
      </c>
      <c r="AW2" s="29" t="s">
        <v>79</v>
      </c>
      <c r="AX2" s="29" t="s">
        <v>80</v>
      </c>
      <c r="AY2" s="30" t="s">
        <v>81</v>
      </c>
      <c r="BA2" s="1" t="s">
        <v>82</v>
      </c>
      <c r="BB2" s="2" t="s">
        <v>83</v>
      </c>
      <c r="BC2" s="2" t="s">
        <v>84</v>
      </c>
      <c r="BD2" s="2" t="s">
        <v>85</v>
      </c>
      <c r="BE2" s="2" t="s">
        <v>86</v>
      </c>
      <c r="BF2" s="2" t="s">
        <v>87</v>
      </c>
      <c r="BG2" s="2" t="s">
        <v>88</v>
      </c>
      <c r="BH2" s="2" t="s">
        <v>89</v>
      </c>
      <c r="BI2" s="36" t="s">
        <v>90</v>
      </c>
      <c r="BK2" s="32" t="s">
        <v>91</v>
      </c>
      <c r="BL2" s="33" t="s">
        <v>92</v>
      </c>
      <c r="BM2" s="33" t="s">
        <v>93</v>
      </c>
      <c r="BN2" s="33" t="s">
        <v>94</v>
      </c>
      <c r="BO2" s="33" t="s">
        <v>95</v>
      </c>
      <c r="BP2" s="33" t="s">
        <v>96</v>
      </c>
      <c r="BQ2" s="33" t="s">
        <v>97</v>
      </c>
      <c r="BR2" s="33" t="s">
        <v>98</v>
      </c>
      <c r="BS2" s="34" t="s">
        <v>99</v>
      </c>
      <c r="BU2" s="32" t="s">
        <v>100</v>
      </c>
      <c r="BV2" s="34" t="s">
        <v>101</v>
      </c>
      <c r="BW2" s="3"/>
      <c r="BX2" s="72" t="s">
        <v>37</v>
      </c>
      <c r="BY2" s="29" t="s">
        <v>38</v>
      </c>
      <c r="BZ2" s="29" t="s">
        <v>39</v>
      </c>
      <c r="CA2" s="29" t="s">
        <v>40</v>
      </c>
      <c r="CB2" s="29" t="s">
        <v>41</v>
      </c>
      <c r="CC2" s="28" t="s">
        <v>42</v>
      </c>
      <c r="CD2" s="29" t="s">
        <v>43</v>
      </c>
      <c r="CE2" s="29" t="s">
        <v>44</v>
      </c>
      <c r="CF2" s="29" t="s">
        <v>45</v>
      </c>
      <c r="CG2" s="29" t="s">
        <v>46</v>
      </c>
      <c r="CH2" s="28" t="s">
        <v>47</v>
      </c>
      <c r="CI2" s="29" t="s">
        <v>48</v>
      </c>
      <c r="CJ2" s="29" t="s">
        <v>49</v>
      </c>
      <c r="CK2" s="29" t="s">
        <v>50</v>
      </c>
      <c r="CL2" s="29" t="s">
        <v>51</v>
      </c>
      <c r="CM2" s="28" t="s">
        <v>52</v>
      </c>
      <c r="CN2" s="29" t="s">
        <v>53</v>
      </c>
      <c r="CO2" s="29" t="s">
        <v>54</v>
      </c>
      <c r="CP2" s="29" t="s">
        <v>55</v>
      </c>
      <c r="CQ2" s="29" t="s">
        <v>56</v>
      </c>
      <c r="CR2" s="28" t="s">
        <v>57</v>
      </c>
      <c r="CS2" s="29" t="s">
        <v>58</v>
      </c>
      <c r="CT2" s="29" t="s">
        <v>59</v>
      </c>
      <c r="CU2" s="29" t="s">
        <v>60</v>
      </c>
      <c r="CV2" s="29" t="s">
        <v>61</v>
      </c>
      <c r="CW2" s="28" t="s">
        <v>62</v>
      </c>
      <c r="CX2" s="29" t="s">
        <v>63</v>
      </c>
      <c r="CY2" s="29" t="s">
        <v>64</v>
      </c>
      <c r="CZ2" s="29" t="s">
        <v>65</v>
      </c>
      <c r="DA2" s="29" t="s">
        <v>66</v>
      </c>
      <c r="DB2" s="28" t="s">
        <v>67</v>
      </c>
      <c r="DC2" s="29" t="s">
        <v>68</v>
      </c>
      <c r="DD2" s="29" t="s">
        <v>69</v>
      </c>
      <c r="DE2" s="29" t="s">
        <v>70</v>
      </c>
      <c r="DF2" s="29" t="s">
        <v>71</v>
      </c>
      <c r="DG2" s="28" t="s">
        <v>72</v>
      </c>
      <c r="DH2" s="29" t="s">
        <v>73</v>
      </c>
      <c r="DI2" s="29" t="s">
        <v>74</v>
      </c>
      <c r="DJ2" s="29" t="s">
        <v>75</v>
      </c>
      <c r="DK2" s="29" t="s">
        <v>76</v>
      </c>
      <c r="DL2" s="28" t="s">
        <v>77</v>
      </c>
      <c r="DM2" s="29" t="s">
        <v>78</v>
      </c>
      <c r="DN2" s="29" t="s">
        <v>79</v>
      </c>
      <c r="DO2" s="29" t="s">
        <v>80</v>
      </c>
      <c r="DP2" s="30" t="s">
        <v>81</v>
      </c>
    </row>
    <row r="3" spans="1:120" ht="50.1" customHeight="1" x14ac:dyDescent="0.3">
      <c r="A3" s="82">
        <v>1</v>
      </c>
      <c r="B3" s="88" t="s">
        <v>161</v>
      </c>
      <c r="C3" s="89" t="s">
        <v>168</v>
      </c>
      <c r="D3" s="90">
        <v>16863262</v>
      </c>
      <c r="E3" s="91" t="s">
        <v>166</v>
      </c>
      <c r="F3" s="39" t="str">
        <f>IFERROR(ROUND(AVERAGE(CSCR[#This Row]),0),"")</f>
        <v/>
      </c>
      <c r="G3" s="41" t="s">
        <v>102</v>
      </c>
      <c r="H3" s="45" t="s">
        <v>102</v>
      </c>
      <c r="I3" s="45" t="s">
        <v>102</v>
      </c>
      <c r="J3" s="45" t="s">
        <v>102</v>
      </c>
      <c r="K3" s="45" t="s">
        <v>102</v>
      </c>
      <c r="L3" s="41" t="s">
        <v>102</v>
      </c>
      <c r="M3" s="45" t="s">
        <v>102</v>
      </c>
      <c r="N3" s="45" t="s">
        <v>102</v>
      </c>
      <c r="O3" s="45" t="s">
        <v>102</v>
      </c>
      <c r="P3" s="45" t="s">
        <v>102</v>
      </c>
      <c r="Q3" s="41" t="s">
        <v>102</v>
      </c>
      <c r="R3" s="45" t="s">
        <v>102</v>
      </c>
      <c r="S3" s="45" t="s">
        <v>102</v>
      </c>
      <c r="T3" s="45" t="s">
        <v>102</v>
      </c>
      <c r="U3" s="45" t="s">
        <v>102</v>
      </c>
      <c r="V3" s="41" t="s">
        <v>102</v>
      </c>
      <c r="W3" s="45" t="s">
        <v>102</v>
      </c>
      <c r="X3" s="45" t="s">
        <v>102</v>
      </c>
      <c r="Y3" s="45" t="s">
        <v>102</v>
      </c>
      <c r="Z3" s="45" t="s">
        <v>102</v>
      </c>
      <c r="AA3" s="41" t="s">
        <v>102</v>
      </c>
      <c r="AB3" s="45" t="s">
        <v>102</v>
      </c>
      <c r="AC3" s="45" t="s">
        <v>102</v>
      </c>
      <c r="AD3" s="45" t="s">
        <v>102</v>
      </c>
      <c r="AE3" s="45" t="s">
        <v>102</v>
      </c>
      <c r="AF3" s="41" t="s">
        <v>102</v>
      </c>
      <c r="AG3" s="45" t="s">
        <v>102</v>
      </c>
      <c r="AH3" s="45" t="s">
        <v>102</v>
      </c>
      <c r="AI3" s="45" t="s">
        <v>102</v>
      </c>
      <c r="AJ3" s="45" t="s">
        <v>102</v>
      </c>
      <c r="AK3" s="41" t="s">
        <v>102</v>
      </c>
      <c r="AL3" s="45" t="s">
        <v>102</v>
      </c>
      <c r="AM3" s="45" t="s">
        <v>102</v>
      </c>
      <c r="AN3" s="45" t="s">
        <v>102</v>
      </c>
      <c r="AO3" s="45" t="s">
        <v>102</v>
      </c>
      <c r="AP3" s="41" t="s">
        <v>102</v>
      </c>
      <c r="AQ3" s="45" t="s">
        <v>102</v>
      </c>
      <c r="AR3" s="45" t="s">
        <v>102</v>
      </c>
      <c r="AS3" s="45" t="s">
        <v>102</v>
      </c>
      <c r="AT3" s="45" t="s">
        <v>102</v>
      </c>
      <c r="AU3" s="41" t="s">
        <v>102</v>
      </c>
      <c r="AV3" s="45" t="s">
        <v>102</v>
      </c>
      <c r="AW3" s="45" t="s">
        <v>102</v>
      </c>
      <c r="AX3" s="45" t="s">
        <v>102</v>
      </c>
      <c r="AY3" s="45" t="s">
        <v>102</v>
      </c>
      <c r="BA3" s="37" t="str">
        <f>CONCATENATE(NSi.TS[[#This Row],[KU.1]],(IF(A.LoE[[#This Row],[LE.1]]="-","-",IF(A.LoE[[#This Row],[LE.1]]&gt;=90,1,IF(A.LoE[[#This Row],[LE.1]]&gt;=80,2,IF(A.LoE[[#This Row],[LE.1]]&gt;=70,3,IF(A.LoE[[#This Row],[LE.1]]&gt;=1,4,5)))))))</f>
        <v>--</v>
      </c>
      <c r="BB3" s="37" t="str">
        <f>CONCATENATE(NSi.TS[[#This Row],[KU.2]],(IF(A.LoE[[#This Row],[LE.2]]="-","-",IF(A.LoE[[#This Row],[LE.2]]&gt;=90,1,IF(A.LoE[[#This Row],[LE.2]]&gt;=80,2,IF(A.LoE[[#This Row],[LE.2]]&gt;=70,3,IF(A.LoE[[#This Row],[LE.2]]&gt;=1,4,5)))))))</f>
        <v>--</v>
      </c>
      <c r="BC3" s="37" t="str">
        <f>CONCATENATE(NSi.TS[[#This Row],[KU.3]],(IF(A.LoE[[#This Row],[LE.3]]="-","-",IF(A.LoE[[#This Row],[LE.3]]&gt;=90,1,IF(A.LoE[[#This Row],[LE.3]]&gt;=80,2,IF(A.LoE[[#This Row],[LE.3]]&gt;=70,3,IF(A.LoE[[#This Row],[LE.3]]&gt;=1,4,5)))))))</f>
        <v>--</v>
      </c>
      <c r="BD3" s="37" t="str">
        <f>CONCATENATE(NSi.TS[[#This Row],[KU.4]],(IF(A.LoE[[#This Row],[LE.4]]="-","-",IF(A.LoE[[#This Row],[LE.4]]&gt;=90,1,IF(A.LoE[[#This Row],[LE.4]]&gt;=80,2,IF(A.LoE[[#This Row],[LE.4]]&gt;=70,3,IF(A.LoE[[#This Row],[LE.4]]&gt;=1,4,5)))))))</f>
        <v>--</v>
      </c>
      <c r="BE3" s="37" t="str">
        <f>CONCATENATE(NSi.TS[[#This Row],[KU.5]],(IF(A.LoE[[#This Row],[LE.5]]="-","-",IF(A.LoE[[#This Row],[LE.5]]&gt;=90,1,IF(A.LoE[[#This Row],[LE.5]]&gt;=80,2,IF(A.LoE[[#This Row],[LE.5]]&gt;=70,3,IF(A.LoE[[#This Row],[LE.5]]&gt;=1,4,5)))))))</f>
        <v>--</v>
      </c>
      <c r="BF3" s="37" t="str">
        <f>CONCATENATE(NSi.TS[[#This Row],[KU.6]],(IF(A.LoE[[#This Row],[LE.6]]="-","-",IF(A.LoE[[#This Row],[LE.6]]&gt;=90,1,IF(A.LoE[[#This Row],[LE.6]]&gt;=80,2,IF(A.LoE[[#This Row],[LE.6]]&gt;=70,3,IF(A.LoE[[#This Row],[LE.6]]&gt;=1,4,5)))))))</f>
        <v>--</v>
      </c>
      <c r="BG3" s="37" t="str">
        <f>CONCATENATE(NSi.TS[[#This Row],[KU.7]],(IF(A.LoE[[#This Row],[LE.7]]="-","-",IF(A.LoE[[#This Row],[LE.7]]&gt;=90,1,IF(A.LoE[[#This Row],[LE.7]]&gt;=80,2,IF(A.LoE[[#This Row],[LE.7]]&gt;=70,3,IF(A.LoE[[#This Row],[LE.7]]&gt;=1,4,5)))))))</f>
        <v>--</v>
      </c>
      <c r="BH3" s="37" t="str">
        <f>CONCATENATE(NSi.TS[[#This Row],[KU.8]],(IF(A.LoE[[#This Row],[LE.8]]="-","-",IF(A.LoE[[#This Row],[LE.8]]&gt;=90,1,IF(A.LoE[[#This Row],[LE.8]]&gt;=80,2,IF(A.LoE[[#This Row],[LE.8]]&gt;=70,3,IF(A.LoE[[#This Row],[LE.8]]&gt;=1,4,5)))))))</f>
        <v>--</v>
      </c>
      <c r="BI3" s="37" t="str">
        <f>CONCATENATE(NSi.TS[[#This Row],[KU.9]],(IF(A.LoE[[#This Row],[LE.9]]="-","-",IF(A.LoE[[#This Row],[LE.9]]&gt;=90,1,IF(A.LoE[[#This Row],[LE.9]]&gt;=80,2,IF(A.LoE[[#This Row],[LE.9]]&gt;=70,3,IF(A.LoE[[#This Row],[LE.9]]&gt;=1,4,5)))))))</f>
        <v>--</v>
      </c>
      <c r="BK3" s="35" t="str">
        <f>IFERROR(ROUND(AVERAGE(Con.Sk[[#This Row],[TJ.1]:[Pro-A.1]]),0),"-")</f>
        <v>-</v>
      </c>
      <c r="BL3" s="24" t="str">
        <f>IFERROR(ROUND(AVERAGE(Con.Sk[[#This Row],[TJ.2]:[Pro-A.2]]),0),"-")</f>
        <v>-</v>
      </c>
      <c r="BM3" s="24" t="str">
        <f>IFERROR(ROUND(AVERAGE(Con.Sk[[#This Row],[TJ.3]:[Pro-A.3]]),0),"-")</f>
        <v>-</v>
      </c>
      <c r="BN3" s="24" t="str">
        <f>IFERROR(ROUND(AVERAGE(Con.Sk[[#This Row],[TJ.4]:[Pro-A.4]]),0),"-")</f>
        <v>-</v>
      </c>
      <c r="BO3" s="24" t="str">
        <f>IFERROR(ROUND(AVERAGE(Con.Sk[[#This Row],[TJ.5]:[Pro-A.5]]),0),"-")</f>
        <v>-</v>
      </c>
      <c r="BP3" s="24" t="str">
        <f>IFERROR(ROUND(AVERAGE(Con.Sk[[#This Row],[TJ.6]:[Pro-A.6]]),0),"-")</f>
        <v>-</v>
      </c>
      <c r="BQ3" s="24" t="str">
        <f>IFERROR(ROUND(AVERAGE(Con.Sk[[#This Row],[TJ.7]:[Pro-A.7]]),0),"-")</f>
        <v>-</v>
      </c>
      <c r="BR3" s="24" t="str">
        <f>IFERROR(ROUND(AVERAGE(Con.Sk[[#This Row],[TJ.8]:[Pro-A.8]]),0),"-")</f>
        <v>-</v>
      </c>
      <c r="BS3" s="25" t="str">
        <f>IFERROR(ROUND(AVERAGE(Con.Sk[[#This Row],[TJ.9]:[Pro-A.9]]),0),"-")</f>
        <v>-</v>
      </c>
      <c r="BU3" s="47" t="str">
        <f>IFERROR(ROUND(AVERAGE(Con.Sk[[#This Row],[KU.1]],Con.Sk[[#This Row],[KU.2]],Con.Sk[[#This Row],[KU.3]],Con.Sk[[#This Row],[KU.4]],Con.Sk[[#This Row],[KU.5]],Con.Sk[[#This Row],[KU.6]],Con.Sk[[#This Row],[KU.7]],Con.Sk[[#This Row],[KU.8]],Con.Sk[[#This Row],[KU.9]]),0),"")</f>
        <v/>
      </c>
      <c r="BV3" s="48" t="str">
        <f>IFERROR(ROUND(AVERAGE(Con.Sk[[#This Row],[TJ.1]:[Pro-A.1]],Con.Sk[[#This Row],[TJ.2]:[Pro-A.2]],Con.Sk[[#This Row],[TJ.3]:[Pro-A.3]],Con.Sk[[#This Row],[TJ.4]:[Pro-A.4]],Con.Sk[[#This Row],[TJ.5]:[Pro-A.5]],Con.Sk[[#This Row],[TJ.6]:[Pro-A.6]],Con.Sk[[#This Row],[TJ.7]:[Pro-A.7]],Con.Sk[[#This Row],[TJ.8]:[Pro-A.8]],Con.Sk[[#This Row],[TJ.9]:[Pro-A.9]]),0),"")</f>
        <v/>
      </c>
      <c r="BW3" s="3"/>
      <c r="BX3" s="73" t="str">
        <f>IF(NSi.TS[[#This Row],[KU.1]]="A",100,IF(NSi.TS[[#This Row],[KU.1]]="B",89,IF(NSi.TS[[#This Row],[KU.1]]="C",79,IF(NSi.TS[[#This Row],[KU.1]]="D",69,IF(NSi.TS[[#This Row],[KU.1]]="E",0,"-")))))</f>
        <v>-</v>
      </c>
      <c r="BY3" s="73" t="str">
        <f>IF(NSi.TS[[#This Row],[TJ.1]]=1,100,IF(NSi.TS[[#This Row],[TJ.1]]=2,89,IF(NSi.TS[[#This Row],[TJ.1]]=3,79,IF(NSi.TS[[#This Row],[TJ.1]]=4,69,IF(NSi.TS[[#This Row],[TJ.1]]=5,0,"-")))))</f>
        <v>-</v>
      </c>
      <c r="BZ3" s="73" t="str">
        <f>IF(NSi.TS[[#This Row],[Ker.1]]=1,100,IF(NSi.TS[[#This Row],[Ker.1]]=2,89,IF(NSi.TS[[#This Row],[Ker.1]]=3,79,IF(NSi.TS[[#This Row],[Ker.1]]=4,69,IF(NSi.TS[[#This Row],[Ker.1]]=5,0,"-")))))</f>
        <v>-</v>
      </c>
      <c r="CA3" s="73" t="str">
        <f>IF(NSi.TS[[#This Row],[Ped.1]]=1,100,IF(NSi.TS[[#This Row],[Ped.1]]=2,89,IF(NSi.TS[[#This Row],[Ped.1]]=3,79,IF(NSi.TS[[#This Row],[Ped.1]]=4,69,IF(NSi.TS[[#This Row],[Ped.1]]=5,0,"-")))))</f>
        <v>-</v>
      </c>
      <c r="CB3" s="73" t="str">
        <f>IF(NSi.TS[[#This Row],[Pro-A.1]]=1,100,IF(NSi.TS[[#This Row],[Pro-A.1]]=2,89,IF(NSi.TS[[#This Row],[Pro-A.1]]=3,79,IF(NSi.TS[[#This Row],[Pro-A.1]]=4,69,IF(NSi.TS[[#This Row],[Pro-A.1]]=5,0,"-")))))</f>
        <v>-</v>
      </c>
      <c r="CC3" s="73" t="str">
        <f>IF(NSi.TS[[#This Row],[KU.2]]="A",100,IF(NSi.TS[[#This Row],[KU.2]]="B",89,IF(NSi.TS[[#This Row],[KU.2]]="C",79,IF(NSi.TS[[#This Row],[KU.2]]="D",69,IF(NSi.TS[[#This Row],[KU.2]]="E",0,"-")))))</f>
        <v>-</v>
      </c>
      <c r="CD3" s="73" t="str">
        <f>IF(NSi.TS[[#This Row],[TJ.2]]=1,100,IF(NSi.TS[[#This Row],[TJ.2]]=2,89,IF(NSi.TS[[#This Row],[TJ.2]]=3,79,IF(NSi.TS[[#This Row],[TJ.2]]=4,69,IF(NSi.TS[[#This Row],[TJ.2]]=5,0,"-")))))</f>
        <v>-</v>
      </c>
      <c r="CE3" s="73" t="str">
        <f>IF(NSi.TS[[#This Row],[Ker.2]]=1,100,IF(NSi.TS[[#This Row],[Ker.2]]=2,89,IF(NSi.TS[[#This Row],[Ker.2]]=3,79,IF(NSi.TS[[#This Row],[Ker.2]]=4,69,IF(NSi.TS[[#This Row],[Ker.2]]=5,0,"-")))))</f>
        <v>-</v>
      </c>
      <c r="CF3" s="73" t="str">
        <f>IF(NSi.TS[[#This Row],[Ped.2]]=1,100,IF(NSi.TS[[#This Row],[Ped.2]]=2,89,IF(NSi.TS[[#This Row],[Ped.2]]=3,79,IF(NSi.TS[[#This Row],[Ped.2]]=4,69,IF(NSi.TS[[#This Row],[Ped.2]]=5,0,"-")))))</f>
        <v>-</v>
      </c>
      <c r="CG3" s="73" t="str">
        <f>IF(NSi.TS[[#This Row],[Pro-A.2]]=1,100,IF(NSi.TS[[#This Row],[Pro-A.2]]=2,89,IF(NSi.TS[[#This Row],[Pro-A.2]]=3,79,IF(NSi.TS[[#This Row],[Pro-A.2]]=4,69,IF(NSi.TS[[#This Row],[Pro-A.2]]=5,0,"-")))))</f>
        <v>-</v>
      </c>
      <c r="CH3" s="73" t="str">
        <f>IF(NSi.TS[[#This Row],[KU.3]]="A",100,IF(NSi.TS[[#This Row],[KU.3]]="B",89,IF(NSi.TS[[#This Row],[KU.3]]="C",79,IF(NSi.TS[[#This Row],[KU.3]]="D",69,IF(NSi.TS[[#This Row],[KU.3]]="E",0,"-")))))</f>
        <v>-</v>
      </c>
      <c r="CI3" s="73" t="str">
        <f>IF(NSi.TS[[#This Row],[TJ.3]]=1,100,IF(NSi.TS[[#This Row],[TJ.3]]=2,89,IF(NSi.TS[[#This Row],[TJ.3]]=3,79,IF(NSi.TS[[#This Row],[TJ.3]]=4,69,IF(NSi.TS[[#This Row],[TJ.3]]=5,0,"-")))))</f>
        <v>-</v>
      </c>
      <c r="CJ3" s="73" t="str">
        <f>IF(NSi.TS[[#This Row],[Ker.3]]=1,100,IF(NSi.TS[[#This Row],[Ker.3]]=2,89,IF(NSi.TS[[#This Row],[Ker.3]]=3,79,IF(NSi.TS[[#This Row],[Ker.3]]=4,69,IF(NSi.TS[[#This Row],[Ker.3]]=5,0,"-")))))</f>
        <v>-</v>
      </c>
      <c r="CK3" s="73" t="str">
        <f>IF(NSi.TS[[#This Row],[Ped.3]]=1,100,IF(NSi.TS[[#This Row],[Ped.3]]=2,89,IF(NSi.TS[[#This Row],[Ped.3]]=3,79,IF(NSi.TS[[#This Row],[Ped.3]]=4,69,IF(NSi.TS[[#This Row],[Ped.3]]=5,0,"-")))))</f>
        <v>-</v>
      </c>
      <c r="CL3" s="73" t="str">
        <f>IF(NSi.TS[[#This Row],[Pro-A.3]]=1,100,IF(NSi.TS[[#This Row],[Pro-A.3]]=2,89,IF(NSi.TS[[#This Row],[Pro-A.3]]=3,79,IF(NSi.TS[[#This Row],[Pro-A.3]]=4,69,IF(NSi.TS[[#This Row],[Pro-A.3]]=5,0,"-")))))</f>
        <v>-</v>
      </c>
      <c r="CM3" s="73" t="str">
        <f>IF(NSi.TS[[#This Row],[KU.4]]="A",100,IF(NSi.TS[[#This Row],[KU.4]]="B",89,IF(NSi.TS[[#This Row],[KU.4]]="C",79,IF(NSi.TS[[#This Row],[KU.4]]="D",69,IF(NSi.TS[[#This Row],[KU.4]]="E",0,"-")))))</f>
        <v>-</v>
      </c>
      <c r="CN3" s="73" t="str">
        <f>IF(NSi.TS[[#This Row],[TJ.4]]=1,100,IF(NSi.TS[[#This Row],[TJ.4]]=2,89,IF(NSi.TS[[#This Row],[TJ.4]]=3,79,IF(NSi.TS[[#This Row],[TJ.4]]=4,69,IF(NSi.TS[[#This Row],[TJ.4]]=5,0,"-")))))</f>
        <v>-</v>
      </c>
      <c r="CO3" s="73" t="str">
        <f>IF(NSi.TS[[#This Row],[Ker.4]]=1,100,IF(NSi.TS[[#This Row],[Ker.4]]=2,89,IF(NSi.TS[[#This Row],[Ker.4]]=3,79,IF(NSi.TS[[#This Row],[Ker.4]]=4,69,IF(NSi.TS[[#This Row],[Ker.4]]=5,0,"-")))))</f>
        <v>-</v>
      </c>
      <c r="CP3" s="73" t="str">
        <f>IF(NSi.TS[[#This Row],[Ped.4]]=1,100,IF(NSi.TS[[#This Row],[Ped.4]]=2,89,IF(NSi.TS[[#This Row],[Ped.4]]=3,79,IF(NSi.TS[[#This Row],[Ped.4]]=4,69,IF(NSi.TS[[#This Row],[Ped.4]]=5,0,"-")))))</f>
        <v>-</v>
      </c>
      <c r="CQ3" s="73" t="str">
        <f>IF(NSi.TS[[#This Row],[Pro-A.4]]=1,100,IF(NSi.TS[[#This Row],[Pro-A.4]]=2,89,IF(NSi.TS[[#This Row],[Pro-A.4]]=3,79,IF(NSi.TS[[#This Row],[Pro-A.4]]=4,69,IF(NSi.TS[[#This Row],[Pro-A.4]]=5,0,"-")))))</f>
        <v>-</v>
      </c>
      <c r="CR3" s="73" t="str">
        <f>IF(NSi.TS[[#This Row],[KU.5]]="A",100,IF(NSi.TS[[#This Row],[KU.5]]="B",89,IF(NSi.TS[[#This Row],[KU.5]]="C",79,IF(NSi.TS[[#This Row],[KU.5]]="D",69,IF(NSi.TS[[#This Row],[KU.5]]="E",0,"-")))))</f>
        <v>-</v>
      </c>
      <c r="CS3" s="73" t="str">
        <f>IF(NSi.TS[[#This Row],[TJ.5]]=1,100,IF(NSi.TS[[#This Row],[TJ.5]]=2,89,IF(NSi.TS[[#This Row],[TJ.5]]=3,79,IF(NSi.TS[[#This Row],[TJ.5]]=4,69,IF(NSi.TS[[#This Row],[TJ.5]]=5,0,"-")))))</f>
        <v>-</v>
      </c>
      <c r="CT3" s="73" t="str">
        <f>IF(NSi.TS[[#This Row],[Ker.5]]=1,100,IF(NSi.TS[[#This Row],[Ker.5]]=2,89,IF(NSi.TS[[#This Row],[Ker.5]]=3,79,IF(NSi.TS[[#This Row],[Ker.5]]=4,69,IF(NSi.TS[[#This Row],[Ker.5]]=5,0,"-")))))</f>
        <v>-</v>
      </c>
      <c r="CU3" s="73" t="str">
        <f>IF(NSi.TS[[#This Row],[Ped.5]]=1,100,IF(NSi.TS[[#This Row],[Ped.5]]=2,89,IF(NSi.TS[[#This Row],[Ped.5]]=3,79,IF(NSi.TS[[#This Row],[Ped.5]]=4,69,IF(NSi.TS[[#This Row],[Ped.5]]=5,0,"-")))))</f>
        <v>-</v>
      </c>
      <c r="CV3" s="73" t="str">
        <f>IF(NSi.TS[[#This Row],[Pro-A.5]]=1,100,IF(NSi.TS[[#This Row],[Pro-A.5]]=2,89,IF(NSi.TS[[#This Row],[Pro-A.5]]=3,79,IF(NSi.TS[[#This Row],[Pro-A.5]]=4,69,IF(NSi.TS[[#This Row],[Pro-A.5]]=5,0,"-")))))</f>
        <v>-</v>
      </c>
      <c r="CW3" s="73" t="str">
        <f>IF(NSi.TS[[#This Row],[KU.6]]="A",100,IF(NSi.TS[[#This Row],[KU.6]]="B",89,IF(NSi.TS[[#This Row],[KU.6]]="C",79,IF(NSi.TS[[#This Row],[KU.6]]="D",69,IF(NSi.TS[[#This Row],[KU.6]]="E",0,"-")))))</f>
        <v>-</v>
      </c>
      <c r="CX3" s="73" t="str">
        <f>IF(NSi.TS[[#This Row],[TJ.6]]=1,100,IF(NSi.TS[[#This Row],[TJ.6]]=2,89,IF(NSi.TS[[#This Row],[TJ.6]]=3,79,IF(NSi.TS[[#This Row],[TJ.6]]=4,69,IF(NSi.TS[[#This Row],[TJ.6]]=5,0,"-")))))</f>
        <v>-</v>
      </c>
      <c r="CY3" s="73" t="str">
        <f>IF(NSi.TS[[#This Row],[Ker.6]]=1,100,IF(NSi.TS[[#This Row],[Ker.6]]=2,89,IF(NSi.TS[[#This Row],[Ker.6]]=3,79,IF(NSi.TS[[#This Row],[Ker.6]]=4,69,IF(NSi.TS[[#This Row],[Ker.6]]=5,0,"-")))))</f>
        <v>-</v>
      </c>
      <c r="CZ3" s="73" t="str">
        <f>IF(NSi.TS[[#This Row],[Ped.6]]=1,100,IF(NSi.TS[[#This Row],[Ped.6]]=2,89,IF(NSi.TS[[#This Row],[Ped.6]]=3,79,IF(NSi.TS[[#This Row],[Ped.6]]=4,69,IF(NSi.TS[[#This Row],[Ped.6]]=5,0,"-")))))</f>
        <v>-</v>
      </c>
      <c r="DA3" s="73" t="str">
        <f>IF(NSi.TS[[#This Row],[Pro-A.6]]=1,100,IF(NSi.TS[[#This Row],[Pro-A.6]]=2,89,IF(NSi.TS[[#This Row],[Pro-A.6]]=3,79,IF(NSi.TS[[#This Row],[Pro-A.6]]=4,69,IF(NSi.TS[[#This Row],[Pro-A.6]]=5,0,"-")))))</f>
        <v>-</v>
      </c>
      <c r="DB3" s="73" t="str">
        <f>IF(NSi.TS[[#This Row],[KU.7]]="A",100,IF(NSi.TS[[#This Row],[KU.7]]="B",89,IF(NSi.TS[[#This Row],[KU.7]]="C",79,IF(NSi.TS[[#This Row],[KU.7]]="D",69,IF(NSi.TS[[#This Row],[KU.7]]="E",0,"-")))))</f>
        <v>-</v>
      </c>
      <c r="DC3" s="73" t="str">
        <f>IF(NSi.TS[[#This Row],[TJ.7]]=1,100,IF(NSi.TS[[#This Row],[TJ.7]]=2,89,IF(NSi.TS[[#This Row],[TJ.7]]=3,79,IF(NSi.TS[[#This Row],[TJ.7]]=4,69,IF(NSi.TS[[#This Row],[TJ.7]]=5,0,"-")))))</f>
        <v>-</v>
      </c>
      <c r="DD3" s="73" t="str">
        <f>IF(NSi.TS[[#This Row],[Ker.7]]=1,100,IF(NSi.TS[[#This Row],[Ker.7]]=2,89,IF(NSi.TS[[#This Row],[Ker.7]]=3,79,IF(NSi.TS[[#This Row],[Ker.7]]=4,69,IF(NSi.TS[[#This Row],[Ker.7]]=5,0,"-")))))</f>
        <v>-</v>
      </c>
      <c r="DE3" s="73" t="str">
        <f>IF(NSi.TS[[#This Row],[Ped.7]]=1,100,IF(NSi.TS[[#This Row],[Ped.7]]=2,89,IF(NSi.TS[[#This Row],[Ped.7]]=3,79,IF(NSi.TS[[#This Row],[Ped.7]]=4,69,IF(NSi.TS[[#This Row],[Ped.7]]=5,0,"-")))))</f>
        <v>-</v>
      </c>
      <c r="DF3" s="73" t="str">
        <f>IF(NSi.TS[[#This Row],[Pro-A.7]]=1,100,IF(NSi.TS[[#This Row],[Pro-A.7]]=2,89,IF(NSi.TS[[#This Row],[Pro-A.7]]=3,79,IF(NSi.TS[[#This Row],[Pro-A.7]]=4,69,IF(NSi.TS[[#This Row],[Pro-A.7]]=5,0,"-")))))</f>
        <v>-</v>
      </c>
      <c r="DG3" s="73" t="str">
        <f>IF(NSi.TS[[#This Row],[KU.8]]="A",100,IF(NSi.TS[[#This Row],[KU.8]]="B",89,IF(NSi.TS[[#This Row],[KU.8]]="C",79,IF(NSi.TS[[#This Row],[KU.8]]="D",69,IF(NSi.TS[[#This Row],[KU.8]]="E",0,"-")))))</f>
        <v>-</v>
      </c>
      <c r="DH3" s="73" t="str">
        <f>IF(NSi.TS[[#This Row],[TJ.8]]=1,100,IF(NSi.TS[[#This Row],[TJ.8]]=2,89,IF(NSi.TS[[#This Row],[TJ.8]]=3,79,IF(NSi.TS[[#This Row],[TJ.8]]=4,69,IF(NSi.TS[[#This Row],[TJ.8]]=5,0,"-")))))</f>
        <v>-</v>
      </c>
      <c r="DI3" s="73" t="str">
        <f>IF(NSi.TS[[#This Row],[Ker.8]]=1,100,IF(NSi.TS[[#This Row],[Ker.8]]=2,89,IF(NSi.TS[[#This Row],[Ker.8]]=3,79,IF(NSi.TS[[#This Row],[Ker.8]]=4,69,IF(NSi.TS[[#This Row],[Ker.8]]=5,0,"-")))))</f>
        <v>-</v>
      </c>
      <c r="DJ3" s="73" t="str">
        <f>IF(NSi.TS[[#This Row],[Ped.8]]=1,100,IF(NSi.TS[[#This Row],[Ped.8]]=2,89,IF(NSi.TS[[#This Row],[Ped.8]]=3,79,IF(NSi.TS[[#This Row],[Ped.8]]=4,69,IF(NSi.TS[[#This Row],[Ped.8]]=5,0,"-")))))</f>
        <v>-</v>
      </c>
      <c r="DK3" s="73" t="str">
        <f>IF(NSi.TS[[#This Row],[Pro-A.8]]=1,100,IF(NSi.TS[[#This Row],[Pro-A.8]]=2,89,IF(NSi.TS[[#This Row],[Pro-A.8]]=3,79,IF(NSi.TS[[#This Row],[Pro-A.8]]=4,69,IF(NSi.TS[[#This Row],[Pro-A.8]]=5,0,"-")))))</f>
        <v>-</v>
      </c>
      <c r="DL3" s="73" t="str">
        <f>IF(NSi.TS[[#This Row],[KU.9]]="A",100,IF(NSi.TS[[#This Row],[KU.9]]="B",89,IF(NSi.TS[[#This Row],[KU.9]]="C",79,IF(NSi.TS[[#This Row],[KU.9]]="D",69,IF(NSi.TS[[#This Row],[KU.9]]="E",0,"-")))))</f>
        <v>-</v>
      </c>
      <c r="DM3" s="73" t="str">
        <f>IF(NSi.TS[[#This Row],[TJ.9]]=1,100,IF(NSi.TS[[#This Row],[TJ.9]]=2,89,IF(NSi.TS[[#This Row],[TJ.9]]=3,79,IF(NSi.TS[[#This Row],[TJ.9]]=4,69,IF(NSi.TS[[#This Row],[TJ.9]]=5,0,"-")))))</f>
        <v>-</v>
      </c>
      <c r="DN3" s="73" t="str">
        <f>IF(NSi.TS[[#This Row],[Ker.9]]=1,100,IF(NSi.TS[[#This Row],[Ker.9]]=2,89,IF(NSi.TS[[#This Row],[Ker.9]]=3,79,IF(NSi.TS[[#This Row],[Ker.9]]=4,69,IF(NSi.TS[[#This Row],[Ker.9]]=5,0,"-")))))</f>
        <v>-</v>
      </c>
      <c r="DO3" s="73" t="str">
        <f>IF(NSi.TS[[#This Row],[Ped.9]]=1,100,IF(NSi.TS[[#This Row],[Ped.9]]=2,89,IF(NSi.TS[[#This Row],[Ped.9]]=3,79,IF(NSi.TS[[#This Row],[Ped.9]]=4,69,IF(NSi.TS[[#This Row],[Ped.9]]=5,0,"-")))))</f>
        <v>-</v>
      </c>
      <c r="DP3" s="73" t="str">
        <f>IF(NSi.TS[[#This Row],[Pro-A.9]]=1,100,IF(NSi.TS[[#This Row],[Pro-A.9]]=2,89,IF(NSi.TS[[#This Row],[Pro-A.9]]=3,79,IF(NSi.TS[[#This Row],[Pro-A.9]]=4,69,IF(NSi.TS[[#This Row],[Pro-A.9]]=5,0,"-")))))</f>
        <v>-</v>
      </c>
    </row>
    <row r="4" spans="1:120" ht="50.1" customHeight="1" x14ac:dyDescent="0.3">
      <c r="A4" s="82">
        <v>2</v>
      </c>
      <c r="B4" s="88" t="s">
        <v>157</v>
      </c>
      <c r="C4" s="89" t="s">
        <v>169</v>
      </c>
      <c r="D4" s="90">
        <v>24306262</v>
      </c>
      <c r="E4" s="91" t="s">
        <v>167</v>
      </c>
      <c r="F4" s="44" t="str">
        <f>IFERROR(ROUND(AVERAGE(CSCR[#This Row]),0),"")</f>
        <v/>
      </c>
      <c r="G4" s="41" t="s">
        <v>102</v>
      </c>
      <c r="H4" s="45" t="s">
        <v>102</v>
      </c>
      <c r="I4" s="45" t="s">
        <v>102</v>
      </c>
      <c r="J4" s="45" t="s">
        <v>102</v>
      </c>
      <c r="K4" s="45" t="s">
        <v>102</v>
      </c>
      <c r="L4" s="41" t="s">
        <v>102</v>
      </c>
      <c r="M4" s="45" t="s">
        <v>102</v>
      </c>
      <c r="N4" s="45" t="s">
        <v>102</v>
      </c>
      <c r="O4" s="45" t="s">
        <v>102</v>
      </c>
      <c r="P4" s="45" t="s">
        <v>102</v>
      </c>
      <c r="Q4" s="41" t="s">
        <v>102</v>
      </c>
      <c r="R4" s="45" t="s">
        <v>102</v>
      </c>
      <c r="S4" s="45" t="s">
        <v>102</v>
      </c>
      <c r="T4" s="45" t="s">
        <v>102</v>
      </c>
      <c r="U4" s="45" t="s">
        <v>102</v>
      </c>
      <c r="V4" s="41" t="s">
        <v>102</v>
      </c>
      <c r="W4" s="45" t="s">
        <v>102</v>
      </c>
      <c r="X4" s="45" t="s">
        <v>102</v>
      </c>
      <c r="Y4" s="45" t="s">
        <v>102</v>
      </c>
      <c r="Z4" s="45" t="s">
        <v>102</v>
      </c>
      <c r="AA4" s="41" t="s">
        <v>102</v>
      </c>
      <c r="AB4" s="45" t="s">
        <v>102</v>
      </c>
      <c r="AC4" s="45" t="s">
        <v>102</v>
      </c>
      <c r="AD4" s="45" t="s">
        <v>102</v>
      </c>
      <c r="AE4" s="45" t="s">
        <v>102</v>
      </c>
      <c r="AF4" s="41" t="s">
        <v>102</v>
      </c>
      <c r="AG4" s="45" t="s">
        <v>102</v>
      </c>
      <c r="AH4" s="45" t="s">
        <v>102</v>
      </c>
      <c r="AI4" s="45" t="s">
        <v>102</v>
      </c>
      <c r="AJ4" s="45" t="s">
        <v>102</v>
      </c>
      <c r="AK4" s="41" t="s">
        <v>102</v>
      </c>
      <c r="AL4" s="45" t="s">
        <v>102</v>
      </c>
      <c r="AM4" s="45" t="s">
        <v>102</v>
      </c>
      <c r="AN4" s="45" t="s">
        <v>102</v>
      </c>
      <c r="AO4" s="45" t="s">
        <v>102</v>
      </c>
      <c r="AP4" s="41" t="s">
        <v>102</v>
      </c>
      <c r="AQ4" s="45" t="s">
        <v>102</v>
      </c>
      <c r="AR4" s="45" t="s">
        <v>102</v>
      </c>
      <c r="AS4" s="45" t="s">
        <v>102</v>
      </c>
      <c r="AT4" s="45" t="s">
        <v>102</v>
      </c>
      <c r="AU4" s="41" t="s">
        <v>102</v>
      </c>
      <c r="AV4" s="45" t="s">
        <v>102</v>
      </c>
      <c r="AW4" s="45" t="s">
        <v>102</v>
      </c>
      <c r="AX4" s="45" t="s">
        <v>102</v>
      </c>
      <c r="AY4" s="45" t="s">
        <v>102</v>
      </c>
      <c r="BA4" s="10" t="str">
        <f>CONCATENATE(NSi.TS[[#This Row],[KU.1]],(IF(A.LoE[[#This Row],[LE.1]]="-","-",IF(A.LoE[[#This Row],[LE.1]]&gt;=90,1,IF(A.LoE[[#This Row],[LE.1]]&gt;=80,2,IF(A.LoE[[#This Row],[LE.1]]&gt;=70,3,IF(A.LoE[[#This Row],[LE.1]]&gt;=1,4,5)))))))</f>
        <v>--</v>
      </c>
      <c r="BB4" s="46" t="str">
        <f>CONCATENATE(NSi.TS[[#This Row],[KU.2]],(IF(A.LoE[[#This Row],[LE.2]]="-","-",IF(A.LoE[[#This Row],[LE.2]]&gt;=90,1,IF(A.LoE[[#This Row],[LE.2]]&gt;=80,2,IF(A.LoE[[#This Row],[LE.2]]&gt;=70,3,IF(A.LoE[[#This Row],[LE.2]]&gt;=1,4,5)))))))</f>
        <v>--</v>
      </c>
      <c r="BC4" s="46" t="str">
        <f>CONCATENATE(NSi.TS[[#This Row],[KU.3]],(IF(A.LoE[[#This Row],[LE.3]]="-","-",IF(A.LoE[[#This Row],[LE.3]]&gt;=90,1,IF(A.LoE[[#This Row],[LE.3]]&gt;=80,2,IF(A.LoE[[#This Row],[LE.3]]&gt;=70,3,IF(A.LoE[[#This Row],[LE.3]]&gt;=1,4,5)))))))</f>
        <v>--</v>
      </c>
      <c r="BD4" s="46" t="str">
        <f>CONCATENATE(NSi.TS[[#This Row],[KU.4]],(IF(A.LoE[[#This Row],[LE.4]]="-","-",IF(A.LoE[[#This Row],[LE.4]]&gt;=90,1,IF(A.LoE[[#This Row],[LE.4]]&gt;=80,2,IF(A.LoE[[#This Row],[LE.4]]&gt;=70,3,IF(A.LoE[[#This Row],[LE.4]]&gt;=1,4,5)))))))</f>
        <v>--</v>
      </c>
      <c r="BE4" s="46" t="str">
        <f>CONCATENATE(NSi.TS[[#This Row],[KU.5]],(IF(A.LoE[[#This Row],[LE.5]]="-","-",IF(A.LoE[[#This Row],[LE.5]]&gt;=90,1,IF(A.LoE[[#This Row],[LE.5]]&gt;=80,2,IF(A.LoE[[#This Row],[LE.5]]&gt;=70,3,IF(A.LoE[[#This Row],[LE.5]]&gt;=1,4,5)))))))</f>
        <v>--</v>
      </c>
      <c r="BF4" s="46" t="str">
        <f>CONCATENATE(NSi.TS[[#This Row],[KU.6]],(IF(A.LoE[[#This Row],[LE.6]]="-","-",IF(A.LoE[[#This Row],[LE.6]]&gt;=90,1,IF(A.LoE[[#This Row],[LE.6]]&gt;=80,2,IF(A.LoE[[#This Row],[LE.6]]&gt;=70,3,IF(A.LoE[[#This Row],[LE.6]]&gt;=1,4,5)))))))</f>
        <v>--</v>
      </c>
      <c r="BG4" s="46" t="str">
        <f>CONCATENATE(NSi.TS[[#This Row],[KU.7]],(IF(A.LoE[[#This Row],[LE.7]]="-","-",IF(A.LoE[[#This Row],[LE.7]]&gt;=90,1,IF(A.LoE[[#This Row],[LE.7]]&gt;=80,2,IF(A.LoE[[#This Row],[LE.7]]&gt;=70,3,IF(A.LoE[[#This Row],[LE.7]]&gt;=1,4,5)))))))</f>
        <v>--</v>
      </c>
      <c r="BH4" s="46" t="str">
        <f>CONCATENATE(NSi.TS[[#This Row],[KU.8]],(IF(A.LoE[[#This Row],[LE.8]]="-","-",IF(A.LoE[[#This Row],[LE.8]]&gt;=90,1,IF(A.LoE[[#This Row],[LE.8]]&gt;=80,2,IF(A.LoE[[#This Row],[LE.8]]&gt;=70,3,IF(A.LoE[[#This Row],[LE.8]]&gt;=1,4,5)))))))</f>
        <v>--</v>
      </c>
      <c r="BI4" s="38" t="str">
        <f>CONCATENATE(NSi.TS[[#This Row],[KU.9]],(IF(A.LoE[[#This Row],[LE.9]]="-","-",IF(A.LoE[[#This Row],[LE.9]]&gt;=90,1,IF(A.LoE[[#This Row],[LE.9]]&gt;=80,2,IF(A.LoE[[#This Row],[LE.9]]&gt;=70,3,IF(A.LoE[[#This Row],[LE.9]]&gt;=1,4,5)))))))</f>
        <v>--</v>
      </c>
      <c r="BK4" s="35" t="str">
        <f>IFERROR(ROUND(AVERAGE(Con.Sk[[#This Row],[TJ.1]:[Pro-A.1]]),0),"-")</f>
        <v>-</v>
      </c>
      <c r="BL4" s="24" t="str">
        <f>IFERROR(ROUND(AVERAGE(Con.Sk[[#This Row],[TJ.2]:[Pro-A.2]]),0),"-")</f>
        <v>-</v>
      </c>
      <c r="BM4" s="24" t="str">
        <f>IFERROR(ROUND(AVERAGE(Con.Sk[[#This Row],[TJ.3]:[Pro-A.3]]),0),"-")</f>
        <v>-</v>
      </c>
      <c r="BN4" s="24" t="str">
        <f>IFERROR(ROUND(AVERAGE(Con.Sk[[#This Row],[TJ.4]:[Pro-A.4]]),0),"-")</f>
        <v>-</v>
      </c>
      <c r="BO4" s="24" t="str">
        <f>IFERROR(ROUND(AVERAGE(Con.Sk[[#This Row],[TJ.5]:[Pro-A.5]]),0),"-")</f>
        <v>-</v>
      </c>
      <c r="BP4" s="24" t="str">
        <f>IFERROR(ROUND(AVERAGE(Con.Sk[[#This Row],[TJ.6]:[Pro-A.6]]),0),"-")</f>
        <v>-</v>
      </c>
      <c r="BQ4" s="24" t="str">
        <f>IFERROR(ROUND(AVERAGE(Con.Sk[[#This Row],[TJ.7]:[Pro-A.7]]),0),"-")</f>
        <v>-</v>
      </c>
      <c r="BR4" s="24" t="str">
        <f>IFERROR(ROUND(AVERAGE(Con.Sk[[#This Row],[TJ.8]:[Pro-A.8]]),0),"-")</f>
        <v>-</v>
      </c>
      <c r="BS4" s="25" t="str">
        <f>IFERROR(ROUND(AVERAGE(Con.Sk[[#This Row],[TJ.9]:[Pro-A.9]]),0),"-")</f>
        <v>-</v>
      </c>
      <c r="BU4" s="47" t="str">
        <f>IFERROR(ROUND(AVERAGE(Con.Sk[[#This Row],[KU.1]],Con.Sk[[#This Row],[KU.2]],Con.Sk[[#This Row],[KU.3]],Con.Sk[[#This Row],[KU.4]],Con.Sk[[#This Row],[KU.5]],Con.Sk[[#This Row],[KU.6]],Con.Sk[[#This Row],[KU.7]],Con.Sk[[#This Row],[KU.8]],Con.Sk[[#This Row],[KU.9]]),0),"")</f>
        <v/>
      </c>
      <c r="BV4" s="48" t="str">
        <f>IFERROR(ROUND(AVERAGE(Con.Sk[[#This Row],[TJ.1]:[Pro-A.1]],Con.Sk[[#This Row],[TJ.2]:[Pro-A.2]],Con.Sk[[#This Row],[TJ.3]:[Pro-A.3]],Con.Sk[[#This Row],[TJ.4]:[Pro-A.4]],Con.Sk[[#This Row],[TJ.5]:[Pro-A.5]],Con.Sk[[#This Row],[TJ.6]:[Pro-A.6]],Con.Sk[[#This Row],[TJ.7]:[Pro-A.7]],Con.Sk[[#This Row],[TJ.8]:[Pro-A.8]],Con.Sk[[#This Row],[TJ.9]:[Pro-A.9]]),0),"")</f>
        <v/>
      </c>
      <c r="BW4" s="3"/>
      <c r="BX4" s="73" t="str">
        <f>IF(NSi.TS[[#This Row],[KU.1]]="A",100,IF(NSi.TS[[#This Row],[KU.1]]="B",89,IF(NSi.TS[[#This Row],[KU.1]]="C",79,IF(NSi.TS[[#This Row],[KU.1]]="D",69,IF(NSi.TS[[#This Row],[KU.1]]="E",0,"-")))))</f>
        <v>-</v>
      </c>
      <c r="BY4" s="73" t="str">
        <f>IF(NSi.TS[[#This Row],[TJ.1]]=1,100,IF(NSi.TS[[#This Row],[TJ.1]]=2,89,IF(NSi.TS[[#This Row],[TJ.1]]=3,79,IF(NSi.TS[[#This Row],[TJ.1]]=4,69,IF(NSi.TS[[#This Row],[TJ.1]]=5,0,"-")))))</f>
        <v>-</v>
      </c>
      <c r="BZ4" s="73" t="str">
        <f>IF(NSi.TS[[#This Row],[Ker.1]]=1,100,IF(NSi.TS[[#This Row],[Ker.1]]=2,89,IF(NSi.TS[[#This Row],[Ker.1]]=3,79,IF(NSi.TS[[#This Row],[Ker.1]]=4,69,IF(NSi.TS[[#This Row],[Ker.1]]=5,0,"-")))))</f>
        <v>-</v>
      </c>
      <c r="CA4" s="73" t="str">
        <f>IF(NSi.TS[[#This Row],[Ped.1]]=1,100,IF(NSi.TS[[#This Row],[Ped.1]]=2,89,IF(NSi.TS[[#This Row],[Ped.1]]=3,79,IF(NSi.TS[[#This Row],[Ped.1]]=4,69,IF(NSi.TS[[#This Row],[Ped.1]]=5,0,"-")))))</f>
        <v>-</v>
      </c>
      <c r="CB4" s="73" t="str">
        <f>IF(NSi.TS[[#This Row],[Pro-A.1]]=1,100,IF(NSi.TS[[#This Row],[Pro-A.1]]=2,89,IF(NSi.TS[[#This Row],[Pro-A.1]]=3,79,IF(NSi.TS[[#This Row],[Pro-A.1]]=4,69,IF(NSi.TS[[#This Row],[Pro-A.1]]=5,0,"-")))))</f>
        <v>-</v>
      </c>
      <c r="CC4" s="73" t="str">
        <f>IF(NSi.TS[[#This Row],[KU.2]]="A",100,IF(NSi.TS[[#This Row],[KU.2]]="B",89,IF(NSi.TS[[#This Row],[KU.2]]="C",79,IF(NSi.TS[[#This Row],[KU.2]]="D",69,IF(NSi.TS[[#This Row],[KU.2]]="E",0,"-")))))</f>
        <v>-</v>
      </c>
      <c r="CD4" s="73" t="str">
        <f>IF(NSi.TS[[#This Row],[TJ.2]]=1,100,IF(NSi.TS[[#This Row],[TJ.2]]=2,89,IF(NSi.TS[[#This Row],[TJ.2]]=3,79,IF(NSi.TS[[#This Row],[TJ.2]]=4,69,IF(NSi.TS[[#This Row],[TJ.2]]=5,0,"-")))))</f>
        <v>-</v>
      </c>
      <c r="CE4" s="73" t="str">
        <f>IF(NSi.TS[[#This Row],[Ker.2]]=1,100,IF(NSi.TS[[#This Row],[Ker.2]]=2,89,IF(NSi.TS[[#This Row],[Ker.2]]=3,79,IF(NSi.TS[[#This Row],[Ker.2]]=4,69,IF(NSi.TS[[#This Row],[Ker.2]]=5,0,"-")))))</f>
        <v>-</v>
      </c>
      <c r="CF4" s="73" t="str">
        <f>IF(NSi.TS[[#This Row],[Ped.2]]=1,100,IF(NSi.TS[[#This Row],[Ped.2]]=2,89,IF(NSi.TS[[#This Row],[Ped.2]]=3,79,IF(NSi.TS[[#This Row],[Ped.2]]=4,69,IF(NSi.TS[[#This Row],[Ped.2]]=5,0,"-")))))</f>
        <v>-</v>
      </c>
      <c r="CG4" s="73" t="str">
        <f>IF(NSi.TS[[#This Row],[Pro-A.2]]=1,100,IF(NSi.TS[[#This Row],[Pro-A.2]]=2,89,IF(NSi.TS[[#This Row],[Pro-A.2]]=3,79,IF(NSi.TS[[#This Row],[Pro-A.2]]=4,69,IF(NSi.TS[[#This Row],[Pro-A.2]]=5,0,"-")))))</f>
        <v>-</v>
      </c>
      <c r="CH4" s="74" t="str">
        <f>IF(NSi.TS[[#This Row],[KU.3]]="A",100,IF(NSi.TS[[#This Row],[KU.3]]="B",89,IF(NSi.TS[[#This Row],[KU.3]]="C",79,IF(NSi.TS[[#This Row],[KU.3]]="D",69,IF(NSi.TS[[#This Row],[KU.3]]="E",0,"-")))))</f>
        <v>-</v>
      </c>
      <c r="CI4" s="73" t="str">
        <f>IF(NSi.TS[[#This Row],[TJ.3]]=1,100,IF(NSi.TS[[#This Row],[TJ.3]]=2,89,IF(NSi.TS[[#This Row],[TJ.3]]=3,79,IF(NSi.TS[[#This Row],[TJ.3]]=4,69,IF(NSi.TS[[#This Row],[TJ.3]]=5,0,"-")))))</f>
        <v>-</v>
      </c>
      <c r="CJ4" s="73" t="str">
        <f>IF(NSi.TS[[#This Row],[Ker.3]]=1,100,IF(NSi.TS[[#This Row],[Ker.3]]=2,89,IF(NSi.TS[[#This Row],[Ker.3]]=3,79,IF(NSi.TS[[#This Row],[Ker.3]]=4,69,IF(NSi.TS[[#This Row],[Ker.3]]=5,0,"-")))))</f>
        <v>-</v>
      </c>
      <c r="CK4" s="73" t="str">
        <f>IF(NSi.TS[[#This Row],[Ped.3]]=1,100,IF(NSi.TS[[#This Row],[Ped.3]]=2,89,IF(NSi.TS[[#This Row],[Ped.3]]=3,79,IF(NSi.TS[[#This Row],[Ped.3]]=4,69,IF(NSi.TS[[#This Row],[Ped.3]]=5,0,"-")))))</f>
        <v>-</v>
      </c>
      <c r="CL4" s="73" t="str">
        <f>IF(NSi.TS[[#This Row],[Pro-A.3]]=1,100,IF(NSi.TS[[#This Row],[Pro-A.3]]=2,89,IF(NSi.TS[[#This Row],[Pro-A.3]]=3,79,IF(NSi.TS[[#This Row],[Pro-A.3]]=4,69,IF(NSi.TS[[#This Row],[Pro-A.3]]=5,0,"-")))))</f>
        <v>-</v>
      </c>
      <c r="CM4" s="74" t="str">
        <f>IF(NSi.TS[[#This Row],[KU.4]]="A",100,IF(NSi.TS[[#This Row],[KU.4]]="B",89,IF(NSi.TS[[#This Row],[KU.4]]="C",79,IF(NSi.TS[[#This Row],[KU.4]]="D",69,IF(NSi.TS[[#This Row],[KU.4]]="E",0,"-")))))</f>
        <v>-</v>
      </c>
      <c r="CN4" s="73" t="str">
        <f>IF(NSi.TS[[#This Row],[TJ.4]]=1,100,IF(NSi.TS[[#This Row],[TJ.4]]=2,89,IF(NSi.TS[[#This Row],[TJ.4]]=3,79,IF(NSi.TS[[#This Row],[TJ.4]]=4,69,IF(NSi.TS[[#This Row],[TJ.4]]=5,0,"-")))))</f>
        <v>-</v>
      </c>
      <c r="CO4" s="73" t="str">
        <f>IF(NSi.TS[[#This Row],[Ker.4]]=1,100,IF(NSi.TS[[#This Row],[Ker.4]]=2,89,IF(NSi.TS[[#This Row],[Ker.4]]=3,79,IF(NSi.TS[[#This Row],[Ker.4]]=4,69,IF(NSi.TS[[#This Row],[Ker.4]]=5,0,"-")))))</f>
        <v>-</v>
      </c>
      <c r="CP4" s="73" t="str">
        <f>IF(NSi.TS[[#This Row],[Ped.4]]=1,100,IF(NSi.TS[[#This Row],[Ped.4]]=2,89,IF(NSi.TS[[#This Row],[Ped.4]]=3,79,IF(NSi.TS[[#This Row],[Ped.4]]=4,69,IF(NSi.TS[[#This Row],[Ped.4]]=5,0,"-")))))</f>
        <v>-</v>
      </c>
      <c r="CQ4" s="73" t="str">
        <f>IF(NSi.TS[[#This Row],[Pro-A.4]]=1,100,IF(NSi.TS[[#This Row],[Pro-A.4]]=2,89,IF(NSi.TS[[#This Row],[Pro-A.4]]=3,79,IF(NSi.TS[[#This Row],[Pro-A.4]]=4,69,IF(NSi.TS[[#This Row],[Pro-A.4]]=5,0,"-")))))</f>
        <v>-</v>
      </c>
      <c r="CR4" s="74" t="str">
        <f>IF(NSi.TS[[#This Row],[KU.5]]="A",100,IF(NSi.TS[[#This Row],[KU.5]]="B",89,IF(NSi.TS[[#This Row],[KU.5]]="C",79,IF(NSi.TS[[#This Row],[KU.5]]="D",69,IF(NSi.TS[[#This Row],[KU.5]]="E",0,"-")))))</f>
        <v>-</v>
      </c>
      <c r="CS4" s="73" t="str">
        <f>IF(NSi.TS[[#This Row],[TJ.5]]=1,100,IF(NSi.TS[[#This Row],[TJ.5]]=2,89,IF(NSi.TS[[#This Row],[TJ.5]]=3,79,IF(NSi.TS[[#This Row],[TJ.5]]=4,69,IF(NSi.TS[[#This Row],[TJ.5]]=5,0,"-")))))</f>
        <v>-</v>
      </c>
      <c r="CT4" s="73" t="str">
        <f>IF(NSi.TS[[#This Row],[Ker.5]]=1,100,IF(NSi.TS[[#This Row],[Ker.5]]=2,89,IF(NSi.TS[[#This Row],[Ker.5]]=3,79,IF(NSi.TS[[#This Row],[Ker.5]]=4,69,IF(NSi.TS[[#This Row],[Ker.5]]=5,0,"-")))))</f>
        <v>-</v>
      </c>
      <c r="CU4" s="73" t="str">
        <f>IF(NSi.TS[[#This Row],[Ped.5]]=1,100,IF(NSi.TS[[#This Row],[Ped.5]]=2,89,IF(NSi.TS[[#This Row],[Ped.5]]=3,79,IF(NSi.TS[[#This Row],[Ped.5]]=4,69,IF(NSi.TS[[#This Row],[Ped.5]]=5,0,"-")))))</f>
        <v>-</v>
      </c>
      <c r="CV4" s="73" t="str">
        <f>IF(NSi.TS[[#This Row],[Pro-A.5]]=1,100,IF(NSi.TS[[#This Row],[Pro-A.5]]=2,89,IF(NSi.TS[[#This Row],[Pro-A.5]]=3,79,IF(NSi.TS[[#This Row],[Pro-A.5]]=4,69,IF(NSi.TS[[#This Row],[Pro-A.5]]=5,0,"-")))))</f>
        <v>-</v>
      </c>
      <c r="CW4" s="74" t="str">
        <f>IF(NSi.TS[[#This Row],[KU.6]]="A",100,IF(NSi.TS[[#This Row],[KU.6]]="B",89,IF(NSi.TS[[#This Row],[KU.6]]="C",79,IF(NSi.TS[[#This Row],[KU.6]]="D",69,IF(NSi.TS[[#This Row],[KU.6]]="E",0,"-")))))</f>
        <v>-</v>
      </c>
      <c r="CX4" s="73" t="str">
        <f>IF(NSi.TS[[#This Row],[TJ.6]]=1,100,IF(NSi.TS[[#This Row],[TJ.6]]=2,89,IF(NSi.TS[[#This Row],[TJ.6]]=3,79,IF(NSi.TS[[#This Row],[TJ.6]]=4,69,IF(NSi.TS[[#This Row],[TJ.6]]=5,0,"-")))))</f>
        <v>-</v>
      </c>
      <c r="CY4" s="73" t="str">
        <f>IF(NSi.TS[[#This Row],[Ker.6]]=1,100,IF(NSi.TS[[#This Row],[Ker.6]]=2,89,IF(NSi.TS[[#This Row],[Ker.6]]=3,79,IF(NSi.TS[[#This Row],[Ker.6]]=4,69,IF(NSi.TS[[#This Row],[Ker.6]]=5,0,"-")))))</f>
        <v>-</v>
      </c>
      <c r="CZ4" s="73" t="str">
        <f>IF(NSi.TS[[#This Row],[Ped.6]]=1,100,IF(NSi.TS[[#This Row],[Ped.6]]=2,89,IF(NSi.TS[[#This Row],[Ped.6]]=3,79,IF(NSi.TS[[#This Row],[Ped.6]]=4,69,IF(NSi.TS[[#This Row],[Ped.6]]=5,0,"-")))))</f>
        <v>-</v>
      </c>
      <c r="DA4" s="73" t="str">
        <f>IF(NSi.TS[[#This Row],[Pro-A.6]]=1,100,IF(NSi.TS[[#This Row],[Pro-A.6]]=2,89,IF(NSi.TS[[#This Row],[Pro-A.6]]=3,79,IF(NSi.TS[[#This Row],[Pro-A.6]]=4,69,IF(NSi.TS[[#This Row],[Pro-A.6]]=5,0,"-")))))</f>
        <v>-</v>
      </c>
      <c r="DB4" s="74" t="str">
        <f>IF(NSi.TS[[#This Row],[KU.7]]="A",100,IF(NSi.TS[[#This Row],[KU.7]]="B",89,IF(NSi.TS[[#This Row],[KU.7]]="C",79,IF(NSi.TS[[#This Row],[KU.7]]="D",69,IF(NSi.TS[[#This Row],[KU.7]]="E",0,"-")))))</f>
        <v>-</v>
      </c>
      <c r="DC4" s="73" t="str">
        <f>IF(NSi.TS[[#This Row],[TJ.7]]=1,100,IF(NSi.TS[[#This Row],[TJ.7]]=2,89,IF(NSi.TS[[#This Row],[TJ.7]]=3,79,IF(NSi.TS[[#This Row],[TJ.7]]=4,69,IF(NSi.TS[[#This Row],[TJ.7]]=5,0,"-")))))</f>
        <v>-</v>
      </c>
      <c r="DD4" s="73" t="str">
        <f>IF(NSi.TS[[#This Row],[Ker.7]]=1,100,IF(NSi.TS[[#This Row],[Ker.7]]=2,89,IF(NSi.TS[[#This Row],[Ker.7]]=3,79,IF(NSi.TS[[#This Row],[Ker.7]]=4,69,IF(NSi.TS[[#This Row],[Ker.7]]=5,0,"-")))))</f>
        <v>-</v>
      </c>
      <c r="DE4" s="73" t="str">
        <f>IF(NSi.TS[[#This Row],[Ped.7]]=1,100,IF(NSi.TS[[#This Row],[Ped.7]]=2,89,IF(NSi.TS[[#This Row],[Ped.7]]=3,79,IF(NSi.TS[[#This Row],[Ped.7]]=4,69,IF(NSi.TS[[#This Row],[Ped.7]]=5,0,"-")))))</f>
        <v>-</v>
      </c>
      <c r="DF4" s="73" t="str">
        <f>IF(NSi.TS[[#This Row],[Pro-A.7]]=1,100,IF(NSi.TS[[#This Row],[Pro-A.7]]=2,89,IF(NSi.TS[[#This Row],[Pro-A.7]]=3,79,IF(NSi.TS[[#This Row],[Pro-A.7]]=4,69,IF(NSi.TS[[#This Row],[Pro-A.7]]=5,0,"-")))))</f>
        <v>-</v>
      </c>
      <c r="DG4" s="74" t="str">
        <f>IF(NSi.TS[[#This Row],[KU.8]]="A",100,IF(NSi.TS[[#This Row],[KU.8]]="B",89,IF(NSi.TS[[#This Row],[KU.8]]="C",79,IF(NSi.TS[[#This Row],[KU.8]]="D",69,IF(NSi.TS[[#This Row],[KU.8]]="E",0,"-")))))</f>
        <v>-</v>
      </c>
      <c r="DH4" s="73" t="str">
        <f>IF(NSi.TS[[#This Row],[TJ.8]]=1,100,IF(NSi.TS[[#This Row],[TJ.8]]=2,89,IF(NSi.TS[[#This Row],[TJ.8]]=3,79,IF(NSi.TS[[#This Row],[TJ.8]]=4,69,IF(NSi.TS[[#This Row],[TJ.8]]=5,0,"-")))))</f>
        <v>-</v>
      </c>
      <c r="DI4" s="73" t="str">
        <f>IF(NSi.TS[[#This Row],[Ker.8]]=1,100,IF(NSi.TS[[#This Row],[Ker.8]]=2,89,IF(NSi.TS[[#This Row],[Ker.8]]=3,79,IF(NSi.TS[[#This Row],[Ker.8]]=4,69,IF(NSi.TS[[#This Row],[Ker.8]]=5,0,"-")))))</f>
        <v>-</v>
      </c>
      <c r="DJ4" s="73" t="str">
        <f>IF(NSi.TS[[#This Row],[Ped.8]]=1,100,IF(NSi.TS[[#This Row],[Ped.8]]=2,89,IF(NSi.TS[[#This Row],[Ped.8]]=3,79,IF(NSi.TS[[#This Row],[Ped.8]]=4,69,IF(NSi.TS[[#This Row],[Ped.8]]=5,0,"-")))))</f>
        <v>-</v>
      </c>
      <c r="DK4" s="73" t="str">
        <f>IF(NSi.TS[[#This Row],[Pro-A.8]]=1,100,IF(NSi.TS[[#This Row],[Pro-A.8]]=2,89,IF(NSi.TS[[#This Row],[Pro-A.8]]=3,79,IF(NSi.TS[[#This Row],[Pro-A.8]]=4,69,IF(NSi.TS[[#This Row],[Pro-A.8]]=5,0,"-")))))</f>
        <v>-</v>
      </c>
      <c r="DL4" s="74" t="str">
        <f>IF(NSi.TS[[#This Row],[KU.9]]="A",100,IF(NSi.TS[[#This Row],[KU.9]]="B",89,IF(NSi.TS[[#This Row],[KU.9]]="C",79,IF(NSi.TS[[#This Row],[KU.9]]="D",69,IF(NSi.TS[[#This Row],[KU.9]]="E",0,"-")))))</f>
        <v>-</v>
      </c>
      <c r="DM4" s="73" t="str">
        <f>IF(NSi.TS[[#This Row],[TJ.9]]=1,100,IF(NSi.TS[[#This Row],[TJ.9]]=2,89,IF(NSi.TS[[#This Row],[TJ.9]]=3,79,IF(NSi.TS[[#This Row],[TJ.9]]=4,69,IF(NSi.TS[[#This Row],[TJ.9]]=5,0,"-")))))</f>
        <v>-</v>
      </c>
      <c r="DN4" s="73" t="str">
        <f>IF(NSi.TS[[#This Row],[Ker.9]]=1,100,IF(NSi.TS[[#This Row],[Ker.9]]=2,89,IF(NSi.TS[[#This Row],[Ker.9]]=3,79,IF(NSi.TS[[#This Row],[Ker.9]]=4,69,IF(NSi.TS[[#This Row],[Ker.9]]=5,0,"-")))))</f>
        <v>-</v>
      </c>
      <c r="DO4" s="73" t="str">
        <f>IF(NSi.TS[[#This Row],[Ped.9]]=1,100,IF(NSi.TS[[#This Row],[Ped.9]]=2,89,IF(NSi.TS[[#This Row],[Ped.9]]=3,79,IF(NSi.TS[[#This Row],[Ped.9]]=4,69,IF(NSi.TS[[#This Row],[Ped.9]]=5,0,"-")))))</f>
        <v>-</v>
      </c>
      <c r="DP4" s="73" t="str">
        <f>IF(NSi.TS[[#This Row],[Pro-A.9]]=1,100,IF(NSi.TS[[#This Row],[Pro-A.9]]=2,89,IF(NSi.TS[[#This Row],[Pro-A.9]]=3,79,IF(NSi.TS[[#This Row],[Pro-A.9]]=4,69,IF(NSi.TS[[#This Row],[Pro-A.9]]=5,0,"-")))))</f>
        <v>-</v>
      </c>
    </row>
    <row r="5" spans="1:120" ht="50.1" customHeight="1" x14ac:dyDescent="0.3">
      <c r="A5" s="82">
        <v>3</v>
      </c>
      <c r="B5" s="88" t="s">
        <v>159</v>
      </c>
      <c r="C5" s="89" t="s">
        <v>170</v>
      </c>
      <c r="D5" s="90">
        <v>16863262</v>
      </c>
      <c r="E5" s="91" t="s">
        <v>167</v>
      </c>
      <c r="F5" s="44" t="str">
        <f>IFERROR(ROUND(AVERAGE(CSCR[#This Row]),0),"")</f>
        <v/>
      </c>
      <c r="G5" s="41" t="s">
        <v>102</v>
      </c>
      <c r="H5" s="45" t="s">
        <v>102</v>
      </c>
      <c r="I5" s="45" t="s">
        <v>102</v>
      </c>
      <c r="J5" s="45" t="s">
        <v>102</v>
      </c>
      <c r="K5" s="45" t="s">
        <v>102</v>
      </c>
      <c r="L5" s="41" t="s">
        <v>102</v>
      </c>
      <c r="M5" s="45" t="s">
        <v>102</v>
      </c>
      <c r="N5" s="45" t="s">
        <v>102</v>
      </c>
      <c r="O5" s="45" t="s">
        <v>102</v>
      </c>
      <c r="P5" s="45" t="s">
        <v>102</v>
      </c>
      <c r="Q5" s="41" t="s">
        <v>102</v>
      </c>
      <c r="R5" s="45" t="s">
        <v>102</v>
      </c>
      <c r="S5" s="45" t="s">
        <v>102</v>
      </c>
      <c r="T5" s="45" t="s">
        <v>102</v>
      </c>
      <c r="U5" s="45" t="s">
        <v>102</v>
      </c>
      <c r="V5" s="41" t="s">
        <v>102</v>
      </c>
      <c r="W5" s="45" t="s">
        <v>102</v>
      </c>
      <c r="X5" s="45" t="s">
        <v>102</v>
      </c>
      <c r="Y5" s="45" t="s">
        <v>102</v>
      </c>
      <c r="Z5" s="45" t="s">
        <v>102</v>
      </c>
      <c r="AA5" s="41" t="s">
        <v>102</v>
      </c>
      <c r="AB5" s="45" t="s">
        <v>102</v>
      </c>
      <c r="AC5" s="45" t="s">
        <v>102</v>
      </c>
      <c r="AD5" s="45" t="s">
        <v>102</v>
      </c>
      <c r="AE5" s="45" t="s">
        <v>102</v>
      </c>
      <c r="AF5" s="41" t="s">
        <v>102</v>
      </c>
      <c r="AG5" s="45" t="s">
        <v>102</v>
      </c>
      <c r="AH5" s="45" t="s">
        <v>102</v>
      </c>
      <c r="AI5" s="45" t="s">
        <v>102</v>
      </c>
      <c r="AJ5" s="45" t="s">
        <v>102</v>
      </c>
      <c r="AK5" s="41" t="s">
        <v>102</v>
      </c>
      <c r="AL5" s="45" t="s">
        <v>102</v>
      </c>
      <c r="AM5" s="45" t="s">
        <v>102</v>
      </c>
      <c r="AN5" s="45" t="s">
        <v>102</v>
      </c>
      <c r="AO5" s="45" t="s">
        <v>102</v>
      </c>
      <c r="AP5" s="41" t="s">
        <v>102</v>
      </c>
      <c r="AQ5" s="45" t="s">
        <v>102</v>
      </c>
      <c r="AR5" s="45" t="s">
        <v>102</v>
      </c>
      <c r="AS5" s="45" t="s">
        <v>102</v>
      </c>
      <c r="AT5" s="45" t="s">
        <v>102</v>
      </c>
      <c r="AU5" s="41" t="s">
        <v>102</v>
      </c>
      <c r="AV5" s="45" t="s">
        <v>102</v>
      </c>
      <c r="AW5" s="45" t="s">
        <v>102</v>
      </c>
      <c r="AX5" s="45" t="s">
        <v>102</v>
      </c>
      <c r="AY5" s="45" t="s">
        <v>102</v>
      </c>
      <c r="BA5" s="10" t="str">
        <f>CONCATENATE(NSi.TS[[#This Row],[KU.1]],(IF(A.LoE[[#This Row],[LE.1]]="-","-",IF(A.LoE[[#This Row],[LE.1]]&gt;=90,1,IF(A.LoE[[#This Row],[LE.1]]&gt;=80,2,IF(A.LoE[[#This Row],[LE.1]]&gt;=70,3,IF(A.LoE[[#This Row],[LE.1]]&gt;=1,4,5)))))))</f>
        <v>--</v>
      </c>
      <c r="BB5" s="46" t="str">
        <f>CONCATENATE(NSi.TS[[#This Row],[KU.2]],(IF(A.LoE[[#This Row],[LE.2]]="-","-",IF(A.LoE[[#This Row],[LE.2]]&gt;=90,1,IF(A.LoE[[#This Row],[LE.2]]&gt;=80,2,IF(A.LoE[[#This Row],[LE.2]]&gt;=70,3,IF(A.LoE[[#This Row],[LE.2]]&gt;=1,4,5)))))))</f>
        <v>--</v>
      </c>
      <c r="BC5" s="46" t="str">
        <f>CONCATENATE(NSi.TS[[#This Row],[KU.3]],(IF(A.LoE[[#This Row],[LE.3]]="-","-",IF(A.LoE[[#This Row],[LE.3]]&gt;=90,1,IF(A.LoE[[#This Row],[LE.3]]&gt;=80,2,IF(A.LoE[[#This Row],[LE.3]]&gt;=70,3,IF(A.LoE[[#This Row],[LE.3]]&gt;=1,4,5)))))))</f>
        <v>--</v>
      </c>
      <c r="BD5" s="46" t="str">
        <f>CONCATENATE(NSi.TS[[#This Row],[KU.4]],(IF(A.LoE[[#This Row],[LE.4]]="-","-",IF(A.LoE[[#This Row],[LE.4]]&gt;=90,1,IF(A.LoE[[#This Row],[LE.4]]&gt;=80,2,IF(A.LoE[[#This Row],[LE.4]]&gt;=70,3,IF(A.LoE[[#This Row],[LE.4]]&gt;=1,4,5)))))))</f>
        <v>--</v>
      </c>
      <c r="BE5" s="46" t="str">
        <f>CONCATENATE(NSi.TS[[#This Row],[KU.5]],(IF(A.LoE[[#This Row],[LE.5]]="-","-",IF(A.LoE[[#This Row],[LE.5]]&gt;=90,1,IF(A.LoE[[#This Row],[LE.5]]&gt;=80,2,IF(A.LoE[[#This Row],[LE.5]]&gt;=70,3,IF(A.LoE[[#This Row],[LE.5]]&gt;=1,4,5)))))))</f>
        <v>--</v>
      </c>
      <c r="BF5" s="46" t="str">
        <f>CONCATENATE(NSi.TS[[#This Row],[KU.6]],(IF(A.LoE[[#This Row],[LE.6]]="-","-",IF(A.LoE[[#This Row],[LE.6]]&gt;=90,1,IF(A.LoE[[#This Row],[LE.6]]&gt;=80,2,IF(A.LoE[[#This Row],[LE.6]]&gt;=70,3,IF(A.LoE[[#This Row],[LE.6]]&gt;=1,4,5)))))))</f>
        <v>--</v>
      </c>
      <c r="BG5" s="46" t="str">
        <f>CONCATENATE(NSi.TS[[#This Row],[KU.7]],(IF(A.LoE[[#This Row],[LE.7]]="-","-",IF(A.LoE[[#This Row],[LE.7]]&gt;=90,1,IF(A.LoE[[#This Row],[LE.7]]&gt;=80,2,IF(A.LoE[[#This Row],[LE.7]]&gt;=70,3,IF(A.LoE[[#This Row],[LE.7]]&gt;=1,4,5)))))))</f>
        <v>--</v>
      </c>
      <c r="BH5" s="46" t="str">
        <f>CONCATENATE(NSi.TS[[#This Row],[KU.8]],(IF(A.LoE[[#This Row],[LE.8]]="-","-",IF(A.LoE[[#This Row],[LE.8]]&gt;=90,1,IF(A.LoE[[#This Row],[LE.8]]&gt;=80,2,IF(A.LoE[[#This Row],[LE.8]]&gt;=70,3,IF(A.LoE[[#This Row],[LE.8]]&gt;=1,4,5)))))))</f>
        <v>--</v>
      </c>
      <c r="BI5" s="38" t="str">
        <f>CONCATENATE(NSi.TS[[#This Row],[KU.9]],(IF(A.LoE[[#This Row],[LE.9]]="-","-",IF(A.LoE[[#This Row],[LE.9]]&gt;=90,1,IF(A.LoE[[#This Row],[LE.9]]&gt;=80,2,IF(A.LoE[[#This Row],[LE.9]]&gt;=70,3,IF(A.LoE[[#This Row],[LE.9]]&gt;=1,4,5)))))))</f>
        <v>--</v>
      </c>
      <c r="BK5" s="35" t="str">
        <f>IFERROR(ROUND(AVERAGE(Con.Sk[[#This Row],[TJ.1]:[Pro-A.1]]),0),"-")</f>
        <v>-</v>
      </c>
      <c r="BL5" s="24" t="str">
        <f>IFERROR(ROUND(AVERAGE(Con.Sk[[#This Row],[TJ.2]:[Pro-A.2]]),0),"-")</f>
        <v>-</v>
      </c>
      <c r="BM5" s="24" t="str">
        <f>IFERROR(ROUND(AVERAGE(Con.Sk[[#This Row],[TJ.3]:[Pro-A.3]]),0),"-")</f>
        <v>-</v>
      </c>
      <c r="BN5" s="24" t="str">
        <f>IFERROR(ROUND(AVERAGE(Con.Sk[[#This Row],[TJ.4]:[Pro-A.4]]),0),"-")</f>
        <v>-</v>
      </c>
      <c r="BO5" s="24" t="str">
        <f>IFERROR(ROUND(AVERAGE(Con.Sk[[#This Row],[TJ.5]:[Pro-A.5]]),0),"-")</f>
        <v>-</v>
      </c>
      <c r="BP5" s="24" t="str">
        <f>IFERROR(ROUND(AVERAGE(Con.Sk[[#This Row],[TJ.6]:[Pro-A.6]]),0),"-")</f>
        <v>-</v>
      </c>
      <c r="BQ5" s="24" t="str">
        <f>IFERROR(ROUND(AVERAGE(Con.Sk[[#This Row],[TJ.7]:[Pro-A.7]]),0),"-")</f>
        <v>-</v>
      </c>
      <c r="BR5" s="24" t="str">
        <f>IFERROR(ROUND(AVERAGE(Con.Sk[[#This Row],[TJ.8]:[Pro-A.8]]),0),"-")</f>
        <v>-</v>
      </c>
      <c r="BS5" s="25" t="str">
        <f>IFERROR(ROUND(AVERAGE(Con.Sk[[#This Row],[TJ.9]:[Pro-A.9]]),0),"-")</f>
        <v>-</v>
      </c>
      <c r="BU5" s="47" t="str">
        <f>IFERROR(ROUND(AVERAGE(Con.Sk[[#This Row],[KU.1]],Con.Sk[[#This Row],[KU.2]],Con.Sk[[#This Row],[KU.3]],Con.Sk[[#This Row],[KU.4]],Con.Sk[[#This Row],[KU.5]],Con.Sk[[#This Row],[KU.6]],Con.Sk[[#This Row],[KU.7]],Con.Sk[[#This Row],[KU.8]],Con.Sk[[#This Row],[KU.9]]),0),"")</f>
        <v/>
      </c>
      <c r="BV5" s="48" t="str">
        <f>IFERROR(ROUND(AVERAGE(Con.Sk[[#This Row],[TJ.1]:[Pro-A.1]],Con.Sk[[#This Row],[TJ.2]:[Pro-A.2]],Con.Sk[[#This Row],[TJ.3]:[Pro-A.3]],Con.Sk[[#This Row],[TJ.4]:[Pro-A.4]],Con.Sk[[#This Row],[TJ.5]:[Pro-A.5]],Con.Sk[[#This Row],[TJ.6]:[Pro-A.6]],Con.Sk[[#This Row],[TJ.7]:[Pro-A.7]],Con.Sk[[#This Row],[TJ.8]:[Pro-A.8]],Con.Sk[[#This Row],[TJ.9]:[Pro-A.9]]),0),"")</f>
        <v/>
      </c>
      <c r="BW5" s="3"/>
      <c r="BX5" s="73" t="str">
        <f>IF(NSi.TS[[#This Row],[KU.1]]="A",100,IF(NSi.TS[[#This Row],[KU.1]]="B",89,IF(NSi.TS[[#This Row],[KU.1]]="C",79,IF(NSi.TS[[#This Row],[KU.1]]="D",69,IF(NSi.TS[[#This Row],[KU.1]]="E",0,"-")))))</f>
        <v>-</v>
      </c>
      <c r="BY5" s="73" t="str">
        <f>IF(NSi.TS[[#This Row],[TJ.1]]=1,100,IF(NSi.TS[[#This Row],[TJ.1]]=2,89,IF(NSi.TS[[#This Row],[TJ.1]]=3,79,IF(NSi.TS[[#This Row],[TJ.1]]=4,69,IF(NSi.TS[[#This Row],[TJ.1]]=5,0,"-")))))</f>
        <v>-</v>
      </c>
      <c r="BZ5" s="73" t="str">
        <f>IF(NSi.TS[[#This Row],[Ker.1]]=1,100,IF(NSi.TS[[#This Row],[Ker.1]]=2,89,IF(NSi.TS[[#This Row],[Ker.1]]=3,79,IF(NSi.TS[[#This Row],[Ker.1]]=4,69,IF(NSi.TS[[#This Row],[Ker.1]]=5,0,"-")))))</f>
        <v>-</v>
      </c>
      <c r="CA5" s="73" t="str">
        <f>IF(NSi.TS[[#This Row],[Ped.1]]=1,100,IF(NSi.TS[[#This Row],[Ped.1]]=2,89,IF(NSi.TS[[#This Row],[Ped.1]]=3,79,IF(NSi.TS[[#This Row],[Ped.1]]=4,69,IF(NSi.TS[[#This Row],[Ped.1]]=5,0,"-")))))</f>
        <v>-</v>
      </c>
      <c r="CB5" s="73" t="str">
        <f>IF(NSi.TS[[#This Row],[Pro-A.1]]=1,100,IF(NSi.TS[[#This Row],[Pro-A.1]]=2,89,IF(NSi.TS[[#This Row],[Pro-A.1]]=3,79,IF(NSi.TS[[#This Row],[Pro-A.1]]=4,69,IF(NSi.TS[[#This Row],[Pro-A.1]]=5,0,"-")))))</f>
        <v>-</v>
      </c>
      <c r="CC5" s="73" t="str">
        <f>IF(NSi.TS[[#This Row],[KU.2]]="A",100,IF(NSi.TS[[#This Row],[KU.2]]="B",89,IF(NSi.TS[[#This Row],[KU.2]]="C",79,IF(NSi.TS[[#This Row],[KU.2]]="D",69,IF(NSi.TS[[#This Row],[KU.2]]="E",0,"-")))))</f>
        <v>-</v>
      </c>
      <c r="CD5" s="73" t="str">
        <f>IF(NSi.TS[[#This Row],[TJ.2]]=1,100,IF(NSi.TS[[#This Row],[TJ.2]]=2,89,IF(NSi.TS[[#This Row],[TJ.2]]=3,79,IF(NSi.TS[[#This Row],[TJ.2]]=4,69,IF(NSi.TS[[#This Row],[TJ.2]]=5,0,"-")))))</f>
        <v>-</v>
      </c>
      <c r="CE5" s="73" t="str">
        <f>IF(NSi.TS[[#This Row],[Ker.2]]=1,100,IF(NSi.TS[[#This Row],[Ker.2]]=2,89,IF(NSi.TS[[#This Row],[Ker.2]]=3,79,IF(NSi.TS[[#This Row],[Ker.2]]=4,69,IF(NSi.TS[[#This Row],[Ker.2]]=5,0,"-")))))</f>
        <v>-</v>
      </c>
      <c r="CF5" s="73" t="str">
        <f>IF(NSi.TS[[#This Row],[Ped.2]]=1,100,IF(NSi.TS[[#This Row],[Ped.2]]=2,89,IF(NSi.TS[[#This Row],[Ped.2]]=3,79,IF(NSi.TS[[#This Row],[Ped.2]]=4,69,IF(NSi.TS[[#This Row],[Ped.2]]=5,0,"-")))))</f>
        <v>-</v>
      </c>
      <c r="CG5" s="73" t="str">
        <f>IF(NSi.TS[[#This Row],[Pro-A.2]]=1,100,IF(NSi.TS[[#This Row],[Pro-A.2]]=2,89,IF(NSi.TS[[#This Row],[Pro-A.2]]=3,79,IF(NSi.TS[[#This Row],[Pro-A.2]]=4,69,IF(NSi.TS[[#This Row],[Pro-A.2]]=5,0,"-")))))</f>
        <v>-</v>
      </c>
      <c r="CH5" s="74" t="str">
        <f>IF(NSi.TS[[#This Row],[KU.3]]="A",100,IF(NSi.TS[[#This Row],[KU.3]]="B",89,IF(NSi.TS[[#This Row],[KU.3]]="C",79,IF(NSi.TS[[#This Row],[KU.3]]="D",69,IF(NSi.TS[[#This Row],[KU.3]]="E",0,"-")))))</f>
        <v>-</v>
      </c>
      <c r="CI5" s="73" t="str">
        <f>IF(NSi.TS[[#This Row],[TJ.3]]=1,100,IF(NSi.TS[[#This Row],[TJ.3]]=2,89,IF(NSi.TS[[#This Row],[TJ.3]]=3,79,IF(NSi.TS[[#This Row],[TJ.3]]=4,69,IF(NSi.TS[[#This Row],[TJ.3]]=5,0,"-")))))</f>
        <v>-</v>
      </c>
      <c r="CJ5" s="73" t="str">
        <f>IF(NSi.TS[[#This Row],[Ker.3]]=1,100,IF(NSi.TS[[#This Row],[Ker.3]]=2,89,IF(NSi.TS[[#This Row],[Ker.3]]=3,79,IF(NSi.TS[[#This Row],[Ker.3]]=4,69,IF(NSi.TS[[#This Row],[Ker.3]]=5,0,"-")))))</f>
        <v>-</v>
      </c>
      <c r="CK5" s="73" t="str">
        <f>IF(NSi.TS[[#This Row],[Ped.3]]=1,100,IF(NSi.TS[[#This Row],[Ped.3]]=2,89,IF(NSi.TS[[#This Row],[Ped.3]]=3,79,IF(NSi.TS[[#This Row],[Ped.3]]=4,69,IF(NSi.TS[[#This Row],[Ped.3]]=5,0,"-")))))</f>
        <v>-</v>
      </c>
      <c r="CL5" s="73" t="str">
        <f>IF(NSi.TS[[#This Row],[Pro-A.3]]=1,100,IF(NSi.TS[[#This Row],[Pro-A.3]]=2,89,IF(NSi.TS[[#This Row],[Pro-A.3]]=3,79,IF(NSi.TS[[#This Row],[Pro-A.3]]=4,69,IF(NSi.TS[[#This Row],[Pro-A.3]]=5,0,"-")))))</f>
        <v>-</v>
      </c>
      <c r="CM5" s="74" t="str">
        <f>IF(NSi.TS[[#This Row],[KU.4]]="A",100,IF(NSi.TS[[#This Row],[KU.4]]="B",89,IF(NSi.TS[[#This Row],[KU.4]]="C",79,IF(NSi.TS[[#This Row],[KU.4]]="D",69,IF(NSi.TS[[#This Row],[KU.4]]="E",0,"-")))))</f>
        <v>-</v>
      </c>
      <c r="CN5" s="73" t="str">
        <f>IF(NSi.TS[[#This Row],[TJ.4]]=1,100,IF(NSi.TS[[#This Row],[TJ.4]]=2,89,IF(NSi.TS[[#This Row],[TJ.4]]=3,79,IF(NSi.TS[[#This Row],[TJ.4]]=4,69,IF(NSi.TS[[#This Row],[TJ.4]]=5,0,"-")))))</f>
        <v>-</v>
      </c>
      <c r="CO5" s="73" t="str">
        <f>IF(NSi.TS[[#This Row],[Ker.4]]=1,100,IF(NSi.TS[[#This Row],[Ker.4]]=2,89,IF(NSi.TS[[#This Row],[Ker.4]]=3,79,IF(NSi.TS[[#This Row],[Ker.4]]=4,69,IF(NSi.TS[[#This Row],[Ker.4]]=5,0,"-")))))</f>
        <v>-</v>
      </c>
      <c r="CP5" s="73" t="str">
        <f>IF(NSi.TS[[#This Row],[Ped.4]]=1,100,IF(NSi.TS[[#This Row],[Ped.4]]=2,89,IF(NSi.TS[[#This Row],[Ped.4]]=3,79,IF(NSi.TS[[#This Row],[Ped.4]]=4,69,IF(NSi.TS[[#This Row],[Ped.4]]=5,0,"-")))))</f>
        <v>-</v>
      </c>
      <c r="CQ5" s="73" t="str">
        <f>IF(NSi.TS[[#This Row],[Pro-A.4]]=1,100,IF(NSi.TS[[#This Row],[Pro-A.4]]=2,89,IF(NSi.TS[[#This Row],[Pro-A.4]]=3,79,IF(NSi.TS[[#This Row],[Pro-A.4]]=4,69,IF(NSi.TS[[#This Row],[Pro-A.4]]=5,0,"-")))))</f>
        <v>-</v>
      </c>
      <c r="CR5" s="74" t="str">
        <f>IF(NSi.TS[[#This Row],[KU.5]]="A",100,IF(NSi.TS[[#This Row],[KU.5]]="B",89,IF(NSi.TS[[#This Row],[KU.5]]="C",79,IF(NSi.TS[[#This Row],[KU.5]]="D",69,IF(NSi.TS[[#This Row],[KU.5]]="E",0,"-")))))</f>
        <v>-</v>
      </c>
      <c r="CS5" s="73" t="str">
        <f>IF(NSi.TS[[#This Row],[TJ.5]]=1,100,IF(NSi.TS[[#This Row],[TJ.5]]=2,89,IF(NSi.TS[[#This Row],[TJ.5]]=3,79,IF(NSi.TS[[#This Row],[TJ.5]]=4,69,IF(NSi.TS[[#This Row],[TJ.5]]=5,0,"-")))))</f>
        <v>-</v>
      </c>
      <c r="CT5" s="73" t="str">
        <f>IF(NSi.TS[[#This Row],[Ker.5]]=1,100,IF(NSi.TS[[#This Row],[Ker.5]]=2,89,IF(NSi.TS[[#This Row],[Ker.5]]=3,79,IF(NSi.TS[[#This Row],[Ker.5]]=4,69,IF(NSi.TS[[#This Row],[Ker.5]]=5,0,"-")))))</f>
        <v>-</v>
      </c>
      <c r="CU5" s="73" t="str">
        <f>IF(NSi.TS[[#This Row],[Ped.5]]=1,100,IF(NSi.TS[[#This Row],[Ped.5]]=2,89,IF(NSi.TS[[#This Row],[Ped.5]]=3,79,IF(NSi.TS[[#This Row],[Ped.5]]=4,69,IF(NSi.TS[[#This Row],[Ped.5]]=5,0,"-")))))</f>
        <v>-</v>
      </c>
      <c r="CV5" s="73" t="str">
        <f>IF(NSi.TS[[#This Row],[Pro-A.5]]=1,100,IF(NSi.TS[[#This Row],[Pro-A.5]]=2,89,IF(NSi.TS[[#This Row],[Pro-A.5]]=3,79,IF(NSi.TS[[#This Row],[Pro-A.5]]=4,69,IF(NSi.TS[[#This Row],[Pro-A.5]]=5,0,"-")))))</f>
        <v>-</v>
      </c>
      <c r="CW5" s="74" t="str">
        <f>IF(NSi.TS[[#This Row],[KU.6]]="A",100,IF(NSi.TS[[#This Row],[KU.6]]="B",89,IF(NSi.TS[[#This Row],[KU.6]]="C",79,IF(NSi.TS[[#This Row],[KU.6]]="D",69,IF(NSi.TS[[#This Row],[KU.6]]="E",0,"-")))))</f>
        <v>-</v>
      </c>
      <c r="CX5" s="73" t="str">
        <f>IF(NSi.TS[[#This Row],[TJ.6]]=1,100,IF(NSi.TS[[#This Row],[TJ.6]]=2,89,IF(NSi.TS[[#This Row],[TJ.6]]=3,79,IF(NSi.TS[[#This Row],[TJ.6]]=4,69,IF(NSi.TS[[#This Row],[TJ.6]]=5,0,"-")))))</f>
        <v>-</v>
      </c>
      <c r="CY5" s="73" t="str">
        <f>IF(NSi.TS[[#This Row],[Ker.6]]=1,100,IF(NSi.TS[[#This Row],[Ker.6]]=2,89,IF(NSi.TS[[#This Row],[Ker.6]]=3,79,IF(NSi.TS[[#This Row],[Ker.6]]=4,69,IF(NSi.TS[[#This Row],[Ker.6]]=5,0,"-")))))</f>
        <v>-</v>
      </c>
      <c r="CZ5" s="73" t="str">
        <f>IF(NSi.TS[[#This Row],[Ped.6]]=1,100,IF(NSi.TS[[#This Row],[Ped.6]]=2,89,IF(NSi.TS[[#This Row],[Ped.6]]=3,79,IF(NSi.TS[[#This Row],[Ped.6]]=4,69,IF(NSi.TS[[#This Row],[Ped.6]]=5,0,"-")))))</f>
        <v>-</v>
      </c>
      <c r="DA5" s="73" t="str">
        <f>IF(NSi.TS[[#This Row],[Pro-A.6]]=1,100,IF(NSi.TS[[#This Row],[Pro-A.6]]=2,89,IF(NSi.TS[[#This Row],[Pro-A.6]]=3,79,IF(NSi.TS[[#This Row],[Pro-A.6]]=4,69,IF(NSi.TS[[#This Row],[Pro-A.6]]=5,0,"-")))))</f>
        <v>-</v>
      </c>
      <c r="DB5" s="74" t="str">
        <f>IF(NSi.TS[[#This Row],[KU.7]]="A",100,IF(NSi.TS[[#This Row],[KU.7]]="B",89,IF(NSi.TS[[#This Row],[KU.7]]="C",79,IF(NSi.TS[[#This Row],[KU.7]]="D",69,IF(NSi.TS[[#This Row],[KU.7]]="E",0,"-")))))</f>
        <v>-</v>
      </c>
      <c r="DC5" s="73" t="str">
        <f>IF(NSi.TS[[#This Row],[TJ.7]]=1,100,IF(NSi.TS[[#This Row],[TJ.7]]=2,89,IF(NSi.TS[[#This Row],[TJ.7]]=3,79,IF(NSi.TS[[#This Row],[TJ.7]]=4,69,IF(NSi.TS[[#This Row],[TJ.7]]=5,0,"-")))))</f>
        <v>-</v>
      </c>
      <c r="DD5" s="73" t="str">
        <f>IF(NSi.TS[[#This Row],[Ker.7]]=1,100,IF(NSi.TS[[#This Row],[Ker.7]]=2,89,IF(NSi.TS[[#This Row],[Ker.7]]=3,79,IF(NSi.TS[[#This Row],[Ker.7]]=4,69,IF(NSi.TS[[#This Row],[Ker.7]]=5,0,"-")))))</f>
        <v>-</v>
      </c>
      <c r="DE5" s="73" t="str">
        <f>IF(NSi.TS[[#This Row],[Ped.7]]=1,100,IF(NSi.TS[[#This Row],[Ped.7]]=2,89,IF(NSi.TS[[#This Row],[Ped.7]]=3,79,IF(NSi.TS[[#This Row],[Ped.7]]=4,69,IF(NSi.TS[[#This Row],[Ped.7]]=5,0,"-")))))</f>
        <v>-</v>
      </c>
      <c r="DF5" s="73" t="str">
        <f>IF(NSi.TS[[#This Row],[Pro-A.7]]=1,100,IF(NSi.TS[[#This Row],[Pro-A.7]]=2,89,IF(NSi.TS[[#This Row],[Pro-A.7]]=3,79,IF(NSi.TS[[#This Row],[Pro-A.7]]=4,69,IF(NSi.TS[[#This Row],[Pro-A.7]]=5,0,"-")))))</f>
        <v>-</v>
      </c>
      <c r="DG5" s="74" t="str">
        <f>IF(NSi.TS[[#This Row],[KU.8]]="A",100,IF(NSi.TS[[#This Row],[KU.8]]="B",89,IF(NSi.TS[[#This Row],[KU.8]]="C",79,IF(NSi.TS[[#This Row],[KU.8]]="D",69,IF(NSi.TS[[#This Row],[KU.8]]="E",0,"-")))))</f>
        <v>-</v>
      </c>
      <c r="DH5" s="73" t="str">
        <f>IF(NSi.TS[[#This Row],[TJ.8]]=1,100,IF(NSi.TS[[#This Row],[TJ.8]]=2,89,IF(NSi.TS[[#This Row],[TJ.8]]=3,79,IF(NSi.TS[[#This Row],[TJ.8]]=4,69,IF(NSi.TS[[#This Row],[TJ.8]]=5,0,"-")))))</f>
        <v>-</v>
      </c>
      <c r="DI5" s="73" t="str">
        <f>IF(NSi.TS[[#This Row],[Ker.8]]=1,100,IF(NSi.TS[[#This Row],[Ker.8]]=2,89,IF(NSi.TS[[#This Row],[Ker.8]]=3,79,IF(NSi.TS[[#This Row],[Ker.8]]=4,69,IF(NSi.TS[[#This Row],[Ker.8]]=5,0,"-")))))</f>
        <v>-</v>
      </c>
      <c r="DJ5" s="73" t="str">
        <f>IF(NSi.TS[[#This Row],[Ped.8]]=1,100,IF(NSi.TS[[#This Row],[Ped.8]]=2,89,IF(NSi.TS[[#This Row],[Ped.8]]=3,79,IF(NSi.TS[[#This Row],[Ped.8]]=4,69,IF(NSi.TS[[#This Row],[Ped.8]]=5,0,"-")))))</f>
        <v>-</v>
      </c>
      <c r="DK5" s="73" t="str">
        <f>IF(NSi.TS[[#This Row],[Pro-A.8]]=1,100,IF(NSi.TS[[#This Row],[Pro-A.8]]=2,89,IF(NSi.TS[[#This Row],[Pro-A.8]]=3,79,IF(NSi.TS[[#This Row],[Pro-A.8]]=4,69,IF(NSi.TS[[#This Row],[Pro-A.8]]=5,0,"-")))))</f>
        <v>-</v>
      </c>
      <c r="DL5" s="74" t="str">
        <f>IF(NSi.TS[[#This Row],[KU.9]]="A",100,IF(NSi.TS[[#This Row],[KU.9]]="B",89,IF(NSi.TS[[#This Row],[KU.9]]="C",79,IF(NSi.TS[[#This Row],[KU.9]]="D",69,IF(NSi.TS[[#This Row],[KU.9]]="E",0,"-")))))</f>
        <v>-</v>
      </c>
      <c r="DM5" s="73" t="str">
        <f>IF(NSi.TS[[#This Row],[TJ.9]]=1,100,IF(NSi.TS[[#This Row],[TJ.9]]=2,89,IF(NSi.TS[[#This Row],[TJ.9]]=3,79,IF(NSi.TS[[#This Row],[TJ.9]]=4,69,IF(NSi.TS[[#This Row],[TJ.9]]=5,0,"-")))))</f>
        <v>-</v>
      </c>
      <c r="DN5" s="73" t="str">
        <f>IF(NSi.TS[[#This Row],[Ker.9]]=1,100,IF(NSi.TS[[#This Row],[Ker.9]]=2,89,IF(NSi.TS[[#This Row],[Ker.9]]=3,79,IF(NSi.TS[[#This Row],[Ker.9]]=4,69,IF(NSi.TS[[#This Row],[Ker.9]]=5,0,"-")))))</f>
        <v>-</v>
      </c>
      <c r="DO5" s="73" t="str">
        <f>IF(NSi.TS[[#This Row],[Ped.9]]=1,100,IF(NSi.TS[[#This Row],[Ped.9]]=2,89,IF(NSi.TS[[#This Row],[Ped.9]]=3,79,IF(NSi.TS[[#This Row],[Ped.9]]=4,69,IF(NSi.TS[[#This Row],[Ped.9]]=5,0,"-")))))</f>
        <v>-</v>
      </c>
      <c r="DP5" s="73" t="str">
        <f>IF(NSi.TS[[#This Row],[Pro-A.9]]=1,100,IF(NSi.TS[[#This Row],[Pro-A.9]]=2,89,IF(NSi.TS[[#This Row],[Pro-A.9]]=3,79,IF(NSi.TS[[#This Row],[Pro-A.9]]=4,69,IF(NSi.TS[[#This Row],[Pro-A.9]]=5,0,"-")))))</f>
        <v>-</v>
      </c>
    </row>
    <row r="6" spans="1:120" ht="50.1" customHeight="1" x14ac:dyDescent="0.3">
      <c r="A6" s="82">
        <v>4</v>
      </c>
      <c r="B6" s="92" t="s">
        <v>165</v>
      </c>
      <c r="C6" s="89" t="s">
        <v>171</v>
      </c>
      <c r="D6" s="90">
        <v>5033631</v>
      </c>
      <c r="E6" s="93" t="s">
        <v>166</v>
      </c>
      <c r="F6" s="44" t="str">
        <f>IFERROR(ROUND(AVERAGE(CSCR[#This Row]),0),"")</f>
        <v/>
      </c>
      <c r="G6" s="41" t="s">
        <v>102</v>
      </c>
      <c r="H6" s="45" t="s">
        <v>102</v>
      </c>
      <c r="I6" s="45" t="s">
        <v>102</v>
      </c>
      <c r="J6" s="45" t="s">
        <v>102</v>
      </c>
      <c r="K6" s="45" t="s">
        <v>102</v>
      </c>
      <c r="L6" s="41" t="s">
        <v>102</v>
      </c>
      <c r="M6" s="45" t="s">
        <v>102</v>
      </c>
      <c r="N6" s="45" t="s">
        <v>102</v>
      </c>
      <c r="O6" s="45" t="s">
        <v>102</v>
      </c>
      <c r="P6" s="45" t="s">
        <v>102</v>
      </c>
      <c r="Q6" s="41" t="s">
        <v>102</v>
      </c>
      <c r="R6" s="45" t="s">
        <v>102</v>
      </c>
      <c r="S6" s="45" t="s">
        <v>102</v>
      </c>
      <c r="T6" s="45" t="s">
        <v>102</v>
      </c>
      <c r="U6" s="45" t="s">
        <v>102</v>
      </c>
      <c r="V6" s="41" t="s">
        <v>102</v>
      </c>
      <c r="W6" s="45" t="s">
        <v>102</v>
      </c>
      <c r="X6" s="45" t="s">
        <v>102</v>
      </c>
      <c r="Y6" s="45" t="s">
        <v>102</v>
      </c>
      <c r="Z6" s="45" t="s">
        <v>102</v>
      </c>
      <c r="AA6" s="41" t="s">
        <v>102</v>
      </c>
      <c r="AB6" s="45" t="s">
        <v>102</v>
      </c>
      <c r="AC6" s="45" t="s">
        <v>102</v>
      </c>
      <c r="AD6" s="45" t="s">
        <v>102</v>
      </c>
      <c r="AE6" s="45" t="s">
        <v>102</v>
      </c>
      <c r="AF6" s="41" t="s">
        <v>102</v>
      </c>
      <c r="AG6" s="45" t="s">
        <v>102</v>
      </c>
      <c r="AH6" s="45" t="s">
        <v>102</v>
      </c>
      <c r="AI6" s="45" t="s">
        <v>102</v>
      </c>
      <c r="AJ6" s="45" t="s">
        <v>102</v>
      </c>
      <c r="AK6" s="41" t="s">
        <v>102</v>
      </c>
      <c r="AL6" s="45" t="s">
        <v>102</v>
      </c>
      <c r="AM6" s="45" t="s">
        <v>102</v>
      </c>
      <c r="AN6" s="45" t="s">
        <v>102</v>
      </c>
      <c r="AO6" s="45" t="s">
        <v>102</v>
      </c>
      <c r="AP6" s="41" t="s">
        <v>102</v>
      </c>
      <c r="AQ6" s="45" t="s">
        <v>102</v>
      </c>
      <c r="AR6" s="45" t="s">
        <v>102</v>
      </c>
      <c r="AS6" s="45" t="s">
        <v>102</v>
      </c>
      <c r="AT6" s="45" t="s">
        <v>102</v>
      </c>
      <c r="AU6" s="41" t="s">
        <v>102</v>
      </c>
      <c r="AV6" s="45" t="s">
        <v>102</v>
      </c>
      <c r="AW6" s="45" t="s">
        <v>102</v>
      </c>
      <c r="AX6" s="45" t="s">
        <v>102</v>
      </c>
      <c r="AY6" s="45" t="s">
        <v>102</v>
      </c>
      <c r="BA6" s="10" t="str">
        <f>CONCATENATE(NSi.TS[[#This Row],[KU.1]],(IF(A.LoE[[#This Row],[LE.1]]="-","-",IF(A.LoE[[#This Row],[LE.1]]&gt;=90,1,IF(A.LoE[[#This Row],[LE.1]]&gt;=80,2,IF(A.LoE[[#This Row],[LE.1]]&gt;=70,3,IF(A.LoE[[#This Row],[LE.1]]&gt;=1,4,5)))))))</f>
        <v>--</v>
      </c>
      <c r="BB6" s="46" t="str">
        <f>CONCATENATE(NSi.TS[[#This Row],[KU.2]],(IF(A.LoE[[#This Row],[LE.2]]="-","-",IF(A.LoE[[#This Row],[LE.2]]&gt;=90,1,IF(A.LoE[[#This Row],[LE.2]]&gt;=80,2,IF(A.LoE[[#This Row],[LE.2]]&gt;=70,3,IF(A.LoE[[#This Row],[LE.2]]&gt;=1,4,5)))))))</f>
        <v>--</v>
      </c>
      <c r="BC6" s="46" t="str">
        <f>CONCATENATE(NSi.TS[[#This Row],[KU.3]],(IF(A.LoE[[#This Row],[LE.3]]="-","-",IF(A.LoE[[#This Row],[LE.3]]&gt;=90,1,IF(A.LoE[[#This Row],[LE.3]]&gt;=80,2,IF(A.LoE[[#This Row],[LE.3]]&gt;=70,3,IF(A.LoE[[#This Row],[LE.3]]&gt;=1,4,5)))))))</f>
        <v>--</v>
      </c>
      <c r="BD6" s="46" t="str">
        <f>CONCATENATE(NSi.TS[[#This Row],[KU.4]],(IF(A.LoE[[#This Row],[LE.4]]="-","-",IF(A.LoE[[#This Row],[LE.4]]&gt;=90,1,IF(A.LoE[[#This Row],[LE.4]]&gt;=80,2,IF(A.LoE[[#This Row],[LE.4]]&gt;=70,3,IF(A.LoE[[#This Row],[LE.4]]&gt;=1,4,5)))))))</f>
        <v>--</v>
      </c>
      <c r="BE6" s="46" t="str">
        <f>CONCATENATE(NSi.TS[[#This Row],[KU.5]],(IF(A.LoE[[#This Row],[LE.5]]="-","-",IF(A.LoE[[#This Row],[LE.5]]&gt;=90,1,IF(A.LoE[[#This Row],[LE.5]]&gt;=80,2,IF(A.LoE[[#This Row],[LE.5]]&gt;=70,3,IF(A.LoE[[#This Row],[LE.5]]&gt;=1,4,5)))))))</f>
        <v>--</v>
      </c>
      <c r="BF6" s="46" t="str">
        <f>CONCATENATE(NSi.TS[[#This Row],[KU.6]],(IF(A.LoE[[#This Row],[LE.6]]="-","-",IF(A.LoE[[#This Row],[LE.6]]&gt;=90,1,IF(A.LoE[[#This Row],[LE.6]]&gt;=80,2,IF(A.LoE[[#This Row],[LE.6]]&gt;=70,3,IF(A.LoE[[#This Row],[LE.6]]&gt;=1,4,5)))))))</f>
        <v>--</v>
      </c>
      <c r="BG6" s="46" t="str">
        <f>CONCATENATE(NSi.TS[[#This Row],[KU.7]],(IF(A.LoE[[#This Row],[LE.7]]="-","-",IF(A.LoE[[#This Row],[LE.7]]&gt;=90,1,IF(A.LoE[[#This Row],[LE.7]]&gt;=80,2,IF(A.LoE[[#This Row],[LE.7]]&gt;=70,3,IF(A.LoE[[#This Row],[LE.7]]&gt;=1,4,5)))))))</f>
        <v>--</v>
      </c>
      <c r="BH6" s="46" t="str">
        <f>CONCATENATE(NSi.TS[[#This Row],[KU.8]],(IF(A.LoE[[#This Row],[LE.8]]="-","-",IF(A.LoE[[#This Row],[LE.8]]&gt;=90,1,IF(A.LoE[[#This Row],[LE.8]]&gt;=80,2,IF(A.LoE[[#This Row],[LE.8]]&gt;=70,3,IF(A.LoE[[#This Row],[LE.8]]&gt;=1,4,5)))))))</f>
        <v>--</v>
      </c>
      <c r="BI6" s="38" t="str">
        <f>CONCATENATE(NSi.TS[[#This Row],[KU.9]],(IF(A.LoE[[#This Row],[LE.9]]="-","-",IF(A.LoE[[#This Row],[LE.9]]&gt;=90,1,IF(A.LoE[[#This Row],[LE.9]]&gt;=80,2,IF(A.LoE[[#This Row],[LE.9]]&gt;=70,3,IF(A.LoE[[#This Row],[LE.9]]&gt;=1,4,5)))))))</f>
        <v>--</v>
      </c>
      <c r="BK6" s="35" t="str">
        <f>IFERROR(ROUND(AVERAGE(Con.Sk[[#This Row],[TJ.1]:[Pro-A.1]]),0),"-")</f>
        <v>-</v>
      </c>
      <c r="BL6" s="24" t="str">
        <f>IFERROR(ROUND(AVERAGE(Con.Sk[[#This Row],[TJ.2]:[Pro-A.2]]),0),"-")</f>
        <v>-</v>
      </c>
      <c r="BM6" s="24" t="str">
        <f>IFERROR(ROUND(AVERAGE(Con.Sk[[#This Row],[TJ.3]:[Pro-A.3]]),0),"-")</f>
        <v>-</v>
      </c>
      <c r="BN6" s="24" t="str">
        <f>IFERROR(ROUND(AVERAGE(Con.Sk[[#This Row],[TJ.4]:[Pro-A.4]]),0),"-")</f>
        <v>-</v>
      </c>
      <c r="BO6" s="24" t="str">
        <f>IFERROR(ROUND(AVERAGE(Con.Sk[[#This Row],[TJ.5]:[Pro-A.5]]),0),"-")</f>
        <v>-</v>
      </c>
      <c r="BP6" s="24" t="str">
        <f>IFERROR(ROUND(AVERAGE(Con.Sk[[#This Row],[TJ.6]:[Pro-A.6]]),0),"-")</f>
        <v>-</v>
      </c>
      <c r="BQ6" s="24" t="str">
        <f>IFERROR(ROUND(AVERAGE(Con.Sk[[#This Row],[TJ.7]:[Pro-A.7]]),0),"-")</f>
        <v>-</v>
      </c>
      <c r="BR6" s="24" t="str">
        <f>IFERROR(ROUND(AVERAGE(Con.Sk[[#This Row],[TJ.8]:[Pro-A.8]]),0),"-")</f>
        <v>-</v>
      </c>
      <c r="BS6" s="25" t="str">
        <f>IFERROR(ROUND(AVERAGE(Con.Sk[[#This Row],[TJ.9]:[Pro-A.9]]),0),"-")</f>
        <v>-</v>
      </c>
      <c r="BU6" s="47" t="str">
        <f>IFERROR(ROUND(AVERAGE(Con.Sk[[#This Row],[KU.1]],Con.Sk[[#This Row],[KU.2]],Con.Sk[[#This Row],[KU.3]],Con.Sk[[#This Row],[KU.4]],Con.Sk[[#This Row],[KU.5]],Con.Sk[[#This Row],[KU.6]],Con.Sk[[#This Row],[KU.7]],Con.Sk[[#This Row],[KU.8]],Con.Sk[[#This Row],[KU.9]]),0),"")</f>
        <v/>
      </c>
      <c r="BV6" s="48" t="str">
        <f>IFERROR(ROUND(AVERAGE(Con.Sk[[#This Row],[TJ.1]:[Pro-A.1]],Con.Sk[[#This Row],[TJ.2]:[Pro-A.2]],Con.Sk[[#This Row],[TJ.3]:[Pro-A.3]],Con.Sk[[#This Row],[TJ.4]:[Pro-A.4]],Con.Sk[[#This Row],[TJ.5]:[Pro-A.5]],Con.Sk[[#This Row],[TJ.6]:[Pro-A.6]],Con.Sk[[#This Row],[TJ.7]:[Pro-A.7]],Con.Sk[[#This Row],[TJ.8]:[Pro-A.8]],Con.Sk[[#This Row],[TJ.9]:[Pro-A.9]]),0),"")</f>
        <v/>
      </c>
      <c r="BW6" s="3"/>
      <c r="BX6" s="73" t="str">
        <f>IF(NSi.TS[[#This Row],[KU.1]]="A",100,IF(NSi.TS[[#This Row],[KU.1]]="B",89,IF(NSi.TS[[#This Row],[KU.1]]="C",79,IF(NSi.TS[[#This Row],[KU.1]]="D",69,IF(NSi.TS[[#This Row],[KU.1]]="E",0,"-")))))</f>
        <v>-</v>
      </c>
      <c r="BY6" s="73" t="str">
        <f>IF(NSi.TS[[#This Row],[TJ.1]]=1,100,IF(NSi.TS[[#This Row],[TJ.1]]=2,89,IF(NSi.TS[[#This Row],[TJ.1]]=3,79,IF(NSi.TS[[#This Row],[TJ.1]]=4,69,IF(NSi.TS[[#This Row],[TJ.1]]=5,0,"-")))))</f>
        <v>-</v>
      </c>
      <c r="BZ6" s="73" t="str">
        <f>IF(NSi.TS[[#This Row],[Ker.1]]=1,100,IF(NSi.TS[[#This Row],[Ker.1]]=2,89,IF(NSi.TS[[#This Row],[Ker.1]]=3,79,IF(NSi.TS[[#This Row],[Ker.1]]=4,69,IF(NSi.TS[[#This Row],[Ker.1]]=5,0,"-")))))</f>
        <v>-</v>
      </c>
      <c r="CA6" s="73" t="str">
        <f>IF(NSi.TS[[#This Row],[Ped.1]]=1,100,IF(NSi.TS[[#This Row],[Ped.1]]=2,89,IF(NSi.TS[[#This Row],[Ped.1]]=3,79,IF(NSi.TS[[#This Row],[Ped.1]]=4,69,IF(NSi.TS[[#This Row],[Ped.1]]=5,0,"-")))))</f>
        <v>-</v>
      </c>
      <c r="CB6" s="73" t="str">
        <f>IF(NSi.TS[[#This Row],[Pro-A.1]]=1,100,IF(NSi.TS[[#This Row],[Pro-A.1]]=2,89,IF(NSi.TS[[#This Row],[Pro-A.1]]=3,79,IF(NSi.TS[[#This Row],[Pro-A.1]]=4,69,IF(NSi.TS[[#This Row],[Pro-A.1]]=5,0,"-")))))</f>
        <v>-</v>
      </c>
      <c r="CC6" s="73" t="str">
        <f>IF(NSi.TS[[#This Row],[KU.2]]="A",100,IF(NSi.TS[[#This Row],[KU.2]]="B",89,IF(NSi.TS[[#This Row],[KU.2]]="C",79,IF(NSi.TS[[#This Row],[KU.2]]="D",69,IF(NSi.TS[[#This Row],[KU.2]]="E",0,"-")))))</f>
        <v>-</v>
      </c>
      <c r="CD6" s="73" t="str">
        <f>IF(NSi.TS[[#This Row],[TJ.2]]=1,100,IF(NSi.TS[[#This Row],[TJ.2]]=2,89,IF(NSi.TS[[#This Row],[TJ.2]]=3,79,IF(NSi.TS[[#This Row],[TJ.2]]=4,69,IF(NSi.TS[[#This Row],[TJ.2]]=5,0,"-")))))</f>
        <v>-</v>
      </c>
      <c r="CE6" s="73" t="str">
        <f>IF(NSi.TS[[#This Row],[Ker.2]]=1,100,IF(NSi.TS[[#This Row],[Ker.2]]=2,89,IF(NSi.TS[[#This Row],[Ker.2]]=3,79,IF(NSi.TS[[#This Row],[Ker.2]]=4,69,IF(NSi.TS[[#This Row],[Ker.2]]=5,0,"-")))))</f>
        <v>-</v>
      </c>
      <c r="CF6" s="73" t="str">
        <f>IF(NSi.TS[[#This Row],[Ped.2]]=1,100,IF(NSi.TS[[#This Row],[Ped.2]]=2,89,IF(NSi.TS[[#This Row],[Ped.2]]=3,79,IF(NSi.TS[[#This Row],[Ped.2]]=4,69,IF(NSi.TS[[#This Row],[Ped.2]]=5,0,"-")))))</f>
        <v>-</v>
      </c>
      <c r="CG6" s="73" t="str">
        <f>IF(NSi.TS[[#This Row],[Pro-A.2]]=1,100,IF(NSi.TS[[#This Row],[Pro-A.2]]=2,89,IF(NSi.TS[[#This Row],[Pro-A.2]]=3,79,IF(NSi.TS[[#This Row],[Pro-A.2]]=4,69,IF(NSi.TS[[#This Row],[Pro-A.2]]=5,0,"-")))))</f>
        <v>-</v>
      </c>
      <c r="CH6" s="74" t="str">
        <f>IF(NSi.TS[[#This Row],[KU.3]]="A",100,IF(NSi.TS[[#This Row],[KU.3]]="B",89,IF(NSi.TS[[#This Row],[KU.3]]="C",79,IF(NSi.TS[[#This Row],[KU.3]]="D",69,IF(NSi.TS[[#This Row],[KU.3]]="E",0,"-")))))</f>
        <v>-</v>
      </c>
      <c r="CI6" s="73" t="str">
        <f>IF(NSi.TS[[#This Row],[TJ.3]]=1,100,IF(NSi.TS[[#This Row],[TJ.3]]=2,89,IF(NSi.TS[[#This Row],[TJ.3]]=3,79,IF(NSi.TS[[#This Row],[TJ.3]]=4,69,IF(NSi.TS[[#This Row],[TJ.3]]=5,0,"-")))))</f>
        <v>-</v>
      </c>
      <c r="CJ6" s="73" t="str">
        <f>IF(NSi.TS[[#This Row],[Ker.3]]=1,100,IF(NSi.TS[[#This Row],[Ker.3]]=2,89,IF(NSi.TS[[#This Row],[Ker.3]]=3,79,IF(NSi.TS[[#This Row],[Ker.3]]=4,69,IF(NSi.TS[[#This Row],[Ker.3]]=5,0,"-")))))</f>
        <v>-</v>
      </c>
      <c r="CK6" s="73" t="str">
        <f>IF(NSi.TS[[#This Row],[Ped.3]]=1,100,IF(NSi.TS[[#This Row],[Ped.3]]=2,89,IF(NSi.TS[[#This Row],[Ped.3]]=3,79,IF(NSi.TS[[#This Row],[Ped.3]]=4,69,IF(NSi.TS[[#This Row],[Ped.3]]=5,0,"-")))))</f>
        <v>-</v>
      </c>
      <c r="CL6" s="73" t="str">
        <f>IF(NSi.TS[[#This Row],[Pro-A.3]]=1,100,IF(NSi.TS[[#This Row],[Pro-A.3]]=2,89,IF(NSi.TS[[#This Row],[Pro-A.3]]=3,79,IF(NSi.TS[[#This Row],[Pro-A.3]]=4,69,IF(NSi.TS[[#This Row],[Pro-A.3]]=5,0,"-")))))</f>
        <v>-</v>
      </c>
      <c r="CM6" s="74" t="str">
        <f>IF(NSi.TS[[#This Row],[KU.4]]="A",100,IF(NSi.TS[[#This Row],[KU.4]]="B",89,IF(NSi.TS[[#This Row],[KU.4]]="C",79,IF(NSi.TS[[#This Row],[KU.4]]="D",69,IF(NSi.TS[[#This Row],[KU.4]]="E",0,"-")))))</f>
        <v>-</v>
      </c>
      <c r="CN6" s="73" t="str">
        <f>IF(NSi.TS[[#This Row],[TJ.4]]=1,100,IF(NSi.TS[[#This Row],[TJ.4]]=2,89,IF(NSi.TS[[#This Row],[TJ.4]]=3,79,IF(NSi.TS[[#This Row],[TJ.4]]=4,69,IF(NSi.TS[[#This Row],[TJ.4]]=5,0,"-")))))</f>
        <v>-</v>
      </c>
      <c r="CO6" s="73" t="str">
        <f>IF(NSi.TS[[#This Row],[Ker.4]]=1,100,IF(NSi.TS[[#This Row],[Ker.4]]=2,89,IF(NSi.TS[[#This Row],[Ker.4]]=3,79,IF(NSi.TS[[#This Row],[Ker.4]]=4,69,IF(NSi.TS[[#This Row],[Ker.4]]=5,0,"-")))))</f>
        <v>-</v>
      </c>
      <c r="CP6" s="73" t="str">
        <f>IF(NSi.TS[[#This Row],[Ped.4]]=1,100,IF(NSi.TS[[#This Row],[Ped.4]]=2,89,IF(NSi.TS[[#This Row],[Ped.4]]=3,79,IF(NSi.TS[[#This Row],[Ped.4]]=4,69,IF(NSi.TS[[#This Row],[Ped.4]]=5,0,"-")))))</f>
        <v>-</v>
      </c>
      <c r="CQ6" s="73" t="str">
        <f>IF(NSi.TS[[#This Row],[Pro-A.4]]=1,100,IF(NSi.TS[[#This Row],[Pro-A.4]]=2,89,IF(NSi.TS[[#This Row],[Pro-A.4]]=3,79,IF(NSi.TS[[#This Row],[Pro-A.4]]=4,69,IF(NSi.TS[[#This Row],[Pro-A.4]]=5,0,"-")))))</f>
        <v>-</v>
      </c>
      <c r="CR6" s="74" t="str">
        <f>IF(NSi.TS[[#This Row],[KU.5]]="A",100,IF(NSi.TS[[#This Row],[KU.5]]="B",89,IF(NSi.TS[[#This Row],[KU.5]]="C",79,IF(NSi.TS[[#This Row],[KU.5]]="D",69,IF(NSi.TS[[#This Row],[KU.5]]="E",0,"-")))))</f>
        <v>-</v>
      </c>
      <c r="CS6" s="73" t="str">
        <f>IF(NSi.TS[[#This Row],[TJ.5]]=1,100,IF(NSi.TS[[#This Row],[TJ.5]]=2,89,IF(NSi.TS[[#This Row],[TJ.5]]=3,79,IF(NSi.TS[[#This Row],[TJ.5]]=4,69,IF(NSi.TS[[#This Row],[TJ.5]]=5,0,"-")))))</f>
        <v>-</v>
      </c>
      <c r="CT6" s="73" t="str">
        <f>IF(NSi.TS[[#This Row],[Ker.5]]=1,100,IF(NSi.TS[[#This Row],[Ker.5]]=2,89,IF(NSi.TS[[#This Row],[Ker.5]]=3,79,IF(NSi.TS[[#This Row],[Ker.5]]=4,69,IF(NSi.TS[[#This Row],[Ker.5]]=5,0,"-")))))</f>
        <v>-</v>
      </c>
      <c r="CU6" s="73" t="str">
        <f>IF(NSi.TS[[#This Row],[Ped.5]]=1,100,IF(NSi.TS[[#This Row],[Ped.5]]=2,89,IF(NSi.TS[[#This Row],[Ped.5]]=3,79,IF(NSi.TS[[#This Row],[Ped.5]]=4,69,IF(NSi.TS[[#This Row],[Ped.5]]=5,0,"-")))))</f>
        <v>-</v>
      </c>
      <c r="CV6" s="73" t="str">
        <f>IF(NSi.TS[[#This Row],[Pro-A.5]]=1,100,IF(NSi.TS[[#This Row],[Pro-A.5]]=2,89,IF(NSi.TS[[#This Row],[Pro-A.5]]=3,79,IF(NSi.TS[[#This Row],[Pro-A.5]]=4,69,IF(NSi.TS[[#This Row],[Pro-A.5]]=5,0,"-")))))</f>
        <v>-</v>
      </c>
      <c r="CW6" s="74" t="str">
        <f>IF(NSi.TS[[#This Row],[KU.6]]="A",100,IF(NSi.TS[[#This Row],[KU.6]]="B",89,IF(NSi.TS[[#This Row],[KU.6]]="C",79,IF(NSi.TS[[#This Row],[KU.6]]="D",69,IF(NSi.TS[[#This Row],[KU.6]]="E",0,"-")))))</f>
        <v>-</v>
      </c>
      <c r="CX6" s="73" t="str">
        <f>IF(NSi.TS[[#This Row],[TJ.6]]=1,100,IF(NSi.TS[[#This Row],[TJ.6]]=2,89,IF(NSi.TS[[#This Row],[TJ.6]]=3,79,IF(NSi.TS[[#This Row],[TJ.6]]=4,69,IF(NSi.TS[[#This Row],[TJ.6]]=5,0,"-")))))</f>
        <v>-</v>
      </c>
      <c r="CY6" s="73" t="str">
        <f>IF(NSi.TS[[#This Row],[Ker.6]]=1,100,IF(NSi.TS[[#This Row],[Ker.6]]=2,89,IF(NSi.TS[[#This Row],[Ker.6]]=3,79,IF(NSi.TS[[#This Row],[Ker.6]]=4,69,IF(NSi.TS[[#This Row],[Ker.6]]=5,0,"-")))))</f>
        <v>-</v>
      </c>
      <c r="CZ6" s="73" t="str">
        <f>IF(NSi.TS[[#This Row],[Ped.6]]=1,100,IF(NSi.TS[[#This Row],[Ped.6]]=2,89,IF(NSi.TS[[#This Row],[Ped.6]]=3,79,IF(NSi.TS[[#This Row],[Ped.6]]=4,69,IF(NSi.TS[[#This Row],[Ped.6]]=5,0,"-")))))</f>
        <v>-</v>
      </c>
      <c r="DA6" s="73" t="str">
        <f>IF(NSi.TS[[#This Row],[Pro-A.6]]=1,100,IF(NSi.TS[[#This Row],[Pro-A.6]]=2,89,IF(NSi.TS[[#This Row],[Pro-A.6]]=3,79,IF(NSi.TS[[#This Row],[Pro-A.6]]=4,69,IF(NSi.TS[[#This Row],[Pro-A.6]]=5,0,"-")))))</f>
        <v>-</v>
      </c>
      <c r="DB6" s="74" t="str">
        <f>IF(NSi.TS[[#This Row],[KU.7]]="A",100,IF(NSi.TS[[#This Row],[KU.7]]="B",89,IF(NSi.TS[[#This Row],[KU.7]]="C",79,IF(NSi.TS[[#This Row],[KU.7]]="D",69,IF(NSi.TS[[#This Row],[KU.7]]="E",0,"-")))))</f>
        <v>-</v>
      </c>
      <c r="DC6" s="73" t="str">
        <f>IF(NSi.TS[[#This Row],[TJ.7]]=1,100,IF(NSi.TS[[#This Row],[TJ.7]]=2,89,IF(NSi.TS[[#This Row],[TJ.7]]=3,79,IF(NSi.TS[[#This Row],[TJ.7]]=4,69,IF(NSi.TS[[#This Row],[TJ.7]]=5,0,"-")))))</f>
        <v>-</v>
      </c>
      <c r="DD6" s="73" t="str">
        <f>IF(NSi.TS[[#This Row],[Ker.7]]=1,100,IF(NSi.TS[[#This Row],[Ker.7]]=2,89,IF(NSi.TS[[#This Row],[Ker.7]]=3,79,IF(NSi.TS[[#This Row],[Ker.7]]=4,69,IF(NSi.TS[[#This Row],[Ker.7]]=5,0,"-")))))</f>
        <v>-</v>
      </c>
      <c r="DE6" s="73" t="str">
        <f>IF(NSi.TS[[#This Row],[Ped.7]]=1,100,IF(NSi.TS[[#This Row],[Ped.7]]=2,89,IF(NSi.TS[[#This Row],[Ped.7]]=3,79,IF(NSi.TS[[#This Row],[Ped.7]]=4,69,IF(NSi.TS[[#This Row],[Ped.7]]=5,0,"-")))))</f>
        <v>-</v>
      </c>
      <c r="DF6" s="73" t="str">
        <f>IF(NSi.TS[[#This Row],[Pro-A.7]]=1,100,IF(NSi.TS[[#This Row],[Pro-A.7]]=2,89,IF(NSi.TS[[#This Row],[Pro-A.7]]=3,79,IF(NSi.TS[[#This Row],[Pro-A.7]]=4,69,IF(NSi.TS[[#This Row],[Pro-A.7]]=5,0,"-")))))</f>
        <v>-</v>
      </c>
      <c r="DG6" s="74" t="str">
        <f>IF(NSi.TS[[#This Row],[KU.8]]="A",100,IF(NSi.TS[[#This Row],[KU.8]]="B",89,IF(NSi.TS[[#This Row],[KU.8]]="C",79,IF(NSi.TS[[#This Row],[KU.8]]="D",69,IF(NSi.TS[[#This Row],[KU.8]]="E",0,"-")))))</f>
        <v>-</v>
      </c>
      <c r="DH6" s="73" t="str">
        <f>IF(NSi.TS[[#This Row],[TJ.8]]=1,100,IF(NSi.TS[[#This Row],[TJ.8]]=2,89,IF(NSi.TS[[#This Row],[TJ.8]]=3,79,IF(NSi.TS[[#This Row],[TJ.8]]=4,69,IF(NSi.TS[[#This Row],[TJ.8]]=5,0,"-")))))</f>
        <v>-</v>
      </c>
      <c r="DI6" s="73" t="str">
        <f>IF(NSi.TS[[#This Row],[Ker.8]]=1,100,IF(NSi.TS[[#This Row],[Ker.8]]=2,89,IF(NSi.TS[[#This Row],[Ker.8]]=3,79,IF(NSi.TS[[#This Row],[Ker.8]]=4,69,IF(NSi.TS[[#This Row],[Ker.8]]=5,0,"-")))))</f>
        <v>-</v>
      </c>
      <c r="DJ6" s="73" t="str">
        <f>IF(NSi.TS[[#This Row],[Ped.8]]=1,100,IF(NSi.TS[[#This Row],[Ped.8]]=2,89,IF(NSi.TS[[#This Row],[Ped.8]]=3,79,IF(NSi.TS[[#This Row],[Ped.8]]=4,69,IF(NSi.TS[[#This Row],[Ped.8]]=5,0,"-")))))</f>
        <v>-</v>
      </c>
      <c r="DK6" s="73" t="str">
        <f>IF(NSi.TS[[#This Row],[Pro-A.8]]=1,100,IF(NSi.TS[[#This Row],[Pro-A.8]]=2,89,IF(NSi.TS[[#This Row],[Pro-A.8]]=3,79,IF(NSi.TS[[#This Row],[Pro-A.8]]=4,69,IF(NSi.TS[[#This Row],[Pro-A.8]]=5,0,"-")))))</f>
        <v>-</v>
      </c>
      <c r="DL6" s="74" t="str">
        <f>IF(NSi.TS[[#This Row],[KU.9]]="A",100,IF(NSi.TS[[#This Row],[KU.9]]="B",89,IF(NSi.TS[[#This Row],[KU.9]]="C",79,IF(NSi.TS[[#This Row],[KU.9]]="D",69,IF(NSi.TS[[#This Row],[KU.9]]="E",0,"-")))))</f>
        <v>-</v>
      </c>
      <c r="DM6" s="73" t="str">
        <f>IF(NSi.TS[[#This Row],[TJ.9]]=1,100,IF(NSi.TS[[#This Row],[TJ.9]]=2,89,IF(NSi.TS[[#This Row],[TJ.9]]=3,79,IF(NSi.TS[[#This Row],[TJ.9]]=4,69,IF(NSi.TS[[#This Row],[TJ.9]]=5,0,"-")))))</f>
        <v>-</v>
      </c>
      <c r="DN6" s="73" t="str">
        <f>IF(NSi.TS[[#This Row],[Ker.9]]=1,100,IF(NSi.TS[[#This Row],[Ker.9]]=2,89,IF(NSi.TS[[#This Row],[Ker.9]]=3,79,IF(NSi.TS[[#This Row],[Ker.9]]=4,69,IF(NSi.TS[[#This Row],[Ker.9]]=5,0,"-")))))</f>
        <v>-</v>
      </c>
      <c r="DO6" s="73" t="str">
        <f>IF(NSi.TS[[#This Row],[Ped.9]]=1,100,IF(NSi.TS[[#This Row],[Ped.9]]=2,89,IF(NSi.TS[[#This Row],[Ped.9]]=3,79,IF(NSi.TS[[#This Row],[Ped.9]]=4,69,IF(NSi.TS[[#This Row],[Ped.9]]=5,0,"-")))))</f>
        <v>-</v>
      </c>
      <c r="DP6" s="73" t="str">
        <f>IF(NSi.TS[[#This Row],[Pro-A.9]]=1,100,IF(NSi.TS[[#This Row],[Pro-A.9]]=2,89,IF(NSi.TS[[#This Row],[Pro-A.9]]=3,79,IF(NSi.TS[[#This Row],[Pro-A.9]]=4,69,IF(NSi.TS[[#This Row],[Pro-A.9]]=5,0,"-")))))</f>
        <v>-</v>
      </c>
    </row>
    <row r="7" spans="1:120" ht="50.1" customHeight="1" x14ac:dyDescent="0.3">
      <c r="A7" s="82">
        <v>5</v>
      </c>
      <c r="B7" s="88" t="s">
        <v>163</v>
      </c>
      <c r="C7" s="89" t="s">
        <v>172</v>
      </c>
      <c r="D7" s="90">
        <v>25175565</v>
      </c>
      <c r="E7" s="91" t="s">
        <v>166</v>
      </c>
      <c r="F7" s="44" t="str">
        <f>IFERROR(ROUND(AVERAGE(CSCR[#This Row]),0),"")</f>
        <v/>
      </c>
      <c r="G7" s="41" t="s">
        <v>102</v>
      </c>
      <c r="H7" s="45" t="s">
        <v>102</v>
      </c>
      <c r="I7" s="45" t="s">
        <v>102</v>
      </c>
      <c r="J7" s="45" t="s">
        <v>102</v>
      </c>
      <c r="K7" s="45" t="s">
        <v>102</v>
      </c>
      <c r="L7" s="41" t="s">
        <v>102</v>
      </c>
      <c r="M7" s="45" t="s">
        <v>102</v>
      </c>
      <c r="N7" s="45" t="s">
        <v>102</v>
      </c>
      <c r="O7" s="45" t="s">
        <v>102</v>
      </c>
      <c r="P7" s="45" t="s">
        <v>102</v>
      </c>
      <c r="Q7" s="41" t="s">
        <v>102</v>
      </c>
      <c r="R7" s="45" t="s">
        <v>102</v>
      </c>
      <c r="S7" s="45" t="s">
        <v>102</v>
      </c>
      <c r="T7" s="45" t="s">
        <v>102</v>
      </c>
      <c r="U7" s="45" t="s">
        <v>102</v>
      </c>
      <c r="V7" s="41" t="s">
        <v>102</v>
      </c>
      <c r="W7" s="45" t="s">
        <v>102</v>
      </c>
      <c r="X7" s="45" t="s">
        <v>102</v>
      </c>
      <c r="Y7" s="45" t="s">
        <v>102</v>
      </c>
      <c r="Z7" s="45" t="s">
        <v>102</v>
      </c>
      <c r="AA7" s="41" t="s">
        <v>102</v>
      </c>
      <c r="AB7" s="45" t="s">
        <v>102</v>
      </c>
      <c r="AC7" s="45" t="s">
        <v>102</v>
      </c>
      <c r="AD7" s="45" t="s">
        <v>102</v>
      </c>
      <c r="AE7" s="45" t="s">
        <v>102</v>
      </c>
      <c r="AF7" s="41" t="s">
        <v>102</v>
      </c>
      <c r="AG7" s="45" t="s">
        <v>102</v>
      </c>
      <c r="AH7" s="45" t="s">
        <v>102</v>
      </c>
      <c r="AI7" s="45" t="s">
        <v>102</v>
      </c>
      <c r="AJ7" s="45" t="s">
        <v>102</v>
      </c>
      <c r="AK7" s="41" t="s">
        <v>102</v>
      </c>
      <c r="AL7" s="45" t="s">
        <v>102</v>
      </c>
      <c r="AM7" s="45" t="s">
        <v>102</v>
      </c>
      <c r="AN7" s="45" t="s">
        <v>102</v>
      </c>
      <c r="AO7" s="45" t="s">
        <v>102</v>
      </c>
      <c r="AP7" s="41" t="s">
        <v>102</v>
      </c>
      <c r="AQ7" s="45" t="s">
        <v>102</v>
      </c>
      <c r="AR7" s="45" t="s">
        <v>102</v>
      </c>
      <c r="AS7" s="45" t="s">
        <v>102</v>
      </c>
      <c r="AT7" s="45" t="s">
        <v>102</v>
      </c>
      <c r="AU7" s="41" t="s">
        <v>102</v>
      </c>
      <c r="AV7" s="45" t="s">
        <v>102</v>
      </c>
      <c r="AW7" s="45" t="s">
        <v>102</v>
      </c>
      <c r="AX7" s="45" t="s">
        <v>102</v>
      </c>
      <c r="AY7" s="45" t="s">
        <v>102</v>
      </c>
      <c r="BA7" s="10" t="str">
        <f>CONCATENATE(NSi.TS[[#This Row],[KU.1]],(IF(A.LoE[[#This Row],[LE.1]]="-","-",IF(A.LoE[[#This Row],[LE.1]]&gt;=90,1,IF(A.LoE[[#This Row],[LE.1]]&gt;=80,2,IF(A.LoE[[#This Row],[LE.1]]&gt;=70,3,IF(A.LoE[[#This Row],[LE.1]]&gt;=1,4,5)))))))</f>
        <v>--</v>
      </c>
      <c r="BB7" s="46" t="str">
        <f>CONCATENATE(NSi.TS[[#This Row],[KU.2]],(IF(A.LoE[[#This Row],[LE.2]]="-","-",IF(A.LoE[[#This Row],[LE.2]]&gt;=90,1,IF(A.LoE[[#This Row],[LE.2]]&gt;=80,2,IF(A.LoE[[#This Row],[LE.2]]&gt;=70,3,IF(A.LoE[[#This Row],[LE.2]]&gt;=1,4,5)))))))</f>
        <v>--</v>
      </c>
      <c r="BC7" s="46" t="str">
        <f>CONCATENATE(NSi.TS[[#This Row],[KU.3]],(IF(A.LoE[[#This Row],[LE.3]]="-","-",IF(A.LoE[[#This Row],[LE.3]]&gt;=90,1,IF(A.LoE[[#This Row],[LE.3]]&gt;=80,2,IF(A.LoE[[#This Row],[LE.3]]&gt;=70,3,IF(A.LoE[[#This Row],[LE.3]]&gt;=1,4,5)))))))</f>
        <v>--</v>
      </c>
      <c r="BD7" s="46" t="str">
        <f>CONCATENATE(NSi.TS[[#This Row],[KU.4]],(IF(A.LoE[[#This Row],[LE.4]]="-","-",IF(A.LoE[[#This Row],[LE.4]]&gt;=90,1,IF(A.LoE[[#This Row],[LE.4]]&gt;=80,2,IF(A.LoE[[#This Row],[LE.4]]&gt;=70,3,IF(A.LoE[[#This Row],[LE.4]]&gt;=1,4,5)))))))</f>
        <v>--</v>
      </c>
      <c r="BE7" s="46" t="str">
        <f>CONCATENATE(NSi.TS[[#This Row],[KU.5]],(IF(A.LoE[[#This Row],[LE.5]]="-","-",IF(A.LoE[[#This Row],[LE.5]]&gt;=90,1,IF(A.LoE[[#This Row],[LE.5]]&gt;=80,2,IF(A.LoE[[#This Row],[LE.5]]&gt;=70,3,IF(A.LoE[[#This Row],[LE.5]]&gt;=1,4,5)))))))</f>
        <v>--</v>
      </c>
      <c r="BF7" s="46" t="str">
        <f>CONCATENATE(NSi.TS[[#This Row],[KU.6]],(IF(A.LoE[[#This Row],[LE.6]]="-","-",IF(A.LoE[[#This Row],[LE.6]]&gt;=90,1,IF(A.LoE[[#This Row],[LE.6]]&gt;=80,2,IF(A.LoE[[#This Row],[LE.6]]&gt;=70,3,IF(A.LoE[[#This Row],[LE.6]]&gt;=1,4,5)))))))</f>
        <v>--</v>
      </c>
      <c r="BG7" s="46" t="str">
        <f>CONCATENATE(NSi.TS[[#This Row],[KU.7]],(IF(A.LoE[[#This Row],[LE.7]]="-","-",IF(A.LoE[[#This Row],[LE.7]]&gt;=90,1,IF(A.LoE[[#This Row],[LE.7]]&gt;=80,2,IF(A.LoE[[#This Row],[LE.7]]&gt;=70,3,IF(A.LoE[[#This Row],[LE.7]]&gt;=1,4,5)))))))</f>
        <v>--</v>
      </c>
      <c r="BH7" s="46" t="str">
        <f>CONCATENATE(NSi.TS[[#This Row],[KU.8]],(IF(A.LoE[[#This Row],[LE.8]]="-","-",IF(A.LoE[[#This Row],[LE.8]]&gt;=90,1,IF(A.LoE[[#This Row],[LE.8]]&gt;=80,2,IF(A.LoE[[#This Row],[LE.8]]&gt;=70,3,IF(A.LoE[[#This Row],[LE.8]]&gt;=1,4,5)))))))</f>
        <v>--</v>
      </c>
      <c r="BI7" s="38" t="str">
        <f>CONCATENATE(NSi.TS[[#This Row],[KU.9]],(IF(A.LoE[[#This Row],[LE.9]]="-","-",IF(A.LoE[[#This Row],[LE.9]]&gt;=90,1,IF(A.LoE[[#This Row],[LE.9]]&gt;=80,2,IF(A.LoE[[#This Row],[LE.9]]&gt;=70,3,IF(A.LoE[[#This Row],[LE.9]]&gt;=1,4,5)))))))</f>
        <v>--</v>
      </c>
      <c r="BK7" s="35" t="str">
        <f>IFERROR(ROUND(AVERAGE(Con.Sk[[#This Row],[TJ.1]:[Pro-A.1]]),0),"-")</f>
        <v>-</v>
      </c>
      <c r="BL7" s="24" t="str">
        <f>IFERROR(ROUND(AVERAGE(Con.Sk[[#This Row],[TJ.2]:[Pro-A.2]]),0),"-")</f>
        <v>-</v>
      </c>
      <c r="BM7" s="24" t="str">
        <f>IFERROR(ROUND(AVERAGE(Con.Sk[[#This Row],[TJ.3]:[Pro-A.3]]),0),"-")</f>
        <v>-</v>
      </c>
      <c r="BN7" s="24" t="str">
        <f>IFERROR(ROUND(AVERAGE(Con.Sk[[#This Row],[TJ.4]:[Pro-A.4]]),0),"-")</f>
        <v>-</v>
      </c>
      <c r="BO7" s="24" t="str">
        <f>IFERROR(ROUND(AVERAGE(Con.Sk[[#This Row],[TJ.5]:[Pro-A.5]]),0),"-")</f>
        <v>-</v>
      </c>
      <c r="BP7" s="24" t="str">
        <f>IFERROR(ROUND(AVERAGE(Con.Sk[[#This Row],[TJ.6]:[Pro-A.6]]),0),"-")</f>
        <v>-</v>
      </c>
      <c r="BQ7" s="24" t="str">
        <f>IFERROR(ROUND(AVERAGE(Con.Sk[[#This Row],[TJ.7]:[Pro-A.7]]),0),"-")</f>
        <v>-</v>
      </c>
      <c r="BR7" s="24" t="str">
        <f>IFERROR(ROUND(AVERAGE(Con.Sk[[#This Row],[TJ.8]:[Pro-A.8]]),0),"-")</f>
        <v>-</v>
      </c>
      <c r="BS7" s="25" t="str">
        <f>IFERROR(ROUND(AVERAGE(Con.Sk[[#This Row],[TJ.9]:[Pro-A.9]]),0),"-")</f>
        <v>-</v>
      </c>
      <c r="BU7" s="47" t="str">
        <f>IFERROR(ROUND(AVERAGE(Con.Sk[[#This Row],[KU.1]],Con.Sk[[#This Row],[KU.2]],Con.Sk[[#This Row],[KU.3]],Con.Sk[[#This Row],[KU.4]],Con.Sk[[#This Row],[KU.5]],Con.Sk[[#This Row],[KU.6]],Con.Sk[[#This Row],[KU.7]],Con.Sk[[#This Row],[KU.8]],Con.Sk[[#This Row],[KU.9]]),0),"")</f>
        <v/>
      </c>
      <c r="BV7" s="48" t="str">
        <f>IFERROR(ROUND(AVERAGE(Con.Sk[[#This Row],[TJ.1]:[Pro-A.1]],Con.Sk[[#This Row],[TJ.2]:[Pro-A.2]],Con.Sk[[#This Row],[TJ.3]:[Pro-A.3]],Con.Sk[[#This Row],[TJ.4]:[Pro-A.4]],Con.Sk[[#This Row],[TJ.5]:[Pro-A.5]],Con.Sk[[#This Row],[TJ.6]:[Pro-A.6]],Con.Sk[[#This Row],[TJ.7]:[Pro-A.7]],Con.Sk[[#This Row],[TJ.8]:[Pro-A.8]],Con.Sk[[#This Row],[TJ.9]:[Pro-A.9]]),0),"")</f>
        <v/>
      </c>
      <c r="BW7" s="3"/>
      <c r="BX7" s="73" t="str">
        <f>IF(NSi.TS[[#This Row],[KU.1]]="A",100,IF(NSi.TS[[#This Row],[KU.1]]="B",89,IF(NSi.TS[[#This Row],[KU.1]]="C",79,IF(NSi.TS[[#This Row],[KU.1]]="D",69,IF(NSi.TS[[#This Row],[KU.1]]="E",0,"-")))))</f>
        <v>-</v>
      </c>
      <c r="BY7" s="73" t="str">
        <f>IF(NSi.TS[[#This Row],[TJ.1]]=1,100,IF(NSi.TS[[#This Row],[TJ.1]]=2,89,IF(NSi.TS[[#This Row],[TJ.1]]=3,79,IF(NSi.TS[[#This Row],[TJ.1]]=4,69,IF(NSi.TS[[#This Row],[TJ.1]]=5,0,"-")))))</f>
        <v>-</v>
      </c>
      <c r="BZ7" s="73" t="str">
        <f>IF(NSi.TS[[#This Row],[Ker.1]]=1,100,IF(NSi.TS[[#This Row],[Ker.1]]=2,89,IF(NSi.TS[[#This Row],[Ker.1]]=3,79,IF(NSi.TS[[#This Row],[Ker.1]]=4,69,IF(NSi.TS[[#This Row],[Ker.1]]=5,0,"-")))))</f>
        <v>-</v>
      </c>
      <c r="CA7" s="73" t="str">
        <f>IF(NSi.TS[[#This Row],[Ped.1]]=1,100,IF(NSi.TS[[#This Row],[Ped.1]]=2,89,IF(NSi.TS[[#This Row],[Ped.1]]=3,79,IF(NSi.TS[[#This Row],[Ped.1]]=4,69,IF(NSi.TS[[#This Row],[Ped.1]]=5,0,"-")))))</f>
        <v>-</v>
      </c>
      <c r="CB7" s="73" t="str">
        <f>IF(NSi.TS[[#This Row],[Pro-A.1]]=1,100,IF(NSi.TS[[#This Row],[Pro-A.1]]=2,89,IF(NSi.TS[[#This Row],[Pro-A.1]]=3,79,IF(NSi.TS[[#This Row],[Pro-A.1]]=4,69,IF(NSi.TS[[#This Row],[Pro-A.1]]=5,0,"-")))))</f>
        <v>-</v>
      </c>
      <c r="CC7" s="73" t="str">
        <f>IF(NSi.TS[[#This Row],[KU.2]]="A",100,IF(NSi.TS[[#This Row],[KU.2]]="B",89,IF(NSi.TS[[#This Row],[KU.2]]="C",79,IF(NSi.TS[[#This Row],[KU.2]]="D",69,IF(NSi.TS[[#This Row],[KU.2]]="E",0,"-")))))</f>
        <v>-</v>
      </c>
      <c r="CD7" s="73" t="str">
        <f>IF(NSi.TS[[#This Row],[TJ.2]]=1,100,IF(NSi.TS[[#This Row],[TJ.2]]=2,89,IF(NSi.TS[[#This Row],[TJ.2]]=3,79,IF(NSi.TS[[#This Row],[TJ.2]]=4,69,IF(NSi.TS[[#This Row],[TJ.2]]=5,0,"-")))))</f>
        <v>-</v>
      </c>
      <c r="CE7" s="73" t="str">
        <f>IF(NSi.TS[[#This Row],[Ker.2]]=1,100,IF(NSi.TS[[#This Row],[Ker.2]]=2,89,IF(NSi.TS[[#This Row],[Ker.2]]=3,79,IF(NSi.TS[[#This Row],[Ker.2]]=4,69,IF(NSi.TS[[#This Row],[Ker.2]]=5,0,"-")))))</f>
        <v>-</v>
      </c>
      <c r="CF7" s="73" t="str">
        <f>IF(NSi.TS[[#This Row],[Ped.2]]=1,100,IF(NSi.TS[[#This Row],[Ped.2]]=2,89,IF(NSi.TS[[#This Row],[Ped.2]]=3,79,IF(NSi.TS[[#This Row],[Ped.2]]=4,69,IF(NSi.TS[[#This Row],[Ped.2]]=5,0,"-")))))</f>
        <v>-</v>
      </c>
      <c r="CG7" s="73" t="str">
        <f>IF(NSi.TS[[#This Row],[Pro-A.2]]=1,100,IF(NSi.TS[[#This Row],[Pro-A.2]]=2,89,IF(NSi.TS[[#This Row],[Pro-A.2]]=3,79,IF(NSi.TS[[#This Row],[Pro-A.2]]=4,69,IF(NSi.TS[[#This Row],[Pro-A.2]]=5,0,"-")))))</f>
        <v>-</v>
      </c>
      <c r="CH7" s="74" t="str">
        <f>IF(NSi.TS[[#This Row],[KU.3]]="A",100,IF(NSi.TS[[#This Row],[KU.3]]="B",89,IF(NSi.TS[[#This Row],[KU.3]]="C",79,IF(NSi.TS[[#This Row],[KU.3]]="D",69,IF(NSi.TS[[#This Row],[KU.3]]="E",0,"-")))))</f>
        <v>-</v>
      </c>
      <c r="CI7" s="73" t="str">
        <f>IF(NSi.TS[[#This Row],[TJ.3]]=1,100,IF(NSi.TS[[#This Row],[TJ.3]]=2,89,IF(NSi.TS[[#This Row],[TJ.3]]=3,79,IF(NSi.TS[[#This Row],[TJ.3]]=4,69,IF(NSi.TS[[#This Row],[TJ.3]]=5,0,"-")))))</f>
        <v>-</v>
      </c>
      <c r="CJ7" s="73" t="str">
        <f>IF(NSi.TS[[#This Row],[Ker.3]]=1,100,IF(NSi.TS[[#This Row],[Ker.3]]=2,89,IF(NSi.TS[[#This Row],[Ker.3]]=3,79,IF(NSi.TS[[#This Row],[Ker.3]]=4,69,IF(NSi.TS[[#This Row],[Ker.3]]=5,0,"-")))))</f>
        <v>-</v>
      </c>
      <c r="CK7" s="73" t="str">
        <f>IF(NSi.TS[[#This Row],[Ped.3]]=1,100,IF(NSi.TS[[#This Row],[Ped.3]]=2,89,IF(NSi.TS[[#This Row],[Ped.3]]=3,79,IF(NSi.TS[[#This Row],[Ped.3]]=4,69,IF(NSi.TS[[#This Row],[Ped.3]]=5,0,"-")))))</f>
        <v>-</v>
      </c>
      <c r="CL7" s="73" t="str">
        <f>IF(NSi.TS[[#This Row],[Pro-A.3]]=1,100,IF(NSi.TS[[#This Row],[Pro-A.3]]=2,89,IF(NSi.TS[[#This Row],[Pro-A.3]]=3,79,IF(NSi.TS[[#This Row],[Pro-A.3]]=4,69,IF(NSi.TS[[#This Row],[Pro-A.3]]=5,0,"-")))))</f>
        <v>-</v>
      </c>
      <c r="CM7" s="74" t="str">
        <f>IF(NSi.TS[[#This Row],[KU.4]]="A",100,IF(NSi.TS[[#This Row],[KU.4]]="B",89,IF(NSi.TS[[#This Row],[KU.4]]="C",79,IF(NSi.TS[[#This Row],[KU.4]]="D",69,IF(NSi.TS[[#This Row],[KU.4]]="E",0,"-")))))</f>
        <v>-</v>
      </c>
      <c r="CN7" s="73" t="str">
        <f>IF(NSi.TS[[#This Row],[TJ.4]]=1,100,IF(NSi.TS[[#This Row],[TJ.4]]=2,89,IF(NSi.TS[[#This Row],[TJ.4]]=3,79,IF(NSi.TS[[#This Row],[TJ.4]]=4,69,IF(NSi.TS[[#This Row],[TJ.4]]=5,0,"-")))))</f>
        <v>-</v>
      </c>
      <c r="CO7" s="73" t="str">
        <f>IF(NSi.TS[[#This Row],[Ker.4]]=1,100,IF(NSi.TS[[#This Row],[Ker.4]]=2,89,IF(NSi.TS[[#This Row],[Ker.4]]=3,79,IF(NSi.TS[[#This Row],[Ker.4]]=4,69,IF(NSi.TS[[#This Row],[Ker.4]]=5,0,"-")))))</f>
        <v>-</v>
      </c>
      <c r="CP7" s="73" t="str">
        <f>IF(NSi.TS[[#This Row],[Ped.4]]=1,100,IF(NSi.TS[[#This Row],[Ped.4]]=2,89,IF(NSi.TS[[#This Row],[Ped.4]]=3,79,IF(NSi.TS[[#This Row],[Ped.4]]=4,69,IF(NSi.TS[[#This Row],[Ped.4]]=5,0,"-")))))</f>
        <v>-</v>
      </c>
      <c r="CQ7" s="73" t="str">
        <f>IF(NSi.TS[[#This Row],[Pro-A.4]]=1,100,IF(NSi.TS[[#This Row],[Pro-A.4]]=2,89,IF(NSi.TS[[#This Row],[Pro-A.4]]=3,79,IF(NSi.TS[[#This Row],[Pro-A.4]]=4,69,IF(NSi.TS[[#This Row],[Pro-A.4]]=5,0,"-")))))</f>
        <v>-</v>
      </c>
      <c r="CR7" s="74" t="str">
        <f>IF(NSi.TS[[#This Row],[KU.5]]="A",100,IF(NSi.TS[[#This Row],[KU.5]]="B",89,IF(NSi.TS[[#This Row],[KU.5]]="C",79,IF(NSi.TS[[#This Row],[KU.5]]="D",69,IF(NSi.TS[[#This Row],[KU.5]]="E",0,"-")))))</f>
        <v>-</v>
      </c>
      <c r="CS7" s="73" t="str">
        <f>IF(NSi.TS[[#This Row],[TJ.5]]=1,100,IF(NSi.TS[[#This Row],[TJ.5]]=2,89,IF(NSi.TS[[#This Row],[TJ.5]]=3,79,IF(NSi.TS[[#This Row],[TJ.5]]=4,69,IF(NSi.TS[[#This Row],[TJ.5]]=5,0,"-")))))</f>
        <v>-</v>
      </c>
      <c r="CT7" s="73" t="str">
        <f>IF(NSi.TS[[#This Row],[Ker.5]]=1,100,IF(NSi.TS[[#This Row],[Ker.5]]=2,89,IF(NSi.TS[[#This Row],[Ker.5]]=3,79,IF(NSi.TS[[#This Row],[Ker.5]]=4,69,IF(NSi.TS[[#This Row],[Ker.5]]=5,0,"-")))))</f>
        <v>-</v>
      </c>
      <c r="CU7" s="73" t="str">
        <f>IF(NSi.TS[[#This Row],[Ped.5]]=1,100,IF(NSi.TS[[#This Row],[Ped.5]]=2,89,IF(NSi.TS[[#This Row],[Ped.5]]=3,79,IF(NSi.TS[[#This Row],[Ped.5]]=4,69,IF(NSi.TS[[#This Row],[Ped.5]]=5,0,"-")))))</f>
        <v>-</v>
      </c>
      <c r="CV7" s="73" t="str">
        <f>IF(NSi.TS[[#This Row],[Pro-A.5]]=1,100,IF(NSi.TS[[#This Row],[Pro-A.5]]=2,89,IF(NSi.TS[[#This Row],[Pro-A.5]]=3,79,IF(NSi.TS[[#This Row],[Pro-A.5]]=4,69,IF(NSi.TS[[#This Row],[Pro-A.5]]=5,0,"-")))))</f>
        <v>-</v>
      </c>
      <c r="CW7" s="74" t="str">
        <f>IF(NSi.TS[[#This Row],[KU.6]]="A",100,IF(NSi.TS[[#This Row],[KU.6]]="B",89,IF(NSi.TS[[#This Row],[KU.6]]="C",79,IF(NSi.TS[[#This Row],[KU.6]]="D",69,IF(NSi.TS[[#This Row],[KU.6]]="E",0,"-")))))</f>
        <v>-</v>
      </c>
      <c r="CX7" s="73" t="str">
        <f>IF(NSi.TS[[#This Row],[TJ.6]]=1,100,IF(NSi.TS[[#This Row],[TJ.6]]=2,89,IF(NSi.TS[[#This Row],[TJ.6]]=3,79,IF(NSi.TS[[#This Row],[TJ.6]]=4,69,IF(NSi.TS[[#This Row],[TJ.6]]=5,0,"-")))))</f>
        <v>-</v>
      </c>
      <c r="CY7" s="73" t="str">
        <f>IF(NSi.TS[[#This Row],[Ker.6]]=1,100,IF(NSi.TS[[#This Row],[Ker.6]]=2,89,IF(NSi.TS[[#This Row],[Ker.6]]=3,79,IF(NSi.TS[[#This Row],[Ker.6]]=4,69,IF(NSi.TS[[#This Row],[Ker.6]]=5,0,"-")))))</f>
        <v>-</v>
      </c>
      <c r="CZ7" s="73" t="str">
        <f>IF(NSi.TS[[#This Row],[Ped.6]]=1,100,IF(NSi.TS[[#This Row],[Ped.6]]=2,89,IF(NSi.TS[[#This Row],[Ped.6]]=3,79,IF(NSi.TS[[#This Row],[Ped.6]]=4,69,IF(NSi.TS[[#This Row],[Ped.6]]=5,0,"-")))))</f>
        <v>-</v>
      </c>
      <c r="DA7" s="73" t="str">
        <f>IF(NSi.TS[[#This Row],[Pro-A.6]]=1,100,IF(NSi.TS[[#This Row],[Pro-A.6]]=2,89,IF(NSi.TS[[#This Row],[Pro-A.6]]=3,79,IF(NSi.TS[[#This Row],[Pro-A.6]]=4,69,IF(NSi.TS[[#This Row],[Pro-A.6]]=5,0,"-")))))</f>
        <v>-</v>
      </c>
      <c r="DB7" s="74" t="str">
        <f>IF(NSi.TS[[#This Row],[KU.7]]="A",100,IF(NSi.TS[[#This Row],[KU.7]]="B",89,IF(NSi.TS[[#This Row],[KU.7]]="C",79,IF(NSi.TS[[#This Row],[KU.7]]="D",69,IF(NSi.TS[[#This Row],[KU.7]]="E",0,"-")))))</f>
        <v>-</v>
      </c>
      <c r="DC7" s="73" t="str">
        <f>IF(NSi.TS[[#This Row],[TJ.7]]=1,100,IF(NSi.TS[[#This Row],[TJ.7]]=2,89,IF(NSi.TS[[#This Row],[TJ.7]]=3,79,IF(NSi.TS[[#This Row],[TJ.7]]=4,69,IF(NSi.TS[[#This Row],[TJ.7]]=5,0,"-")))))</f>
        <v>-</v>
      </c>
      <c r="DD7" s="73" t="str">
        <f>IF(NSi.TS[[#This Row],[Ker.7]]=1,100,IF(NSi.TS[[#This Row],[Ker.7]]=2,89,IF(NSi.TS[[#This Row],[Ker.7]]=3,79,IF(NSi.TS[[#This Row],[Ker.7]]=4,69,IF(NSi.TS[[#This Row],[Ker.7]]=5,0,"-")))))</f>
        <v>-</v>
      </c>
      <c r="DE7" s="73" t="str">
        <f>IF(NSi.TS[[#This Row],[Ped.7]]=1,100,IF(NSi.TS[[#This Row],[Ped.7]]=2,89,IF(NSi.TS[[#This Row],[Ped.7]]=3,79,IF(NSi.TS[[#This Row],[Ped.7]]=4,69,IF(NSi.TS[[#This Row],[Ped.7]]=5,0,"-")))))</f>
        <v>-</v>
      </c>
      <c r="DF7" s="73" t="str">
        <f>IF(NSi.TS[[#This Row],[Pro-A.7]]=1,100,IF(NSi.TS[[#This Row],[Pro-A.7]]=2,89,IF(NSi.TS[[#This Row],[Pro-A.7]]=3,79,IF(NSi.TS[[#This Row],[Pro-A.7]]=4,69,IF(NSi.TS[[#This Row],[Pro-A.7]]=5,0,"-")))))</f>
        <v>-</v>
      </c>
      <c r="DG7" s="74" t="str">
        <f>IF(NSi.TS[[#This Row],[KU.8]]="A",100,IF(NSi.TS[[#This Row],[KU.8]]="B",89,IF(NSi.TS[[#This Row],[KU.8]]="C",79,IF(NSi.TS[[#This Row],[KU.8]]="D",69,IF(NSi.TS[[#This Row],[KU.8]]="E",0,"-")))))</f>
        <v>-</v>
      </c>
      <c r="DH7" s="73" t="str">
        <f>IF(NSi.TS[[#This Row],[TJ.8]]=1,100,IF(NSi.TS[[#This Row],[TJ.8]]=2,89,IF(NSi.TS[[#This Row],[TJ.8]]=3,79,IF(NSi.TS[[#This Row],[TJ.8]]=4,69,IF(NSi.TS[[#This Row],[TJ.8]]=5,0,"-")))))</f>
        <v>-</v>
      </c>
      <c r="DI7" s="73" t="str">
        <f>IF(NSi.TS[[#This Row],[Ker.8]]=1,100,IF(NSi.TS[[#This Row],[Ker.8]]=2,89,IF(NSi.TS[[#This Row],[Ker.8]]=3,79,IF(NSi.TS[[#This Row],[Ker.8]]=4,69,IF(NSi.TS[[#This Row],[Ker.8]]=5,0,"-")))))</f>
        <v>-</v>
      </c>
      <c r="DJ7" s="73" t="str">
        <f>IF(NSi.TS[[#This Row],[Ped.8]]=1,100,IF(NSi.TS[[#This Row],[Ped.8]]=2,89,IF(NSi.TS[[#This Row],[Ped.8]]=3,79,IF(NSi.TS[[#This Row],[Ped.8]]=4,69,IF(NSi.TS[[#This Row],[Ped.8]]=5,0,"-")))))</f>
        <v>-</v>
      </c>
      <c r="DK7" s="73" t="str">
        <f>IF(NSi.TS[[#This Row],[Pro-A.8]]=1,100,IF(NSi.TS[[#This Row],[Pro-A.8]]=2,89,IF(NSi.TS[[#This Row],[Pro-A.8]]=3,79,IF(NSi.TS[[#This Row],[Pro-A.8]]=4,69,IF(NSi.TS[[#This Row],[Pro-A.8]]=5,0,"-")))))</f>
        <v>-</v>
      </c>
      <c r="DL7" s="74" t="str">
        <f>IF(NSi.TS[[#This Row],[KU.9]]="A",100,IF(NSi.TS[[#This Row],[KU.9]]="B",89,IF(NSi.TS[[#This Row],[KU.9]]="C",79,IF(NSi.TS[[#This Row],[KU.9]]="D",69,IF(NSi.TS[[#This Row],[KU.9]]="E",0,"-")))))</f>
        <v>-</v>
      </c>
      <c r="DM7" s="73" t="str">
        <f>IF(NSi.TS[[#This Row],[TJ.9]]=1,100,IF(NSi.TS[[#This Row],[TJ.9]]=2,89,IF(NSi.TS[[#This Row],[TJ.9]]=3,79,IF(NSi.TS[[#This Row],[TJ.9]]=4,69,IF(NSi.TS[[#This Row],[TJ.9]]=5,0,"-")))))</f>
        <v>-</v>
      </c>
      <c r="DN7" s="73" t="str">
        <f>IF(NSi.TS[[#This Row],[Ker.9]]=1,100,IF(NSi.TS[[#This Row],[Ker.9]]=2,89,IF(NSi.TS[[#This Row],[Ker.9]]=3,79,IF(NSi.TS[[#This Row],[Ker.9]]=4,69,IF(NSi.TS[[#This Row],[Ker.9]]=5,0,"-")))))</f>
        <v>-</v>
      </c>
      <c r="DO7" s="73" t="str">
        <f>IF(NSi.TS[[#This Row],[Ped.9]]=1,100,IF(NSi.TS[[#This Row],[Ped.9]]=2,89,IF(NSi.TS[[#This Row],[Ped.9]]=3,79,IF(NSi.TS[[#This Row],[Ped.9]]=4,69,IF(NSi.TS[[#This Row],[Ped.9]]=5,0,"-")))))</f>
        <v>-</v>
      </c>
      <c r="DP7" s="73" t="str">
        <f>IF(NSi.TS[[#This Row],[Pro-A.9]]=1,100,IF(NSi.TS[[#This Row],[Pro-A.9]]=2,89,IF(NSi.TS[[#This Row],[Pro-A.9]]=3,79,IF(NSi.TS[[#This Row],[Pro-A.9]]=4,69,IF(NSi.TS[[#This Row],[Pro-A.9]]=5,0,"-")))))</f>
        <v>-</v>
      </c>
    </row>
    <row r="8" spans="1:120" ht="50.1" customHeight="1" x14ac:dyDescent="0.3">
      <c r="A8" s="82">
        <v>6</v>
      </c>
      <c r="B8" s="88" t="s">
        <v>158</v>
      </c>
      <c r="C8" s="89" t="s">
        <v>173</v>
      </c>
      <c r="D8" s="90">
        <v>25175567</v>
      </c>
      <c r="E8" s="91" t="s">
        <v>167</v>
      </c>
      <c r="F8" s="44" t="str">
        <f>IFERROR(ROUND(AVERAGE(CSCR[#This Row]),0),"")</f>
        <v/>
      </c>
      <c r="G8" s="41" t="s">
        <v>102</v>
      </c>
      <c r="H8" s="45" t="s">
        <v>102</v>
      </c>
      <c r="I8" s="45" t="s">
        <v>102</v>
      </c>
      <c r="J8" s="45" t="s">
        <v>102</v>
      </c>
      <c r="K8" s="45" t="s">
        <v>102</v>
      </c>
      <c r="L8" s="41" t="s">
        <v>102</v>
      </c>
      <c r="M8" s="45" t="s">
        <v>102</v>
      </c>
      <c r="N8" s="45" t="s">
        <v>102</v>
      </c>
      <c r="O8" s="45" t="s">
        <v>102</v>
      </c>
      <c r="P8" s="45" t="s">
        <v>102</v>
      </c>
      <c r="Q8" s="41" t="s">
        <v>102</v>
      </c>
      <c r="R8" s="45" t="s">
        <v>102</v>
      </c>
      <c r="S8" s="45" t="s">
        <v>102</v>
      </c>
      <c r="T8" s="45" t="s">
        <v>102</v>
      </c>
      <c r="U8" s="45" t="s">
        <v>102</v>
      </c>
      <c r="V8" s="41" t="s">
        <v>102</v>
      </c>
      <c r="W8" s="45" t="s">
        <v>102</v>
      </c>
      <c r="X8" s="45" t="s">
        <v>102</v>
      </c>
      <c r="Y8" s="45" t="s">
        <v>102</v>
      </c>
      <c r="Z8" s="45" t="s">
        <v>102</v>
      </c>
      <c r="AA8" s="41" t="s">
        <v>102</v>
      </c>
      <c r="AB8" s="45" t="s">
        <v>102</v>
      </c>
      <c r="AC8" s="45" t="s">
        <v>102</v>
      </c>
      <c r="AD8" s="45" t="s">
        <v>102</v>
      </c>
      <c r="AE8" s="45" t="s">
        <v>102</v>
      </c>
      <c r="AF8" s="41" t="s">
        <v>102</v>
      </c>
      <c r="AG8" s="45" t="s">
        <v>102</v>
      </c>
      <c r="AH8" s="45" t="s">
        <v>102</v>
      </c>
      <c r="AI8" s="45" t="s">
        <v>102</v>
      </c>
      <c r="AJ8" s="45" t="s">
        <v>102</v>
      </c>
      <c r="AK8" s="41" t="s">
        <v>102</v>
      </c>
      <c r="AL8" s="45" t="s">
        <v>102</v>
      </c>
      <c r="AM8" s="45" t="s">
        <v>102</v>
      </c>
      <c r="AN8" s="45" t="s">
        <v>102</v>
      </c>
      <c r="AO8" s="45" t="s">
        <v>102</v>
      </c>
      <c r="AP8" s="41" t="s">
        <v>102</v>
      </c>
      <c r="AQ8" s="45" t="s">
        <v>102</v>
      </c>
      <c r="AR8" s="45" t="s">
        <v>102</v>
      </c>
      <c r="AS8" s="45" t="s">
        <v>102</v>
      </c>
      <c r="AT8" s="45" t="s">
        <v>102</v>
      </c>
      <c r="AU8" s="41" t="s">
        <v>102</v>
      </c>
      <c r="AV8" s="45" t="s">
        <v>102</v>
      </c>
      <c r="AW8" s="45" t="s">
        <v>102</v>
      </c>
      <c r="AX8" s="45" t="s">
        <v>102</v>
      </c>
      <c r="AY8" s="45" t="s">
        <v>102</v>
      </c>
      <c r="BA8" s="10" t="str">
        <f>CONCATENATE(NSi.TS[[#This Row],[KU.1]],(IF(A.LoE[[#This Row],[LE.1]]="-","-",IF(A.LoE[[#This Row],[LE.1]]&gt;=90,1,IF(A.LoE[[#This Row],[LE.1]]&gt;=80,2,IF(A.LoE[[#This Row],[LE.1]]&gt;=70,3,IF(A.LoE[[#This Row],[LE.1]]&gt;=1,4,5)))))))</f>
        <v>--</v>
      </c>
      <c r="BB8" s="46" t="str">
        <f>CONCATENATE(NSi.TS[[#This Row],[KU.2]],(IF(A.LoE[[#This Row],[LE.2]]="-","-",IF(A.LoE[[#This Row],[LE.2]]&gt;=90,1,IF(A.LoE[[#This Row],[LE.2]]&gt;=80,2,IF(A.LoE[[#This Row],[LE.2]]&gt;=70,3,IF(A.LoE[[#This Row],[LE.2]]&gt;=1,4,5)))))))</f>
        <v>--</v>
      </c>
      <c r="BC8" s="46" t="str">
        <f>CONCATENATE(NSi.TS[[#This Row],[KU.3]],(IF(A.LoE[[#This Row],[LE.3]]="-","-",IF(A.LoE[[#This Row],[LE.3]]&gt;=90,1,IF(A.LoE[[#This Row],[LE.3]]&gt;=80,2,IF(A.LoE[[#This Row],[LE.3]]&gt;=70,3,IF(A.LoE[[#This Row],[LE.3]]&gt;=1,4,5)))))))</f>
        <v>--</v>
      </c>
      <c r="BD8" s="46" t="str">
        <f>CONCATENATE(NSi.TS[[#This Row],[KU.4]],(IF(A.LoE[[#This Row],[LE.4]]="-","-",IF(A.LoE[[#This Row],[LE.4]]&gt;=90,1,IF(A.LoE[[#This Row],[LE.4]]&gt;=80,2,IF(A.LoE[[#This Row],[LE.4]]&gt;=70,3,IF(A.LoE[[#This Row],[LE.4]]&gt;=1,4,5)))))))</f>
        <v>--</v>
      </c>
      <c r="BE8" s="46" t="str">
        <f>CONCATENATE(NSi.TS[[#This Row],[KU.5]],(IF(A.LoE[[#This Row],[LE.5]]="-","-",IF(A.LoE[[#This Row],[LE.5]]&gt;=90,1,IF(A.LoE[[#This Row],[LE.5]]&gt;=80,2,IF(A.LoE[[#This Row],[LE.5]]&gt;=70,3,IF(A.LoE[[#This Row],[LE.5]]&gt;=1,4,5)))))))</f>
        <v>--</v>
      </c>
      <c r="BF8" s="46" t="str">
        <f>CONCATENATE(NSi.TS[[#This Row],[KU.6]],(IF(A.LoE[[#This Row],[LE.6]]="-","-",IF(A.LoE[[#This Row],[LE.6]]&gt;=90,1,IF(A.LoE[[#This Row],[LE.6]]&gt;=80,2,IF(A.LoE[[#This Row],[LE.6]]&gt;=70,3,IF(A.LoE[[#This Row],[LE.6]]&gt;=1,4,5)))))))</f>
        <v>--</v>
      </c>
      <c r="BG8" s="46" t="str">
        <f>CONCATENATE(NSi.TS[[#This Row],[KU.7]],(IF(A.LoE[[#This Row],[LE.7]]="-","-",IF(A.LoE[[#This Row],[LE.7]]&gt;=90,1,IF(A.LoE[[#This Row],[LE.7]]&gt;=80,2,IF(A.LoE[[#This Row],[LE.7]]&gt;=70,3,IF(A.LoE[[#This Row],[LE.7]]&gt;=1,4,5)))))))</f>
        <v>--</v>
      </c>
      <c r="BH8" s="46" t="str">
        <f>CONCATENATE(NSi.TS[[#This Row],[KU.8]],(IF(A.LoE[[#This Row],[LE.8]]="-","-",IF(A.LoE[[#This Row],[LE.8]]&gt;=90,1,IF(A.LoE[[#This Row],[LE.8]]&gt;=80,2,IF(A.LoE[[#This Row],[LE.8]]&gt;=70,3,IF(A.LoE[[#This Row],[LE.8]]&gt;=1,4,5)))))))</f>
        <v>--</v>
      </c>
      <c r="BI8" s="38" t="str">
        <f>CONCATENATE(NSi.TS[[#This Row],[KU.9]],(IF(A.LoE[[#This Row],[LE.9]]="-","-",IF(A.LoE[[#This Row],[LE.9]]&gt;=90,1,IF(A.LoE[[#This Row],[LE.9]]&gt;=80,2,IF(A.LoE[[#This Row],[LE.9]]&gt;=70,3,IF(A.LoE[[#This Row],[LE.9]]&gt;=1,4,5)))))))</f>
        <v>--</v>
      </c>
      <c r="BK8" s="35" t="str">
        <f>IFERROR(ROUND(AVERAGE(Con.Sk[[#This Row],[TJ.1]:[Pro-A.1]]),0),"-")</f>
        <v>-</v>
      </c>
      <c r="BL8" s="24" t="str">
        <f>IFERROR(ROUND(AVERAGE(Con.Sk[[#This Row],[TJ.2]:[Pro-A.2]]),0),"-")</f>
        <v>-</v>
      </c>
      <c r="BM8" s="24" t="str">
        <f>IFERROR(ROUND(AVERAGE(Con.Sk[[#This Row],[TJ.3]:[Pro-A.3]]),0),"-")</f>
        <v>-</v>
      </c>
      <c r="BN8" s="24" t="str">
        <f>IFERROR(ROUND(AVERAGE(Con.Sk[[#This Row],[TJ.4]:[Pro-A.4]]),0),"-")</f>
        <v>-</v>
      </c>
      <c r="BO8" s="24" t="str">
        <f>IFERROR(ROUND(AVERAGE(Con.Sk[[#This Row],[TJ.5]:[Pro-A.5]]),0),"-")</f>
        <v>-</v>
      </c>
      <c r="BP8" s="24" t="str">
        <f>IFERROR(ROUND(AVERAGE(Con.Sk[[#This Row],[TJ.6]:[Pro-A.6]]),0),"-")</f>
        <v>-</v>
      </c>
      <c r="BQ8" s="24" t="str">
        <f>IFERROR(ROUND(AVERAGE(Con.Sk[[#This Row],[TJ.7]:[Pro-A.7]]),0),"-")</f>
        <v>-</v>
      </c>
      <c r="BR8" s="24" t="str">
        <f>IFERROR(ROUND(AVERAGE(Con.Sk[[#This Row],[TJ.8]:[Pro-A.8]]),0),"-")</f>
        <v>-</v>
      </c>
      <c r="BS8" s="25" t="str">
        <f>IFERROR(ROUND(AVERAGE(Con.Sk[[#This Row],[TJ.9]:[Pro-A.9]]),0),"-")</f>
        <v>-</v>
      </c>
      <c r="BU8" s="47" t="str">
        <f>IFERROR(ROUND(AVERAGE(Con.Sk[[#This Row],[KU.1]],Con.Sk[[#This Row],[KU.2]],Con.Sk[[#This Row],[KU.3]],Con.Sk[[#This Row],[KU.4]],Con.Sk[[#This Row],[KU.5]],Con.Sk[[#This Row],[KU.6]],Con.Sk[[#This Row],[KU.7]],Con.Sk[[#This Row],[KU.8]],Con.Sk[[#This Row],[KU.9]]),0),"")</f>
        <v/>
      </c>
      <c r="BV8" s="48" t="str">
        <f>IFERROR(ROUND(AVERAGE(Con.Sk[[#This Row],[TJ.1]:[Pro-A.1]],Con.Sk[[#This Row],[TJ.2]:[Pro-A.2]],Con.Sk[[#This Row],[TJ.3]:[Pro-A.3]],Con.Sk[[#This Row],[TJ.4]:[Pro-A.4]],Con.Sk[[#This Row],[TJ.5]:[Pro-A.5]],Con.Sk[[#This Row],[TJ.6]:[Pro-A.6]],Con.Sk[[#This Row],[TJ.7]:[Pro-A.7]],Con.Sk[[#This Row],[TJ.8]:[Pro-A.8]],Con.Sk[[#This Row],[TJ.9]:[Pro-A.9]]),0),"")</f>
        <v/>
      </c>
      <c r="BW8" s="3"/>
      <c r="BX8" s="73" t="str">
        <f>IF(NSi.TS[[#This Row],[KU.1]]="A",100,IF(NSi.TS[[#This Row],[KU.1]]="B",89,IF(NSi.TS[[#This Row],[KU.1]]="C",79,IF(NSi.TS[[#This Row],[KU.1]]="D",69,IF(NSi.TS[[#This Row],[KU.1]]="E",0,"-")))))</f>
        <v>-</v>
      </c>
      <c r="BY8" s="73" t="str">
        <f>IF(NSi.TS[[#This Row],[TJ.1]]=1,100,IF(NSi.TS[[#This Row],[TJ.1]]=2,89,IF(NSi.TS[[#This Row],[TJ.1]]=3,79,IF(NSi.TS[[#This Row],[TJ.1]]=4,69,IF(NSi.TS[[#This Row],[TJ.1]]=5,0,"-")))))</f>
        <v>-</v>
      </c>
      <c r="BZ8" s="73" t="str">
        <f>IF(NSi.TS[[#This Row],[Ker.1]]=1,100,IF(NSi.TS[[#This Row],[Ker.1]]=2,89,IF(NSi.TS[[#This Row],[Ker.1]]=3,79,IF(NSi.TS[[#This Row],[Ker.1]]=4,69,IF(NSi.TS[[#This Row],[Ker.1]]=5,0,"-")))))</f>
        <v>-</v>
      </c>
      <c r="CA8" s="73" t="str">
        <f>IF(NSi.TS[[#This Row],[Ped.1]]=1,100,IF(NSi.TS[[#This Row],[Ped.1]]=2,89,IF(NSi.TS[[#This Row],[Ped.1]]=3,79,IF(NSi.TS[[#This Row],[Ped.1]]=4,69,IF(NSi.TS[[#This Row],[Ped.1]]=5,0,"-")))))</f>
        <v>-</v>
      </c>
      <c r="CB8" s="73" t="str">
        <f>IF(NSi.TS[[#This Row],[Pro-A.1]]=1,100,IF(NSi.TS[[#This Row],[Pro-A.1]]=2,89,IF(NSi.TS[[#This Row],[Pro-A.1]]=3,79,IF(NSi.TS[[#This Row],[Pro-A.1]]=4,69,IF(NSi.TS[[#This Row],[Pro-A.1]]=5,0,"-")))))</f>
        <v>-</v>
      </c>
      <c r="CC8" s="73" t="str">
        <f>IF(NSi.TS[[#This Row],[KU.2]]="A",100,IF(NSi.TS[[#This Row],[KU.2]]="B",89,IF(NSi.TS[[#This Row],[KU.2]]="C",79,IF(NSi.TS[[#This Row],[KU.2]]="D",69,IF(NSi.TS[[#This Row],[KU.2]]="E",0,"-")))))</f>
        <v>-</v>
      </c>
      <c r="CD8" s="73" t="str">
        <f>IF(NSi.TS[[#This Row],[TJ.2]]=1,100,IF(NSi.TS[[#This Row],[TJ.2]]=2,89,IF(NSi.TS[[#This Row],[TJ.2]]=3,79,IF(NSi.TS[[#This Row],[TJ.2]]=4,69,IF(NSi.TS[[#This Row],[TJ.2]]=5,0,"-")))))</f>
        <v>-</v>
      </c>
      <c r="CE8" s="73" t="str">
        <f>IF(NSi.TS[[#This Row],[Ker.2]]=1,100,IF(NSi.TS[[#This Row],[Ker.2]]=2,89,IF(NSi.TS[[#This Row],[Ker.2]]=3,79,IF(NSi.TS[[#This Row],[Ker.2]]=4,69,IF(NSi.TS[[#This Row],[Ker.2]]=5,0,"-")))))</f>
        <v>-</v>
      </c>
      <c r="CF8" s="73" t="str">
        <f>IF(NSi.TS[[#This Row],[Ped.2]]=1,100,IF(NSi.TS[[#This Row],[Ped.2]]=2,89,IF(NSi.TS[[#This Row],[Ped.2]]=3,79,IF(NSi.TS[[#This Row],[Ped.2]]=4,69,IF(NSi.TS[[#This Row],[Ped.2]]=5,0,"-")))))</f>
        <v>-</v>
      </c>
      <c r="CG8" s="73" t="str">
        <f>IF(NSi.TS[[#This Row],[Pro-A.2]]=1,100,IF(NSi.TS[[#This Row],[Pro-A.2]]=2,89,IF(NSi.TS[[#This Row],[Pro-A.2]]=3,79,IF(NSi.TS[[#This Row],[Pro-A.2]]=4,69,IF(NSi.TS[[#This Row],[Pro-A.2]]=5,0,"-")))))</f>
        <v>-</v>
      </c>
      <c r="CH8" s="74" t="str">
        <f>IF(NSi.TS[[#This Row],[KU.3]]="A",100,IF(NSi.TS[[#This Row],[KU.3]]="B",89,IF(NSi.TS[[#This Row],[KU.3]]="C",79,IF(NSi.TS[[#This Row],[KU.3]]="D",69,IF(NSi.TS[[#This Row],[KU.3]]="E",0,"-")))))</f>
        <v>-</v>
      </c>
      <c r="CI8" s="73" t="str">
        <f>IF(NSi.TS[[#This Row],[TJ.3]]=1,100,IF(NSi.TS[[#This Row],[TJ.3]]=2,89,IF(NSi.TS[[#This Row],[TJ.3]]=3,79,IF(NSi.TS[[#This Row],[TJ.3]]=4,69,IF(NSi.TS[[#This Row],[TJ.3]]=5,0,"-")))))</f>
        <v>-</v>
      </c>
      <c r="CJ8" s="73" t="str">
        <f>IF(NSi.TS[[#This Row],[Ker.3]]=1,100,IF(NSi.TS[[#This Row],[Ker.3]]=2,89,IF(NSi.TS[[#This Row],[Ker.3]]=3,79,IF(NSi.TS[[#This Row],[Ker.3]]=4,69,IF(NSi.TS[[#This Row],[Ker.3]]=5,0,"-")))))</f>
        <v>-</v>
      </c>
      <c r="CK8" s="73" t="str">
        <f>IF(NSi.TS[[#This Row],[Ped.3]]=1,100,IF(NSi.TS[[#This Row],[Ped.3]]=2,89,IF(NSi.TS[[#This Row],[Ped.3]]=3,79,IF(NSi.TS[[#This Row],[Ped.3]]=4,69,IF(NSi.TS[[#This Row],[Ped.3]]=5,0,"-")))))</f>
        <v>-</v>
      </c>
      <c r="CL8" s="73" t="str">
        <f>IF(NSi.TS[[#This Row],[Pro-A.3]]=1,100,IF(NSi.TS[[#This Row],[Pro-A.3]]=2,89,IF(NSi.TS[[#This Row],[Pro-A.3]]=3,79,IF(NSi.TS[[#This Row],[Pro-A.3]]=4,69,IF(NSi.TS[[#This Row],[Pro-A.3]]=5,0,"-")))))</f>
        <v>-</v>
      </c>
      <c r="CM8" s="74" t="str">
        <f>IF(NSi.TS[[#This Row],[KU.4]]="A",100,IF(NSi.TS[[#This Row],[KU.4]]="B",89,IF(NSi.TS[[#This Row],[KU.4]]="C",79,IF(NSi.TS[[#This Row],[KU.4]]="D",69,IF(NSi.TS[[#This Row],[KU.4]]="E",0,"-")))))</f>
        <v>-</v>
      </c>
      <c r="CN8" s="73" t="str">
        <f>IF(NSi.TS[[#This Row],[TJ.4]]=1,100,IF(NSi.TS[[#This Row],[TJ.4]]=2,89,IF(NSi.TS[[#This Row],[TJ.4]]=3,79,IF(NSi.TS[[#This Row],[TJ.4]]=4,69,IF(NSi.TS[[#This Row],[TJ.4]]=5,0,"-")))))</f>
        <v>-</v>
      </c>
      <c r="CO8" s="73" t="str">
        <f>IF(NSi.TS[[#This Row],[Ker.4]]=1,100,IF(NSi.TS[[#This Row],[Ker.4]]=2,89,IF(NSi.TS[[#This Row],[Ker.4]]=3,79,IF(NSi.TS[[#This Row],[Ker.4]]=4,69,IF(NSi.TS[[#This Row],[Ker.4]]=5,0,"-")))))</f>
        <v>-</v>
      </c>
      <c r="CP8" s="73" t="str">
        <f>IF(NSi.TS[[#This Row],[Ped.4]]=1,100,IF(NSi.TS[[#This Row],[Ped.4]]=2,89,IF(NSi.TS[[#This Row],[Ped.4]]=3,79,IF(NSi.TS[[#This Row],[Ped.4]]=4,69,IF(NSi.TS[[#This Row],[Ped.4]]=5,0,"-")))))</f>
        <v>-</v>
      </c>
      <c r="CQ8" s="73" t="str">
        <f>IF(NSi.TS[[#This Row],[Pro-A.4]]=1,100,IF(NSi.TS[[#This Row],[Pro-A.4]]=2,89,IF(NSi.TS[[#This Row],[Pro-A.4]]=3,79,IF(NSi.TS[[#This Row],[Pro-A.4]]=4,69,IF(NSi.TS[[#This Row],[Pro-A.4]]=5,0,"-")))))</f>
        <v>-</v>
      </c>
      <c r="CR8" s="74" t="str">
        <f>IF(NSi.TS[[#This Row],[KU.5]]="A",100,IF(NSi.TS[[#This Row],[KU.5]]="B",89,IF(NSi.TS[[#This Row],[KU.5]]="C",79,IF(NSi.TS[[#This Row],[KU.5]]="D",69,IF(NSi.TS[[#This Row],[KU.5]]="E",0,"-")))))</f>
        <v>-</v>
      </c>
      <c r="CS8" s="73" t="str">
        <f>IF(NSi.TS[[#This Row],[TJ.5]]=1,100,IF(NSi.TS[[#This Row],[TJ.5]]=2,89,IF(NSi.TS[[#This Row],[TJ.5]]=3,79,IF(NSi.TS[[#This Row],[TJ.5]]=4,69,IF(NSi.TS[[#This Row],[TJ.5]]=5,0,"-")))))</f>
        <v>-</v>
      </c>
      <c r="CT8" s="73" t="str">
        <f>IF(NSi.TS[[#This Row],[Ker.5]]=1,100,IF(NSi.TS[[#This Row],[Ker.5]]=2,89,IF(NSi.TS[[#This Row],[Ker.5]]=3,79,IF(NSi.TS[[#This Row],[Ker.5]]=4,69,IF(NSi.TS[[#This Row],[Ker.5]]=5,0,"-")))))</f>
        <v>-</v>
      </c>
      <c r="CU8" s="73" t="str">
        <f>IF(NSi.TS[[#This Row],[Ped.5]]=1,100,IF(NSi.TS[[#This Row],[Ped.5]]=2,89,IF(NSi.TS[[#This Row],[Ped.5]]=3,79,IF(NSi.TS[[#This Row],[Ped.5]]=4,69,IF(NSi.TS[[#This Row],[Ped.5]]=5,0,"-")))))</f>
        <v>-</v>
      </c>
      <c r="CV8" s="73" t="str">
        <f>IF(NSi.TS[[#This Row],[Pro-A.5]]=1,100,IF(NSi.TS[[#This Row],[Pro-A.5]]=2,89,IF(NSi.TS[[#This Row],[Pro-A.5]]=3,79,IF(NSi.TS[[#This Row],[Pro-A.5]]=4,69,IF(NSi.TS[[#This Row],[Pro-A.5]]=5,0,"-")))))</f>
        <v>-</v>
      </c>
      <c r="CW8" s="74" t="str">
        <f>IF(NSi.TS[[#This Row],[KU.6]]="A",100,IF(NSi.TS[[#This Row],[KU.6]]="B",89,IF(NSi.TS[[#This Row],[KU.6]]="C",79,IF(NSi.TS[[#This Row],[KU.6]]="D",69,IF(NSi.TS[[#This Row],[KU.6]]="E",0,"-")))))</f>
        <v>-</v>
      </c>
      <c r="CX8" s="73" t="str">
        <f>IF(NSi.TS[[#This Row],[TJ.6]]=1,100,IF(NSi.TS[[#This Row],[TJ.6]]=2,89,IF(NSi.TS[[#This Row],[TJ.6]]=3,79,IF(NSi.TS[[#This Row],[TJ.6]]=4,69,IF(NSi.TS[[#This Row],[TJ.6]]=5,0,"-")))))</f>
        <v>-</v>
      </c>
      <c r="CY8" s="73" t="str">
        <f>IF(NSi.TS[[#This Row],[Ker.6]]=1,100,IF(NSi.TS[[#This Row],[Ker.6]]=2,89,IF(NSi.TS[[#This Row],[Ker.6]]=3,79,IF(NSi.TS[[#This Row],[Ker.6]]=4,69,IF(NSi.TS[[#This Row],[Ker.6]]=5,0,"-")))))</f>
        <v>-</v>
      </c>
      <c r="CZ8" s="73" t="str">
        <f>IF(NSi.TS[[#This Row],[Ped.6]]=1,100,IF(NSi.TS[[#This Row],[Ped.6]]=2,89,IF(NSi.TS[[#This Row],[Ped.6]]=3,79,IF(NSi.TS[[#This Row],[Ped.6]]=4,69,IF(NSi.TS[[#This Row],[Ped.6]]=5,0,"-")))))</f>
        <v>-</v>
      </c>
      <c r="DA8" s="73" t="str">
        <f>IF(NSi.TS[[#This Row],[Pro-A.6]]=1,100,IF(NSi.TS[[#This Row],[Pro-A.6]]=2,89,IF(NSi.TS[[#This Row],[Pro-A.6]]=3,79,IF(NSi.TS[[#This Row],[Pro-A.6]]=4,69,IF(NSi.TS[[#This Row],[Pro-A.6]]=5,0,"-")))))</f>
        <v>-</v>
      </c>
      <c r="DB8" s="74" t="str">
        <f>IF(NSi.TS[[#This Row],[KU.7]]="A",100,IF(NSi.TS[[#This Row],[KU.7]]="B",89,IF(NSi.TS[[#This Row],[KU.7]]="C",79,IF(NSi.TS[[#This Row],[KU.7]]="D",69,IF(NSi.TS[[#This Row],[KU.7]]="E",0,"-")))))</f>
        <v>-</v>
      </c>
      <c r="DC8" s="73" t="str">
        <f>IF(NSi.TS[[#This Row],[TJ.7]]=1,100,IF(NSi.TS[[#This Row],[TJ.7]]=2,89,IF(NSi.TS[[#This Row],[TJ.7]]=3,79,IF(NSi.TS[[#This Row],[TJ.7]]=4,69,IF(NSi.TS[[#This Row],[TJ.7]]=5,0,"-")))))</f>
        <v>-</v>
      </c>
      <c r="DD8" s="73" t="str">
        <f>IF(NSi.TS[[#This Row],[Ker.7]]=1,100,IF(NSi.TS[[#This Row],[Ker.7]]=2,89,IF(NSi.TS[[#This Row],[Ker.7]]=3,79,IF(NSi.TS[[#This Row],[Ker.7]]=4,69,IF(NSi.TS[[#This Row],[Ker.7]]=5,0,"-")))))</f>
        <v>-</v>
      </c>
      <c r="DE8" s="73" t="str">
        <f>IF(NSi.TS[[#This Row],[Ped.7]]=1,100,IF(NSi.TS[[#This Row],[Ped.7]]=2,89,IF(NSi.TS[[#This Row],[Ped.7]]=3,79,IF(NSi.TS[[#This Row],[Ped.7]]=4,69,IF(NSi.TS[[#This Row],[Ped.7]]=5,0,"-")))))</f>
        <v>-</v>
      </c>
      <c r="DF8" s="73" t="str">
        <f>IF(NSi.TS[[#This Row],[Pro-A.7]]=1,100,IF(NSi.TS[[#This Row],[Pro-A.7]]=2,89,IF(NSi.TS[[#This Row],[Pro-A.7]]=3,79,IF(NSi.TS[[#This Row],[Pro-A.7]]=4,69,IF(NSi.TS[[#This Row],[Pro-A.7]]=5,0,"-")))))</f>
        <v>-</v>
      </c>
      <c r="DG8" s="74" t="str">
        <f>IF(NSi.TS[[#This Row],[KU.8]]="A",100,IF(NSi.TS[[#This Row],[KU.8]]="B",89,IF(NSi.TS[[#This Row],[KU.8]]="C",79,IF(NSi.TS[[#This Row],[KU.8]]="D",69,IF(NSi.TS[[#This Row],[KU.8]]="E",0,"-")))))</f>
        <v>-</v>
      </c>
      <c r="DH8" s="73" t="str">
        <f>IF(NSi.TS[[#This Row],[TJ.8]]=1,100,IF(NSi.TS[[#This Row],[TJ.8]]=2,89,IF(NSi.TS[[#This Row],[TJ.8]]=3,79,IF(NSi.TS[[#This Row],[TJ.8]]=4,69,IF(NSi.TS[[#This Row],[TJ.8]]=5,0,"-")))))</f>
        <v>-</v>
      </c>
      <c r="DI8" s="73" t="str">
        <f>IF(NSi.TS[[#This Row],[Ker.8]]=1,100,IF(NSi.TS[[#This Row],[Ker.8]]=2,89,IF(NSi.TS[[#This Row],[Ker.8]]=3,79,IF(NSi.TS[[#This Row],[Ker.8]]=4,69,IF(NSi.TS[[#This Row],[Ker.8]]=5,0,"-")))))</f>
        <v>-</v>
      </c>
      <c r="DJ8" s="73" t="str">
        <f>IF(NSi.TS[[#This Row],[Ped.8]]=1,100,IF(NSi.TS[[#This Row],[Ped.8]]=2,89,IF(NSi.TS[[#This Row],[Ped.8]]=3,79,IF(NSi.TS[[#This Row],[Ped.8]]=4,69,IF(NSi.TS[[#This Row],[Ped.8]]=5,0,"-")))))</f>
        <v>-</v>
      </c>
      <c r="DK8" s="73" t="str">
        <f>IF(NSi.TS[[#This Row],[Pro-A.8]]=1,100,IF(NSi.TS[[#This Row],[Pro-A.8]]=2,89,IF(NSi.TS[[#This Row],[Pro-A.8]]=3,79,IF(NSi.TS[[#This Row],[Pro-A.8]]=4,69,IF(NSi.TS[[#This Row],[Pro-A.8]]=5,0,"-")))))</f>
        <v>-</v>
      </c>
      <c r="DL8" s="74" t="str">
        <f>IF(NSi.TS[[#This Row],[KU.9]]="A",100,IF(NSi.TS[[#This Row],[KU.9]]="B",89,IF(NSi.TS[[#This Row],[KU.9]]="C",79,IF(NSi.TS[[#This Row],[KU.9]]="D",69,IF(NSi.TS[[#This Row],[KU.9]]="E",0,"-")))))</f>
        <v>-</v>
      </c>
      <c r="DM8" s="73" t="str">
        <f>IF(NSi.TS[[#This Row],[TJ.9]]=1,100,IF(NSi.TS[[#This Row],[TJ.9]]=2,89,IF(NSi.TS[[#This Row],[TJ.9]]=3,79,IF(NSi.TS[[#This Row],[TJ.9]]=4,69,IF(NSi.TS[[#This Row],[TJ.9]]=5,0,"-")))))</f>
        <v>-</v>
      </c>
      <c r="DN8" s="73" t="str">
        <f>IF(NSi.TS[[#This Row],[Ker.9]]=1,100,IF(NSi.TS[[#This Row],[Ker.9]]=2,89,IF(NSi.TS[[#This Row],[Ker.9]]=3,79,IF(NSi.TS[[#This Row],[Ker.9]]=4,69,IF(NSi.TS[[#This Row],[Ker.9]]=5,0,"-")))))</f>
        <v>-</v>
      </c>
      <c r="DO8" s="73" t="str">
        <f>IF(NSi.TS[[#This Row],[Ped.9]]=1,100,IF(NSi.TS[[#This Row],[Ped.9]]=2,89,IF(NSi.TS[[#This Row],[Ped.9]]=3,79,IF(NSi.TS[[#This Row],[Ped.9]]=4,69,IF(NSi.TS[[#This Row],[Ped.9]]=5,0,"-")))))</f>
        <v>-</v>
      </c>
      <c r="DP8" s="73" t="str">
        <f>IF(NSi.TS[[#This Row],[Pro-A.9]]=1,100,IF(NSi.TS[[#This Row],[Pro-A.9]]=2,89,IF(NSi.TS[[#This Row],[Pro-A.9]]=3,79,IF(NSi.TS[[#This Row],[Pro-A.9]]=4,69,IF(NSi.TS[[#This Row],[Pro-A.9]]=5,0,"-")))))</f>
        <v>-</v>
      </c>
    </row>
    <row r="9" spans="1:120" ht="50.1" customHeight="1" x14ac:dyDescent="0.3">
      <c r="A9" s="82">
        <v>7</v>
      </c>
      <c r="B9" s="88" t="s">
        <v>160</v>
      </c>
      <c r="C9" s="89" t="s">
        <v>174</v>
      </c>
      <c r="D9" s="90">
        <v>23756408</v>
      </c>
      <c r="E9" s="91" t="s">
        <v>166</v>
      </c>
      <c r="F9" s="44" t="str">
        <f>IFERROR(ROUND(AVERAGE(CSCR[#This Row]),0),"")</f>
        <v/>
      </c>
      <c r="G9" s="41" t="s">
        <v>102</v>
      </c>
      <c r="H9" s="45" t="s">
        <v>102</v>
      </c>
      <c r="I9" s="45" t="s">
        <v>102</v>
      </c>
      <c r="J9" s="45" t="s">
        <v>102</v>
      </c>
      <c r="K9" s="45" t="s">
        <v>102</v>
      </c>
      <c r="L9" s="41" t="s">
        <v>102</v>
      </c>
      <c r="M9" s="45" t="s">
        <v>102</v>
      </c>
      <c r="N9" s="45" t="s">
        <v>102</v>
      </c>
      <c r="O9" s="45" t="s">
        <v>102</v>
      </c>
      <c r="P9" s="45" t="s">
        <v>102</v>
      </c>
      <c r="Q9" s="41" t="s">
        <v>102</v>
      </c>
      <c r="R9" s="45" t="s">
        <v>102</v>
      </c>
      <c r="S9" s="45" t="s">
        <v>102</v>
      </c>
      <c r="T9" s="45" t="s">
        <v>102</v>
      </c>
      <c r="U9" s="45" t="s">
        <v>102</v>
      </c>
      <c r="V9" s="41" t="s">
        <v>102</v>
      </c>
      <c r="W9" s="45" t="s">
        <v>102</v>
      </c>
      <c r="X9" s="45" t="s">
        <v>102</v>
      </c>
      <c r="Y9" s="45" t="s">
        <v>102</v>
      </c>
      <c r="Z9" s="45" t="s">
        <v>102</v>
      </c>
      <c r="AA9" s="41" t="s">
        <v>102</v>
      </c>
      <c r="AB9" s="45" t="s">
        <v>102</v>
      </c>
      <c r="AC9" s="45" t="s">
        <v>102</v>
      </c>
      <c r="AD9" s="45" t="s">
        <v>102</v>
      </c>
      <c r="AE9" s="45" t="s">
        <v>102</v>
      </c>
      <c r="AF9" s="41" t="s">
        <v>102</v>
      </c>
      <c r="AG9" s="45" t="s">
        <v>102</v>
      </c>
      <c r="AH9" s="45" t="s">
        <v>102</v>
      </c>
      <c r="AI9" s="45" t="s">
        <v>102</v>
      </c>
      <c r="AJ9" s="45" t="s">
        <v>102</v>
      </c>
      <c r="AK9" s="41" t="s">
        <v>102</v>
      </c>
      <c r="AL9" s="45" t="s">
        <v>102</v>
      </c>
      <c r="AM9" s="45" t="s">
        <v>102</v>
      </c>
      <c r="AN9" s="45" t="s">
        <v>102</v>
      </c>
      <c r="AO9" s="45" t="s">
        <v>102</v>
      </c>
      <c r="AP9" s="41" t="s">
        <v>102</v>
      </c>
      <c r="AQ9" s="45" t="s">
        <v>102</v>
      </c>
      <c r="AR9" s="45" t="s">
        <v>102</v>
      </c>
      <c r="AS9" s="45" t="s">
        <v>102</v>
      </c>
      <c r="AT9" s="45" t="s">
        <v>102</v>
      </c>
      <c r="AU9" s="41" t="s">
        <v>102</v>
      </c>
      <c r="AV9" s="45" t="s">
        <v>102</v>
      </c>
      <c r="AW9" s="45" t="s">
        <v>102</v>
      </c>
      <c r="AX9" s="45" t="s">
        <v>102</v>
      </c>
      <c r="AY9" s="45" t="s">
        <v>102</v>
      </c>
      <c r="BA9" s="10" t="str">
        <f>CONCATENATE(NSi.TS[[#This Row],[KU.1]],(IF(A.LoE[[#This Row],[LE.1]]="-","-",IF(A.LoE[[#This Row],[LE.1]]&gt;=90,1,IF(A.LoE[[#This Row],[LE.1]]&gt;=80,2,IF(A.LoE[[#This Row],[LE.1]]&gt;=70,3,IF(A.LoE[[#This Row],[LE.1]]&gt;=1,4,5)))))))</f>
        <v>--</v>
      </c>
      <c r="BB9" s="46" t="str">
        <f>CONCATENATE(NSi.TS[[#This Row],[KU.2]],(IF(A.LoE[[#This Row],[LE.2]]="-","-",IF(A.LoE[[#This Row],[LE.2]]&gt;=90,1,IF(A.LoE[[#This Row],[LE.2]]&gt;=80,2,IF(A.LoE[[#This Row],[LE.2]]&gt;=70,3,IF(A.LoE[[#This Row],[LE.2]]&gt;=1,4,5)))))))</f>
        <v>--</v>
      </c>
      <c r="BC9" s="46" t="str">
        <f>CONCATENATE(NSi.TS[[#This Row],[KU.3]],(IF(A.LoE[[#This Row],[LE.3]]="-","-",IF(A.LoE[[#This Row],[LE.3]]&gt;=90,1,IF(A.LoE[[#This Row],[LE.3]]&gt;=80,2,IF(A.LoE[[#This Row],[LE.3]]&gt;=70,3,IF(A.LoE[[#This Row],[LE.3]]&gt;=1,4,5)))))))</f>
        <v>--</v>
      </c>
      <c r="BD9" s="46" t="str">
        <f>CONCATENATE(NSi.TS[[#This Row],[KU.4]],(IF(A.LoE[[#This Row],[LE.4]]="-","-",IF(A.LoE[[#This Row],[LE.4]]&gt;=90,1,IF(A.LoE[[#This Row],[LE.4]]&gt;=80,2,IF(A.LoE[[#This Row],[LE.4]]&gt;=70,3,IF(A.LoE[[#This Row],[LE.4]]&gt;=1,4,5)))))))</f>
        <v>--</v>
      </c>
      <c r="BE9" s="46" t="str">
        <f>CONCATENATE(NSi.TS[[#This Row],[KU.5]],(IF(A.LoE[[#This Row],[LE.5]]="-","-",IF(A.LoE[[#This Row],[LE.5]]&gt;=90,1,IF(A.LoE[[#This Row],[LE.5]]&gt;=80,2,IF(A.LoE[[#This Row],[LE.5]]&gt;=70,3,IF(A.LoE[[#This Row],[LE.5]]&gt;=1,4,5)))))))</f>
        <v>--</v>
      </c>
      <c r="BF9" s="46" t="str">
        <f>CONCATENATE(NSi.TS[[#This Row],[KU.6]],(IF(A.LoE[[#This Row],[LE.6]]="-","-",IF(A.LoE[[#This Row],[LE.6]]&gt;=90,1,IF(A.LoE[[#This Row],[LE.6]]&gt;=80,2,IF(A.LoE[[#This Row],[LE.6]]&gt;=70,3,IF(A.LoE[[#This Row],[LE.6]]&gt;=1,4,5)))))))</f>
        <v>--</v>
      </c>
      <c r="BG9" s="46" t="str">
        <f>CONCATENATE(NSi.TS[[#This Row],[KU.7]],(IF(A.LoE[[#This Row],[LE.7]]="-","-",IF(A.LoE[[#This Row],[LE.7]]&gt;=90,1,IF(A.LoE[[#This Row],[LE.7]]&gt;=80,2,IF(A.LoE[[#This Row],[LE.7]]&gt;=70,3,IF(A.LoE[[#This Row],[LE.7]]&gt;=1,4,5)))))))</f>
        <v>--</v>
      </c>
      <c r="BH9" s="46" t="str">
        <f>CONCATENATE(NSi.TS[[#This Row],[KU.8]],(IF(A.LoE[[#This Row],[LE.8]]="-","-",IF(A.LoE[[#This Row],[LE.8]]&gt;=90,1,IF(A.LoE[[#This Row],[LE.8]]&gt;=80,2,IF(A.LoE[[#This Row],[LE.8]]&gt;=70,3,IF(A.LoE[[#This Row],[LE.8]]&gt;=1,4,5)))))))</f>
        <v>--</v>
      </c>
      <c r="BI9" s="38" t="str">
        <f>CONCATENATE(NSi.TS[[#This Row],[KU.9]],(IF(A.LoE[[#This Row],[LE.9]]="-","-",IF(A.LoE[[#This Row],[LE.9]]&gt;=90,1,IF(A.LoE[[#This Row],[LE.9]]&gt;=80,2,IF(A.LoE[[#This Row],[LE.9]]&gt;=70,3,IF(A.LoE[[#This Row],[LE.9]]&gt;=1,4,5)))))))</f>
        <v>--</v>
      </c>
      <c r="BK9" s="35" t="str">
        <f>IFERROR(ROUND(AVERAGE(Con.Sk[[#This Row],[TJ.1]:[Pro-A.1]]),0),"-")</f>
        <v>-</v>
      </c>
      <c r="BL9" s="24" t="str">
        <f>IFERROR(ROUND(AVERAGE(Con.Sk[[#This Row],[TJ.2]:[Pro-A.2]]),0),"-")</f>
        <v>-</v>
      </c>
      <c r="BM9" s="24" t="str">
        <f>IFERROR(ROUND(AVERAGE(Con.Sk[[#This Row],[TJ.3]:[Pro-A.3]]),0),"-")</f>
        <v>-</v>
      </c>
      <c r="BN9" s="24" t="str">
        <f>IFERROR(ROUND(AVERAGE(Con.Sk[[#This Row],[TJ.4]:[Pro-A.4]]),0),"-")</f>
        <v>-</v>
      </c>
      <c r="BO9" s="24" t="str">
        <f>IFERROR(ROUND(AVERAGE(Con.Sk[[#This Row],[TJ.5]:[Pro-A.5]]),0),"-")</f>
        <v>-</v>
      </c>
      <c r="BP9" s="24" t="str">
        <f>IFERROR(ROUND(AVERAGE(Con.Sk[[#This Row],[TJ.6]:[Pro-A.6]]),0),"-")</f>
        <v>-</v>
      </c>
      <c r="BQ9" s="24" t="str">
        <f>IFERROR(ROUND(AVERAGE(Con.Sk[[#This Row],[TJ.7]:[Pro-A.7]]),0),"-")</f>
        <v>-</v>
      </c>
      <c r="BR9" s="24" t="str">
        <f>IFERROR(ROUND(AVERAGE(Con.Sk[[#This Row],[TJ.8]:[Pro-A.8]]),0),"-")</f>
        <v>-</v>
      </c>
      <c r="BS9" s="25" t="str">
        <f>IFERROR(ROUND(AVERAGE(Con.Sk[[#This Row],[TJ.9]:[Pro-A.9]]),0),"-")</f>
        <v>-</v>
      </c>
      <c r="BU9" s="47" t="str">
        <f>IFERROR(ROUND(AVERAGE(Con.Sk[[#This Row],[KU.1]],Con.Sk[[#This Row],[KU.2]],Con.Sk[[#This Row],[KU.3]],Con.Sk[[#This Row],[KU.4]],Con.Sk[[#This Row],[KU.5]],Con.Sk[[#This Row],[KU.6]],Con.Sk[[#This Row],[KU.7]],Con.Sk[[#This Row],[KU.8]],Con.Sk[[#This Row],[KU.9]]),0),"")</f>
        <v/>
      </c>
      <c r="BV9" s="48" t="str">
        <f>IFERROR(ROUND(AVERAGE(Con.Sk[[#This Row],[TJ.1]:[Pro-A.1]],Con.Sk[[#This Row],[TJ.2]:[Pro-A.2]],Con.Sk[[#This Row],[TJ.3]:[Pro-A.3]],Con.Sk[[#This Row],[TJ.4]:[Pro-A.4]],Con.Sk[[#This Row],[TJ.5]:[Pro-A.5]],Con.Sk[[#This Row],[TJ.6]:[Pro-A.6]],Con.Sk[[#This Row],[TJ.7]:[Pro-A.7]],Con.Sk[[#This Row],[TJ.8]:[Pro-A.8]],Con.Sk[[#This Row],[TJ.9]:[Pro-A.9]]),0),"")</f>
        <v/>
      </c>
      <c r="BW9" s="3"/>
      <c r="BX9" s="73" t="str">
        <f>IF(NSi.TS[[#This Row],[KU.1]]="A",100,IF(NSi.TS[[#This Row],[KU.1]]="B",89,IF(NSi.TS[[#This Row],[KU.1]]="C",79,IF(NSi.TS[[#This Row],[KU.1]]="D",69,IF(NSi.TS[[#This Row],[KU.1]]="E",0,"-")))))</f>
        <v>-</v>
      </c>
      <c r="BY9" s="73" t="str">
        <f>IF(NSi.TS[[#This Row],[TJ.1]]=1,100,IF(NSi.TS[[#This Row],[TJ.1]]=2,89,IF(NSi.TS[[#This Row],[TJ.1]]=3,79,IF(NSi.TS[[#This Row],[TJ.1]]=4,69,IF(NSi.TS[[#This Row],[TJ.1]]=5,0,"-")))))</f>
        <v>-</v>
      </c>
      <c r="BZ9" s="73" t="str">
        <f>IF(NSi.TS[[#This Row],[Ker.1]]=1,100,IF(NSi.TS[[#This Row],[Ker.1]]=2,89,IF(NSi.TS[[#This Row],[Ker.1]]=3,79,IF(NSi.TS[[#This Row],[Ker.1]]=4,69,IF(NSi.TS[[#This Row],[Ker.1]]=5,0,"-")))))</f>
        <v>-</v>
      </c>
      <c r="CA9" s="73" t="str">
        <f>IF(NSi.TS[[#This Row],[Ped.1]]=1,100,IF(NSi.TS[[#This Row],[Ped.1]]=2,89,IF(NSi.TS[[#This Row],[Ped.1]]=3,79,IF(NSi.TS[[#This Row],[Ped.1]]=4,69,IF(NSi.TS[[#This Row],[Ped.1]]=5,0,"-")))))</f>
        <v>-</v>
      </c>
      <c r="CB9" s="73" t="str">
        <f>IF(NSi.TS[[#This Row],[Pro-A.1]]=1,100,IF(NSi.TS[[#This Row],[Pro-A.1]]=2,89,IF(NSi.TS[[#This Row],[Pro-A.1]]=3,79,IF(NSi.TS[[#This Row],[Pro-A.1]]=4,69,IF(NSi.TS[[#This Row],[Pro-A.1]]=5,0,"-")))))</f>
        <v>-</v>
      </c>
      <c r="CC9" s="73" t="str">
        <f>IF(NSi.TS[[#This Row],[KU.2]]="A",100,IF(NSi.TS[[#This Row],[KU.2]]="B",89,IF(NSi.TS[[#This Row],[KU.2]]="C",79,IF(NSi.TS[[#This Row],[KU.2]]="D",69,IF(NSi.TS[[#This Row],[KU.2]]="E",0,"-")))))</f>
        <v>-</v>
      </c>
      <c r="CD9" s="73" t="str">
        <f>IF(NSi.TS[[#This Row],[TJ.2]]=1,100,IF(NSi.TS[[#This Row],[TJ.2]]=2,89,IF(NSi.TS[[#This Row],[TJ.2]]=3,79,IF(NSi.TS[[#This Row],[TJ.2]]=4,69,IF(NSi.TS[[#This Row],[TJ.2]]=5,0,"-")))))</f>
        <v>-</v>
      </c>
      <c r="CE9" s="73" t="str">
        <f>IF(NSi.TS[[#This Row],[Ker.2]]=1,100,IF(NSi.TS[[#This Row],[Ker.2]]=2,89,IF(NSi.TS[[#This Row],[Ker.2]]=3,79,IF(NSi.TS[[#This Row],[Ker.2]]=4,69,IF(NSi.TS[[#This Row],[Ker.2]]=5,0,"-")))))</f>
        <v>-</v>
      </c>
      <c r="CF9" s="73" t="str">
        <f>IF(NSi.TS[[#This Row],[Ped.2]]=1,100,IF(NSi.TS[[#This Row],[Ped.2]]=2,89,IF(NSi.TS[[#This Row],[Ped.2]]=3,79,IF(NSi.TS[[#This Row],[Ped.2]]=4,69,IF(NSi.TS[[#This Row],[Ped.2]]=5,0,"-")))))</f>
        <v>-</v>
      </c>
      <c r="CG9" s="73" t="str">
        <f>IF(NSi.TS[[#This Row],[Pro-A.2]]=1,100,IF(NSi.TS[[#This Row],[Pro-A.2]]=2,89,IF(NSi.TS[[#This Row],[Pro-A.2]]=3,79,IF(NSi.TS[[#This Row],[Pro-A.2]]=4,69,IF(NSi.TS[[#This Row],[Pro-A.2]]=5,0,"-")))))</f>
        <v>-</v>
      </c>
      <c r="CH9" s="74" t="str">
        <f>IF(NSi.TS[[#This Row],[KU.3]]="A",100,IF(NSi.TS[[#This Row],[KU.3]]="B",89,IF(NSi.TS[[#This Row],[KU.3]]="C",79,IF(NSi.TS[[#This Row],[KU.3]]="D",69,IF(NSi.TS[[#This Row],[KU.3]]="E",0,"-")))))</f>
        <v>-</v>
      </c>
      <c r="CI9" s="73" t="str">
        <f>IF(NSi.TS[[#This Row],[TJ.3]]=1,100,IF(NSi.TS[[#This Row],[TJ.3]]=2,89,IF(NSi.TS[[#This Row],[TJ.3]]=3,79,IF(NSi.TS[[#This Row],[TJ.3]]=4,69,IF(NSi.TS[[#This Row],[TJ.3]]=5,0,"-")))))</f>
        <v>-</v>
      </c>
      <c r="CJ9" s="73" t="str">
        <f>IF(NSi.TS[[#This Row],[Ker.3]]=1,100,IF(NSi.TS[[#This Row],[Ker.3]]=2,89,IF(NSi.TS[[#This Row],[Ker.3]]=3,79,IF(NSi.TS[[#This Row],[Ker.3]]=4,69,IF(NSi.TS[[#This Row],[Ker.3]]=5,0,"-")))))</f>
        <v>-</v>
      </c>
      <c r="CK9" s="73" t="str">
        <f>IF(NSi.TS[[#This Row],[Ped.3]]=1,100,IF(NSi.TS[[#This Row],[Ped.3]]=2,89,IF(NSi.TS[[#This Row],[Ped.3]]=3,79,IF(NSi.TS[[#This Row],[Ped.3]]=4,69,IF(NSi.TS[[#This Row],[Ped.3]]=5,0,"-")))))</f>
        <v>-</v>
      </c>
      <c r="CL9" s="73" t="str">
        <f>IF(NSi.TS[[#This Row],[Pro-A.3]]=1,100,IF(NSi.TS[[#This Row],[Pro-A.3]]=2,89,IF(NSi.TS[[#This Row],[Pro-A.3]]=3,79,IF(NSi.TS[[#This Row],[Pro-A.3]]=4,69,IF(NSi.TS[[#This Row],[Pro-A.3]]=5,0,"-")))))</f>
        <v>-</v>
      </c>
      <c r="CM9" s="74" t="str">
        <f>IF(NSi.TS[[#This Row],[KU.4]]="A",100,IF(NSi.TS[[#This Row],[KU.4]]="B",89,IF(NSi.TS[[#This Row],[KU.4]]="C",79,IF(NSi.TS[[#This Row],[KU.4]]="D",69,IF(NSi.TS[[#This Row],[KU.4]]="E",0,"-")))))</f>
        <v>-</v>
      </c>
      <c r="CN9" s="73" t="str">
        <f>IF(NSi.TS[[#This Row],[TJ.4]]=1,100,IF(NSi.TS[[#This Row],[TJ.4]]=2,89,IF(NSi.TS[[#This Row],[TJ.4]]=3,79,IF(NSi.TS[[#This Row],[TJ.4]]=4,69,IF(NSi.TS[[#This Row],[TJ.4]]=5,0,"-")))))</f>
        <v>-</v>
      </c>
      <c r="CO9" s="73" t="str">
        <f>IF(NSi.TS[[#This Row],[Ker.4]]=1,100,IF(NSi.TS[[#This Row],[Ker.4]]=2,89,IF(NSi.TS[[#This Row],[Ker.4]]=3,79,IF(NSi.TS[[#This Row],[Ker.4]]=4,69,IF(NSi.TS[[#This Row],[Ker.4]]=5,0,"-")))))</f>
        <v>-</v>
      </c>
      <c r="CP9" s="73" t="str">
        <f>IF(NSi.TS[[#This Row],[Ped.4]]=1,100,IF(NSi.TS[[#This Row],[Ped.4]]=2,89,IF(NSi.TS[[#This Row],[Ped.4]]=3,79,IF(NSi.TS[[#This Row],[Ped.4]]=4,69,IF(NSi.TS[[#This Row],[Ped.4]]=5,0,"-")))))</f>
        <v>-</v>
      </c>
      <c r="CQ9" s="73" t="str">
        <f>IF(NSi.TS[[#This Row],[Pro-A.4]]=1,100,IF(NSi.TS[[#This Row],[Pro-A.4]]=2,89,IF(NSi.TS[[#This Row],[Pro-A.4]]=3,79,IF(NSi.TS[[#This Row],[Pro-A.4]]=4,69,IF(NSi.TS[[#This Row],[Pro-A.4]]=5,0,"-")))))</f>
        <v>-</v>
      </c>
      <c r="CR9" s="74" t="str">
        <f>IF(NSi.TS[[#This Row],[KU.5]]="A",100,IF(NSi.TS[[#This Row],[KU.5]]="B",89,IF(NSi.TS[[#This Row],[KU.5]]="C",79,IF(NSi.TS[[#This Row],[KU.5]]="D",69,IF(NSi.TS[[#This Row],[KU.5]]="E",0,"-")))))</f>
        <v>-</v>
      </c>
      <c r="CS9" s="73" t="str">
        <f>IF(NSi.TS[[#This Row],[TJ.5]]=1,100,IF(NSi.TS[[#This Row],[TJ.5]]=2,89,IF(NSi.TS[[#This Row],[TJ.5]]=3,79,IF(NSi.TS[[#This Row],[TJ.5]]=4,69,IF(NSi.TS[[#This Row],[TJ.5]]=5,0,"-")))))</f>
        <v>-</v>
      </c>
      <c r="CT9" s="73" t="str">
        <f>IF(NSi.TS[[#This Row],[Ker.5]]=1,100,IF(NSi.TS[[#This Row],[Ker.5]]=2,89,IF(NSi.TS[[#This Row],[Ker.5]]=3,79,IF(NSi.TS[[#This Row],[Ker.5]]=4,69,IF(NSi.TS[[#This Row],[Ker.5]]=5,0,"-")))))</f>
        <v>-</v>
      </c>
      <c r="CU9" s="73" t="str">
        <f>IF(NSi.TS[[#This Row],[Ped.5]]=1,100,IF(NSi.TS[[#This Row],[Ped.5]]=2,89,IF(NSi.TS[[#This Row],[Ped.5]]=3,79,IF(NSi.TS[[#This Row],[Ped.5]]=4,69,IF(NSi.TS[[#This Row],[Ped.5]]=5,0,"-")))))</f>
        <v>-</v>
      </c>
      <c r="CV9" s="73" t="str">
        <f>IF(NSi.TS[[#This Row],[Pro-A.5]]=1,100,IF(NSi.TS[[#This Row],[Pro-A.5]]=2,89,IF(NSi.TS[[#This Row],[Pro-A.5]]=3,79,IF(NSi.TS[[#This Row],[Pro-A.5]]=4,69,IF(NSi.TS[[#This Row],[Pro-A.5]]=5,0,"-")))))</f>
        <v>-</v>
      </c>
      <c r="CW9" s="74" t="str">
        <f>IF(NSi.TS[[#This Row],[KU.6]]="A",100,IF(NSi.TS[[#This Row],[KU.6]]="B",89,IF(NSi.TS[[#This Row],[KU.6]]="C",79,IF(NSi.TS[[#This Row],[KU.6]]="D",69,IF(NSi.TS[[#This Row],[KU.6]]="E",0,"-")))))</f>
        <v>-</v>
      </c>
      <c r="CX9" s="73" t="str">
        <f>IF(NSi.TS[[#This Row],[TJ.6]]=1,100,IF(NSi.TS[[#This Row],[TJ.6]]=2,89,IF(NSi.TS[[#This Row],[TJ.6]]=3,79,IF(NSi.TS[[#This Row],[TJ.6]]=4,69,IF(NSi.TS[[#This Row],[TJ.6]]=5,0,"-")))))</f>
        <v>-</v>
      </c>
      <c r="CY9" s="73" t="str">
        <f>IF(NSi.TS[[#This Row],[Ker.6]]=1,100,IF(NSi.TS[[#This Row],[Ker.6]]=2,89,IF(NSi.TS[[#This Row],[Ker.6]]=3,79,IF(NSi.TS[[#This Row],[Ker.6]]=4,69,IF(NSi.TS[[#This Row],[Ker.6]]=5,0,"-")))))</f>
        <v>-</v>
      </c>
      <c r="CZ9" s="73" t="str">
        <f>IF(NSi.TS[[#This Row],[Ped.6]]=1,100,IF(NSi.TS[[#This Row],[Ped.6]]=2,89,IF(NSi.TS[[#This Row],[Ped.6]]=3,79,IF(NSi.TS[[#This Row],[Ped.6]]=4,69,IF(NSi.TS[[#This Row],[Ped.6]]=5,0,"-")))))</f>
        <v>-</v>
      </c>
      <c r="DA9" s="73" t="str">
        <f>IF(NSi.TS[[#This Row],[Pro-A.6]]=1,100,IF(NSi.TS[[#This Row],[Pro-A.6]]=2,89,IF(NSi.TS[[#This Row],[Pro-A.6]]=3,79,IF(NSi.TS[[#This Row],[Pro-A.6]]=4,69,IF(NSi.TS[[#This Row],[Pro-A.6]]=5,0,"-")))))</f>
        <v>-</v>
      </c>
      <c r="DB9" s="74" t="str">
        <f>IF(NSi.TS[[#This Row],[KU.7]]="A",100,IF(NSi.TS[[#This Row],[KU.7]]="B",89,IF(NSi.TS[[#This Row],[KU.7]]="C",79,IF(NSi.TS[[#This Row],[KU.7]]="D",69,IF(NSi.TS[[#This Row],[KU.7]]="E",0,"-")))))</f>
        <v>-</v>
      </c>
      <c r="DC9" s="73" t="str">
        <f>IF(NSi.TS[[#This Row],[TJ.7]]=1,100,IF(NSi.TS[[#This Row],[TJ.7]]=2,89,IF(NSi.TS[[#This Row],[TJ.7]]=3,79,IF(NSi.TS[[#This Row],[TJ.7]]=4,69,IF(NSi.TS[[#This Row],[TJ.7]]=5,0,"-")))))</f>
        <v>-</v>
      </c>
      <c r="DD9" s="73" t="str">
        <f>IF(NSi.TS[[#This Row],[Ker.7]]=1,100,IF(NSi.TS[[#This Row],[Ker.7]]=2,89,IF(NSi.TS[[#This Row],[Ker.7]]=3,79,IF(NSi.TS[[#This Row],[Ker.7]]=4,69,IF(NSi.TS[[#This Row],[Ker.7]]=5,0,"-")))))</f>
        <v>-</v>
      </c>
      <c r="DE9" s="73" t="str">
        <f>IF(NSi.TS[[#This Row],[Ped.7]]=1,100,IF(NSi.TS[[#This Row],[Ped.7]]=2,89,IF(NSi.TS[[#This Row],[Ped.7]]=3,79,IF(NSi.TS[[#This Row],[Ped.7]]=4,69,IF(NSi.TS[[#This Row],[Ped.7]]=5,0,"-")))))</f>
        <v>-</v>
      </c>
      <c r="DF9" s="73" t="str">
        <f>IF(NSi.TS[[#This Row],[Pro-A.7]]=1,100,IF(NSi.TS[[#This Row],[Pro-A.7]]=2,89,IF(NSi.TS[[#This Row],[Pro-A.7]]=3,79,IF(NSi.TS[[#This Row],[Pro-A.7]]=4,69,IF(NSi.TS[[#This Row],[Pro-A.7]]=5,0,"-")))))</f>
        <v>-</v>
      </c>
      <c r="DG9" s="74" t="str">
        <f>IF(NSi.TS[[#This Row],[KU.8]]="A",100,IF(NSi.TS[[#This Row],[KU.8]]="B",89,IF(NSi.TS[[#This Row],[KU.8]]="C",79,IF(NSi.TS[[#This Row],[KU.8]]="D",69,IF(NSi.TS[[#This Row],[KU.8]]="E",0,"-")))))</f>
        <v>-</v>
      </c>
      <c r="DH9" s="73" t="str">
        <f>IF(NSi.TS[[#This Row],[TJ.8]]=1,100,IF(NSi.TS[[#This Row],[TJ.8]]=2,89,IF(NSi.TS[[#This Row],[TJ.8]]=3,79,IF(NSi.TS[[#This Row],[TJ.8]]=4,69,IF(NSi.TS[[#This Row],[TJ.8]]=5,0,"-")))))</f>
        <v>-</v>
      </c>
      <c r="DI9" s="73" t="str">
        <f>IF(NSi.TS[[#This Row],[Ker.8]]=1,100,IF(NSi.TS[[#This Row],[Ker.8]]=2,89,IF(NSi.TS[[#This Row],[Ker.8]]=3,79,IF(NSi.TS[[#This Row],[Ker.8]]=4,69,IF(NSi.TS[[#This Row],[Ker.8]]=5,0,"-")))))</f>
        <v>-</v>
      </c>
      <c r="DJ9" s="73" t="str">
        <f>IF(NSi.TS[[#This Row],[Ped.8]]=1,100,IF(NSi.TS[[#This Row],[Ped.8]]=2,89,IF(NSi.TS[[#This Row],[Ped.8]]=3,79,IF(NSi.TS[[#This Row],[Ped.8]]=4,69,IF(NSi.TS[[#This Row],[Ped.8]]=5,0,"-")))))</f>
        <v>-</v>
      </c>
      <c r="DK9" s="73" t="str">
        <f>IF(NSi.TS[[#This Row],[Pro-A.8]]=1,100,IF(NSi.TS[[#This Row],[Pro-A.8]]=2,89,IF(NSi.TS[[#This Row],[Pro-A.8]]=3,79,IF(NSi.TS[[#This Row],[Pro-A.8]]=4,69,IF(NSi.TS[[#This Row],[Pro-A.8]]=5,0,"-")))))</f>
        <v>-</v>
      </c>
      <c r="DL9" s="74" t="str">
        <f>IF(NSi.TS[[#This Row],[KU.9]]="A",100,IF(NSi.TS[[#This Row],[KU.9]]="B",89,IF(NSi.TS[[#This Row],[KU.9]]="C",79,IF(NSi.TS[[#This Row],[KU.9]]="D",69,IF(NSi.TS[[#This Row],[KU.9]]="E",0,"-")))))</f>
        <v>-</v>
      </c>
      <c r="DM9" s="73" t="str">
        <f>IF(NSi.TS[[#This Row],[TJ.9]]=1,100,IF(NSi.TS[[#This Row],[TJ.9]]=2,89,IF(NSi.TS[[#This Row],[TJ.9]]=3,79,IF(NSi.TS[[#This Row],[TJ.9]]=4,69,IF(NSi.TS[[#This Row],[TJ.9]]=5,0,"-")))))</f>
        <v>-</v>
      </c>
      <c r="DN9" s="73" t="str">
        <f>IF(NSi.TS[[#This Row],[Ker.9]]=1,100,IF(NSi.TS[[#This Row],[Ker.9]]=2,89,IF(NSi.TS[[#This Row],[Ker.9]]=3,79,IF(NSi.TS[[#This Row],[Ker.9]]=4,69,IF(NSi.TS[[#This Row],[Ker.9]]=5,0,"-")))))</f>
        <v>-</v>
      </c>
      <c r="DO9" s="73" t="str">
        <f>IF(NSi.TS[[#This Row],[Ped.9]]=1,100,IF(NSi.TS[[#This Row],[Ped.9]]=2,89,IF(NSi.TS[[#This Row],[Ped.9]]=3,79,IF(NSi.TS[[#This Row],[Ped.9]]=4,69,IF(NSi.TS[[#This Row],[Ped.9]]=5,0,"-")))))</f>
        <v>-</v>
      </c>
      <c r="DP9" s="73" t="str">
        <f>IF(NSi.TS[[#This Row],[Pro-A.9]]=1,100,IF(NSi.TS[[#This Row],[Pro-A.9]]=2,89,IF(NSi.TS[[#This Row],[Pro-A.9]]=3,79,IF(NSi.TS[[#This Row],[Pro-A.9]]=4,69,IF(NSi.TS[[#This Row],[Pro-A.9]]=5,0,"-")))))</f>
        <v>-</v>
      </c>
    </row>
    <row r="10" spans="1:120" ht="50.1" customHeight="1" x14ac:dyDescent="0.3">
      <c r="A10" s="82">
        <v>8</v>
      </c>
      <c r="B10" s="88" t="s">
        <v>162</v>
      </c>
      <c r="C10" s="89" t="s">
        <v>175</v>
      </c>
      <c r="D10" s="90">
        <v>21962089</v>
      </c>
      <c r="E10" s="91" t="s">
        <v>167</v>
      </c>
      <c r="F10" s="44" t="str">
        <f>IFERROR(ROUND(AVERAGE(CSCR[#This Row]),0),"")</f>
        <v/>
      </c>
      <c r="G10" s="41" t="s">
        <v>102</v>
      </c>
      <c r="H10" s="45" t="s">
        <v>102</v>
      </c>
      <c r="I10" s="45" t="s">
        <v>102</v>
      </c>
      <c r="J10" s="45" t="s">
        <v>102</v>
      </c>
      <c r="K10" s="45" t="s">
        <v>102</v>
      </c>
      <c r="L10" s="41" t="s">
        <v>102</v>
      </c>
      <c r="M10" s="45" t="s">
        <v>102</v>
      </c>
      <c r="N10" s="45" t="s">
        <v>102</v>
      </c>
      <c r="O10" s="45" t="s">
        <v>102</v>
      </c>
      <c r="P10" s="45" t="s">
        <v>102</v>
      </c>
      <c r="Q10" s="41" t="s">
        <v>102</v>
      </c>
      <c r="R10" s="45" t="s">
        <v>102</v>
      </c>
      <c r="S10" s="45" t="s">
        <v>102</v>
      </c>
      <c r="T10" s="45" t="s">
        <v>102</v>
      </c>
      <c r="U10" s="45" t="s">
        <v>102</v>
      </c>
      <c r="V10" s="41" t="s">
        <v>102</v>
      </c>
      <c r="W10" s="45" t="s">
        <v>102</v>
      </c>
      <c r="X10" s="45" t="s">
        <v>102</v>
      </c>
      <c r="Y10" s="45" t="s">
        <v>102</v>
      </c>
      <c r="Z10" s="45" t="s">
        <v>102</v>
      </c>
      <c r="AA10" s="41" t="s">
        <v>102</v>
      </c>
      <c r="AB10" s="45" t="s">
        <v>102</v>
      </c>
      <c r="AC10" s="45" t="s">
        <v>102</v>
      </c>
      <c r="AD10" s="45" t="s">
        <v>102</v>
      </c>
      <c r="AE10" s="45" t="s">
        <v>102</v>
      </c>
      <c r="AF10" s="41" t="s">
        <v>102</v>
      </c>
      <c r="AG10" s="45" t="s">
        <v>102</v>
      </c>
      <c r="AH10" s="45" t="s">
        <v>102</v>
      </c>
      <c r="AI10" s="45" t="s">
        <v>102</v>
      </c>
      <c r="AJ10" s="45" t="s">
        <v>102</v>
      </c>
      <c r="AK10" s="41" t="s">
        <v>102</v>
      </c>
      <c r="AL10" s="45" t="s">
        <v>102</v>
      </c>
      <c r="AM10" s="45" t="s">
        <v>102</v>
      </c>
      <c r="AN10" s="45" t="s">
        <v>102</v>
      </c>
      <c r="AO10" s="45" t="s">
        <v>102</v>
      </c>
      <c r="AP10" s="41" t="s">
        <v>102</v>
      </c>
      <c r="AQ10" s="45" t="s">
        <v>102</v>
      </c>
      <c r="AR10" s="45" t="s">
        <v>102</v>
      </c>
      <c r="AS10" s="45" t="s">
        <v>102</v>
      </c>
      <c r="AT10" s="45" t="s">
        <v>102</v>
      </c>
      <c r="AU10" s="41" t="s">
        <v>102</v>
      </c>
      <c r="AV10" s="45" t="s">
        <v>102</v>
      </c>
      <c r="AW10" s="45" t="s">
        <v>102</v>
      </c>
      <c r="AX10" s="45" t="s">
        <v>102</v>
      </c>
      <c r="AY10" s="45" t="s">
        <v>102</v>
      </c>
      <c r="BA10" s="10" t="str">
        <f>CONCATENATE(NSi.TS[[#This Row],[KU.1]],(IF(A.LoE[[#This Row],[LE.1]]="-","-",IF(A.LoE[[#This Row],[LE.1]]&gt;=90,1,IF(A.LoE[[#This Row],[LE.1]]&gt;=80,2,IF(A.LoE[[#This Row],[LE.1]]&gt;=70,3,IF(A.LoE[[#This Row],[LE.1]]&gt;=1,4,5)))))))</f>
        <v>--</v>
      </c>
      <c r="BB10" s="46" t="str">
        <f>CONCATENATE(NSi.TS[[#This Row],[KU.2]],(IF(A.LoE[[#This Row],[LE.2]]="-","-",IF(A.LoE[[#This Row],[LE.2]]&gt;=90,1,IF(A.LoE[[#This Row],[LE.2]]&gt;=80,2,IF(A.LoE[[#This Row],[LE.2]]&gt;=70,3,IF(A.LoE[[#This Row],[LE.2]]&gt;=1,4,5)))))))</f>
        <v>--</v>
      </c>
      <c r="BC10" s="46" t="str">
        <f>CONCATENATE(NSi.TS[[#This Row],[KU.3]],(IF(A.LoE[[#This Row],[LE.3]]="-","-",IF(A.LoE[[#This Row],[LE.3]]&gt;=90,1,IF(A.LoE[[#This Row],[LE.3]]&gt;=80,2,IF(A.LoE[[#This Row],[LE.3]]&gt;=70,3,IF(A.LoE[[#This Row],[LE.3]]&gt;=1,4,5)))))))</f>
        <v>--</v>
      </c>
      <c r="BD10" s="46" t="str">
        <f>CONCATENATE(NSi.TS[[#This Row],[KU.4]],(IF(A.LoE[[#This Row],[LE.4]]="-","-",IF(A.LoE[[#This Row],[LE.4]]&gt;=90,1,IF(A.LoE[[#This Row],[LE.4]]&gt;=80,2,IF(A.LoE[[#This Row],[LE.4]]&gt;=70,3,IF(A.LoE[[#This Row],[LE.4]]&gt;=1,4,5)))))))</f>
        <v>--</v>
      </c>
      <c r="BE10" s="46" t="str">
        <f>CONCATENATE(NSi.TS[[#This Row],[KU.5]],(IF(A.LoE[[#This Row],[LE.5]]="-","-",IF(A.LoE[[#This Row],[LE.5]]&gt;=90,1,IF(A.LoE[[#This Row],[LE.5]]&gt;=80,2,IF(A.LoE[[#This Row],[LE.5]]&gt;=70,3,IF(A.LoE[[#This Row],[LE.5]]&gt;=1,4,5)))))))</f>
        <v>--</v>
      </c>
      <c r="BF10" s="46" t="str">
        <f>CONCATENATE(NSi.TS[[#This Row],[KU.6]],(IF(A.LoE[[#This Row],[LE.6]]="-","-",IF(A.LoE[[#This Row],[LE.6]]&gt;=90,1,IF(A.LoE[[#This Row],[LE.6]]&gt;=80,2,IF(A.LoE[[#This Row],[LE.6]]&gt;=70,3,IF(A.LoE[[#This Row],[LE.6]]&gt;=1,4,5)))))))</f>
        <v>--</v>
      </c>
      <c r="BG10" s="46" t="str">
        <f>CONCATENATE(NSi.TS[[#This Row],[KU.7]],(IF(A.LoE[[#This Row],[LE.7]]="-","-",IF(A.LoE[[#This Row],[LE.7]]&gt;=90,1,IF(A.LoE[[#This Row],[LE.7]]&gt;=80,2,IF(A.LoE[[#This Row],[LE.7]]&gt;=70,3,IF(A.LoE[[#This Row],[LE.7]]&gt;=1,4,5)))))))</f>
        <v>--</v>
      </c>
      <c r="BH10" s="46" t="str">
        <f>CONCATENATE(NSi.TS[[#This Row],[KU.8]],(IF(A.LoE[[#This Row],[LE.8]]="-","-",IF(A.LoE[[#This Row],[LE.8]]&gt;=90,1,IF(A.LoE[[#This Row],[LE.8]]&gt;=80,2,IF(A.LoE[[#This Row],[LE.8]]&gt;=70,3,IF(A.LoE[[#This Row],[LE.8]]&gt;=1,4,5)))))))</f>
        <v>--</v>
      </c>
      <c r="BI10" s="38" t="str">
        <f>CONCATENATE(NSi.TS[[#This Row],[KU.9]],(IF(A.LoE[[#This Row],[LE.9]]="-","-",IF(A.LoE[[#This Row],[LE.9]]&gt;=90,1,IF(A.LoE[[#This Row],[LE.9]]&gt;=80,2,IF(A.LoE[[#This Row],[LE.9]]&gt;=70,3,IF(A.LoE[[#This Row],[LE.9]]&gt;=1,4,5)))))))</f>
        <v>--</v>
      </c>
      <c r="BK10" s="35" t="str">
        <f>IFERROR(ROUND(AVERAGE(Con.Sk[[#This Row],[TJ.1]:[Pro-A.1]]),0),"-")</f>
        <v>-</v>
      </c>
      <c r="BL10" s="24" t="str">
        <f>IFERROR(ROUND(AVERAGE(Con.Sk[[#This Row],[TJ.2]:[Pro-A.2]]),0),"-")</f>
        <v>-</v>
      </c>
      <c r="BM10" s="24" t="str">
        <f>IFERROR(ROUND(AVERAGE(Con.Sk[[#This Row],[TJ.3]:[Pro-A.3]]),0),"-")</f>
        <v>-</v>
      </c>
      <c r="BN10" s="24" t="str">
        <f>IFERROR(ROUND(AVERAGE(Con.Sk[[#This Row],[TJ.4]:[Pro-A.4]]),0),"-")</f>
        <v>-</v>
      </c>
      <c r="BO10" s="24" t="str">
        <f>IFERROR(ROUND(AVERAGE(Con.Sk[[#This Row],[TJ.5]:[Pro-A.5]]),0),"-")</f>
        <v>-</v>
      </c>
      <c r="BP10" s="24" t="str">
        <f>IFERROR(ROUND(AVERAGE(Con.Sk[[#This Row],[TJ.6]:[Pro-A.6]]),0),"-")</f>
        <v>-</v>
      </c>
      <c r="BQ10" s="24" t="str">
        <f>IFERROR(ROUND(AVERAGE(Con.Sk[[#This Row],[TJ.7]:[Pro-A.7]]),0),"-")</f>
        <v>-</v>
      </c>
      <c r="BR10" s="24" t="str">
        <f>IFERROR(ROUND(AVERAGE(Con.Sk[[#This Row],[TJ.8]:[Pro-A.8]]),0),"-")</f>
        <v>-</v>
      </c>
      <c r="BS10" s="25" t="str">
        <f>IFERROR(ROUND(AVERAGE(Con.Sk[[#This Row],[TJ.9]:[Pro-A.9]]),0),"-")</f>
        <v>-</v>
      </c>
      <c r="BU10" s="47" t="str">
        <f>IFERROR(ROUND(AVERAGE(Con.Sk[[#This Row],[KU.1]],Con.Sk[[#This Row],[KU.2]],Con.Sk[[#This Row],[KU.3]],Con.Sk[[#This Row],[KU.4]],Con.Sk[[#This Row],[KU.5]],Con.Sk[[#This Row],[KU.6]],Con.Sk[[#This Row],[KU.7]],Con.Sk[[#This Row],[KU.8]],Con.Sk[[#This Row],[KU.9]]),0),"")</f>
        <v/>
      </c>
      <c r="BV10" s="48" t="str">
        <f>IFERROR(ROUND(AVERAGE(Con.Sk[[#This Row],[TJ.1]:[Pro-A.1]],Con.Sk[[#This Row],[TJ.2]:[Pro-A.2]],Con.Sk[[#This Row],[TJ.3]:[Pro-A.3]],Con.Sk[[#This Row],[TJ.4]:[Pro-A.4]],Con.Sk[[#This Row],[TJ.5]:[Pro-A.5]],Con.Sk[[#This Row],[TJ.6]:[Pro-A.6]],Con.Sk[[#This Row],[TJ.7]:[Pro-A.7]],Con.Sk[[#This Row],[TJ.8]:[Pro-A.8]],Con.Sk[[#This Row],[TJ.9]:[Pro-A.9]]),0),"")</f>
        <v/>
      </c>
      <c r="BW10" s="3"/>
      <c r="BX10" s="73" t="str">
        <f>IF(NSi.TS[[#This Row],[KU.1]]="A",100,IF(NSi.TS[[#This Row],[KU.1]]="B",89,IF(NSi.TS[[#This Row],[KU.1]]="C",79,IF(NSi.TS[[#This Row],[KU.1]]="D",69,IF(NSi.TS[[#This Row],[KU.1]]="E",0,"-")))))</f>
        <v>-</v>
      </c>
      <c r="BY10" s="73" t="str">
        <f>IF(NSi.TS[[#This Row],[TJ.1]]=1,100,IF(NSi.TS[[#This Row],[TJ.1]]=2,89,IF(NSi.TS[[#This Row],[TJ.1]]=3,79,IF(NSi.TS[[#This Row],[TJ.1]]=4,69,IF(NSi.TS[[#This Row],[TJ.1]]=5,0,"-")))))</f>
        <v>-</v>
      </c>
      <c r="BZ10" s="73" t="str">
        <f>IF(NSi.TS[[#This Row],[Ker.1]]=1,100,IF(NSi.TS[[#This Row],[Ker.1]]=2,89,IF(NSi.TS[[#This Row],[Ker.1]]=3,79,IF(NSi.TS[[#This Row],[Ker.1]]=4,69,IF(NSi.TS[[#This Row],[Ker.1]]=5,0,"-")))))</f>
        <v>-</v>
      </c>
      <c r="CA10" s="73" t="str">
        <f>IF(NSi.TS[[#This Row],[Ped.1]]=1,100,IF(NSi.TS[[#This Row],[Ped.1]]=2,89,IF(NSi.TS[[#This Row],[Ped.1]]=3,79,IF(NSi.TS[[#This Row],[Ped.1]]=4,69,IF(NSi.TS[[#This Row],[Ped.1]]=5,0,"-")))))</f>
        <v>-</v>
      </c>
      <c r="CB10" s="73" t="str">
        <f>IF(NSi.TS[[#This Row],[Pro-A.1]]=1,100,IF(NSi.TS[[#This Row],[Pro-A.1]]=2,89,IF(NSi.TS[[#This Row],[Pro-A.1]]=3,79,IF(NSi.TS[[#This Row],[Pro-A.1]]=4,69,IF(NSi.TS[[#This Row],[Pro-A.1]]=5,0,"-")))))</f>
        <v>-</v>
      </c>
      <c r="CC10" s="73" t="str">
        <f>IF(NSi.TS[[#This Row],[KU.2]]="A",100,IF(NSi.TS[[#This Row],[KU.2]]="B",89,IF(NSi.TS[[#This Row],[KU.2]]="C",79,IF(NSi.TS[[#This Row],[KU.2]]="D",69,IF(NSi.TS[[#This Row],[KU.2]]="E",0,"-")))))</f>
        <v>-</v>
      </c>
      <c r="CD10" s="73" t="str">
        <f>IF(NSi.TS[[#This Row],[TJ.2]]=1,100,IF(NSi.TS[[#This Row],[TJ.2]]=2,89,IF(NSi.TS[[#This Row],[TJ.2]]=3,79,IF(NSi.TS[[#This Row],[TJ.2]]=4,69,IF(NSi.TS[[#This Row],[TJ.2]]=5,0,"-")))))</f>
        <v>-</v>
      </c>
      <c r="CE10" s="73" t="str">
        <f>IF(NSi.TS[[#This Row],[Ker.2]]=1,100,IF(NSi.TS[[#This Row],[Ker.2]]=2,89,IF(NSi.TS[[#This Row],[Ker.2]]=3,79,IF(NSi.TS[[#This Row],[Ker.2]]=4,69,IF(NSi.TS[[#This Row],[Ker.2]]=5,0,"-")))))</f>
        <v>-</v>
      </c>
      <c r="CF10" s="73" t="str">
        <f>IF(NSi.TS[[#This Row],[Ped.2]]=1,100,IF(NSi.TS[[#This Row],[Ped.2]]=2,89,IF(NSi.TS[[#This Row],[Ped.2]]=3,79,IF(NSi.TS[[#This Row],[Ped.2]]=4,69,IF(NSi.TS[[#This Row],[Ped.2]]=5,0,"-")))))</f>
        <v>-</v>
      </c>
      <c r="CG10" s="73" t="str">
        <f>IF(NSi.TS[[#This Row],[Pro-A.2]]=1,100,IF(NSi.TS[[#This Row],[Pro-A.2]]=2,89,IF(NSi.TS[[#This Row],[Pro-A.2]]=3,79,IF(NSi.TS[[#This Row],[Pro-A.2]]=4,69,IF(NSi.TS[[#This Row],[Pro-A.2]]=5,0,"-")))))</f>
        <v>-</v>
      </c>
      <c r="CH10" s="74" t="str">
        <f>IF(NSi.TS[[#This Row],[KU.3]]="A",100,IF(NSi.TS[[#This Row],[KU.3]]="B",89,IF(NSi.TS[[#This Row],[KU.3]]="C",79,IF(NSi.TS[[#This Row],[KU.3]]="D",69,IF(NSi.TS[[#This Row],[KU.3]]="E",0,"-")))))</f>
        <v>-</v>
      </c>
      <c r="CI10" s="73" t="str">
        <f>IF(NSi.TS[[#This Row],[TJ.3]]=1,100,IF(NSi.TS[[#This Row],[TJ.3]]=2,89,IF(NSi.TS[[#This Row],[TJ.3]]=3,79,IF(NSi.TS[[#This Row],[TJ.3]]=4,69,IF(NSi.TS[[#This Row],[TJ.3]]=5,0,"-")))))</f>
        <v>-</v>
      </c>
      <c r="CJ10" s="73" t="str">
        <f>IF(NSi.TS[[#This Row],[Ker.3]]=1,100,IF(NSi.TS[[#This Row],[Ker.3]]=2,89,IF(NSi.TS[[#This Row],[Ker.3]]=3,79,IF(NSi.TS[[#This Row],[Ker.3]]=4,69,IF(NSi.TS[[#This Row],[Ker.3]]=5,0,"-")))))</f>
        <v>-</v>
      </c>
      <c r="CK10" s="73" t="str">
        <f>IF(NSi.TS[[#This Row],[Ped.3]]=1,100,IF(NSi.TS[[#This Row],[Ped.3]]=2,89,IF(NSi.TS[[#This Row],[Ped.3]]=3,79,IF(NSi.TS[[#This Row],[Ped.3]]=4,69,IF(NSi.TS[[#This Row],[Ped.3]]=5,0,"-")))))</f>
        <v>-</v>
      </c>
      <c r="CL10" s="73" t="str">
        <f>IF(NSi.TS[[#This Row],[Pro-A.3]]=1,100,IF(NSi.TS[[#This Row],[Pro-A.3]]=2,89,IF(NSi.TS[[#This Row],[Pro-A.3]]=3,79,IF(NSi.TS[[#This Row],[Pro-A.3]]=4,69,IF(NSi.TS[[#This Row],[Pro-A.3]]=5,0,"-")))))</f>
        <v>-</v>
      </c>
      <c r="CM10" s="74" t="str">
        <f>IF(NSi.TS[[#This Row],[KU.4]]="A",100,IF(NSi.TS[[#This Row],[KU.4]]="B",89,IF(NSi.TS[[#This Row],[KU.4]]="C",79,IF(NSi.TS[[#This Row],[KU.4]]="D",69,IF(NSi.TS[[#This Row],[KU.4]]="E",0,"-")))))</f>
        <v>-</v>
      </c>
      <c r="CN10" s="73" t="str">
        <f>IF(NSi.TS[[#This Row],[TJ.4]]=1,100,IF(NSi.TS[[#This Row],[TJ.4]]=2,89,IF(NSi.TS[[#This Row],[TJ.4]]=3,79,IF(NSi.TS[[#This Row],[TJ.4]]=4,69,IF(NSi.TS[[#This Row],[TJ.4]]=5,0,"-")))))</f>
        <v>-</v>
      </c>
      <c r="CO10" s="73" t="str">
        <f>IF(NSi.TS[[#This Row],[Ker.4]]=1,100,IF(NSi.TS[[#This Row],[Ker.4]]=2,89,IF(NSi.TS[[#This Row],[Ker.4]]=3,79,IF(NSi.TS[[#This Row],[Ker.4]]=4,69,IF(NSi.TS[[#This Row],[Ker.4]]=5,0,"-")))))</f>
        <v>-</v>
      </c>
      <c r="CP10" s="73" t="str">
        <f>IF(NSi.TS[[#This Row],[Ped.4]]=1,100,IF(NSi.TS[[#This Row],[Ped.4]]=2,89,IF(NSi.TS[[#This Row],[Ped.4]]=3,79,IF(NSi.TS[[#This Row],[Ped.4]]=4,69,IF(NSi.TS[[#This Row],[Ped.4]]=5,0,"-")))))</f>
        <v>-</v>
      </c>
      <c r="CQ10" s="73" t="str">
        <f>IF(NSi.TS[[#This Row],[Pro-A.4]]=1,100,IF(NSi.TS[[#This Row],[Pro-A.4]]=2,89,IF(NSi.TS[[#This Row],[Pro-A.4]]=3,79,IF(NSi.TS[[#This Row],[Pro-A.4]]=4,69,IF(NSi.TS[[#This Row],[Pro-A.4]]=5,0,"-")))))</f>
        <v>-</v>
      </c>
      <c r="CR10" s="74" t="str">
        <f>IF(NSi.TS[[#This Row],[KU.5]]="A",100,IF(NSi.TS[[#This Row],[KU.5]]="B",89,IF(NSi.TS[[#This Row],[KU.5]]="C",79,IF(NSi.TS[[#This Row],[KU.5]]="D",69,IF(NSi.TS[[#This Row],[KU.5]]="E",0,"-")))))</f>
        <v>-</v>
      </c>
      <c r="CS10" s="73" t="str">
        <f>IF(NSi.TS[[#This Row],[TJ.5]]=1,100,IF(NSi.TS[[#This Row],[TJ.5]]=2,89,IF(NSi.TS[[#This Row],[TJ.5]]=3,79,IF(NSi.TS[[#This Row],[TJ.5]]=4,69,IF(NSi.TS[[#This Row],[TJ.5]]=5,0,"-")))))</f>
        <v>-</v>
      </c>
      <c r="CT10" s="73" t="str">
        <f>IF(NSi.TS[[#This Row],[Ker.5]]=1,100,IF(NSi.TS[[#This Row],[Ker.5]]=2,89,IF(NSi.TS[[#This Row],[Ker.5]]=3,79,IF(NSi.TS[[#This Row],[Ker.5]]=4,69,IF(NSi.TS[[#This Row],[Ker.5]]=5,0,"-")))))</f>
        <v>-</v>
      </c>
      <c r="CU10" s="73" t="str">
        <f>IF(NSi.TS[[#This Row],[Ped.5]]=1,100,IF(NSi.TS[[#This Row],[Ped.5]]=2,89,IF(NSi.TS[[#This Row],[Ped.5]]=3,79,IF(NSi.TS[[#This Row],[Ped.5]]=4,69,IF(NSi.TS[[#This Row],[Ped.5]]=5,0,"-")))))</f>
        <v>-</v>
      </c>
      <c r="CV10" s="73" t="str">
        <f>IF(NSi.TS[[#This Row],[Pro-A.5]]=1,100,IF(NSi.TS[[#This Row],[Pro-A.5]]=2,89,IF(NSi.TS[[#This Row],[Pro-A.5]]=3,79,IF(NSi.TS[[#This Row],[Pro-A.5]]=4,69,IF(NSi.TS[[#This Row],[Pro-A.5]]=5,0,"-")))))</f>
        <v>-</v>
      </c>
      <c r="CW10" s="74" t="str">
        <f>IF(NSi.TS[[#This Row],[KU.6]]="A",100,IF(NSi.TS[[#This Row],[KU.6]]="B",89,IF(NSi.TS[[#This Row],[KU.6]]="C",79,IF(NSi.TS[[#This Row],[KU.6]]="D",69,IF(NSi.TS[[#This Row],[KU.6]]="E",0,"-")))))</f>
        <v>-</v>
      </c>
      <c r="CX10" s="73" t="str">
        <f>IF(NSi.TS[[#This Row],[TJ.6]]=1,100,IF(NSi.TS[[#This Row],[TJ.6]]=2,89,IF(NSi.TS[[#This Row],[TJ.6]]=3,79,IF(NSi.TS[[#This Row],[TJ.6]]=4,69,IF(NSi.TS[[#This Row],[TJ.6]]=5,0,"-")))))</f>
        <v>-</v>
      </c>
      <c r="CY10" s="73" t="str">
        <f>IF(NSi.TS[[#This Row],[Ker.6]]=1,100,IF(NSi.TS[[#This Row],[Ker.6]]=2,89,IF(NSi.TS[[#This Row],[Ker.6]]=3,79,IF(NSi.TS[[#This Row],[Ker.6]]=4,69,IF(NSi.TS[[#This Row],[Ker.6]]=5,0,"-")))))</f>
        <v>-</v>
      </c>
      <c r="CZ10" s="73" t="str">
        <f>IF(NSi.TS[[#This Row],[Ped.6]]=1,100,IF(NSi.TS[[#This Row],[Ped.6]]=2,89,IF(NSi.TS[[#This Row],[Ped.6]]=3,79,IF(NSi.TS[[#This Row],[Ped.6]]=4,69,IF(NSi.TS[[#This Row],[Ped.6]]=5,0,"-")))))</f>
        <v>-</v>
      </c>
      <c r="DA10" s="73" t="str">
        <f>IF(NSi.TS[[#This Row],[Pro-A.6]]=1,100,IF(NSi.TS[[#This Row],[Pro-A.6]]=2,89,IF(NSi.TS[[#This Row],[Pro-A.6]]=3,79,IF(NSi.TS[[#This Row],[Pro-A.6]]=4,69,IF(NSi.TS[[#This Row],[Pro-A.6]]=5,0,"-")))))</f>
        <v>-</v>
      </c>
      <c r="DB10" s="74" t="str">
        <f>IF(NSi.TS[[#This Row],[KU.7]]="A",100,IF(NSi.TS[[#This Row],[KU.7]]="B",89,IF(NSi.TS[[#This Row],[KU.7]]="C",79,IF(NSi.TS[[#This Row],[KU.7]]="D",69,IF(NSi.TS[[#This Row],[KU.7]]="E",0,"-")))))</f>
        <v>-</v>
      </c>
      <c r="DC10" s="73" t="str">
        <f>IF(NSi.TS[[#This Row],[TJ.7]]=1,100,IF(NSi.TS[[#This Row],[TJ.7]]=2,89,IF(NSi.TS[[#This Row],[TJ.7]]=3,79,IF(NSi.TS[[#This Row],[TJ.7]]=4,69,IF(NSi.TS[[#This Row],[TJ.7]]=5,0,"-")))))</f>
        <v>-</v>
      </c>
      <c r="DD10" s="73" t="str">
        <f>IF(NSi.TS[[#This Row],[Ker.7]]=1,100,IF(NSi.TS[[#This Row],[Ker.7]]=2,89,IF(NSi.TS[[#This Row],[Ker.7]]=3,79,IF(NSi.TS[[#This Row],[Ker.7]]=4,69,IF(NSi.TS[[#This Row],[Ker.7]]=5,0,"-")))))</f>
        <v>-</v>
      </c>
      <c r="DE10" s="73" t="str">
        <f>IF(NSi.TS[[#This Row],[Ped.7]]=1,100,IF(NSi.TS[[#This Row],[Ped.7]]=2,89,IF(NSi.TS[[#This Row],[Ped.7]]=3,79,IF(NSi.TS[[#This Row],[Ped.7]]=4,69,IF(NSi.TS[[#This Row],[Ped.7]]=5,0,"-")))))</f>
        <v>-</v>
      </c>
      <c r="DF10" s="73" t="str">
        <f>IF(NSi.TS[[#This Row],[Pro-A.7]]=1,100,IF(NSi.TS[[#This Row],[Pro-A.7]]=2,89,IF(NSi.TS[[#This Row],[Pro-A.7]]=3,79,IF(NSi.TS[[#This Row],[Pro-A.7]]=4,69,IF(NSi.TS[[#This Row],[Pro-A.7]]=5,0,"-")))))</f>
        <v>-</v>
      </c>
      <c r="DG10" s="74" t="str">
        <f>IF(NSi.TS[[#This Row],[KU.8]]="A",100,IF(NSi.TS[[#This Row],[KU.8]]="B",89,IF(NSi.TS[[#This Row],[KU.8]]="C",79,IF(NSi.TS[[#This Row],[KU.8]]="D",69,IF(NSi.TS[[#This Row],[KU.8]]="E",0,"-")))))</f>
        <v>-</v>
      </c>
      <c r="DH10" s="73" t="str">
        <f>IF(NSi.TS[[#This Row],[TJ.8]]=1,100,IF(NSi.TS[[#This Row],[TJ.8]]=2,89,IF(NSi.TS[[#This Row],[TJ.8]]=3,79,IF(NSi.TS[[#This Row],[TJ.8]]=4,69,IF(NSi.TS[[#This Row],[TJ.8]]=5,0,"-")))))</f>
        <v>-</v>
      </c>
      <c r="DI10" s="73" t="str">
        <f>IF(NSi.TS[[#This Row],[Ker.8]]=1,100,IF(NSi.TS[[#This Row],[Ker.8]]=2,89,IF(NSi.TS[[#This Row],[Ker.8]]=3,79,IF(NSi.TS[[#This Row],[Ker.8]]=4,69,IF(NSi.TS[[#This Row],[Ker.8]]=5,0,"-")))))</f>
        <v>-</v>
      </c>
      <c r="DJ10" s="73" t="str">
        <f>IF(NSi.TS[[#This Row],[Ped.8]]=1,100,IF(NSi.TS[[#This Row],[Ped.8]]=2,89,IF(NSi.TS[[#This Row],[Ped.8]]=3,79,IF(NSi.TS[[#This Row],[Ped.8]]=4,69,IF(NSi.TS[[#This Row],[Ped.8]]=5,0,"-")))))</f>
        <v>-</v>
      </c>
      <c r="DK10" s="73" t="str">
        <f>IF(NSi.TS[[#This Row],[Pro-A.8]]=1,100,IF(NSi.TS[[#This Row],[Pro-A.8]]=2,89,IF(NSi.TS[[#This Row],[Pro-A.8]]=3,79,IF(NSi.TS[[#This Row],[Pro-A.8]]=4,69,IF(NSi.TS[[#This Row],[Pro-A.8]]=5,0,"-")))))</f>
        <v>-</v>
      </c>
      <c r="DL10" s="74" t="str">
        <f>IF(NSi.TS[[#This Row],[KU.9]]="A",100,IF(NSi.TS[[#This Row],[KU.9]]="B",89,IF(NSi.TS[[#This Row],[KU.9]]="C",79,IF(NSi.TS[[#This Row],[KU.9]]="D",69,IF(NSi.TS[[#This Row],[KU.9]]="E",0,"-")))))</f>
        <v>-</v>
      </c>
      <c r="DM10" s="73" t="str">
        <f>IF(NSi.TS[[#This Row],[TJ.9]]=1,100,IF(NSi.TS[[#This Row],[TJ.9]]=2,89,IF(NSi.TS[[#This Row],[TJ.9]]=3,79,IF(NSi.TS[[#This Row],[TJ.9]]=4,69,IF(NSi.TS[[#This Row],[TJ.9]]=5,0,"-")))))</f>
        <v>-</v>
      </c>
      <c r="DN10" s="73" t="str">
        <f>IF(NSi.TS[[#This Row],[Ker.9]]=1,100,IF(NSi.TS[[#This Row],[Ker.9]]=2,89,IF(NSi.TS[[#This Row],[Ker.9]]=3,79,IF(NSi.TS[[#This Row],[Ker.9]]=4,69,IF(NSi.TS[[#This Row],[Ker.9]]=5,0,"-")))))</f>
        <v>-</v>
      </c>
      <c r="DO10" s="73" t="str">
        <f>IF(NSi.TS[[#This Row],[Ped.9]]=1,100,IF(NSi.TS[[#This Row],[Ped.9]]=2,89,IF(NSi.TS[[#This Row],[Ped.9]]=3,79,IF(NSi.TS[[#This Row],[Ped.9]]=4,69,IF(NSi.TS[[#This Row],[Ped.9]]=5,0,"-")))))</f>
        <v>-</v>
      </c>
      <c r="DP10" s="73" t="str">
        <f>IF(NSi.TS[[#This Row],[Pro-A.9]]=1,100,IF(NSi.TS[[#This Row],[Pro-A.9]]=2,89,IF(NSi.TS[[#This Row],[Pro-A.9]]=3,79,IF(NSi.TS[[#This Row],[Pro-A.9]]=4,69,IF(NSi.TS[[#This Row],[Pro-A.9]]=5,0,"-")))))</f>
        <v>-</v>
      </c>
    </row>
    <row r="11" spans="1:120" ht="50.1" customHeight="1" x14ac:dyDescent="0.3">
      <c r="A11" s="82">
        <v>9</v>
      </c>
      <c r="B11" s="88" t="s">
        <v>156</v>
      </c>
      <c r="C11" s="89" t="s">
        <v>176</v>
      </c>
      <c r="D11" s="90">
        <v>16221604</v>
      </c>
      <c r="E11" s="91" t="s">
        <v>166</v>
      </c>
      <c r="F11" s="44" t="str">
        <f>IFERROR(ROUND(AVERAGE(CSCR[#This Row]),0),"")</f>
        <v/>
      </c>
      <c r="G11" s="41" t="s">
        <v>102</v>
      </c>
      <c r="H11" s="45" t="s">
        <v>102</v>
      </c>
      <c r="I11" s="45" t="s">
        <v>102</v>
      </c>
      <c r="J11" s="45" t="s">
        <v>102</v>
      </c>
      <c r="K11" s="45" t="s">
        <v>102</v>
      </c>
      <c r="L11" s="41" t="s">
        <v>102</v>
      </c>
      <c r="M11" s="45" t="s">
        <v>102</v>
      </c>
      <c r="N11" s="45" t="s">
        <v>102</v>
      </c>
      <c r="O11" s="45" t="s">
        <v>102</v>
      </c>
      <c r="P11" s="45" t="s">
        <v>102</v>
      </c>
      <c r="Q11" s="41" t="s">
        <v>102</v>
      </c>
      <c r="R11" s="45" t="s">
        <v>102</v>
      </c>
      <c r="S11" s="45" t="s">
        <v>102</v>
      </c>
      <c r="T11" s="45" t="s">
        <v>102</v>
      </c>
      <c r="U11" s="45" t="s">
        <v>102</v>
      </c>
      <c r="V11" s="41" t="s">
        <v>102</v>
      </c>
      <c r="W11" s="45" t="s">
        <v>102</v>
      </c>
      <c r="X11" s="45" t="s">
        <v>102</v>
      </c>
      <c r="Y11" s="45" t="s">
        <v>102</v>
      </c>
      <c r="Z11" s="45" t="s">
        <v>102</v>
      </c>
      <c r="AA11" s="41" t="s">
        <v>102</v>
      </c>
      <c r="AB11" s="45" t="s">
        <v>102</v>
      </c>
      <c r="AC11" s="45" t="s">
        <v>102</v>
      </c>
      <c r="AD11" s="45" t="s">
        <v>102</v>
      </c>
      <c r="AE11" s="45" t="s">
        <v>102</v>
      </c>
      <c r="AF11" s="41" t="s">
        <v>102</v>
      </c>
      <c r="AG11" s="45" t="s">
        <v>102</v>
      </c>
      <c r="AH11" s="45" t="s">
        <v>102</v>
      </c>
      <c r="AI11" s="45" t="s">
        <v>102</v>
      </c>
      <c r="AJ11" s="45" t="s">
        <v>102</v>
      </c>
      <c r="AK11" s="41" t="s">
        <v>102</v>
      </c>
      <c r="AL11" s="45" t="s">
        <v>102</v>
      </c>
      <c r="AM11" s="45" t="s">
        <v>102</v>
      </c>
      <c r="AN11" s="45" t="s">
        <v>102</v>
      </c>
      <c r="AO11" s="45" t="s">
        <v>102</v>
      </c>
      <c r="AP11" s="41" t="s">
        <v>102</v>
      </c>
      <c r="AQ11" s="45" t="s">
        <v>102</v>
      </c>
      <c r="AR11" s="45" t="s">
        <v>102</v>
      </c>
      <c r="AS11" s="45" t="s">
        <v>102</v>
      </c>
      <c r="AT11" s="45" t="s">
        <v>102</v>
      </c>
      <c r="AU11" s="41" t="s">
        <v>102</v>
      </c>
      <c r="AV11" s="45" t="s">
        <v>102</v>
      </c>
      <c r="AW11" s="45" t="s">
        <v>102</v>
      </c>
      <c r="AX11" s="45" t="s">
        <v>102</v>
      </c>
      <c r="AY11" s="45" t="s">
        <v>102</v>
      </c>
      <c r="BA11" s="10" t="str">
        <f>CONCATENATE(NSi.TS[[#This Row],[KU.1]],(IF(A.LoE[[#This Row],[LE.1]]="-","-",IF(A.LoE[[#This Row],[LE.1]]&gt;=90,1,IF(A.LoE[[#This Row],[LE.1]]&gt;=80,2,IF(A.LoE[[#This Row],[LE.1]]&gt;=70,3,IF(A.LoE[[#This Row],[LE.1]]&gt;=1,4,5)))))))</f>
        <v>--</v>
      </c>
      <c r="BB11" s="46" t="str">
        <f>CONCATENATE(NSi.TS[[#This Row],[KU.2]],(IF(A.LoE[[#This Row],[LE.2]]="-","-",IF(A.LoE[[#This Row],[LE.2]]&gt;=90,1,IF(A.LoE[[#This Row],[LE.2]]&gt;=80,2,IF(A.LoE[[#This Row],[LE.2]]&gt;=70,3,IF(A.LoE[[#This Row],[LE.2]]&gt;=1,4,5)))))))</f>
        <v>--</v>
      </c>
      <c r="BC11" s="46" t="str">
        <f>CONCATENATE(NSi.TS[[#This Row],[KU.3]],(IF(A.LoE[[#This Row],[LE.3]]="-","-",IF(A.LoE[[#This Row],[LE.3]]&gt;=90,1,IF(A.LoE[[#This Row],[LE.3]]&gt;=80,2,IF(A.LoE[[#This Row],[LE.3]]&gt;=70,3,IF(A.LoE[[#This Row],[LE.3]]&gt;=1,4,5)))))))</f>
        <v>--</v>
      </c>
      <c r="BD11" s="46" t="str">
        <f>CONCATENATE(NSi.TS[[#This Row],[KU.4]],(IF(A.LoE[[#This Row],[LE.4]]="-","-",IF(A.LoE[[#This Row],[LE.4]]&gt;=90,1,IF(A.LoE[[#This Row],[LE.4]]&gt;=80,2,IF(A.LoE[[#This Row],[LE.4]]&gt;=70,3,IF(A.LoE[[#This Row],[LE.4]]&gt;=1,4,5)))))))</f>
        <v>--</v>
      </c>
      <c r="BE11" s="46" t="str">
        <f>CONCATENATE(NSi.TS[[#This Row],[KU.5]],(IF(A.LoE[[#This Row],[LE.5]]="-","-",IF(A.LoE[[#This Row],[LE.5]]&gt;=90,1,IF(A.LoE[[#This Row],[LE.5]]&gt;=80,2,IF(A.LoE[[#This Row],[LE.5]]&gt;=70,3,IF(A.LoE[[#This Row],[LE.5]]&gt;=1,4,5)))))))</f>
        <v>--</v>
      </c>
      <c r="BF11" s="46" t="str">
        <f>CONCATENATE(NSi.TS[[#This Row],[KU.6]],(IF(A.LoE[[#This Row],[LE.6]]="-","-",IF(A.LoE[[#This Row],[LE.6]]&gt;=90,1,IF(A.LoE[[#This Row],[LE.6]]&gt;=80,2,IF(A.LoE[[#This Row],[LE.6]]&gt;=70,3,IF(A.LoE[[#This Row],[LE.6]]&gt;=1,4,5)))))))</f>
        <v>--</v>
      </c>
      <c r="BG11" s="46" t="str">
        <f>CONCATENATE(NSi.TS[[#This Row],[KU.7]],(IF(A.LoE[[#This Row],[LE.7]]="-","-",IF(A.LoE[[#This Row],[LE.7]]&gt;=90,1,IF(A.LoE[[#This Row],[LE.7]]&gt;=80,2,IF(A.LoE[[#This Row],[LE.7]]&gt;=70,3,IF(A.LoE[[#This Row],[LE.7]]&gt;=1,4,5)))))))</f>
        <v>--</v>
      </c>
      <c r="BH11" s="46" t="str">
        <f>CONCATENATE(NSi.TS[[#This Row],[KU.8]],(IF(A.LoE[[#This Row],[LE.8]]="-","-",IF(A.LoE[[#This Row],[LE.8]]&gt;=90,1,IF(A.LoE[[#This Row],[LE.8]]&gt;=80,2,IF(A.LoE[[#This Row],[LE.8]]&gt;=70,3,IF(A.LoE[[#This Row],[LE.8]]&gt;=1,4,5)))))))</f>
        <v>--</v>
      </c>
      <c r="BI11" s="38" t="str">
        <f>CONCATENATE(NSi.TS[[#This Row],[KU.9]],(IF(A.LoE[[#This Row],[LE.9]]="-","-",IF(A.LoE[[#This Row],[LE.9]]&gt;=90,1,IF(A.LoE[[#This Row],[LE.9]]&gt;=80,2,IF(A.LoE[[#This Row],[LE.9]]&gt;=70,3,IF(A.LoE[[#This Row],[LE.9]]&gt;=1,4,5)))))))</f>
        <v>--</v>
      </c>
      <c r="BK11" s="35" t="str">
        <f>IFERROR(ROUND(AVERAGE(Con.Sk[[#This Row],[TJ.1]:[Pro-A.1]]),0),"-")</f>
        <v>-</v>
      </c>
      <c r="BL11" s="24" t="str">
        <f>IFERROR(ROUND(AVERAGE(Con.Sk[[#This Row],[TJ.2]:[Pro-A.2]]),0),"-")</f>
        <v>-</v>
      </c>
      <c r="BM11" s="24" t="str">
        <f>IFERROR(ROUND(AVERAGE(Con.Sk[[#This Row],[TJ.3]:[Pro-A.3]]),0),"-")</f>
        <v>-</v>
      </c>
      <c r="BN11" s="24" t="str">
        <f>IFERROR(ROUND(AVERAGE(Con.Sk[[#This Row],[TJ.4]:[Pro-A.4]]),0),"-")</f>
        <v>-</v>
      </c>
      <c r="BO11" s="24" t="str">
        <f>IFERROR(ROUND(AVERAGE(Con.Sk[[#This Row],[TJ.5]:[Pro-A.5]]),0),"-")</f>
        <v>-</v>
      </c>
      <c r="BP11" s="24" t="str">
        <f>IFERROR(ROUND(AVERAGE(Con.Sk[[#This Row],[TJ.6]:[Pro-A.6]]),0),"-")</f>
        <v>-</v>
      </c>
      <c r="BQ11" s="24" t="str">
        <f>IFERROR(ROUND(AVERAGE(Con.Sk[[#This Row],[TJ.7]:[Pro-A.7]]),0),"-")</f>
        <v>-</v>
      </c>
      <c r="BR11" s="24" t="str">
        <f>IFERROR(ROUND(AVERAGE(Con.Sk[[#This Row],[TJ.8]:[Pro-A.8]]),0),"-")</f>
        <v>-</v>
      </c>
      <c r="BS11" s="25" t="str">
        <f>IFERROR(ROUND(AVERAGE(Con.Sk[[#This Row],[TJ.9]:[Pro-A.9]]),0),"-")</f>
        <v>-</v>
      </c>
      <c r="BU11" s="47" t="str">
        <f>IFERROR(ROUND(AVERAGE(Con.Sk[[#This Row],[KU.1]],Con.Sk[[#This Row],[KU.2]],Con.Sk[[#This Row],[KU.3]],Con.Sk[[#This Row],[KU.4]],Con.Sk[[#This Row],[KU.5]],Con.Sk[[#This Row],[KU.6]],Con.Sk[[#This Row],[KU.7]],Con.Sk[[#This Row],[KU.8]],Con.Sk[[#This Row],[KU.9]]),0),"")</f>
        <v/>
      </c>
      <c r="BV11" s="48" t="str">
        <f>IFERROR(ROUND(AVERAGE(Con.Sk[[#This Row],[TJ.1]:[Pro-A.1]],Con.Sk[[#This Row],[TJ.2]:[Pro-A.2]],Con.Sk[[#This Row],[TJ.3]:[Pro-A.3]],Con.Sk[[#This Row],[TJ.4]:[Pro-A.4]],Con.Sk[[#This Row],[TJ.5]:[Pro-A.5]],Con.Sk[[#This Row],[TJ.6]:[Pro-A.6]],Con.Sk[[#This Row],[TJ.7]:[Pro-A.7]],Con.Sk[[#This Row],[TJ.8]:[Pro-A.8]],Con.Sk[[#This Row],[TJ.9]:[Pro-A.9]]),0),"")</f>
        <v/>
      </c>
      <c r="BW11" s="3"/>
      <c r="BX11" s="73" t="str">
        <f>IF(NSi.TS[[#This Row],[KU.1]]="A",100,IF(NSi.TS[[#This Row],[KU.1]]="B",89,IF(NSi.TS[[#This Row],[KU.1]]="C",79,IF(NSi.TS[[#This Row],[KU.1]]="D",69,IF(NSi.TS[[#This Row],[KU.1]]="E",0,"-")))))</f>
        <v>-</v>
      </c>
      <c r="BY11" s="73" t="str">
        <f>IF(NSi.TS[[#This Row],[TJ.1]]=1,100,IF(NSi.TS[[#This Row],[TJ.1]]=2,89,IF(NSi.TS[[#This Row],[TJ.1]]=3,79,IF(NSi.TS[[#This Row],[TJ.1]]=4,69,IF(NSi.TS[[#This Row],[TJ.1]]=5,0,"-")))))</f>
        <v>-</v>
      </c>
      <c r="BZ11" s="73" t="str">
        <f>IF(NSi.TS[[#This Row],[Ker.1]]=1,100,IF(NSi.TS[[#This Row],[Ker.1]]=2,89,IF(NSi.TS[[#This Row],[Ker.1]]=3,79,IF(NSi.TS[[#This Row],[Ker.1]]=4,69,IF(NSi.TS[[#This Row],[Ker.1]]=5,0,"-")))))</f>
        <v>-</v>
      </c>
      <c r="CA11" s="73" t="str">
        <f>IF(NSi.TS[[#This Row],[Ped.1]]=1,100,IF(NSi.TS[[#This Row],[Ped.1]]=2,89,IF(NSi.TS[[#This Row],[Ped.1]]=3,79,IF(NSi.TS[[#This Row],[Ped.1]]=4,69,IF(NSi.TS[[#This Row],[Ped.1]]=5,0,"-")))))</f>
        <v>-</v>
      </c>
      <c r="CB11" s="73" t="str">
        <f>IF(NSi.TS[[#This Row],[Pro-A.1]]=1,100,IF(NSi.TS[[#This Row],[Pro-A.1]]=2,89,IF(NSi.TS[[#This Row],[Pro-A.1]]=3,79,IF(NSi.TS[[#This Row],[Pro-A.1]]=4,69,IF(NSi.TS[[#This Row],[Pro-A.1]]=5,0,"-")))))</f>
        <v>-</v>
      </c>
      <c r="CC11" s="73" t="str">
        <f>IF(NSi.TS[[#This Row],[KU.2]]="A",100,IF(NSi.TS[[#This Row],[KU.2]]="B",89,IF(NSi.TS[[#This Row],[KU.2]]="C",79,IF(NSi.TS[[#This Row],[KU.2]]="D",69,IF(NSi.TS[[#This Row],[KU.2]]="E",0,"-")))))</f>
        <v>-</v>
      </c>
      <c r="CD11" s="73" t="str">
        <f>IF(NSi.TS[[#This Row],[TJ.2]]=1,100,IF(NSi.TS[[#This Row],[TJ.2]]=2,89,IF(NSi.TS[[#This Row],[TJ.2]]=3,79,IF(NSi.TS[[#This Row],[TJ.2]]=4,69,IF(NSi.TS[[#This Row],[TJ.2]]=5,0,"-")))))</f>
        <v>-</v>
      </c>
      <c r="CE11" s="73" t="str">
        <f>IF(NSi.TS[[#This Row],[Ker.2]]=1,100,IF(NSi.TS[[#This Row],[Ker.2]]=2,89,IF(NSi.TS[[#This Row],[Ker.2]]=3,79,IF(NSi.TS[[#This Row],[Ker.2]]=4,69,IF(NSi.TS[[#This Row],[Ker.2]]=5,0,"-")))))</f>
        <v>-</v>
      </c>
      <c r="CF11" s="73" t="str">
        <f>IF(NSi.TS[[#This Row],[Ped.2]]=1,100,IF(NSi.TS[[#This Row],[Ped.2]]=2,89,IF(NSi.TS[[#This Row],[Ped.2]]=3,79,IF(NSi.TS[[#This Row],[Ped.2]]=4,69,IF(NSi.TS[[#This Row],[Ped.2]]=5,0,"-")))))</f>
        <v>-</v>
      </c>
      <c r="CG11" s="73" t="str">
        <f>IF(NSi.TS[[#This Row],[Pro-A.2]]=1,100,IF(NSi.TS[[#This Row],[Pro-A.2]]=2,89,IF(NSi.TS[[#This Row],[Pro-A.2]]=3,79,IF(NSi.TS[[#This Row],[Pro-A.2]]=4,69,IF(NSi.TS[[#This Row],[Pro-A.2]]=5,0,"-")))))</f>
        <v>-</v>
      </c>
      <c r="CH11" s="74" t="str">
        <f>IF(NSi.TS[[#This Row],[KU.3]]="A",100,IF(NSi.TS[[#This Row],[KU.3]]="B",89,IF(NSi.TS[[#This Row],[KU.3]]="C",79,IF(NSi.TS[[#This Row],[KU.3]]="D",69,IF(NSi.TS[[#This Row],[KU.3]]="E",0,"-")))))</f>
        <v>-</v>
      </c>
      <c r="CI11" s="73" t="str">
        <f>IF(NSi.TS[[#This Row],[TJ.3]]=1,100,IF(NSi.TS[[#This Row],[TJ.3]]=2,89,IF(NSi.TS[[#This Row],[TJ.3]]=3,79,IF(NSi.TS[[#This Row],[TJ.3]]=4,69,IF(NSi.TS[[#This Row],[TJ.3]]=5,0,"-")))))</f>
        <v>-</v>
      </c>
      <c r="CJ11" s="73" t="str">
        <f>IF(NSi.TS[[#This Row],[Ker.3]]=1,100,IF(NSi.TS[[#This Row],[Ker.3]]=2,89,IF(NSi.TS[[#This Row],[Ker.3]]=3,79,IF(NSi.TS[[#This Row],[Ker.3]]=4,69,IF(NSi.TS[[#This Row],[Ker.3]]=5,0,"-")))))</f>
        <v>-</v>
      </c>
      <c r="CK11" s="73" t="str">
        <f>IF(NSi.TS[[#This Row],[Ped.3]]=1,100,IF(NSi.TS[[#This Row],[Ped.3]]=2,89,IF(NSi.TS[[#This Row],[Ped.3]]=3,79,IF(NSi.TS[[#This Row],[Ped.3]]=4,69,IF(NSi.TS[[#This Row],[Ped.3]]=5,0,"-")))))</f>
        <v>-</v>
      </c>
      <c r="CL11" s="73" t="str">
        <f>IF(NSi.TS[[#This Row],[Pro-A.3]]=1,100,IF(NSi.TS[[#This Row],[Pro-A.3]]=2,89,IF(NSi.TS[[#This Row],[Pro-A.3]]=3,79,IF(NSi.TS[[#This Row],[Pro-A.3]]=4,69,IF(NSi.TS[[#This Row],[Pro-A.3]]=5,0,"-")))))</f>
        <v>-</v>
      </c>
      <c r="CM11" s="74" t="str">
        <f>IF(NSi.TS[[#This Row],[KU.4]]="A",100,IF(NSi.TS[[#This Row],[KU.4]]="B",89,IF(NSi.TS[[#This Row],[KU.4]]="C",79,IF(NSi.TS[[#This Row],[KU.4]]="D",69,IF(NSi.TS[[#This Row],[KU.4]]="E",0,"-")))))</f>
        <v>-</v>
      </c>
      <c r="CN11" s="73" t="str">
        <f>IF(NSi.TS[[#This Row],[TJ.4]]=1,100,IF(NSi.TS[[#This Row],[TJ.4]]=2,89,IF(NSi.TS[[#This Row],[TJ.4]]=3,79,IF(NSi.TS[[#This Row],[TJ.4]]=4,69,IF(NSi.TS[[#This Row],[TJ.4]]=5,0,"-")))))</f>
        <v>-</v>
      </c>
      <c r="CO11" s="73" t="str">
        <f>IF(NSi.TS[[#This Row],[Ker.4]]=1,100,IF(NSi.TS[[#This Row],[Ker.4]]=2,89,IF(NSi.TS[[#This Row],[Ker.4]]=3,79,IF(NSi.TS[[#This Row],[Ker.4]]=4,69,IF(NSi.TS[[#This Row],[Ker.4]]=5,0,"-")))))</f>
        <v>-</v>
      </c>
      <c r="CP11" s="73" t="str">
        <f>IF(NSi.TS[[#This Row],[Ped.4]]=1,100,IF(NSi.TS[[#This Row],[Ped.4]]=2,89,IF(NSi.TS[[#This Row],[Ped.4]]=3,79,IF(NSi.TS[[#This Row],[Ped.4]]=4,69,IF(NSi.TS[[#This Row],[Ped.4]]=5,0,"-")))))</f>
        <v>-</v>
      </c>
      <c r="CQ11" s="73" t="str">
        <f>IF(NSi.TS[[#This Row],[Pro-A.4]]=1,100,IF(NSi.TS[[#This Row],[Pro-A.4]]=2,89,IF(NSi.TS[[#This Row],[Pro-A.4]]=3,79,IF(NSi.TS[[#This Row],[Pro-A.4]]=4,69,IF(NSi.TS[[#This Row],[Pro-A.4]]=5,0,"-")))))</f>
        <v>-</v>
      </c>
      <c r="CR11" s="74" t="str">
        <f>IF(NSi.TS[[#This Row],[KU.5]]="A",100,IF(NSi.TS[[#This Row],[KU.5]]="B",89,IF(NSi.TS[[#This Row],[KU.5]]="C",79,IF(NSi.TS[[#This Row],[KU.5]]="D",69,IF(NSi.TS[[#This Row],[KU.5]]="E",0,"-")))))</f>
        <v>-</v>
      </c>
      <c r="CS11" s="73" t="str">
        <f>IF(NSi.TS[[#This Row],[TJ.5]]=1,100,IF(NSi.TS[[#This Row],[TJ.5]]=2,89,IF(NSi.TS[[#This Row],[TJ.5]]=3,79,IF(NSi.TS[[#This Row],[TJ.5]]=4,69,IF(NSi.TS[[#This Row],[TJ.5]]=5,0,"-")))))</f>
        <v>-</v>
      </c>
      <c r="CT11" s="73" t="str">
        <f>IF(NSi.TS[[#This Row],[Ker.5]]=1,100,IF(NSi.TS[[#This Row],[Ker.5]]=2,89,IF(NSi.TS[[#This Row],[Ker.5]]=3,79,IF(NSi.TS[[#This Row],[Ker.5]]=4,69,IF(NSi.TS[[#This Row],[Ker.5]]=5,0,"-")))))</f>
        <v>-</v>
      </c>
      <c r="CU11" s="73" t="str">
        <f>IF(NSi.TS[[#This Row],[Ped.5]]=1,100,IF(NSi.TS[[#This Row],[Ped.5]]=2,89,IF(NSi.TS[[#This Row],[Ped.5]]=3,79,IF(NSi.TS[[#This Row],[Ped.5]]=4,69,IF(NSi.TS[[#This Row],[Ped.5]]=5,0,"-")))))</f>
        <v>-</v>
      </c>
      <c r="CV11" s="73" t="str">
        <f>IF(NSi.TS[[#This Row],[Pro-A.5]]=1,100,IF(NSi.TS[[#This Row],[Pro-A.5]]=2,89,IF(NSi.TS[[#This Row],[Pro-A.5]]=3,79,IF(NSi.TS[[#This Row],[Pro-A.5]]=4,69,IF(NSi.TS[[#This Row],[Pro-A.5]]=5,0,"-")))))</f>
        <v>-</v>
      </c>
      <c r="CW11" s="74" t="str">
        <f>IF(NSi.TS[[#This Row],[KU.6]]="A",100,IF(NSi.TS[[#This Row],[KU.6]]="B",89,IF(NSi.TS[[#This Row],[KU.6]]="C",79,IF(NSi.TS[[#This Row],[KU.6]]="D",69,IF(NSi.TS[[#This Row],[KU.6]]="E",0,"-")))))</f>
        <v>-</v>
      </c>
      <c r="CX11" s="73" t="str">
        <f>IF(NSi.TS[[#This Row],[TJ.6]]=1,100,IF(NSi.TS[[#This Row],[TJ.6]]=2,89,IF(NSi.TS[[#This Row],[TJ.6]]=3,79,IF(NSi.TS[[#This Row],[TJ.6]]=4,69,IF(NSi.TS[[#This Row],[TJ.6]]=5,0,"-")))))</f>
        <v>-</v>
      </c>
      <c r="CY11" s="73" t="str">
        <f>IF(NSi.TS[[#This Row],[Ker.6]]=1,100,IF(NSi.TS[[#This Row],[Ker.6]]=2,89,IF(NSi.TS[[#This Row],[Ker.6]]=3,79,IF(NSi.TS[[#This Row],[Ker.6]]=4,69,IF(NSi.TS[[#This Row],[Ker.6]]=5,0,"-")))))</f>
        <v>-</v>
      </c>
      <c r="CZ11" s="73" t="str">
        <f>IF(NSi.TS[[#This Row],[Ped.6]]=1,100,IF(NSi.TS[[#This Row],[Ped.6]]=2,89,IF(NSi.TS[[#This Row],[Ped.6]]=3,79,IF(NSi.TS[[#This Row],[Ped.6]]=4,69,IF(NSi.TS[[#This Row],[Ped.6]]=5,0,"-")))))</f>
        <v>-</v>
      </c>
      <c r="DA11" s="73" t="str">
        <f>IF(NSi.TS[[#This Row],[Pro-A.6]]=1,100,IF(NSi.TS[[#This Row],[Pro-A.6]]=2,89,IF(NSi.TS[[#This Row],[Pro-A.6]]=3,79,IF(NSi.TS[[#This Row],[Pro-A.6]]=4,69,IF(NSi.TS[[#This Row],[Pro-A.6]]=5,0,"-")))))</f>
        <v>-</v>
      </c>
      <c r="DB11" s="74" t="str">
        <f>IF(NSi.TS[[#This Row],[KU.7]]="A",100,IF(NSi.TS[[#This Row],[KU.7]]="B",89,IF(NSi.TS[[#This Row],[KU.7]]="C",79,IF(NSi.TS[[#This Row],[KU.7]]="D",69,IF(NSi.TS[[#This Row],[KU.7]]="E",0,"-")))))</f>
        <v>-</v>
      </c>
      <c r="DC11" s="73" t="str">
        <f>IF(NSi.TS[[#This Row],[TJ.7]]=1,100,IF(NSi.TS[[#This Row],[TJ.7]]=2,89,IF(NSi.TS[[#This Row],[TJ.7]]=3,79,IF(NSi.TS[[#This Row],[TJ.7]]=4,69,IF(NSi.TS[[#This Row],[TJ.7]]=5,0,"-")))))</f>
        <v>-</v>
      </c>
      <c r="DD11" s="73" t="str">
        <f>IF(NSi.TS[[#This Row],[Ker.7]]=1,100,IF(NSi.TS[[#This Row],[Ker.7]]=2,89,IF(NSi.TS[[#This Row],[Ker.7]]=3,79,IF(NSi.TS[[#This Row],[Ker.7]]=4,69,IF(NSi.TS[[#This Row],[Ker.7]]=5,0,"-")))))</f>
        <v>-</v>
      </c>
      <c r="DE11" s="73" t="str">
        <f>IF(NSi.TS[[#This Row],[Ped.7]]=1,100,IF(NSi.TS[[#This Row],[Ped.7]]=2,89,IF(NSi.TS[[#This Row],[Ped.7]]=3,79,IF(NSi.TS[[#This Row],[Ped.7]]=4,69,IF(NSi.TS[[#This Row],[Ped.7]]=5,0,"-")))))</f>
        <v>-</v>
      </c>
      <c r="DF11" s="73" t="str">
        <f>IF(NSi.TS[[#This Row],[Pro-A.7]]=1,100,IF(NSi.TS[[#This Row],[Pro-A.7]]=2,89,IF(NSi.TS[[#This Row],[Pro-A.7]]=3,79,IF(NSi.TS[[#This Row],[Pro-A.7]]=4,69,IF(NSi.TS[[#This Row],[Pro-A.7]]=5,0,"-")))))</f>
        <v>-</v>
      </c>
      <c r="DG11" s="74" t="str">
        <f>IF(NSi.TS[[#This Row],[KU.8]]="A",100,IF(NSi.TS[[#This Row],[KU.8]]="B",89,IF(NSi.TS[[#This Row],[KU.8]]="C",79,IF(NSi.TS[[#This Row],[KU.8]]="D",69,IF(NSi.TS[[#This Row],[KU.8]]="E",0,"-")))))</f>
        <v>-</v>
      </c>
      <c r="DH11" s="73" t="str">
        <f>IF(NSi.TS[[#This Row],[TJ.8]]=1,100,IF(NSi.TS[[#This Row],[TJ.8]]=2,89,IF(NSi.TS[[#This Row],[TJ.8]]=3,79,IF(NSi.TS[[#This Row],[TJ.8]]=4,69,IF(NSi.TS[[#This Row],[TJ.8]]=5,0,"-")))))</f>
        <v>-</v>
      </c>
      <c r="DI11" s="73" t="str">
        <f>IF(NSi.TS[[#This Row],[Ker.8]]=1,100,IF(NSi.TS[[#This Row],[Ker.8]]=2,89,IF(NSi.TS[[#This Row],[Ker.8]]=3,79,IF(NSi.TS[[#This Row],[Ker.8]]=4,69,IF(NSi.TS[[#This Row],[Ker.8]]=5,0,"-")))))</f>
        <v>-</v>
      </c>
      <c r="DJ11" s="73" t="str">
        <f>IF(NSi.TS[[#This Row],[Ped.8]]=1,100,IF(NSi.TS[[#This Row],[Ped.8]]=2,89,IF(NSi.TS[[#This Row],[Ped.8]]=3,79,IF(NSi.TS[[#This Row],[Ped.8]]=4,69,IF(NSi.TS[[#This Row],[Ped.8]]=5,0,"-")))))</f>
        <v>-</v>
      </c>
      <c r="DK11" s="73" t="str">
        <f>IF(NSi.TS[[#This Row],[Pro-A.8]]=1,100,IF(NSi.TS[[#This Row],[Pro-A.8]]=2,89,IF(NSi.TS[[#This Row],[Pro-A.8]]=3,79,IF(NSi.TS[[#This Row],[Pro-A.8]]=4,69,IF(NSi.TS[[#This Row],[Pro-A.8]]=5,0,"-")))))</f>
        <v>-</v>
      </c>
      <c r="DL11" s="74" t="str">
        <f>IF(NSi.TS[[#This Row],[KU.9]]="A",100,IF(NSi.TS[[#This Row],[KU.9]]="B",89,IF(NSi.TS[[#This Row],[KU.9]]="C",79,IF(NSi.TS[[#This Row],[KU.9]]="D",69,IF(NSi.TS[[#This Row],[KU.9]]="E",0,"-")))))</f>
        <v>-</v>
      </c>
      <c r="DM11" s="73" t="str">
        <f>IF(NSi.TS[[#This Row],[TJ.9]]=1,100,IF(NSi.TS[[#This Row],[TJ.9]]=2,89,IF(NSi.TS[[#This Row],[TJ.9]]=3,79,IF(NSi.TS[[#This Row],[TJ.9]]=4,69,IF(NSi.TS[[#This Row],[TJ.9]]=5,0,"-")))))</f>
        <v>-</v>
      </c>
      <c r="DN11" s="73" t="str">
        <f>IF(NSi.TS[[#This Row],[Ker.9]]=1,100,IF(NSi.TS[[#This Row],[Ker.9]]=2,89,IF(NSi.TS[[#This Row],[Ker.9]]=3,79,IF(NSi.TS[[#This Row],[Ker.9]]=4,69,IF(NSi.TS[[#This Row],[Ker.9]]=5,0,"-")))))</f>
        <v>-</v>
      </c>
      <c r="DO11" s="73" t="str">
        <f>IF(NSi.TS[[#This Row],[Ped.9]]=1,100,IF(NSi.TS[[#This Row],[Ped.9]]=2,89,IF(NSi.TS[[#This Row],[Ped.9]]=3,79,IF(NSi.TS[[#This Row],[Ped.9]]=4,69,IF(NSi.TS[[#This Row],[Ped.9]]=5,0,"-")))))</f>
        <v>-</v>
      </c>
      <c r="DP11" s="73" t="str">
        <f>IF(NSi.TS[[#This Row],[Pro-A.9]]=1,100,IF(NSi.TS[[#This Row],[Pro-A.9]]=2,89,IF(NSi.TS[[#This Row],[Pro-A.9]]=3,79,IF(NSi.TS[[#This Row],[Pro-A.9]]=4,69,IF(NSi.TS[[#This Row],[Pro-A.9]]=5,0,"-")))))</f>
        <v>-</v>
      </c>
    </row>
    <row r="12" spans="1:120" ht="50.1" customHeight="1" x14ac:dyDescent="0.3">
      <c r="A12" s="82">
        <v>10</v>
      </c>
      <c r="B12" s="88" t="s">
        <v>164</v>
      </c>
      <c r="C12" s="89" t="s">
        <v>177</v>
      </c>
      <c r="D12" s="90">
        <v>23768787</v>
      </c>
      <c r="E12" s="94" t="s">
        <v>167</v>
      </c>
      <c r="F12" s="44" t="str">
        <f>IFERROR(ROUND(AVERAGE(CSCR[#This Row]),0),"")</f>
        <v/>
      </c>
      <c r="G12" s="41" t="s">
        <v>102</v>
      </c>
      <c r="H12" s="45" t="s">
        <v>102</v>
      </c>
      <c r="I12" s="45" t="s">
        <v>102</v>
      </c>
      <c r="J12" s="45" t="s">
        <v>102</v>
      </c>
      <c r="K12" s="45" t="s">
        <v>102</v>
      </c>
      <c r="L12" s="41" t="s">
        <v>102</v>
      </c>
      <c r="M12" s="45" t="s">
        <v>102</v>
      </c>
      <c r="N12" s="45" t="s">
        <v>102</v>
      </c>
      <c r="O12" s="45" t="s">
        <v>102</v>
      </c>
      <c r="P12" s="45" t="s">
        <v>102</v>
      </c>
      <c r="Q12" s="41" t="s">
        <v>102</v>
      </c>
      <c r="R12" s="45" t="s">
        <v>102</v>
      </c>
      <c r="S12" s="45" t="s">
        <v>102</v>
      </c>
      <c r="T12" s="45" t="s">
        <v>102</v>
      </c>
      <c r="U12" s="45" t="s">
        <v>102</v>
      </c>
      <c r="V12" s="41" t="s">
        <v>102</v>
      </c>
      <c r="W12" s="45" t="s">
        <v>102</v>
      </c>
      <c r="X12" s="45" t="s">
        <v>102</v>
      </c>
      <c r="Y12" s="45" t="s">
        <v>102</v>
      </c>
      <c r="Z12" s="45" t="s">
        <v>102</v>
      </c>
      <c r="AA12" s="41" t="s">
        <v>102</v>
      </c>
      <c r="AB12" s="45" t="s">
        <v>102</v>
      </c>
      <c r="AC12" s="45" t="s">
        <v>102</v>
      </c>
      <c r="AD12" s="45" t="s">
        <v>102</v>
      </c>
      <c r="AE12" s="45" t="s">
        <v>102</v>
      </c>
      <c r="AF12" s="41" t="s">
        <v>102</v>
      </c>
      <c r="AG12" s="45" t="s">
        <v>102</v>
      </c>
      <c r="AH12" s="45" t="s">
        <v>102</v>
      </c>
      <c r="AI12" s="45" t="s">
        <v>102</v>
      </c>
      <c r="AJ12" s="45" t="s">
        <v>102</v>
      </c>
      <c r="AK12" s="41" t="s">
        <v>102</v>
      </c>
      <c r="AL12" s="45" t="s">
        <v>102</v>
      </c>
      <c r="AM12" s="45" t="s">
        <v>102</v>
      </c>
      <c r="AN12" s="45" t="s">
        <v>102</v>
      </c>
      <c r="AO12" s="45" t="s">
        <v>102</v>
      </c>
      <c r="AP12" s="41" t="s">
        <v>102</v>
      </c>
      <c r="AQ12" s="45" t="s">
        <v>102</v>
      </c>
      <c r="AR12" s="45" t="s">
        <v>102</v>
      </c>
      <c r="AS12" s="45" t="s">
        <v>102</v>
      </c>
      <c r="AT12" s="45" t="s">
        <v>102</v>
      </c>
      <c r="AU12" s="41" t="s">
        <v>102</v>
      </c>
      <c r="AV12" s="45" t="s">
        <v>102</v>
      </c>
      <c r="AW12" s="45" t="s">
        <v>102</v>
      </c>
      <c r="AX12" s="45" t="s">
        <v>102</v>
      </c>
      <c r="AY12" s="45" t="s">
        <v>102</v>
      </c>
      <c r="BA12" s="10" t="str">
        <f>CONCATENATE(NSi.TS[[#This Row],[KU.1]],(IF(A.LoE[[#This Row],[LE.1]]="-","-",IF(A.LoE[[#This Row],[LE.1]]&gt;=90,1,IF(A.LoE[[#This Row],[LE.1]]&gt;=80,2,IF(A.LoE[[#This Row],[LE.1]]&gt;=70,3,IF(A.LoE[[#This Row],[LE.1]]&gt;=1,4,5)))))))</f>
        <v>--</v>
      </c>
      <c r="BB12" s="46" t="str">
        <f>CONCATENATE(NSi.TS[[#This Row],[KU.2]],(IF(A.LoE[[#This Row],[LE.2]]="-","-",IF(A.LoE[[#This Row],[LE.2]]&gt;=90,1,IF(A.LoE[[#This Row],[LE.2]]&gt;=80,2,IF(A.LoE[[#This Row],[LE.2]]&gt;=70,3,IF(A.LoE[[#This Row],[LE.2]]&gt;=1,4,5)))))))</f>
        <v>--</v>
      </c>
      <c r="BC12" s="46" t="str">
        <f>CONCATENATE(NSi.TS[[#This Row],[KU.3]],(IF(A.LoE[[#This Row],[LE.3]]="-","-",IF(A.LoE[[#This Row],[LE.3]]&gt;=90,1,IF(A.LoE[[#This Row],[LE.3]]&gt;=80,2,IF(A.LoE[[#This Row],[LE.3]]&gt;=70,3,IF(A.LoE[[#This Row],[LE.3]]&gt;=1,4,5)))))))</f>
        <v>--</v>
      </c>
      <c r="BD12" s="46" t="str">
        <f>CONCATENATE(NSi.TS[[#This Row],[KU.4]],(IF(A.LoE[[#This Row],[LE.4]]="-","-",IF(A.LoE[[#This Row],[LE.4]]&gt;=90,1,IF(A.LoE[[#This Row],[LE.4]]&gt;=80,2,IF(A.LoE[[#This Row],[LE.4]]&gt;=70,3,IF(A.LoE[[#This Row],[LE.4]]&gt;=1,4,5)))))))</f>
        <v>--</v>
      </c>
      <c r="BE12" s="46" t="str">
        <f>CONCATENATE(NSi.TS[[#This Row],[KU.5]],(IF(A.LoE[[#This Row],[LE.5]]="-","-",IF(A.LoE[[#This Row],[LE.5]]&gt;=90,1,IF(A.LoE[[#This Row],[LE.5]]&gt;=80,2,IF(A.LoE[[#This Row],[LE.5]]&gt;=70,3,IF(A.LoE[[#This Row],[LE.5]]&gt;=1,4,5)))))))</f>
        <v>--</v>
      </c>
      <c r="BF12" s="46" t="str">
        <f>CONCATENATE(NSi.TS[[#This Row],[KU.6]],(IF(A.LoE[[#This Row],[LE.6]]="-","-",IF(A.LoE[[#This Row],[LE.6]]&gt;=90,1,IF(A.LoE[[#This Row],[LE.6]]&gt;=80,2,IF(A.LoE[[#This Row],[LE.6]]&gt;=70,3,IF(A.LoE[[#This Row],[LE.6]]&gt;=1,4,5)))))))</f>
        <v>--</v>
      </c>
      <c r="BG12" s="46" t="str">
        <f>CONCATENATE(NSi.TS[[#This Row],[KU.7]],(IF(A.LoE[[#This Row],[LE.7]]="-","-",IF(A.LoE[[#This Row],[LE.7]]&gt;=90,1,IF(A.LoE[[#This Row],[LE.7]]&gt;=80,2,IF(A.LoE[[#This Row],[LE.7]]&gt;=70,3,IF(A.LoE[[#This Row],[LE.7]]&gt;=1,4,5)))))))</f>
        <v>--</v>
      </c>
      <c r="BH12" s="46" t="str">
        <f>CONCATENATE(NSi.TS[[#This Row],[KU.8]],(IF(A.LoE[[#This Row],[LE.8]]="-","-",IF(A.LoE[[#This Row],[LE.8]]&gt;=90,1,IF(A.LoE[[#This Row],[LE.8]]&gt;=80,2,IF(A.LoE[[#This Row],[LE.8]]&gt;=70,3,IF(A.LoE[[#This Row],[LE.8]]&gt;=1,4,5)))))))</f>
        <v>--</v>
      </c>
      <c r="BI12" s="38" t="str">
        <f>CONCATENATE(NSi.TS[[#This Row],[KU.9]],(IF(A.LoE[[#This Row],[LE.9]]="-","-",IF(A.LoE[[#This Row],[LE.9]]&gt;=90,1,IF(A.LoE[[#This Row],[LE.9]]&gt;=80,2,IF(A.LoE[[#This Row],[LE.9]]&gt;=70,3,IF(A.LoE[[#This Row],[LE.9]]&gt;=1,4,5)))))))</f>
        <v>--</v>
      </c>
      <c r="BK12" s="35" t="str">
        <f>IFERROR(ROUND(AVERAGE(Con.Sk[[#This Row],[TJ.1]:[Pro-A.1]]),0),"-")</f>
        <v>-</v>
      </c>
      <c r="BL12" s="24" t="str">
        <f>IFERROR(ROUND(AVERAGE(Con.Sk[[#This Row],[TJ.2]:[Pro-A.2]]),0),"-")</f>
        <v>-</v>
      </c>
      <c r="BM12" s="24" t="str">
        <f>IFERROR(ROUND(AVERAGE(Con.Sk[[#This Row],[TJ.3]:[Pro-A.3]]),0),"-")</f>
        <v>-</v>
      </c>
      <c r="BN12" s="24" t="str">
        <f>IFERROR(ROUND(AVERAGE(Con.Sk[[#This Row],[TJ.4]:[Pro-A.4]]),0),"-")</f>
        <v>-</v>
      </c>
      <c r="BO12" s="24" t="str">
        <f>IFERROR(ROUND(AVERAGE(Con.Sk[[#This Row],[TJ.5]:[Pro-A.5]]),0),"-")</f>
        <v>-</v>
      </c>
      <c r="BP12" s="24" t="str">
        <f>IFERROR(ROUND(AVERAGE(Con.Sk[[#This Row],[TJ.6]:[Pro-A.6]]),0),"-")</f>
        <v>-</v>
      </c>
      <c r="BQ12" s="24" t="str">
        <f>IFERROR(ROUND(AVERAGE(Con.Sk[[#This Row],[TJ.7]:[Pro-A.7]]),0),"-")</f>
        <v>-</v>
      </c>
      <c r="BR12" s="24" t="str">
        <f>IFERROR(ROUND(AVERAGE(Con.Sk[[#This Row],[TJ.8]:[Pro-A.8]]),0),"-")</f>
        <v>-</v>
      </c>
      <c r="BS12" s="25" t="str">
        <f>IFERROR(ROUND(AVERAGE(Con.Sk[[#This Row],[TJ.9]:[Pro-A.9]]),0),"-")</f>
        <v>-</v>
      </c>
      <c r="BU12" s="47" t="str">
        <f>IFERROR(ROUND(AVERAGE(Con.Sk[[#This Row],[KU.1]],Con.Sk[[#This Row],[KU.2]],Con.Sk[[#This Row],[KU.3]],Con.Sk[[#This Row],[KU.4]],Con.Sk[[#This Row],[KU.5]],Con.Sk[[#This Row],[KU.6]],Con.Sk[[#This Row],[KU.7]],Con.Sk[[#This Row],[KU.8]],Con.Sk[[#This Row],[KU.9]]),0),"")</f>
        <v/>
      </c>
      <c r="BV12" s="48" t="str">
        <f>IFERROR(ROUND(AVERAGE(Con.Sk[[#This Row],[TJ.1]:[Pro-A.1]],Con.Sk[[#This Row],[TJ.2]:[Pro-A.2]],Con.Sk[[#This Row],[TJ.3]:[Pro-A.3]],Con.Sk[[#This Row],[TJ.4]:[Pro-A.4]],Con.Sk[[#This Row],[TJ.5]:[Pro-A.5]],Con.Sk[[#This Row],[TJ.6]:[Pro-A.6]],Con.Sk[[#This Row],[TJ.7]:[Pro-A.7]],Con.Sk[[#This Row],[TJ.8]:[Pro-A.8]],Con.Sk[[#This Row],[TJ.9]:[Pro-A.9]]),0),"")</f>
        <v/>
      </c>
      <c r="BW12" s="3"/>
      <c r="BX12" s="73" t="str">
        <f>IF(NSi.TS[[#This Row],[KU.1]]="A",100,IF(NSi.TS[[#This Row],[KU.1]]="B",89,IF(NSi.TS[[#This Row],[KU.1]]="C",79,IF(NSi.TS[[#This Row],[KU.1]]="D",69,IF(NSi.TS[[#This Row],[KU.1]]="E",0,"-")))))</f>
        <v>-</v>
      </c>
      <c r="BY12" s="73" t="str">
        <f>IF(NSi.TS[[#This Row],[TJ.1]]=1,100,IF(NSi.TS[[#This Row],[TJ.1]]=2,89,IF(NSi.TS[[#This Row],[TJ.1]]=3,79,IF(NSi.TS[[#This Row],[TJ.1]]=4,69,IF(NSi.TS[[#This Row],[TJ.1]]=5,0,"-")))))</f>
        <v>-</v>
      </c>
      <c r="BZ12" s="73" t="str">
        <f>IF(NSi.TS[[#This Row],[Ker.1]]=1,100,IF(NSi.TS[[#This Row],[Ker.1]]=2,89,IF(NSi.TS[[#This Row],[Ker.1]]=3,79,IF(NSi.TS[[#This Row],[Ker.1]]=4,69,IF(NSi.TS[[#This Row],[Ker.1]]=5,0,"-")))))</f>
        <v>-</v>
      </c>
      <c r="CA12" s="73" t="str">
        <f>IF(NSi.TS[[#This Row],[Ped.1]]=1,100,IF(NSi.TS[[#This Row],[Ped.1]]=2,89,IF(NSi.TS[[#This Row],[Ped.1]]=3,79,IF(NSi.TS[[#This Row],[Ped.1]]=4,69,IF(NSi.TS[[#This Row],[Ped.1]]=5,0,"-")))))</f>
        <v>-</v>
      </c>
      <c r="CB12" s="73" t="str">
        <f>IF(NSi.TS[[#This Row],[Pro-A.1]]=1,100,IF(NSi.TS[[#This Row],[Pro-A.1]]=2,89,IF(NSi.TS[[#This Row],[Pro-A.1]]=3,79,IF(NSi.TS[[#This Row],[Pro-A.1]]=4,69,IF(NSi.TS[[#This Row],[Pro-A.1]]=5,0,"-")))))</f>
        <v>-</v>
      </c>
      <c r="CC12" s="73" t="str">
        <f>IF(NSi.TS[[#This Row],[KU.2]]="A",100,IF(NSi.TS[[#This Row],[KU.2]]="B",89,IF(NSi.TS[[#This Row],[KU.2]]="C",79,IF(NSi.TS[[#This Row],[KU.2]]="D",69,IF(NSi.TS[[#This Row],[KU.2]]="E",0,"-")))))</f>
        <v>-</v>
      </c>
      <c r="CD12" s="73" t="str">
        <f>IF(NSi.TS[[#This Row],[TJ.2]]=1,100,IF(NSi.TS[[#This Row],[TJ.2]]=2,89,IF(NSi.TS[[#This Row],[TJ.2]]=3,79,IF(NSi.TS[[#This Row],[TJ.2]]=4,69,IF(NSi.TS[[#This Row],[TJ.2]]=5,0,"-")))))</f>
        <v>-</v>
      </c>
      <c r="CE12" s="73" t="str">
        <f>IF(NSi.TS[[#This Row],[Ker.2]]=1,100,IF(NSi.TS[[#This Row],[Ker.2]]=2,89,IF(NSi.TS[[#This Row],[Ker.2]]=3,79,IF(NSi.TS[[#This Row],[Ker.2]]=4,69,IF(NSi.TS[[#This Row],[Ker.2]]=5,0,"-")))))</f>
        <v>-</v>
      </c>
      <c r="CF12" s="73" t="str">
        <f>IF(NSi.TS[[#This Row],[Ped.2]]=1,100,IF(NSi.TS[[#This Row],[Ped.2]]=2,89,IF(NSi.TS[[#This Row],[Ped.2]]=3,79,IF(NSi.TS[[#This Row],[Ped.2]]=4,69,IF(NSi.TS[[#This Row],[Ped.2]]=5,0,"-")))))</f>
        <v>-</v>
      </c>
      <c r="CG12" s="73" t="str">
        <f>IF(NSi.TS[[#This Row],[Pro-A.2]]=1,100,IF(NSi.TS[[#This Row],[Pro-A.2]]=2,89,IF(NSi.TS[[#This Row],[Pro-A.2]]=3,79,IF(NSi.TS[[#This Row],[Pro-A.2]]=4,69,IF(NSi.TS[[#This Row],[Pro-A.2]]=5,0,"-")))))</f>
        <v>-</v>
      </c>
      <c r="CH12" s="74" t="str">
        <f>IF(NSi.TS[[#This Row],[KU.3]]="A",100,IF(NSi.TS[[#This Row],[KU.3]]="B",89,IF(NSi.TS[[#This Row],[KU.3]]="C",79,IF(NSi.TS[[#This Row],[KU.3]]="D",69,IF(NSi.TS[[#This Row],[KU.3]]="E",0,"-")))))</f>
        <v>-</v>
      </c>
      <c r="CI12" s="73" t="str">
        <f>IF(NSi.TS[[#This Row],[TJ.3]]=1,100,IF(NSi.TS[[#This Row],[TJ.3]]=2,89,IF(NSi.TS[[#This Row],[TJ.3]]=3,79,IF(NSi.TS[[#This Row],[TJ.3]]=4,69,IF(NSi.TS[[#This Row],[TJ.3]]=5,0,"-")))))</f>
        <v>-</v>
      </c>
      <c r="CJ12" s="73" t="str">
        <f>IF(NSi.TS[[#This Row],[Ker.3]]=1,100,IF(NSi.TS[[#This Row],[Ker.3]]=2,89,IF(NSi.TS[[#This Row],[Ker.3]]=3,79,IF(NSi.TS[[#This Row],[Ker.3]]=4,69,IF(NSi.TS[[#This Row],[Ker.3]]=5,0,"-")))))</f>
        <v>-</v>
      </c>
      <c r="CK12" s="73" t="str">
        <f>IF(NSi.TS[[#This Row],[Ped.3]]=1,100,IF(NSi.TS[[#This Row],[Ped.3]]=2,89,IF(NSi.TS[[#This Row],[Ped.3]]=3,79,IF(NSi.TS[[#This Row],[Ped.3]]=4,69,IF(NSi.TS[[#This Row],[Ped.3]]=5,0,"-")))))</f>
        <v>-</v>
      </c>
      <c r="CL12" s="73" t="str">
        <f>IF(NSi.TS[[#This Row],[Pro-A.3]]=1,100,IF(NSi.TS[[#This Row],[Pro-A.3]]=2,89,IF(NSi.TS[[#This Row],[Pro-A.3]]=3,79,IF(NSi.TS[[#This Row],[Pro-A.3]]=4,69,IF(NSi.TS[[#This Row],[Pro-A.3]]=5,0,"-")))))</f>
        <v>-</v>
      </c>
      <c r="CM12" s="74" t="str">
        <f>IF(NSi.TS[[#This Row],[KU.4]]="A",100,IF(NSi.TS[[#This Row],[KU.4]]="B",89,IF(NSi.TS[[#This Row],[KU.4]]="C",79,IF(NSi.TS[[#This Row],[KU.4]]="D",69,IF(NSi.TS[[#This Row],[KU.4]]="E",0,"-")))))</f>
        <v>-</v>
      </c>
      <c r="CN12" s="73" t="str">
        <f>IF(NSi.TS[[#This Row],[TJ.4]]=1,100,IF(NSi.TS[[#This Row],[TJ.4]]=2,89,IF(NSi.TS[[#This Row],[TJ.4]]=3,79,IF(NSi.TS[[#This Row],[TJ.4]]=4,69,IF(NSi.TS[[#This Row],[TJ.4]]=5,0,"-")))))</f>
        <v>-</v>
      </c>
      <c r="CO12" s="73" t="str">
        <f>IF(NSi.TS[[#This Row],[Ker.4]]=1,100,IF(NSi.TS[[#This Row],[Ker.4]]=2,89,IF(NSi.TS[[#This Row],[Ker.4]]=3,79,IF(NSi.TS[[#This Row],[Ker.4]]=4,69,IF(NSi.TS[[#This Row],[Ker.4]]=5,0,"-")))))</f>
        <v>-</v>
      </c>
      <c r="CP12" s="73" t="str">
        <f>IF(NSi.TS[[#This Row],[Ped.4]]=1,100,IF(NSi.TS[[#This Row],[Ped.4]]=2,89,IF(NSi.TS[[#This Row],[Ped.4]]=3,79,IF(NSi.TS[[#This Row],[Ped.4]]=4,69,IF(NSi.TS[[#This Row],[Ped.4]]=5,0,"-")))))</f>
        <v>-</v>
      </c>
      <c r="CQ12" s="73" t="str">
        <f>IF(NSi.TS[[#This Row],[Pro-A.4]]=1,100,IF(NSi.TS[[#This Row],[Pro-A.4]]=2,89,IF(NSi.TS[[#This Row],[Pro-A.4]]=3,79,IF(NSi.TS[[#This Row],[Pro-A.4]]=4,69,IF(NSi.TS[[#This Row],[Pro-A.4]]=5,0,"-")))))</f>
        <v>-</v>
      </c>
      <c r="CR12" s="74" t="str">
        <f>IF(NSi.TS[[#This Row],[KU.5]]="A",100,IF(NSi.TS[[#This Row],[KU.5]]="B",89,IF(NSi.TS[[#This Row],[KU.5]]="C",79,IF(NSi.TS[[#This Row],[KU.5]]="D",69,IF(NSi.TS[[#This Row],[KU.5]]="E",0,"-")))))</f>
        <v>-</v>
      </c>
      <c r="CS12" s="73" t="str">
        <f>IF(NSi.TS[[#This Row],[TJ.5]]=1,100,IF(NSi.TS[[#This Row],[TJ.5]]=2,89,IF(NSi.TS[[#This Row],[TJ.5]]=3,79,IF(NSi.TS[[#This Row],[TJ.5]]=4,69,IF(NSi.TS[[#This Row],[TJ.5]]=5,0,"-")))))</f>
        <v>-</v>
      </c>
      <c r="CT12" s="73" t="str">
        <f>IF(NSi.TS[[#This Row],[Ker.5]]=1,100,IF(NSi.TS[[#This Row],[Ker.5]]=2,89,IF(NSi.TS[[#This Row],[Ker.5]]=3,79,IF(NSi.TS[[#This Row],[Ker.5]]=4,69,IF(NSi.TS[[#This Row],[Ker.5]]=5,0,"-")))))</f>
        <v>-</v>
      </c>
      <c r="CU12" s="73" t="str">
        <f>IF(NSi.TS[[#This Row],[Ped.5]]=1,100,IF(NSi.TS[[#This Row],[Ped.5]]=2,89,IF(NSi.TS[[#This Row],[Ped.5]]=3,79,IF(NSi.TS[[#This Row],[Ped.5]]=4,69,IF(NSi.TS[[#This Row],[Ped.5]]=5,0,"-")))))</f>
        <v>-</v>
      </c>
      <c r="CV12" s="73" t="str">
        <f>IF(NSi.TS[[#This Row],[Pro-A.5]]=1,100,IF(NSi.TS[[#This Row],[Pro-A.5]]=2,89,IF(NSi.TS[[#This Row],[Pro-A.5]]=3,79,IF(NSi.TS[[#This Row],[Pro-A.5]]=4,69,IF(NSi.TS[[#This Row],[Pro-A.5]]=5,0,"-")))))</f>
        <v>-</v>
      </c>
      <c r="CW12" s="74" t="str">
        <f>IF(NSi.TS[[#This Row],[KU.6]]="A",100,IF(NSi.TS[[#This Row],[KU.6]]="B",89,IF(NSi.TS[[#This Row],[KU.6]]="C",79,IF(NSi.TS[[#This Row],[KU.6]]="D",69,IF(NSi.TS[[#This Row],[KU.6]]="E",0,"-")))))</f>
        <v>-</v>
      </c>
      <c r="CX12" s="73" t="str">
        <f>IF(NSi.TS[[#This Row],[TJ.6]]=1,100,IF(NSi.TS[[#This Row],[TJ.6]]=2,89,IF(NSi.TS[[#This Row],[TJ.6]]=3,79,IF(NSi.TS[[#This Row],[TJ.6]]=4,69,IF(NSi.TS[[#This Row],[TJ.6]]=5,0,"-")))))</f>
        <v>-</v>
      </c>
      <c r="CY12" s="73" t="str">
        <f>IF(NSi.TS[[#This Row],[Ker.6]]=1,100,IF(NSi.TS[[#This Row],[Ker.6]]=2,89,IF(NSi.TS[[#This Row],[Ker.6]]=3,79,IF(NSi.TS[[#This Row],[Ker.6]]=4,69,IF(NSi.TS[[#This Row],[Ker.6]]=5,0,"-")))))</f>
        <v>-</v>
      </c>
      <c r="CZ12" s="73" t="str">
        <f>IF(NSi.TS[[#This Row],[Ped.6]]=1,100,IF(NSi.TS[[#This Row],[Ped.6]]=2,89,IF(NSi.TS[[#This Row],[Ped.6]]=3,79,IF(NSi.TS[[#This Row],[Ped.6]]=4,69,IF(NSi.TS[[#This Row],[Ped.6]]=5,0,"-")))))</f>
        <v>-</v>
      </c>
      <c r="DA12" s="73" t="str">
        <f>IF(NSi.TS[[#This Row],[Pro-A.6]]=1,100,IF(NSi.TS[[#This Row],[Pro-A.6]]=2,89,IF(NSi.TS[[#This Row],[Pro-A.6]]=3,79,IF(NSi.TS[[#This Row],[Pro-A.6]]=4,69,IF(NSi.TS[[#This Row],[Pro-A.6]]=5,0,"-")))))</f>
        <v>-</v>
      </c>
      <c r="DB12" s="74" t="str">
        <f>IF(NSi.TS[[#This Row],[KU.7]]="A",100,IF(NSi.TS[[#This Row],[KU.7]]="B",89,IF(NSi.TS[[#This Row],[KU.7]]="C",79,IF(NSi.TS[[#This Row],[KU.7]]="D",69,IF(NSi.TS[[#This Row],[KU.7]]="E",0,"-")))))</f>
        <v>-</v>
      </c>
      <c r="DC12" s="73" t="str">
        <f>IF(NSi.TS[[#This Row],[TJ.7]]=1,100,IF(NSi.TS[[#This Row],[TJ.7]]=2,89,IF(NSi.TS[[#This Row],[TJ.7]]=3,79,IF(NSi.TS[[#This Row],[TJ.7]]=4,69,IF(NSi.TS[[#This Row],[TJ.7]]=5,0,"-")))))</f>
        <v>-</v>
      </c>
      <c r="DD12" s="73" t="str">
        <f>IF(NSi.TS[[#This Row],[Ker.7]]=1,100,IF(NSi.TS[[#This Row],[Ker.7]]=2,89,IF(NSi.TS[[#This Row],[Ker.7]]=3,79,IF(NSi.TS[[#This Row],[Ker.7]]=4,69,IF(NSi.TS[[#This Row],[Ker.7]]=5,0,"-")))))</f>
        <v>-</v>
      </c>
      <c r="DE12" s="73" t="str">
        <f>IF(NSi.TS[[#This Row],[Ped.7]]=1,100,IF(NSi.TS[[#This Row],[Ped.7]]=2,89,IF(NSi.TS[[#This Row],[Ped.7]]=3,79,IF(NSi.TS[[#This Row],[Ped.7]]=4,69,IF(NSi.TS[[#This Row],[Ped.7]]=5,0,"-")))))</f>
        <v>-</v>
      </c>
      <c r="DF12" s="73" t="str">
        <f>IF(NSi.TS[[#This Row],[Pro-A.7]]=1,100,IF(NSi.TS[[#This Row],[Pro-A.7]]=2,89,IF(NSi.TS[[#This Row],[Pro-A.7]]=3,79,IF(NSi.TS[[#This Row],[Pro-A.7]]=4,69,IF(NSi.TS[[#This Row],[Pro-A.7]]=5,0,"-")))))</f>
        <v>-</v>
      </c>
      <c r="DG12" s="74" t="str">
        <f>IF(NSi.TS[[#This Row],[KU.8]]="A",100,IF(NSi.TS[[#This Row],[KU.8]]="B",89,IF(NSi.TS[[#This Row],[KU.8]]="C",79,IF(NSi.TS[[#This Row],[KU.8]]="D",69,IF(NSi.TS[[#This Row],[KU.8]]="E",0,"-")))))</f>
        <v>-</v>
      </c>
      <c r="DH12" s="73" t="str">
        <f>IF(NSi.TS[[#This Row],[TJ.8]]=1,100,IF(NSi.TS[[#This Row],[TJ.8]]=2,89,IF(NSi.TS[[#This Row],[TJ.8]]=3,79,IF(NSi.TS[[#This Row],[TJ.8]]=4,69,IF(NSi.TS[[#This Row],[TJ.8]]=5,0,"-")))))</f>
        <v>-</v>
      </c>
      <c r="DI12" s="73" t="str">
        <f>IF(NSi.TS[[#This Row],[Ker.8]]=1,100,IF(NSi.TS[[#This Row],[Ker.8]]=2,89,IF(NSi.TS[[#This Row],[Ker.8]]=3,79,IF(NSi.TS[[#This Row],[Ker.8]]=4,69,IF(NSi.TS[[#This Row],[Ker.8]]=5,0,"-")))))</f>
        <v>-</v>
      </c>
      <c r="DJ12" s="73" t="str">
        <f>IF(NSi.TS[[#This Row],[Ped.8]]=1,100,IF(NSi.TS[[#This Row],[Ped.8]]=2,89,IF(NSi.TS[[#This Row],[Ped.8]]=3,79,IF(NSi.TS[[#This Row],[Ped.8]]=4,69,IF(NSi.TS[[#This Row],[Ped.8]]=5,0,"-")))))</f>
        <v>-</v>
      </c>
      <c r="DK12" s="73" t="str">
        <f>IF(NSi.TS[[#This Row],[Pro-A.8]]=1,100,IF(NSi.TS[[#This Row],[Pro-A.8]]=2,89,IF(NSi.TS[[#This Row],[Pro-A.8]]=3,79,IF(NSi.TS[[#This Row],[Pro-A.8]]=4,69,IF(NSi.TS[[#This Row],[Pro-A.8]]=5,0,"-")))))</f>
        <v>-</v>
      </c>
      <c r="DL12" s="74" t="str">
        <f>IF(NSi.TS[[#This Row],[KU.9]]="A",100,IF(NSi.TS[[#This Row],[KU.9]]="B",89,IF(NSi.TS[[#This Row],[KU.9]]="C",79,IF(NSi.TS[[#This Row],[KU.9]]="D",69,IF(NSi.TS[[#This Row],[KU.9]]="E",0,"-")))))</f>
        <v>-</v>
      </c>
      <c r="DM12" s="73" t="str">
        <f>IF(NSi.TS[[#This Row],[TJ.9]]=1,100,IF(NSi.TS[[#This Row],[TJ.9]]=2,89,IF(NSi.TS[[#This Row],[TJ.9]]=3,79,IF(NSi.TS[[#This Row],[TJ.9]]=4,69,IF(NSi.TS[[#This Row],[TJ.9]]=5,0,"-")))))</f>
        <v>-</v>
      </c>
      <c r="DN12" s="73" t="str">
        <f>IF(NSi.TS[[#This Row],[Ker.9]]=1,100,IF(NSi.TS[[#This Row],[Ker.9]]=2,89,IF(NSi.TS[[#This Row],[Ker.9]]=3,79,IF(NSi.TS[[#This Row],[Ker.9]]=4,69,IF(NSi.TS[[#This Row],[Ker.9]]=5,0,"-")))))</f>
        <v>-</v>
      </c>
      <c r="DO12" s="73" t="str">
        <f>IF(NSi.TS[[#This Row],[Ped.9]]=1,100,IF(NSi.TS[[#This Row],[Ped.9]]=2,89,IF(NSi.TS[[#This Row],[Ped.9]]=3,79,IF(NSi.TS[[#This Row],[Ped.9]]=4,69,IF(NSi.TS[[#This Row],[Ped.9]]=5,0,"-")))))</f>
        <v>-</v>
      </c>
      <c r="DP12" s="73" t="str">
        <f>IF(NSi.TS[[#This Row],[Pro-A.9]]=1,100,IF(NSi.TS[[#This Row],[Pro-A.9]]=2,89,IF(NSi.TS[[#This Row],[Pro-A.9]]=3,79,IF(NSi.TS[[#This Row],[Pro-A.9]]=4,69,IF(NSi.TS[[#This Row],[Pro-A.9]]=5,0,"-")))))</f>
        <v>-</v>
      </c>
    </row>
    <row r="13" spans="1:120" ht="50.1" customHeight="1" x14ac:dyDescent="0.3">
      <c r="A13" s="85"/>
      <c r="B13" s="86"/>
      <c r="C13" s="87"/>
      <c r="D13" s="87"/>
      <c r="E13" s="87"/>
      <c r="F13" s="44" t="str">
        <f>IFERROR(ROUND(AVERAGE(CSCR[#This Row]),0),"")</f>
        <v/>
      </c>
      <c r="G13" s="41" t="s">
        <v>102</v>
      </c>
      <c r="H13" s="45" t="s">
        <v>102</v>
      </c>
      <c r="I13" s="45" t="s">
        <v>102</v>
      </c>
      <c r="J13" s="45" t="s">
        <v>102</v>
      </c>
      <c r="K13" s="45" t="s">
        <v>102</v>
      </c>
      <c r="L13" s="41" t="s">
        <v>102</v>
      </c>
      <c r="M13" s="45" t="s">
        <v>102</v>
      </c>
      <c r="N13" s="45" t="s">
        <v>102</v>
      </c>
      <c r="O13" s="45" t="s">
        <v>102</v>
      </c>
      <c r="P13" s="45" t="s">
        <v>102</v>
      </c>
      <c r="Q13" s="41" t="s">
        <v>102</v>
      </c>
      <c r="R13" s="45" t="s">
        <v>102</v>
      </c>
      <c r="S13" s="45" t="s">
        <v>102</v>
      </c>
      <c r="T13" s="45" t="s">
        <v>102</v>
      </c>
      <c r="U13" s="45" t="s">
        <v>102</v>
      </c>
      <c r="V13" s="41" t="s">
        <v>102</v>
      </c>
      <c r="W13" s="45" t="s">
        <v>102</v>
      </c>
      <c r="X13" s="45" t="s">
        <v>102</v>
      </c>
      <c r="Y13" s="45" t="s">
        <v>102</v>
      </c>
      <c r="Z13" s="45" t="s">
        <v>102</v>
      </c>
      <c r="AA13" s="41" t="s">
        <v>102</v>
      </c>
      <c r="AB13" s="45" t="s">
        <v>102</v>
      </c>
      <c r="AC13" s="45" t="s">
        <v>102</v>
      </c>
      <c r="AD13" s="45" t="s">
        <v>102</v>
      </c>
      <c r="AE13" s="45" t="s">
        <v>102</v>
      </c>
      <c r="AF13" s="41" t="s">
        <v>102</v>
      </c>
      <c r="AG13" s="45" t="s">
        <v>102</v>
      </c>
      <c r="AH13" s="45" t="s">
        <v>102</v>
      </c>
      <c r="AI13" s="45" t="s">
        <v>102</v>
      </c>
      <c r="AJ13" s="45" t="s">
        <v>102</v>
      </c>
      <c r="AK13" s="41" t="s">
        <v>102</v>
      </c>
      <c r="AL13" s="45" t="s">
        <v>102</v>
      </c>
      <c r="AM13" s="45" t="s">
        <v>102</v>
      </c>
      <c r="AN13" s="45" t="s">
        <v>102</v>
      </c>
      <c r="AO13" s="45" t="s">
        <v>102</v>
      </c>
      <c r="AP13" s="41" t="s">
        <v>102</v>
      </c>
      <c r="AQ13" s="45" t="s">
        <v>102</v>
      </c>
      <c r="AR13" s="45" t="s">
        <v>102</v>
      </c>
      <c r="AS13" s="45" t="s">
        <v>102</v>
      </c>
      <c r="AT13" s="45" t="s">
        <v>102</v>
      </c>
      <c r="AU13" s="41" t="s">
        <v>102</v>
      </c>
      <c r="AV13" s="45" t="s">
        <v>102</v>
      </c>
      <c r="AW13" s="45" t="s">
        <v>102</v>
      </c>
      <c r="AX13" s="45" t="s">
        <v>102</v>
      </c>
      <c r="AY13" s="45" t="s">
        <v>102</v>
      </c>
      <c r="BA13" s="10" t="str">
        <f>CONCATENATE(NSi.TS[[#This Row],[KU.1]],(IF(A.LoE[[#This Row],[LE.1]]="-","-",IF(A.LoE[[#This Row],[LE.1]]&gt;=90,1,IF(A.LoE[[#This Row],[LE.1]]&gt;=80,2,IF(A.LoE[[#This Row],[LE.1]]&gt;=70,3,IF(A.LoE[[#This Row],[LE.1]]&gt;=1,4,5)))))))</f>
        <v>--</v>
      </c>
      <c r="BB13" s="46" t="str">
        <f>CONCATENATE(NSi.TS[[#This Row],[KU.2]],(IF(A.LoE[[#This Row],[LE.2]]="-","-",IF(A.LoE[[#This Row],[LE.2]]&gt;=90,1,IF(A.LoE[[#This Row],[LE.2]]&gt;=80,2,IF(A.LoE[[#This Row],[LE.2]]&gt;=70,3,IF(A.LoE[[#This Row],[LE.2]]&gt;=1,4,5)))))))</f>
        <v>--</v>
      </c>
      <c r="BC13" s="46" t="str">
        <f>CONCATENATE(NSi.TS[[#This Row],[KU.3]],(IF(A.LoE[[#This Row],[LE.3]]="-","-",IF(A.LoE[[#This Row],[LE.3]]&gt;=90,1,IF(A.LoE[[#This Row],[LE.3]]&gt;=80,2,IF(A.LoE[[#This Row],[LE.3]]&gt;=70,3,IF(A.LoE[[#This Row],[LE.3]]&gt;=1,4,5)))))))</f>
        <v>--</v>
      </c>
      <c r="BD13" s="46" t="str">
        <f>CONCATENATE(NSi.TS[[#This Row],[KU.4]],(IF(A.LoE[[#This Row],[LE.4]]="-","-",IF(A.LoE[[#This Row],[LE.4]]&gt;=90,1,IF(A.LoE[[#This Row],[LE.4]]&gt;=80,2,IF(A.LoE[[#This Row],[LE.4]]&gt;=70,3,IF(A.LoE[[#This Row],[LE.4]]&gt;=1,4,5)))))))</f>
        <v>--</v>
      </c>
      <c r="BE13" s="46" t="str">
        <f>CONCATENATE(NSi.TS[[#This Row],[KU.5]],(IF(A.LoE[[#This Row],[LE.5]]="-","-",IF(A.LoE[[#This Row],[LE.5]]&gt;=90,1,IF(A.LoE[[#This Row],[LE.5]]&gt;=80,2,IF(A.LoE[[#This Row],[LE.5]]&gt;=70,3,IF(A.LoE[[#This Row],[LE.5]]&gt;=1,4,5)))))))</f>
        <v>--</v>
      </c>
      <c r="BF13" s="46" t="str">
        <f>CONCATENATE(NSi.TS[[#This Row],[KU.6]],(IF(A.LoE[[#This Row],[LE.6]]="-","-",IF(A.LoE[[#This Row],[LE.6]]&gt;=90,1,IF(A.LoE[[#This Row],[LE.6]]&gt;=80,2,IF(A.LoE[[#This Row],[LE.6]]&gt;=70,3,IF(A.LoE[[#This Row],[LE.6]]&gt;=1,4,5)))))))</f>
        <v>--</v>
      </c>
      <c r="BG13" s="46" t="str">
        <f>CONCATENATE(NSi.TS[[#This Row],[KU.7]],(IF(A.LoE[[#This Row],[LE.7]]="-","-",IF(A.LoE[[#This Row],[LE.7]]&gt;=90,1,IF(A.LoE[[#This Row],[LE.7]]&gt;=80,2,IF(A.LoE[[#This Row],[LE.7]]&gt;=70,3,IF(A.LoE[[#This Row],[LE.7]]&gt;=1,4,5)))))))</f>
        <v>--</v>
      </c>
      <c r="BH13" s="46" t="str">
        <f>CONCATENATE(NSi.TS[[#This Row],[KU.8]],(IF(A.LoE[[#This Row],[LE.8]]="-","-",IF(A.LoE[[#This Row],[LE.8]]&gt;=90,1,IF(A.LoE[[#This Row],[LE.8]]&gt;=80,2,IF(A.LoE[[#This Row],[LE.8]]&gt;=70,3,IF(A.LoE[[#This Row],[LE.8]]&gt;=1,4,5)))))))</f>
        <v>--</v>
      </c>
      <c r="BI13" s="38" t="str">
        <f>CONCATENATE(NSi.TS[[#This Row],[KU.9]],(IF(A.LoE[[#This Row],[LE.9]]="-","-",IF(A.LoE[[#This Row],[LE.9]]&gt;=90,1,IF(A.LoE[[#This Row],[LE.9]]&gt;=80,2,IF(A.LoE[[#This Row],[LE.9]]&gt;=70,3,IF(A.LoE[[#This Row],[LE.9]]&gt;=1,4,5)))))))</f>
        <v>--</v>
      </c>
      <c r="BK13" s="35" t="str">
        <f>IFERROR(ROUND(AVERAGE(Con.Sk[[#This Row],[TJ.1]:[Pro-A.1]]),0),"-")</f>
        <v>-</v>
      </c>
      <c r="BL13" s="24" t="str">
        <f>IFERROR(ROUND(AVERAGE(Con.Sk[[#This Row],[TJ.2]:[Pro-A.2]]),0),"-")</f>
        <v>-</v>
      </c>
      <c r="BM13" s="24" t="str">
        <f>IFERROR(ROUND(AVERAGE(Con.Sk[[#This Row],[TJ.3]:[Pro-A.3]]),0),"-")</f>
        <v>-</v>
      </c>
      <c r="BN13" s="24" t="str">
        <f>IFERROR(ROUND(AVERAGE(Con.Sk[[#This Row],[TJ.4]:[Pro-A.4]]),0),"-")</f>
        <v>-</v>
      </c>
      <c r="BO13" s="24" t="str">
        <f>IFERROR(ROUND(AVERAGE(Con.Sk[[#This Row],[TJ.5]:[Pro-A.5]]),0),"-")</f>
        <v>-</v>
      </c>
      <c r="BP13" s="24" t="str">
        <f>IFERROR(ROUND(AVERAGE(Con.Sk[[#This Row],[TJ.6]:[Pro-A.6]]),0),"-")</f>
        <v>-</v>
      </c>
      <c r="BQ13" s="24" t="str">
        <f>IFERROR(ROUND(AVERAGE(Con.Sk[[#This Row],[TJ.7]:[Pro-A.7]]),0),"-")</f>
        <v>-</v>
      </c>
      <c r="BR13" s="24" t="str">
        <f>IFERROR(ROUND(AVERAGE(Con.Sk[[#This Row],[TJ.8]:[Pro-A.8]]),0),"-")</f>
        <v>-</v>
      </c>
      <c r="BS13" s="25" t="str">
        <f>IFERROR(ROUND(AVERAGE(Con.Sk[[#This Row],[TJ.9]:[Pro-A.9]]),0),"-")</f>
        <v>-</v>
      </c>
      <c r="BU13" s="47" t="str">
        <f>IFERROR(ROUND(AVERAGE(Con.Sk[[#This Row],[KU.1]],Con.Sk[[#This Row],[KU.2]],Con.Sk[[#This Row],[KU.3]],Con.Sk[[#This Row],[KU.4]],Con.Sk[[#This Row],[KU.5]],Con.Sk[[#This Row],[KU.6]],Con.Sk[[#This Row],[KU.7]],Con.Sk[[#This Row],[KU.8]],Con.Sk[[#This Row],[KU.9]]),0),"")</f>
        <v/>
      </c>
      <c r="BV13" s="48" t="str">
        <f>IFERROR(ROUND(AVERAGE(Con.Sk[[#This Row],[TJ.1]:[Pro-A.1]],Con.Sk[[#This Row],[TJ.2]:[Pro-A.2]],Con.Sk[[#This Row],[TJ.3]:[Pro-A.3]],Con.Sk[[#This Row],[TJ.4]:[Pro-A.4]],Con.Sk[[#This Row],[TJ.5]:[Pro-A.5]],Con.Sk[[#This Row],[TJ.6]:[Pro-A.6]],Con.Sk[[#This Row],[TJ.7]:[Pro-A.7]],Con.Sk[[#This Row],[TJ.8]:[Pro-A.8]],Con.Sk[[#This Row],[TJ.9]:[Pro-A.9]]),0),"")</f>
        <v/>
      </c>
      <c r="BW13" s="3"/>
      <c r="BX13" s="73" t="str">
        <f>IF(NSi.TS[[#This Row],[KU.1]]="A",100,IF(NSi.TS[[#This Row],[KU.1]]="B",89,IF(NSi.TS[[#This Row],[KU.1]]="C",79,IF(NSi.TS[[#This Row],[KU.1]]="D",69,IF(NSi.TS[[#This Row],[KU.1]]="E",0,"-")))))</f>
        <v>-</v>
      </c>
      <c r="BY13" s="73" t="str">
        <f>IF(NSi.TS[[#This Row],[TJ.1]]=1,100,IF(NSi.TS[[#This Row],[TJ.1]]=2,89,IF(NSi.TS[[#This Row],[TJ.1]]=3,79,IF(NSi.TS[[#This Row],[TJ.1]]=4,69,IF(NSi.TS[[#This Row],[TJ.1]]=5,0,"-")))))</f>
        <v>-</v>
      </c>
      <c r="BZ13" s="73" t="str">
        <f>IF(NSi.TS[[#This Row],[Ker.1]]=1,100,IF(NSi.TS[[#This Row],[Ker.1]]=2,89,IF(NSi.TS[[#This Row],[Ker.1]]=3,79,IF(NSi.TS[[#This Row],[Ker.1]]=4,69,IF(NSi.TS[[#This Row],[Ker.1]]=5,0,"-")))))</f>
        <v>-</v>
      </c>
      <c r="CA13" s="73" t="str">
        <f>IF(NSi.TS[[#This Row],[Ped.1]]=1,100,IF(NSi.TS[[#This Row],[Ped.1]]=2,89,IF(NSi.TS[[#This Row],[Ped.1]]=3,79,IF(NSi.TS[[#This Row],[Ped.1]]=4,69,IF(NSi.TS[[#This Row],[Ped.1]]=5,0,"-")))))</f>
        <v>-</v>
      </c>
      <c r="CB13" s="73" t="str">
        <f>IF(NSi.TS[[#This Row],[Pro-A.1]]=1,100,IF(NSi.TS[[#This Row],[Pro-A.1]]=2,89,IF(NSi.TS[[#This Row],[Pro-A.1]]=3,79,IF(NSi.TS[[#This Row],[Pro-A.1]]=4,69,IF(NSi.TS[[#This Row],[Pro-A.1]]=5,0,"-")))))</f>
        <v>-</v>
      </c>
      <c r="CC13" s="73" t="str">
        <f>IF(NSi.TS[[#This Row],[KU.2]]="A",100,IF(NSi.TS[[#This Row],[KU.2]]="B",89,IF(NSi.TS[[#This Row],[KU.2]]="C",79,IF(NSi.TS[[#This Row],[KU.2]]="D",69,IF(NSi.TS[[#This Row],[KU.2]]="E",0,"-")))))</f>
        <v>-</v>
      </c>
      <c r="CD13" s="73" t="str">
        <f>IF(NSi.TS[[#This Row],[TJ.2]]=1,100,IF(NSi.TS[[#This Row],[TJ.2]]=2,89,IF(NSi.TS[[#This Row],[TJ.2]]=3,79,IF(NSi.TS[[#This Row],[TJ.2]]=4,69,IF(NSi.TS[[#This Row],[TJ.2]]=5,0,"-")))))</f>
        <v>-</v>
      </c>
      <c r="CE13" s="73" t="str">
        <f>IF(NSi.TS[[#This Row],[Ker.2]]=1,100,IF(NSi.TS[[#This Row],[Ker.2]]=2,89,IF(NSi.TS[[#This Row],[Ker.2]]=3,79,IF(NSi.TS[[#This Row],[Ker.2]]=4,69,IF(NSi.TS[[#This Row],[Ker.2]]=5,0,"-")))))</f>
        <v>-</v>
      </c>
      <c r="CF13" s="73" t="str">
        <f>IF(NSi.TS[[#This Row],[Ped.2]]=1,100,IF(NSi.TS[[#This Row],[Ped.2]]=2,89,IF(NSi.TS[[#This Row],[Ped.2]]=3,79,IF(NSi.TS[[#This Row],[Ped.2]]=4,69,IF(NSi.TS[[#This Row],[Ped.2]]=5,0,"-")))))</f>
        <v>-</v>
      </c>
      <c r="CG13" s="73" t="str">
        <f>IF(NSi.TS[[#This Row],[Pro-A.2]]=1,100,IF(NSi.TS[[#This Row],[Pro-A.2]]=2,89,IF(NSi.TS[[#This Row],[Pro-A.2]]=3,79,IF(NSi.TS[[#This Row],[Pro-A.2]]=4,69,IF(NSi.TS[[#This Row],[Pro-A.2]]=5,0,"-")))))</f>
        <v>-</v>
      </c>
      <c r="CH13" s="74" t="str">
        <f>IF(NSi.TS[[#This Row],[KU.3]]="A",100,IF(NSi.TS[[#This Row],[KU.3]]="B",89,IF(NSi.TS[[#This Row],[KU.3]]="C",79,IF(NSi.TS[[#This Row],[KU.3]]="D",69,IF(NSi.TS[[#This Row],[KU.3]]="E",0,"-")))))</f>
        <v>-</v>
      </c>
      <c r="CI13" s="73" t="str">
        <f>IF(NSi.TS[[#This Row],[TJ.3]]=1,100,IF(NSi.TS[[#This Row],[TJ.3]]=2,89,IF(NSi.TS[[#This Row],[TJ.3]]=3,79,IF(NSi.TS[[#This Row],[TJ.3]]=4,69,IF(NSi.TS[[#This Row],[TJ.3]]=5,0,"-")))))</f>
        <v>-</v>
      </c>
      <c r="CJ13" s="73" t="str">
        <f>IF(NSi.TS[[#This Row],[Ker.3]]=1,100,IF(NSi.TS[[#This Row],[Ker.3]]=2,89,IF(NSi.TS[[#This Row],[Ker.3]]=3,79,IF(NSi.TS[[#This Row],[Ker.3]]=4,69,IF(NSi.TS[[#This Row],[Ker.3]]=5,0,"-")))))</f>
        <v>-</v>
      </c>
      <c r="CK13" s="73" t="str">
        <f>IF(NSi.TS[[#This Row],[Ped.3]]=1,100,IF(NSi.TS[[#This Row],[Ped.3]]=2,89,IF(NSi.TS[[#This Row],[Ped.3]]=3,79,IF(NSi.TS[[#This Row],[Ped.3]]=4,69,IF(NSi.TS[[#This Row],[Ped.3]]=5,0,"-")))))</f>
        <v>-</v>
      </c>
      <c r="CL13" s="73" t="str">
        <f>IF(NSi.TS[[#This Row],[Pro-A.3]]=1,100,IF(NSi.TS[[#This Row],[Pro-A.3]]=2,89,IF(NSi.TS[[#This Row],[Pro-A.3]]=3,79,IF(NSi.TS[[#This Row],[Pro-A.3]]=4,69,IF(NSi.TS[[#This Row],[Pro-A.3]]=5,0,"-")))))</f>
        <v>-</v>
      </c>
      <c r="CM13" s="74" t="str">
        <f>IF(NSi.TS[[#This Row],[KU.4]]="A",100,IF(NSi.TS[[#This Row],[KU.4]]="B",89,IF(NSi.TS[[#This Row],[KU.4]]="C",79,IF(NSi.TS[[#This Row],[KU.4]]="D",69,IF(NSi.TS[[#This Row],[KU.4]]="E",0,"-")))))</f>
        <v>-</v>
      </c>
      <c r="CN13" s="73" t="str">
        <f>IF(NSi.TS[[#This Row],[TJ.4]]=1,100,IF(NSi.TS[[#This Row],[TJ.4]]=2,89,IF(NSi.TS[[#This Row],[TJ.4]]=3,79,IF(NSi.TS[[#This Row],[TJ.4]]=4,69,IF(NSi.TS[[#This Row],[TJ.4]]=5,0,"-")))))</f>
        <v>-</v>
      </c>
      <c r="CO13" s="73" t="str">
        <f>IF(NSi.TS[[#This Row],[Ker.4]]=1,100,IF(NSi.TS[[#This Row],[Ker.4]]=2,89,IF(NSi.TS[[#This Row],[Ker.4]]=3,79,IF(NSi.TS[[#This Row],[Ker.4]]=4,69,IF(NSi.TS[[#This Row],[Ker.4]]=5,0,"-")))))</f>
        <v>-</v>
      </c>
      <c r="CP13" s="73" t="str">
        <f>IF(NSi.TS[[#This Row],[Ped.4]]=1,100,IF(NSi.TS[[#This Row],[Ped.4]]=2,89,IF(NSi.TS[[#This Row],[Ped.4]]=3,79,IF(NSi.TS[[#This Row],[Ped.4]]=4,69,IF(NSi.TS[[#This Row],[Ped.4]]=5,0,"-")))))</f>
        <v>-</v>
      </c>
      <c r="CQ13" s="73" t="str">
        <f>IF(NSi.TS[[#This Row],[Pro-A.4]]=1,100,IF(NSi.TS[[#This Row],[Pro-A.4]]=2,89,IF(NSi.TS[[#This Row],[Pro-A.4]]=3,79,IF(NSi.TS[[#This Row],[Pro-A.4]]=4,69,IF(NSi.TS[[#This Row],[Pro-A.4]]=5,0,"-")))))</f>
        <v>-</v>
      </c>
      <c r="CR13" s="74" t="str">
        <f>IF(NSi.TS[[#This Row],[KU.5]]="A",100,IF(NSi.TS[[#This Row],[KU.5]]="B",89,IF(NSi.TS[[#This Row],[KU.5]]="C",79,IF(NSi.TS[[#This Row],[KU.5]]="D",69,IF(NSi.TS[[#This Row],[KU.5]]="E",0,"-")))))</f>
        <v>-</v>
      </c>
      <c r="CS13" s="73" t="str">
        <f>IF(NSi.TS[[#This Row],[TJ.5]]=1,100,IF(NSi.TS[[#This Row],[TJ.5]]=2,89,IF(NSi.TS[[#This Row],[TJ.5]]=3,79,IF(NSi.TS[[#This Row],[TJ.5]]=4,69,IF(NSi.TS[[#This Row],[TJ.5]]=5,0,"-")))))</f>
        <v>-</v>
      </c>
      <c r="CT13" s="73" t="str">
        <f>IF(NSi.TS[[#This Row],[Ker.5]]=1,100,IF(NSi.TS[[#This Row],[Ker.5]]=2,89,IF(NSi.TS[[#This Row],[Ker.5]]=3,79,IF(NSi.TS[[#This Row],[Ker.5]]=4,69,IF(NSi.TS[[#This Row],[Ker.5]]=5,0,"-")))))</f>
        <v>-</v>
      </c>
      <c r="CU13" s="73" t="str">
        <f>IF(NSi.TS[[#This Row],[Ped.5]]=1,100,IF(NSi.TS[[#This Row],[Ped.5]]=2,89,IF(NSi.TS[[#This Row],[Ped.5]]=3,79,IF(NSi.TS[[#This Row],[Ped.5]]=4,69,IF(NSi.TS[[#This Row],[Ped.5]]=5,0,"-")))))</f>
        <v>-</v>
      </c>
      <c r="CV13" s="73" t="str">
        <f>IF(NSi.TS[[#This Row],[Pro-A.5]]=1,100,IF(NSi.TS[[#This Row],[Pro-A.5]]=2,89,IF(NSi.TS[[#This Row],[Pro-A.5]]=3,79,IF(NSi.TS[[#This Row],[Pro-A.5]]=4,69,IF(NSi.TS[[#This Row],[Pro-A.5]]=5,0,"-")))))</f>
        <v>-</v>
      </c>
      <c r="CW13" s="74" t="str">
        <f>IF(NSi.TS[[#This Row],[KU.6]]="A",100,IF(NSi.TS[[#This Row],[KU.6]]="B",89,IF(NSi.TS[[#This Row],[KU.6]]="C",79,IF(NSi.TS[[#This Row],[KU.6]]="D",69,IF(NSi.TS[[#This Row],[KU.6]]="E",0,"-")))))</f>
        <v>-</v>
      </c>
      <c r="CX13" s="73" t="str">
        <f>IF(NSi.TS[[#This Row],[TJ.6]]=1,100,IF(NSi.TS[[#This Row],[TJ.6]]=2,89,IF(NSi.TS[[#This Row],[TJ.6]]=3,79,IF(NSi.TS[[#This Row],[TJ.6]]=4,69,IF(NSi.TS[[#This Row],[TJ.6]]=5,0,"-")))))</f>
        <v>-</v>
      </c>
      <c r="CY13" s="73" t="str">
        <f>IF(NSi.TS[[#This Row],[Ker.6]]=1,100,IF(NSi.TS[[#This Row],[Ker.6]]=2,89,IF(NSi.TS[[#This Row],[Ker.6]]=3,79,IF(NSi.TS[[#This Row],[Ker.6]]=4,69,IF(NSi.TS[[#This Row],[Ker.6]]=5,0,"-")))))</f>
        <v>-</v>
      </c>
      <c r="CZ13" s="73" t="str">
        <f>IF(NSi.TS[[#This Row],[Ped.6]]=1,100,IF(NSi.TS[[#This Row],[Ped.6]]=2,89,IF(NSi.TS[[#This Row],[Ped.6]]=3,79,IF(NSi.TS[[#This Row],[Ped.6]]=4,69,IF(NSi.TS[[#This Row],[Ped.6]]=5,0,"-")))))</f>
        <v>-</v>
      </c>
      <c r="DA13" s="73" t="str">
        <f>IF(NSi.TS[[#This Row],[Pro-A.6]]=1,100,IF(NSi.TS[[#This Row],[Pro-A.6]]=2,89,IF(NSi.TS[[#This Row],[Pro-A.6]]=3,79,IF(NSi.TS[[#This Row],[Pro-A.6]]=4,69,IF(NSi.TS[[#This Row],[Pro-A.6]]=5,0,"-")))))</f>
        <v>-</v>
      </c>
      <c r="DB13" s="74" t="str">
        <f>IF(NSi.TS[[#This Row],[KU.7]]="A",100,IF(NSi.TS[[#This Row],[KU.7]]="B",89,IF(NSi.TS[[#This Row],[KU.7]]="C",79,IF(NSi.TS[[#This Row],[KU.7]]="D",69,IF(NSi.TS[[#This Row],[KU.7]]="E",0,"-")))))</f>
        <v>-</v>
      </c>
      <c r="DC13" s="73" t="str">
        <f>IF(NSi.TS[[#This Row],[TJ.7]]=1,100,IF(NSi.TS[[#This Row],[TJ.7]]=2,89,IF(NSi.TS[[#This Row],[TJ.7]]=3,79,IF(NSi.TS[[#This Row],[TJ.7]]=4,69,IF(NSi.TS[[#This Row],[TJ.7]]=5,0,"-")))))</f>
        <v>-</v>
      </c>
      <c r="DD13" s="73" t="str">
        <f>IF(NSi.TS[[#This Row],[Ker.7]]=1,100,IF(NSi.TS[[#This Row],[Ker.7]]=2,89,IF(NSi.TS[[#This Row],[Ker.7]]=3,79,IF(NSi.TS[[#This Row],[Ker.7]]=4,69,IF(NSi.TS[[#This Row],[Ker.7]]=5,0,"-")))))</f>
        <v>-</v>
      </c>
      <c r="DE13" s="73" t="str">
        <f>IF(NSi.TS[[#This Row],[Ped.7]]=1,100,IF(NSi.TS[[#This Row],[Ped.7]]=2,89,IF(NSi.TS[[#This Row],[Ped.7]]=3,79,IF(NSi.TS[[#This Row],[Ped.7]]=4,69,IF(NSi.TS[[#This Row],[Ped.7]]=5,0,"-")))))</f>
        <v>-</v>
      </c>
      <c r="DF13" s="73" t="str">
        <f>IF(NSi.TS[[#This Row],[Pro-A.7]]=1,100,IF(NSi.TS[[#This Row],[Pro-A.7]]=2,89,IF(NSi.TS[[#This Row],[Pro-A.7]]=3,79,IF(NSi.TS[[#This Row],[Pro-A.7]]=4,69,IF(NSi.TS[[#This Row],[Pro-A.7]]=5,0,"-")))))</f>
        <v>-</v>
      </c>
      <c r="DG13" s="74" t="str">
        <f>IF(NSi.TS[[#This Row],[KU.8]]="A",100,IF(NSi.TS[[#This Row],[KU.8]]="B",89,IF(NSi.TS[[#This Row],[KU.8]]="C",79,IF(NSi.TS[[#This Row],[KU.8]]="D",69,IF(NSi.TS[[#This Row],[KU.8]]="E",0,"-")))))</f>
        <v>-</v>
      </c>
      <c r="DH13" s="73" t="str">
        <f>IF(NSi.TS[[#This Row],[TJ.8]]=1,100,IF(NSi.TS[[#This Row],[TJ.8]]=2,89,IF(NSi.TS[[#This Row],[TJ.8]]=3,79,IF(NSi.TS[[#This Row],[TJ.8]]=4,69,IF(NSi.TS[[#This Row],[TJ.8]]=5,0,"-")))))</f>
        <v>-</v>
      </c>
      <c r="DI13" s="73" t="str">
        <f>IF(NSi.TS[[#This Row],[Ker.8]]=1,100,IF(NSi.TS[[#This Row],[Ker.8]]=2,89,IF(NSi.TS[[#This Row],[Ker.8]]=3,79,IF(NSi.TS[[#This Row],[Ker.8]]=4,69,IF(NSi.TS[[#This Row],[Ker.8]]=5,0,"-")))))</f>
        <v>-</v>
      </c>
      <c r="DJ13" s="73" t="str">
        <f>IF(NSi.TS[[#This Row],[Ped.8]]=1,100,IF(NSi.TS[[#This Row],[Ped.8]]=2,89,IF(NSi.TS[[#This Row],[Ped.8]]=3,79,IF(NSi.TS[[#This Row],[Ped.8]]=4,69,IF(NSi.TS[[#This Row],[Ped.8]]=5,0,"-")))))</f>
        <v>-</v>
      </c>
      <c r="DK13" s="73" t="str">
        <f>IF(NSi.TS[[#This Row],[Pro-A.8]]=1,100,IF(NSi.TS[[#This Row],[Pro-A.8]]=2,89,IF(NSi.TS[[#This Row],[Pro-A.8]]=3,79,IF(NSi.TS[[#This Row],[Pro-A.8]]=4,69,IF(NSi.TS[[#This Row],[Pro-A.8]]=5,0,"-")))))</f>
        <v>-</v>
      </c>
      <c r="DL13" s="74" t="str">
        <f>IF(NSi.TS[[#This Row],[KU.9]]="A",100,IF(NSi.TS[[#This Row],[KU.9]]="B",89,IF(NSi.TS[[#This Row],[KU.9]]="C",79,IF(NSi.TS[[#This Row],[KU.9]]="D",69,IF(NSi.TS[[#This Row],[KU.9]]="E",0,"-")))))</f>
        <v>-</v>
      </c>
      <c r="DM13" s="73" t="str">
        <f>IF(NSi.TS[[#This Row],[TJ.9]]=1,100,IF(NSi.TS[[#This Row],[TJ.9]]=2,89,IF(NSi.TS[[#This Row],[TJ.9]]=3,79,IF(NSi.TS[[#This Row],[TJ.9]]=4,69,IF(NSi.TS[[#This Row],[TJ.9]]=5,0,"-")))))</f>
        <v>-</v>
      </c>
      <c r="DN13" s="73" t="str">
        <f>IF(NSi.TS[[#This Row],[Ker.9]]=1,100,IF(NSi.TS[[#This Row],[Ker.9]]=2,89,IF(NSi.TS[[#This Row],[Ker.9]]=3,79,IF(NSi.TS[[#This Row],[Ker.9]]=4,69,IF(NSi.TS[[#This Row],[Ker.9]]=5,0,"-")))))</f>
        <v>-</v>
      </c>
      <c r="DO13" s="73" t="str">
        <f>IF(NSi.TS[[#This Row],[Ped.9]]=1,100,IF(NSi.TS[[#This Row],[Ped.9]]=2,89,IF(NSi.TS[[#This Row],[Ped.9]]=3,79,IF(NSi.TS[[#This Row],[Ped.9]]=4,69,IF(NSi.TS[[#This Row],[Ped.9]]=5,0,"-")))))</f>
        <v>-</v>
      </c>
      <c r="DP13" s="73" t="str">
        <f>IF(NSi.TS[[#This Row],[Pro-A.9]]=1,100,IF(NSi.TS[[#This Row],[Pro-A.9]]=2,89,IF(NSi.TS[[#This Row],[Pro-A.9]]=3,79,IF(NSi.TS[[#This Row],[Pro-A.9]]=4,69,IF(NSi.TS[[#This Row],[Pro-A.9]]=5,0,"-")))))</f>
        <v>-</v>
      </c>
    </row>
    <row r="14" spans="1:120" ht="50.1" customHeight="1" x14ac:dyDescent="0.3">
      <c r="A14" s="85"/>
      <c r="B14" s="86"/>
      <c r="C14" s="87"/>
      <c r="D14" s="87"/>
      <c r="E14" s="87"/>
      <c r="F14" s="44" t="str">
        <f>IFERROR(ROUND(AVERAGE(CSCR[#This Row]),0),"")</f>
        <v/>
      </c>
      <c r="G14" s="41" t="s">
        <v>102</v>
      </c>
      <c r="H14" s="45" t="s">
        <v>102</v>
      </c>
      <c r="I14" s="45" t="s">
        <v>102</v>
      </c>
      <c r="J14" s="45" t="s">
        <v>102</v>
      </c>
      <c r="K14" s="45" t="s">
        <v>102</v>
      </c>
      <c r="L14" s="41" t="s">
        <v>102</v>
      </c>
      <c r="M14" s="45" t="s">
        <v>102</v>
      </c>
      <c r="N14" s="45" t="s">
        <v>102</v>
      </c>
      <c r="O14" s="45" t="s">
        <v>102</v>
      </c>
      <c r="P14" s="45" t="s">
        <v>102</v>
      </c>
      <c r="Q14" s="41" t="s">
        <v>102</v>
      </c>
      <c r="R14" s="45" t="s">
        <v>102</v>
      </c>
      <c r="S14" s="45" t="s">
        <v>102</v>
      </c>
      <c r="T14" s="45" t="s">
        <v>102</v>
      </c>
      <c r="U14" s="45" t="s">
        <v>102</v>
      </c>
      <c r="V14" s="41" t="s">
        <v>102</v>
      </c>
      <c r="W14" s="45" t="s">
        <v>102</v>
      </c>
      <c r="X14" s="45" t="s">
        <v>102</v>
      </c>
      <c r="Y14" s="45" t="s">
        <v>102</v>
      </c>
      <c r="Z14" s="45" t="s">
        <v>102</v>
      </c>
      <c r="AA14" s="41" t="s">
        <v>102</v>
      </c>
      <c r="AB14" s="45" t="s">
        <v>102</v>
      </c>
      <c r="AC14" s="45" t="s">
        <v>102</v>
      </c>
      <c r="AD14" s="45" t="s">
        <v>102</v>
      </c>
      <c r="AE14" s="45" t="s">
        <v>102</v>
      </c>
      <c r="AF14" s="41" t="s">
        <v>102</v>
      </c>
      <c r="AG14" s="45" t="s">
        <v>102</v>
      </c>
      <c r="AH14" s="45" t="s">
        <v>102</v>
      </c>
      <c r="AI14" s="45" t="s">
        <v>102</v>
      </c>
      <c r="AJ14" s="45" t="s">
        <v>102</v>
      </c>
      <c r="AK14" s="41" t="s">
        <v>102</v>
      </c>
      <c r="AL14" s="45" t="s">
        <v>102</v>
      </c>
      <c r="AM14" s="45" t="s">
        <v>102</v>
      </c>
      <c r="AN14" s="45" t="s">
        <v>102</v>
      </c>
      <c r="AO14" s="45" t="s">
        <v>102</v>
      </c>
      <c r="AP14" s="41" t="s">
        <v>102</v>
      </c>
      <c r="AQ14" s="45" t="s">
        <v>102</v>
      </c>
      <c r="AR14" s="45" t="s">
        <v>102</v>
      </c>
      <c r="AS14" s="45" t="s">
        <v>102</v>
      </c>
      <c r="AT14" s="45" t="s">
        <v>102</v>
      </c>
      <c r="AU14" s="41" t="s">
        <v>102</v>
      </c>
      <c r="AV14" s="45" t="s">
        <v>102</v>
      </c>
      <c r="AW14" s="45" t="s">
        <v>102</v>
      </c>
      <c r="AX14" s="45" t="s">
        <v>102</v>
      </c>
      <c r="AY14" s="45" t="s">
        <v>102</v>
      </c>
      <c r="BA14" s="10" t="str">
        <f>CONCATENATE(NSi.TS[[#This Row],[KU.1]],(IF(A.LoE[[#This Row],[LE.1]]="-","-",IF(A.LoE[[#This Row],[LE.1]]&gt;=90,1,IF(A.LoE[[#This Row],[LE.1]]&gt;=80,2,IF(A.LoE[[#This Row],[LE.1]]&gt;=70,3,IF(A.LoE[[#This Row],[LE.1]]&gt;=1,4,5)))))))</f>
        <v>--</v>
      </c>
      <c r="BB14" s="46" t="str">
        <f>CONCATENATE(NSi.TS[[#This Row],[KU.2]],(IF(A.LoE[[#This Row],[LE.2]]="-","-",IF(A.LoE[[#This Row],[LE.2]]&gt;=90,1,IF(A.LoE[[#This Row],[LE.2]]&gt;=80,2,IF(A.LoE[[#This Row],[LE.2]]&gt;=70,3,IF(A.LoE[[#This Row],[LE.2]]&gt;=1,4,5)))))))</f>
        <v>--</v>
      </c>
      <c r="BC14" s="46" t="str">
        <f>CONCATENATE(NSi.TS[[#This Row],[KU.3]],(IF(A.LoE[[#This Row],[LE.3]]="-","-",IF(A.LoE[[#This Row],[LE.3]]&gt;=90,1,IF(A.LoE[[#This Row],[LE.3]]&gt;=80,2,IF(A.LoE[[#This Row],[LE.3]]&gt;=70,3,IF(A.LoE[[#This Row],[LE.3]]&gt;=1,4,5)))))))</f>
        <v>--</v>
      </c>
      <c r="BD14" s="46" t="str">
        <f>CONCATENATE(NSi.TS[[#This Row],[KU.4]],(IF(A.LoE[[#This Row],[LE.4]]="-","-",IF(A.LoE[[#This Row],[LE.4]]&gt;=90,1,IF(A.LoE[[#This Row],[LE.4]]&gt;=80,2,IF(A.LoE[[#This Row],[LE.4]]&gt;=70,3,IF(A.LoE[[#This Row],[LE.4]]&gt;=1,4,5)))))))</f>
        <v>--</v>
      </c>
      <c r="BE14" s="46" t="str">
        <f>CONCATENATE(NSi.TS[[#This Row],[KU.5]],(IF(A.LoE[[#This Row],[LE.5]]="-","-",IF(A.LoE[[#This Row],[LE.5]]&gt;=90,1,IF(A.LoE[[#This Row],[LE.5]]&gt;=80,2,IF(A.LoE[[#This Row],[LE.5]]&gt;=70,3,IF(A.LoE[[#This Row],[LE.5]]&gt;=1,4,5)))))))</f>
        <v>--</v>
      </c>
      <c r="BF14" s="46" t="str">
        <f>CONCATENATE(NSi.TS[[#This Row],[KU.6]],(IF(A.LoE[[#This Row],[LE.6]]="-","-",IF(A.LoE[[#This Row],[LE.6]]&gt;=90,1,IF(A.LoE[[#This Row],[LE.6]]&gt;=80,2,IF(A.LoE[[#This Row],[LE.6]]&gt;=70,3,IF(A.LoE[[#This Row],[LE.6]]&gt;=1,4,5)))))))</f>
        <v>--</v>
      </c>
      <c r="BG14" s="46" t="str">
        <f>CONCATENATE(NSi.TS[[#This Row],[KU.7]],(IF(A.LoE[[#This Row],[LE.7]]="-","-",IF(A.LoE[[#This Row],[LE.7]]&gt;=90,1,IF(A.LoE[[#This Row],[LE.7]]&gt;=80,2,IF(A.LoE[[#This Row],[LE.7]]&gt;=70,3,IF(A.LoE[[#This Row],[LE.7]]&gt;=1,4,5)))))))</f>
        <v>--</v>
      </c>
      <c r="BH14" s="46" t="str">
        <f>CONCATENATE(NSi.TS[[#This Row],[KU.8]],(IF(A.LoE[[#This Row],[LE.8]]="-","-",IF(A.LoE[[#This Row],[LE.8]]&gt;=90,1,IF(A.LoE[[#This Row],[LE.8]]&gt;=80,2,IF(A.LoE[[#This Row],[LE.8]]&gt;=70,3,IF(A.LoE[[#This Row],[LE.8]]&gt;=1,4,5)))))))</f>
        <v>--</v>
      </c>
      <c r="BI14" s="38" t="str">
        <f>CONCATENATE(NSi.TS[[#This Row],[KU.9]],(IF(A.LoE[[#This Row],[LE.9]]="-","-",IF(A.LoE[[#This Row],[LE.9]]&gt;=90,1,IF(A.LoE[[#This Row],[LE.9]]&gt;=80,2,IF(A.LoE[[#This Row],[LE.9]]&gt;=70,3,IF(A.LoE[[#This Row],[LE.9]]&gt;=1,4,5)))))))</f>
        <v>--</v>
      </c>
      <c r="BK14" s="35" t="str">
        <f>IFERROR(ROUND(AVERAGE(Con.Sk[[#This Row],[TJ.1]:[Pro-A.1]]),0),"-")</f>
        <v>-</v>
      </c>
      <c r="BL14" s="24" t="str">
        <f>IFERROR(ROUND(AVERAGE(Con.Sk[[#This Row],[TJ.2]:[Pro-A.2]]),0),"-")</f>
        <v>-</v>
      </c>
      <c r="BM14" s="24" t="str">
        <f>IFERROR(ROUND(AVERAGE(Con.Sk[[#This Row],[TJ.3]:[Pro-A.3]]),0),"-")</f>
        <v>-</v>
      </c>
      <c r="BN14" s="24" t="str">
        <f>IFERROR(ROUND(AVERAGE(Con.Sk[[#This Row],[TJ.4]:[Pro-A.4]]),0),"-")</f>
        <v>-</v>
      </c>
      <c r="BO14" s="24" t="str">
        <f>IFERROR(ROUND(AVERAGE(Con.Sk[[#This Row],[TJ.5]:[Pro-A.5]]),0),"-")</f>
        <v>-</v>
      </c>
      <c r="BP14" s="24" t="str">
        <f>IFERROR(ROUND(AVERAGE(Con.Sk[[#This Row],[TJ.6]:[Pro-A.6]]),0),"-")</f>
        <v>-</v>
      </c>
      <c r="BQ14" s="24" t="str">
        <f>IFERROR(ROUND(AVERAGE(Con.Sk[[#This Row],[TJ.7]:[Pro-A.7]]),0),"-")</f>
        <v>-</v>
      </c>
      <c r="BR14" s="24" t="str">
        <f>IFERROR(ROUND(AVERAGE(Con.Sk[[#This Row],[TJ.8]:[Pro-A.8]]),0),"-")</f>
        <v>-</v>
      </c>
      <c r="BS14" s="25" t="str">
        <f>IFERROR(ROUND(AVERAGE(Con.Sk[[#This Row],[TJ.9]:[Pro-A.9]]),0),"-")</f>
        <v>-</v>
      </c>
      <c r="BU14" s="47" t="str">
        <f>IFERROR(ROUND(AVERAGE(Con.Sk[[#This Row],[KU.1]],Con.Sk[[#This Row],[KU.2]],Con.Sk[[#This Row],[KU.3]],Con.Sk[[#This Row],[KU.4]],Con.Sk[[#This Row],[KU.5]],Con.Sk[[#This Row],[KU.6]],Con.Sk[[#This Row],[KU.7]],Con.Sk[[#This Row],[KU.8]],Con.Sk[[#This Row],[KU.9]]),0),"")</f>
        <v/>
      </c>
      <c r="BV14" s="48" t="str">
        <f>IFERROR(ROUND(AVERAGE(Con.Sk[[#This Row],[TJ.1]:[Pro-A.1]],Con.Sk[[#This Row],[TJ.2]:[Pro-A.2]],Con.Sk[[#This Row],[TJ.3]:[Pro-A.3]],Con.Sk[[#This Row],[TJ.4]:[Pro-A.4]],Con.Sk[[#This Row],[TJ.5]:[Pro-A.5]],Con.Sk[[#This Row],[TJ.6]:[Pro-A.6]],Con.Sk[[#This Row],[TJ.7]:[Pro-A.7]],Con.Sk[[#This Row],[TJ.8]:[Pro-A.8]],Con.Sk[[#This Row],[TJ.9]:[Pro-A.9]]),0),"")</f>
        <v/>
      </c>
      <c r="BW14" s="3"/>
      <c r="BX14" s="73" t="str">
        <f>IF(NSi.TS[[#This Row],[KU.1]]="A",100,IF(NSi.TS[[#This Row],[KU.1]]="B",89,IF(NSi.TS[[#This Row],[KU.1]]="C",79,IF(NSi.TS[[#This Row],[KU.1]]="D",69,IF(NSi.TS[[#This Row],[KU.1]]="E",0,"-")))))</f>
        <v>-</v>
      </c>
      <c r="BY14" s="73" t="str">
        <f>IF(NSi.TS[[#This Row],[TJ.1]]=1,100,IF(NSi.TS[[#This Row],[TJ.1]]=2,89,IF(NSi.TS[[#This Row],[TJ.1]]=3,79,IF(NSi.TS[[#This Row],[TJ.1]]=4,69,IF(NSi.TS[[#This Row],[TJ.1]]=5,0,"-")))))</f>
        <v>-</v>
      </c>
      <c r="BZ14" s="73" t="str">
        <f>IF(NSi.TS[[#This Row],[Ker.1]]=1,100,IF(NSi.TS[[#This Row],[Ker.1]]=2,89,IF(NSi.TS[[#This Row],[Ker.1]]=3,79,IF(NSi.TS[[#This Row],[Ker.1]]=4,69,IF(NSi.TS[[#This Row],[Ker.1]]=5,0,"-")))))</f>
        <v>-</v>
      </c>
      <c r="CA14" s="73" t="str">
        <f>IF(NSi.TS[[#This Row],[Ped.1]]=1,100,IF(NSi.TS[[#This Row],[Ped.1]]=2,89,IF(NSi.TS[[#This Row],[Ped.1]]=3,79,IF(NSi.TS[[#This Row],[Ped.1]]=4,69,IF(NSi.TS[[#This Row],[Ped.1]]=5,0,"-")))))</f>
        <v>-</v>
      </c>
      <c r="CB14" s="73" t="str">
        <f>IF(NSi.TS[[#This Row],[Pro-A.1]]=1,100,IF(NSi.TS[[#This Row],[Pro-A.1]]=2,89,IF(NSi.TS[[#This Row],[Pro-A.1]]=3,79,IF(NSi.TS[[#This Row],[Pro-A.1]]=4,69,IF(NSi.TS[[#This Row],[Pro-A.1]]=5,0,"-")))))</f>
        <v>-</v>
      </c>
      <c r="CC14" s="73" t="str">
        <f>IF(NSi.TS[[#This Row],[KU.2]]="A",100,IF(NSi.TS[[#This Row],[KU.2]]="B",89,IF(NSi.TS[[#This Row],[KU.2]]="C",79,IF(NSi.TS[[#This Row],[KU.2]]="D",69,IF(NSi.TS[[#This Row],[KU.2]]="E",0,"-")))))</f>
        <v>-</v>
      </c>
      <c r="CD14" s="73" t="str">
        <f>IF(NSi.TS[[#This Row],[TJ.2]]=1,100,IF(NSi.TS[[#This Row],[TJ.2]]=2,89,IF(NSi.TS[[#This Row],[TJ.2]]=3,79,IF(NSi.TS[[#This Row],[TJ.2]]=4,69,IF(NSi.TS[[#This Row],[TJ.2]]=5,0,"-")))))</f>
        <v>-</v>
      </c>
      <c r="CE14" s="73" t="str">
        <f>IF(NSi.TS[[#This Row],[Ker.2]]=1,100,IF(NSi.TS[[#This Row],[Ker.2]]=2,89,IF(NSi.TS[[#This Row],[Ker.2]]=3,79,IF(NSi.TS[[#This Row],[Ker.2]]=4,69,IF(NSi.TS[[#This Row],[Ker.2]]=5,0,"-")))))</f>
        <v>-</v>
      </c>
      <c r="CF14" s="73" t="str">
        <f>IF(NSi.TS[[#This Row],[Ped.2]]=1,100,IF(NSi.TS[[#This Row],[Ped.2]]=2,89,IF(NSi.TS[[#This Row],[Ped.2]]=3,79,IF(NSi.TS[[#This Row],[Ped.2]]=4,69,IF(NSi.TS[[#This Row],[Ped.2]]=5,0,"-")))))</f>
        <v>-</v>
      </c>
      <c r="CG14" s="73" t="str">
        <f>IF(NSi.TS[[#This Row],[Pro-A.2]]=1,100,IF(NSi.TS[[#This Row],[Pro-A.2]]=2,89,IF(NSi.TS[[#This Row],[Pro-A.2]]=3,79,IF(NSi.TS[[#This Row],[Pro-A.2]]=4,69,IF(NSi.TS[[#This Row],[Pro-A.2]]=5,0,"-")))))</f>
        <v>-</v>
      </c>
      <c r="CH14" s="74" t="str">
        <f>IF(NSi.TS[[#This Row],[KU.3]]="A",100,IF(NSi.TS[[#This Row],[KU.3]]="B",89,IF(NSi.TS[[#This Row],[KU.3]]="C",79,IF(NSi.TS[[#This Row],[KU.3]]="D",69,IF(NSi.TS[[#This Row],[KU.3]]="E",0,"-")))))</f>
        <v>-</v>
      </c>
      <c r="CI14" s="73" t="str">
        <f>IF(NSi.TS[[#This Row],[TJ.3]]=1,100,IF(NSi.TS[[#This Row],[TJ.3]]=2,89,IF(NSi.TS[[#This Row],[TJ.3]]=3,79,IF(NSi.TS[[#This Row],[TJ.3]]=4,69,IF(NSi.TS[[#This Row],[TJ.3]]=5,0,"-")))))</f>
        <v>-</v>
      </c>
      <c r="CJ14" s="73" t="str">
        <f>IF(NSi.TS[[#This Row],[Ker.3]]=1,100,IF(NSi.TS[[#This Row],[Ker.3]]=2,89,IF(NSi.TS[[#This Row],[Ker.3]]=3,79,IF(NSi.TS[[#This Row],[Ker.3]]=4,69,IF(NSi.TS[[#This Row],[Ker.3]]=5,0,"-")))))</f>
        <v>-</v>
      </c>
      <c r="CK14" s="73" t="str">
        <f>IF(NSi.TS[[#This Row],[Ped.3]]=1,100,IF(NSi.TS[[#This Row],[Ped.3]]=2,89,IF(NSi.TS[[#This Row],[Ped.3]]=3,79,IF(NSi.TS[[#This Row],[Ped.3]]=4,69,IF(NSi.TS[[#This Row],[Ped.3]]=5,0,"-")))))</f>
        <v>-</v>
      </c>
      <c r="CL14" s="73" t="str">
        <f>IF(NSi.TS[[#This Row],[Pro-A.3]]=1,100,IF(NSi.TS[[#This Row],[Pro-A.3]]=2,89,IF(NSi.TS[[#This Row],[Pro-A.3]]=3,79,IF(NSi.TS[[#This Row],[Pro-A.3]]=4,69,IF(NSi.TS[[#This Row],[Pro-A.3]]=5,0,"-")))))</f>
        <v>-</v>
      </c>
      <c r="CM14" s="74" t="str">
        <f>IF(NSi.TS[[#This Row],[KU.4]]="A",100,IF(NSi.TS[[#This Row],[KU.4]]="B",89,IF(NSi.TS[[#This Row],[KU.4]]="C",79,IF(NSi.TS[[#This Row],[KU.4]]="D",69,IF(NSi.TS[[#This Row],[KU.4]]="E",0,"-")))))</f>
        <v>-</v>
      </c>
      <c r="CN14" s="73" t="str">
        <f>IF(NSi.TS[[#This Row],[TJ.4]]=1,100,IF(NSi.TS[[#This Row],[TJ.4]]=2,89,IF(NSi.TS[[#This Row],[TJ.4]]=3,79,IF(NSi.TS[[#This Row],[TJ.4]]=4,69,IF(NSi.TS[[#This Row],[TJ.4]]=5,0,"-")))))</f>
        <v>-</v>
      </c>
      <c r="CO14" s="73" t="str">
        <f>IF(NSi.TS[[#This Row],[Ker.4]]=1,100,IF(NSi.TS[[#This Row],[Ker.4]]=2,89,IF(NSi.TS[[#This Row],[Ker.4]]=3,79,IF(NSi.TS[[#This Row],[Ker.4]]=4,69,IF(NSi.TS[[#This Row],[Ker.4]]=5,0,"-")))))</f>
        <v>-</v>
      </c>
      <c r="CP14" s="73" t="str">
        <f>IF(NSi.TS[[#This Row],[Ped.4]]=1,100,IF(NSi.TS[[#This Row],[Ped.4]]=2,89,IF(NSi.TS[[#This Row],[Ped.4]]=3,79,IF(NSi.TS[[#This Row],[Ped.4]]=4,69,IF(NSi.TS[[#This Row],[Ped.4]]=5,0,"-")))))</f>
        <v>-</v>
      </c>
      <c r="CQ14" s="73" t="str">
        <f>IF(NSi.TS[[#This Row],[Pro-A.4]]=1,100,IF(NSi.TS[[#This Row],[Pro-A.4]]=2,89,IF(NSi.TS[[#This Row],[Pro-A.4]]=3,79,IF(NSi.TS[[#This Row],[Pro-A.4]]=4,69,IF(NSi.TS[[#This Row],[Pro-A.4]]=5,0,"-")))))</f>
        <v>-</v>
      </c>
      <c r="CR14" s="74" t="str">
        <f>IF(NSi.TS[[#This Row],[KU.5]]="A",100,IF(NSi.TS[[#This Row],[KU.5]]="B",89,IF(NSi.TS[[#This Row],[KU.5]]="C",79,IF(NSi.TS[[#This Row],[KU.5]]="D",69,IF(NSi.TS[[#This Row],[KU.5]]="E",0,"-")))))</f>
        <v>-</v>
      </c>
      <c r="CS14" s="73" t="str">
        <f>IF(NSi.TS[[#This Row],[TJ.5]]=1,100,IF(NSi.TS[[#This Row],[TJ.5]]=2,89,IF(NSi.TS[[#This Row],[TJ.5]]=3,79,IF(NSi.TS[[#This Row],[TJ.5]]=4,69,IF(NSi.TS[[#This Row],[TJ.5]]=5,0,"-")))))</f>
        <v>-</v>
      </c>
      <c r="CT14" s="73" t="str">
        <f>IF(NSi.TS[[#This Row],[Ker.5]]=1,100,IF(NSi.TS[[#This Row],[Ker.5]]=2,89,IF(NSi.TS[[#This Row],[Ker.5]]=3,79,IF(NSi.TS[[#This Row],[Ker.5]]=4,69,IF(NSi.TS[[#This Row],[Ker.5]]=5,0,"-")))))</f>
        <v>-</v>
      </c>
      <c r="CU14" s="73" t="str">
        <f>IF(NSi.TS[[#This Row],[Ped.5]]=1,100,IF(NSi.TS[[#This Row],[Ped.5]]=2,89,IF(NSi.TS[[#This Row],[Ped.5]]=3,79,IF(NSi.TS[[#This Row],[Ped.5]]=4,69,IF(NSi.TS[[#This Row],[Ped.5]]=5,0,"-")))))</f>
        <v>-</v>
      </c>
      <c r="CV14" s="73" t="str">
        <f>IF(NSi.TS[[#This Row],[Pro-A.5]]=1,100,IF(NSi.TS[[#This Row],[Pro-A.5]]=2,89,IF(NSi.TS[[#This Row],[Pro-A.5]]=3,79,IF(NSi.TS[[#This Row],[Pro-A.5]]=4,69,IF(NSi.TS[[#This Row],[Pro-A.5]]=5,0,"-")))))</f>
        <v>-</v>
      </c>
      <c r="CW14" s="74" t="str">
        <f>IF(NSi.TS[[#This Row],[KU.6]]="A",100,IF(NSi.TS[[#This Row],[KU.6]]="B",89,IF(NSi.TS[[#This Row],[KU.6]]="C",79,IF(NSi.TS[[#This Row],[KU.6]]="D",69,IF(NSi.TS[[#This Row],[KU.6]]="E",0,"-")))))</f>
        <v>-</v>
      </c>
      <c r="CX14" s="73" t="str">
        <f>IF(NSi.TS[[#This Row],[TJ.6]]=1,100,IF(NSi.TS[[#This Row],[TJ.6]]=2,89,IF(NSi.TS[[#This Row],[TJ.6]]=3,79,IF(NSi.TS[[#This Row],[TJ.6]]=4,69,IF(NSi.TS[[#This Row],[TJ.6]]=5,0,"-")))))</f>
        <v>-</v>
      </c>
      <c r="CY14" s="73" t="str">
        <f>IF(NSi.TS[[#This Row],[Ker.6]]=1,100,IF(NSi.TS[[#This Row],[Ker.6]]=2,89,IF(NSi.TS[[#This Row],[Ker.6]]=3,79,IF(NSi.TS[[#This Row],[Ker.6]]=4,69,IF(NSi.TS[[#This Row],[Ker.6]]=5,0,"-")))))</f>
        <v>-</v>
      </c>
      <c r="CZ14" s="73" t="str">
        <f>IF(NSi.TS[[#This Row],[Ped.6]]=1,100,IF(NSi.TS[[#This Row],[Ped.6]]=2,89,IF(NSi.TS[[#This Row],[Ped.6]]=3,79,IF(NSi.TS[[#This Row],[Ped.6]]=4,69,IF(NSi.TS[[#This Row],[Ped.6]]=5,0,"-")))))</f>
        <v>-</v>
      </c>
      <c r="DA14" s="73" t="str">
        <f>IF(NSi.TS[[#This Row],[Pro-A.6]]=1,100,IF(NSi.TS[[#This Row],[Pro-A.6]]=2,89,IF(NSi.TS[[#This Row],[Pro-A.6]]=3,79,IF(NSi.TS[[#This Row],[Pro-A.6]]=4,69,IF(NSi.TS[[#This Row],[Pro-A.6]]=5,0,"-")))))</f>
        <v>-</v>
      </c>
      <c r="DB14" s="74" t="str">
        <f>IF(NSi.TS[[#This Row],[KU.7]]="A",100,IF(NSi.TS[[#This Row],[KU.7]]="B",89,IF(NSi.TS[[#This Row],[KU.7]]="C",79,IF(NSi.TS[[#This Row],[KU.7]]="D",69,IF(NSi.TS[[#This Row],[KU.7]]="E",0,"-")))))</f>
        <v>-</v>
      </c>
      <c r="DC14" s="73" t="str">
        <f>IF(NSi.TS[[#This Row],[TJ.7]]=1,100,IF(NSi.TS[[#This Row],[TJ.7]]=2,89,IF(NSi.TS[[#This Row],[TJ.7]]=3,79,IF(NSi.TS[[#This Row],[TJ.7]]=4,69,IF(NSi.TS[[#This Row],[TJ.7]]=5,0,"-")))))</f>
        <v>-</v>
      </c>
      <c r="DD14" s="73" t="str">
        <f>IF(NSi.TS[[#This Row],[Ker.7]]=1,100,IF(NSi.TS[[#This Row],[Ker.7]]=2,89,IF(NSi.TS[[#This Row],[Ker.7]]=3,79,IF(NSi.TS[[#This Row],[Ker.7]]=4,69,IF(NSi.TS[[#This Row],[Ker.7]]=5,0,"-")))))</f>
        <v>-</v>
      </c>
      <c r="DE14" s="73" t="str">
        <f>IF(NSi.TS[[#This Row],[Ped.7]]=1,100,IF(NSi.TS[[#This Row],[Ped.7]]=2,89,IF(NSi.TS[[#This Row],[Ped.7]]=3,79,IF(NSi.TS[[#This Row],[Ped.7]]=4,69,IF(NSi.TS[[#This Row],[Ped.7]]=5,0,"-")))))</f>
        <v>-</v>
      </c>
      <c r="DF14" s="73" t="str">
        <f>IF(NSi.TS[[#This Row],[Pro-A.7]]=1,100,IF(NSi.TS[[#This Row],[Pro-A.7]]=2,89,IF(NSi.TS[[#This Row],[Pro-A.7]]=3,79,IF(NSi.TS[[#This Row],[Pro-A.7]]=4,69,IF(NSi.TS[[#This Row],[Pro-A.7]]=5,0,"-")))))</f>
        <v>-</v>
      </c>
      <c r="DG14" s="74" t="str">
        <f>IF(NSi.TS[[#This Row],[KU.8]]="A",100,IF(NSi.TS[[#This Row],[KU.8]]="B",89,IF(NSi.TS[[#This Row],[KU.8]]="C",79,IF(NSi.TS[[#This Row],[KU.8]]="D",69,IF(NSi.TS[[#This Row],[KU.8]]="E",0,"-")))))</f>
        <v>-</v>
      </c>
      <c r="DH14" s="73" t="str">
        <f>IF(NSi.TS[[#This Row],[TJ.8]]=1,100,IF(NSi.TS[[#This Row],[TJ.8]]=2,89,IF(NSi.TS[[#This Row],[TJ.8]]=3,79,IF(NSi.TS[[#This Row],[TJ.8]]=4,69,IF(NSi.TS[[#This Row],[TJ.8]]=5,0,"-")))))</f>
        <v>-</v>
      </c>
      <c r="DI14" s="73" t="str">
        <f>IF(NSi.TS[[#This Row],[Ker.8]]=1,100,IF(NSi.TS[[#This Row],[Ker.8]]=2,89,IF(NSi.TS[[#This Row],[Ker.8]]=3,79,IF(NSi.TS[[#This Row],[Ker.8]]=4,69,IF(NSi.TS[[#This Row],[Ker.8]]=5,0,"-")))))</f>
        <v>-</v>
      </c>
      <c r="DJ14" s="73" t="str">
        <f>IF(NSi.TS[[#This Row],[Ped.8]]=1,100,IF(NSi.TS[[#This Row],[Ped.8]]=2,89,IF(NSi.TS[[#This Row],[Ped.8]]=3,79,IF(NSi.TS[[#This Row],[Ped.8]]=4,69,IF(NSi.TS[[#This Row],[Ped.8]]=5,0,"-")))))</f>
        <v>-</v>
      </c>
      <c r="DK14" s="73" t="str">
        <f>IF(NSi.TS[[#This Row],[Pro-A.8]]=1,100,IF(NSi.TS[[#This Row],[Pro-A.8]]=2,89,IF(NSi.TS[[#This Row],[Pro-A.8]]=3,79,IF(NSi.TS[[#This Row],[Pro-A.8]]=4,69,IF(NSi.TS[[#This Row],[Pro-A.8]]=5,0,"-")))))</f>
        <v>-</v>
      </c>
      <c r="DL14" s="74" t="str">
        <f>IF(NSi.TS[[#This Row],[KU.9]]="A",100,IF(NSi.TS[[#This Row],[KU.9]]="B",89,IF(NSi.TS[[#This Row],[KU.9]]="C",79,IF(NSi.TS[[#This Row],[KU.9]]="D",69,IF(NSi.TS[[#This Row],[KU.9]]="E",0,"-")))))</f>
        <v>-</v>
      </c>
      <c r="DM14" s="73" t="str">
        <f>IF(NSi.TS[[#This Row],[TJ.9]]=1,100,IF(NSi.TS[[#This Row],[TJ.9]]=2,89,IF(NSi.TS[[#This Row],[TJ.9]]=3,79,IF(NSi.TS[[#This Row],[TJ.9]]=4,69,IF(NSi.TS[[#This Row],[TJ.9]]=5,0,"-")))))</f>
        <v>-</v>
      </c>
      <c r="DN14" s="73" t="str">
        <f>IF(NSi.TS[[#This Row],[Ker.9]]=1,100,IF(NSi.TS[[#This Row],[Ker.9]]=2,89,IF(NSi.TS[[#This Row],[Ker.9]]=3,79,IF(NSi.TS[[#This Row],[Ker.9]]=4,69,IF(NSi.TS[[#This Row],[Ker.9]]=5,0,"-")))))</f>
        <v>-</v>
      </c>
      <c r="DO14" s="73" t="str">
        <f>IF(NSi.TS[[#This Row],[Ped.9]]=1,100,IF(NSi.TS[[#This Row],[Ped.9]]=2,89,IF(NSi.TS[[#This Row],[Ped.9]]=3,79,IF(NSi.TS[[#This Row],[Ped.9]]=4,69,IF(NSi.TS[[#This Row],[Ped.9]]=5,0,"-")))))</f>
        <v>-</v>
      </c>
      <c r="DP14" s="73" t="str">
        <f>IF(NSi.TS[[#This Row],[Pro-A.9]]=1,100,IF(NSi.TS[[#This Row],[Pro-A.9]]=2,89,IF(NSi.TS[[#This Row],[Pro-A.9]]=3,79,IF(NSi.TS[[#This Row],[Pro-A.9]]=4,69,IF(NSi.TS[[#This Row],[Pro-A.9]]=5,0,"-")))))</f>
        <v>-</v>
      </c>
    </row>
    <row r="15" spans="1:120" ht="50.1" customHeight="1" x14ac:dyDescent="0.3">
      <c r="A15" s="85"/>
      <c r="B15" s="86"/>
      <c r="C15" s="87"/>
      <c r="D15" s="87"/>
      <c r="E15" s="87"/>
      <c r="F15" s="44" t="str">
        <f>IFERROR(ROUND(AVERAGE(CSCR[#This Row]),0),"")</f>
        <v/>
      </c>
      <c r="G15" s="41" t="s">
        <v>102</v>
      </c>
      <c r="H15" s="45" t="s">
        <v>102</v>
      </c>
      <c r="I15" s="45" t="s">
        <v>102</v>
      </c>
      <c r="J15" s="45" t="s">
        <v>102</v>
      </c>
      <c r="K15" s="45" t="s">
        <v>102</v>
      </c>
      <c r="L15" s="41" t="s">
        <v>102</v>
      </c>
      <c r="M15" s="45" t="s">
        <v>102</v>
      </c>
      <c r="N15" s="45" t="s">
        <v>102</v>
      </c>
      <c r="O15" s="45" t="s">
        <v>102</v>
      </c>
      <c r="P15" s="45" t="s">
        <v>102</v>
      </c>
      <c r="Q15" s="41" t="s">
        <v>102</v>
      </c>
      <c r="R15" s="45" t="s">
        <v>102</v>
      </c>
      <c r="S15" s="45" t="s">
        <v>102</v>
      </c>
      <c r="T15" s="45" t="s">
        <v>102</v>
      </c>
      <c r="U15" s="45" t="s">
        <v>102</v>
      </c>
      <c r="V15" s="41" t="s">
        <v>102</v>
      </c>
      <c r="W15" s="45" t="s">
        <v>102</v>
      </c>
      <c r="X15" s="45" t="s">
        <v>102</v>
      </c>
      <c r="Y15" s="45" t="s">
        <v>102</v>
      </c>
      <c r="Z15" s="45" t="s">
        <v>102</v>
      </c>
      <c r="AA15" s="41" t="s">
        <v>102</v>
      </c>
      <c r="AB15" s="45" t="s">
        <v>102</v>
      </c>
      <c r="AC15" s="45" t="s">
        <v>102</v>
      </c>
      <c r="AD15" s="45" t="s">
        <v>102</v>
      </c>
      <c r="AE15" s="45" t="s">
        <v>102</v>
      </c>
      <c r="AF15" s="41" t="s">
        <v>102</v>
      </c>
      <c r="AG15" s="45" t="s">
        <v>102</v>
      </c>
      <c r="AH15" s="45" t="s">
        <v>102</v>
      </c>
      <c r="AI15" s="45" t="s">
        <v>102</v>
      </c>
      <c r="AJ15" s="45" t="s">
        <v>102</v>
      </c>
      <c r="AK15" s="41" t="s">
        <v>102</v>
      </c>
      <c r="AL15" s="45" t="s">
        <v>102</v>
      </c>
      <c r="AM15" s="45" t="s">
        <v>102</v>
      </c>
      <c r="AN15" s="45" t="s">
        <v>102</v>
      </c>
      <c r="AO15" s="45" t="s">
        <v>102</v>
      </c>
      <c r="AP15" s="41" t="s">
        <v>102</v>
      </c>
      <c r="AQ15" s="45" t="s">
        <v>102</v>
      </c>
      <c r="AR15" s="45" t="s">
        <v>102</v>
      </c>
      <c r="AS15" s="45" t="s">
        <v>102</v>
      </c>
      <c r="AT15" s="45" t="s">
        <v>102</v>
      </c>
      <c r="AU15" s="41" t="s">
        <v>102</v>
      </c>
      <c r="AV15" s="45" t="s">
        <v>102</v>
      </c>
      <c r="AW15" s="45" t="s">
        <v>102</v>
      </c>
      <c r="AX15" s="45" t="s">
        <v>102</v>
      </c>
      <c r="AY15" s="45" t="s">
        <v>102</v>
      </c>
      <c r="BA15" s="10" t="str">
        <f>CONCATENATE(NSi.TS[[#This Row],[KU.1]],(IF(A.LoE[[#This Row],[LE.1]]="-","-",IF(A.LoE[[#This Row],[LE.1]]&gt;=90,1,IF(A.LoE[[#This Row],[LE.1]]&gt;=80,2,IF(A.LoE[[#This Row],[LE.1]]&gt;=70,3,IF(A.LoE[[#This Row],[LE.1]]&gt;=1,4,5)))))))</f>
        <v>--</v>
      </c>
      <c r="BB15" s="46" t="str">
        <f>CONCATENATE(NSi.TS[[#This Row],[KU.2]],(IF(A.LoE[[#This Row],[LE.2]]="-","-",IF(A.LoE[[#This Row],[LE.2]]&gt;=90,1,IF(A.LoE[[#This Row],[LE.2]]&gt;=80,2,IF(A.LoE[[#This Row],[LE.2]]&gt;=70,3,IF(A.LoE[[#This Row],[LE.2]]&gt;=1,4,5)))))))</f>
        <v>--</v>
      </c>
      <c r="BC15" s="46" t="str">
        <f>CONCATENATE(NSi.TS[[#This Row],[KU.3]],(IF(A.LoE[[#This Row],[LE.3]]="-","-",IF(A.LoE[[#This Row],[LE.3]]&gt;=90,1,IF(A.LoE[[#This Row],[LE.3]]&gt;=80,2,IF(A.LoE[[#This Row],[LE.3]]&gt;=70,3,IF(A.LoE[[#This Row],[LE.3]]&gt;=1,4,5)))))))</f>
        <v>--</v>
      </c>
      <c r="BD15" s="46" t="str">
        <f>CONCATENATE(NSi.TS[[#This Row],[KU.4]],(IF(A.LoE[[#This Row],[LE.4]]="-","-",IF(A.LoE[[#This Row],[LE.4]]&gt;=90,1,IF(A.LoE[[#This Row],[LE.4]]&gt;=80,2,IF(A.LoE[[#This Row],[LE.4]]&gt;=70,3,IF(A.LoE[[#This Row],[LE.4]]&gt;=1,4,5)))))))</f>
        <v>--</v>
      </c>
      <c r="BE15" s="46" t="str">
        <f>CONCATENATE(NSi.TS[[#This Row],[KU.5]],(IF(A.LoE[[#This Row],[LE.5]]="-","-",IF(A.LoE[[#This Row],[LE.5]]&gt;=90,1,IF(A.LoE[[#This Row],[LE.5]]&gt;=80,2,IF(A.LoE[[#This Row],[LE.5]]&gt;=70,3,IF(A.LoE[[#This Row],[LE.5]]&gt;=1,4,5)))))))</f>
        <v>--</v>
      </c>
      <c r="BF15" s="46" t="str">
        <f>CONCATENATE(NSi.TS[[#This Row],[KU.6]],(IF(A.LoE[[#This Row],[LE.6]]="-","-",IF(A.LoE[[#This Row],[LE.6]]&gt;=90,1,IF(A.LoE[[#This Row],[LE.6]]&gt;=80,2,IF(A.LoE[[#This Row],[LE.6]]&gt;=70,3,IF(A.LoE[[#This Row],[LE.6]]&gt;=1,4,5)))))))</f>
        <v>--</v>
      </c>
      <c r="BG15" s="46" t="str">
        <f>CONCATENATE(NSi.TS[[#This Row],[KU.7]],(IF(A.LoE[[#This Row],[LE.7]]="-","-",IF(A.LoE[[#This Row],[LE.7]]&gt;=90,1,IF(A.LoE[[#This Row],[LE.7]]&gt;=80,2,IF(A.LoE[[#This Row],[LE.7]]&gt;=70,3,IF(A.LoE[[#This Row],[LE.7]]&gt;=1,4,5)))))))</f>
        <v>--</v>
      </c>
      <c r="BH15" s="46" t="str">
        <f>CONCATENATE(NSi.TS[[#This Row],[KU.8]],(IF(A.LoE[[#This Row],[LE.8]]="-","-",IF(A.LoE[[#This Row],[LE.8]]&gt;=90,1,IF(A.LoE[[#This Row],[LE.8]]&gt;=80,2,IF(A.LoE[[#This Row],[LE.8]]&gt;=70,3,IF(A.LoE[[#This Row],[LE.8]]&gt;=1,4,5)))))))</f>
        <v>--</v>
      </c>
      <c r="BI15" s="38" t="str">
        <f>CONCATENATE(NSi.TS[[#This Row],[KU.9]],(IF(A.LoE[[#This Row],[LE.9]]="-","-",IF(A.LoE[[#This Row],[LE.9]]&gt;=90,1,IF(A.LoE[[#This Row],[LE.9]]&gt;=80,2,IF(A.LoE[[#This Row],[LE.9]]&gt;=70,3,IF(A.LoE[[#This Row],[LE.9]]&gt;=1,4,5)))))))</f>
        <v>--</v>
      </c>
      <c r="BK15" s="35" t="str">
        <f>IFERROR(ROUND(AVERAGE(Con.Sk[[#This Row],[TJ.1]:[Pro-A.1]]),0),"-")</f>
        <v>-</v>
      </c>
      <c r="BL15" s="24" t="str">
        <f>IFERROR(ROUND(AVERAGE(Con.Sk[[#This Row],[TJ.2]:[Pro-A.2]]),0),"-")</f>
        <v>-</v>
      </c>
      <c r="BM15" s="24" t="str">
        <f>IFERROR(ROUND(AVERAGE(Con.Sk[[#This Row],[TJ.3]:[Pro-A.3]]),0),"-")</f>
        <v>-</v>
      </c>
      <c r="BN15" s="24" t="str">
        <f>IFERROR(ROUND(AVERAGE(Con.Sk[[#This Row],[TJ.4]:[Pro-A.4]]),0),"-")</f>
        <v>-</v>
      </c>
      <c r="BO15" s="24" t="str">
        <f>IFERROR(ROUND(AVERAGE(Con.Sk[[#This Row],[TJ.5]:[Pro-A.5]]),0),"-")</f>
        <v>-</v>
      </c>
      <c r="BP15" s="24" t="str">
        <f>IFERROR(ROUND(AVERAGE(Con.Sk[[#This Row],[TJ.6]:[Pro-A.6]]),0),"-")</f>
        <v>-</v>
      </c>
      <c r="BQ15" s="24" t="str">
        <f>IFERROR(ROUND(AVERAGE(Con.Sk[[#This Row],[TJ.7]:[Pro-A.7]]),0),"-")</f>
        <v>-</v>
      </c>
      <c r="BR15" s="24" t="str">
        <f>IFERROR(ROUND(AVERAGE(Con.Sk[[#This Row],[TJ.8]:[Pro-A.8]]),0),"-")</f>
        <v>-</v>
      </c>
      <c r="BS15" s="25" t="str">
        <f>IFERROR(ROUND(AVERAGE(Con.Sk[[#This Row],[TJ.9]:[Pro-A.9]]),0),"-")</f>
        <v>-</v>
      </c>
      <c r="BU15" s="47" t="str">
        <f>IFERROR(ROUND(AVERAGE(Con.Sk[[#This Row],[KU.1]],Con.Sk[[#This Row],[KU.2]],Con.Sk[[#This Row],[KU.3]],Con.Sk[[#This Row],[KU.4]],Con.Sk[[#This Row],[KU.5]],Con.Sk[[#This Row],[KU.6]],Con.Sk[[#This Row],[KU.7]],Con.Sk[[#This Row],[KU.8]],Con.Sk[[#This Row],[KU.9]]),0),"")</f>
        <v/>
      </c>
      <c r="BV15" s="48" t="str">
        <f>IFERROR(ROUND(AVERAGE(Con.Sk[[#This Row],[TJ.1]:[Pro-A.1]],Con.Sk[[#This Row],[TJ.2]:[Pro-A.2]],Con.Sk[[#This Row],[TJ.3]:[Pro-A.3]],Con.Sk[[#This Row],[TJ.4]:[Pro-A.4]],Con.Sk[[#This Row],[TJ.5]:[Pro-A.5]],Con.Sk[[#This Row],[TJ.6]:[Pro-A.6]],Con.Sk[[#This Row],[TJ.7]:[Pro-A.7]],Con.Sk[[#This Row],[TJ.8]:[Pro-A.8]],Con.Sk[[#This Row],[TJ.9]:[Pro-A.9]]),0),"")</f>
        <v/>
      </c>
      <c r="BW15" s="3"/>
      <c r="BX15" s="73" t="str">
        <f>IF(NSi.TS[[#This Row],[KU.1]]="A",100,IF(NSi.TS[[#This Row],[KU.1]]="B",89,IF(NSi.TS[[#This Row],[KU.1]]="C",79,IF(NSi.TS[[#This Row],[KU.1]]="D",69,IF(NSi.TS[[#This Row],[KU.1]]="E",0,"-")))))</f>
        <v>-</v>
      </c>
      <c r="BY15" s="73" t="str">
        <f>IF(NSi.TS[[#This Row],[TJ.1]]=1,100,IF(NSi.TS[[#This Row],[TJ.1]]=2,89,IF(NSi.TS[[#This Row],[TJ.1]]=3,79,IF(NSi.TS[[#This Row],[TJ.1]]=4,69,IF(NSi.TS[[#This Row],[TJ.1]]=5,0,"-")))))</f>
        <v>-</v>
      </c>
      <c r="BZ15" s="73" t="str">
        <f>IF(NSi.TS[[#This Row],[Ker.1]]=1,100,IF(NSi.TS[[#This Row],[Ker.1]]=2,89,IF(NSi.TS[[#This Row],[Ker.1]]=3,79,IF(NSi.TS[[#This Row],[Ker.1]]=4,69,IF(NSi.TS[[#This Row],[Ker.1]]=5,0,"-")))))</f>
        <v>-</v>
      </c>
      <c r="CA15" s="73" t="str">
        <f>IF(NSi.TS[[#This Row],[Ped.1]]=1,100,IF(NSi.TS[[#This Row],[Ped.1]]=2,89,IF(NSi.TS[[#This Row],[Ped.1]]=3,79,IF(NSi.TS[[#This Row],[Ped.1]]=4,69,IF(NSi.TS[[#This Row],[Ped.1]]=5,0,"-")))))</f>
        <v>-</v>
      </c>
      <c r="CB15" s="73" t="str">
        <f>IF(NSi.TS[[#This Row],[Pro-A.1]]=1,100,IF(NSi.TS[[#This Row],[Pro-A.1]]=2,89,IF(NSi.TS[[#This Row],[Pro-A.1]]=3,79,IF(NSi.TS[[#This Row],[Pro-A.1]]=4,69,IF(NSi.TS[[#This Row],[Pro-A.1]]=5,0,"-")))))</f>
        <v>-</v>
      </c>
      <c r="CC15" s="73" t="str">
        <f>IF(NSi.TS[[#This Row],[KU.2]]="A",100,IF(NSi.TS[[#This Row],[KU.2]]="B",89,IF(NSi.TS[[#This Row],[KU.2]]="C",79,IF(NSi.TS[[#This Row],[KU.2]]="D",69,IF(NSi.TS[[#This Row],[KU.2]]="E",0,"-")))))</f>
        <v>-</v>
      </c>
      <c r="CD15" s="73" t="str">
        <f>IF(NSi.TS[[#This Row],[TJ.2]]=1,100,IF(NSi.TS[[#This Row],[TJ.2]]=2,89,IF(NSi.TS[[#This Row],[TJ.2]]=3,79,IF(NSi.TS[[#This Row],[TJ.2]]=4,69,IF(NSi.TS[[#This Row],[TJ.2]]=5,0,"-")))))</f>
        <v>-</v>
      </c>
      <c r="CE15" s="73" t="str">
        <f>IF(NSi.TS[[#This Row],[Ker.2]]=1,100,IF(NSi.TS[[#This Row],[Ker.2]]=2,89,IF(NSi.TS[[#This Row],[Ker.2]]=3,79,IF(NSi.TS[[#This Row],[Ker.2]]=4,69,IF(NSi.TS[[#This Row],[Ker.2]]=5,0,"-")))))</f>
        <v>-</v>
      </c>
      <c r="CF15" s="73" t="str">
        <f>IF(NSi.TS[[#This Row],[Ped.2]]=1,100,IF(NSi.TS[[#This Row],[Ped.2]]=2,89,IF(NSi.TS[[#This Row],[Ped.2]]=3,79,IF(NSi.TS[[#This Row],[Ped.2]]=4,69,IF(NSi.TS[[#This Row],[Ped.2]]=5,0,"-")))))</f>
        <v>-</v>
      </c>
      <c r="CG15" s="73" t="str">
        <f>IF(NSi.TS[[#This Row],[Pro-A.2]]=1,100,IF(NSi.TS[[#This Row],[Pro-A.2]]=2,89,IF(NSi.TS[[#This Row],[Pro-A.2]]=3,79,IF(NSi.TS[[#This Row],[Pro-A.2]]=4,69,IF(NSi.TS[[#This Row],[Pro-A.2]]=5,0,"-")))))</f>
        <v>-</v>
      </c>
      <c r="CH15" s="74" t="str">
        <f>IF(NSi.TS[[#This Row],[KU.3]]="A",100,IF(NSi.TS[[#This Row],[KU.3]]="B",89,IF(NSi.TS[[#This Row],[KU.3]]="C",79,IF(NSi.TS[[#This Row],[KU.3]]="D",69,IF(NSi.TS[[#This Row],[KU.3]]="E",0,"-")))))</f>
        <v>-</v>
      </c>
      <c r="CI15" s="73" t="str">
        <f>IF(NSi.TS[[#This Row],[TJ.3]]=1,100,IF(NSi.TS[[#This Row],[TJ.3]]=2,89,IF(NSi.TS[[#This Row],[TJ.3]]=3,79,IF(NSi.TS[[#This Row],[TJ.3]]=4,69,IF(NSi.TS[[#This Row],[TJ.3]]=5,0,"-")))))</f>
        <v>-</v>
      </c>
      <c r="CJ15" s="73" t="str">
        <f>IF(NSi.TS[[#This Row],[Ker.3]]=1,100,IF(NSi.TS[[#This Row],[Ker.3]]=2,89,IF(NSi.TS[[#This Row],[Ker.3]]=3,79,IF(NSi.TS[[#This Row],[Ker.3]]=4,69,IF(NSi.TS[[#This Row],[Ker.3]]=5,0,"-")))))</f>
        <v>-</v>
      </c>
      <c r="CK15" s="73" t="str">
        <f>IF(NSi.TS[[#This Row],[Ped.3]]=1,100,IF(NSi.TS[[#This Row],[Ped.3]]=2,89,IF(NSi.TS[[#This Row],[Ped.3]]=3,79,IF(NSi.TS[[#This Row],[Ped.3]]=4,69,IF(NSi.TS[[#This Row],[Ped.3]]=5,0,"-")))))</f>
        <v>-</v>
      </c>
      <c r="CL15" s="73" t="str">
        <f>IF(NSi.TS[[#This Row],[Pro-A.3]]=1,100,IF(NSi.TS[[#This Row],[Pro-A.3]]=2,89,IF(NSi.TS[[#This Row],[Pro-A.3]]=3,79,IF(NSi.TS[[#This Row],[Pro-A.3]]=4,69,IF(NSi.TS[[#This Row],[Pro-A.3]]=5,0,"-")))))</f>
        <v>-</v>
      </c>
      <c r="CM15" s="74" t="str">
        <f>IF(NSi.TS[[#This Row],[KU.4]]="A",100,IF(NSi.TS[[#This Row],[KU.4]]="B",89,IF(NSi.TS[[#This Row],[KU.4]]="C",79,IF(NSi.TS[[#This Row],[KU.4]]="D",69,IF(NSi.TS[[#This Row],[KU.4]]="E",0,"-")))))</f>
        <v>-</v>
      </c>
      <c r="CN15" s="73" t="str">
        <f>IF(NSi.TS[[#This Row],[TJ.4]]=1,100,IF(NSi.TS[[#This Row],[TJ.4]]=2,89,IF(NSi.TS[[#This Row],[TJ.4]]=3,79,IF(NSi.TS[[#This Row],[TJ.4]]=4,69,IF(NSi.TS[[#This Row],[TJ.4]]=5,0,"-")))))</f>
        <v>-</v>
      </c>
      <c r="CO15" s="73" t="str">
        <f>IF(NSi.TS[[#This Row],[Ker.4]]=1,100,IF(NSi.TS[[#This Row],[Ker.4]]=2,89,IF(NSi.TS[[#This Row],[Ker.4]]=3,79,IF(NSi.TS[[#This Row],[Ker.4]]=4,69,IF(NSi.TS[[#This Row],[Ker.4]]=5,0,"-")))))</f>
        <v>-</v>
      </c>
      <c r="CP15" s="73" t="str">
        <f>IF(NSi.TS[[#This Row],[Ped.4]]=1,100,IF(NSi.TS[[#This Row],[Ped.4]]=2,89,IF(NSi.TS[[#This Row],[Ped.4]]=3,79,IF(NSi.TS[[#This Row],[Ped.4]]=4,69,IF(NSi.TS[[#This Row],[Ped.4]]=5,0,"-")))))</f>
        <v>-</v>
      </c>
      <c r="CQ15" s="73" t="str">
        <f>IF(NSi.TS[[#This Row],[Pro-A.4]]=1,100,IF(NSi.TS[[#This Row],[Pro-A.4]]=2,89,IF(NSi.TS[[#This Row],[Pro-A.4]]=3,79,IF(NSi.TS[[#This Row],[Pro-A.4]]=4,69,IF(NSi.TS[[#This Row],[Pro-A.4]]=5,0,"-")))))</f>
        <v>-</v>
      </c>
      <c r="CR15" s="74" t="str">
        <f>IF(NSi.TS[[#This Row],[KU.5]]="A",100,IF(NSi.TS[[#This Row],[KU.5]]="B",89,IF(NSi.TS[[#This Row],[KU.5]]="C",79,IF(NSi.TS[[#This Row],[KU.5]]="D",69,IF(NSi.TS[[#This Row],[KU.5]]="E",0,"-")))))</f>
        <v>-</v>
      </c>
      <c r="CS15" s="73" t="str">
        <f>IF(NSi.TS[[#This Row],[TJ.5]]=1,100,IF(NSi.TS[[#This Row],[TJ.5]]=2,89,IF(NSi.TS[[#This Row],[TJ.5]]=3,79,IF(NSi.TS[[#This Row],[TJ.5]]=4,69,IF(NSi.TS[[#This Row],[TJ.5]]=5,0,"-")))))</f>
        <v>-</v>
      </c>
      <c r="CT15" s="73" t="str">
        <f>IF(NSi.TS[[#This Row],[Ker.5]]=1,100,IF(NSi.TS[[#This Row],[Ker.5]]=2,89,IF(NSi.TS[[#This Row],[Ker.5]]=3,79,IF(NSi.TS[[#This Row],[Ker.5]]=4,69,IF(NSi.TS[[#This Row],[Ker.5]]=5,0,"-")))))</f>
        <v>-</v>
      </c>
      <c r="CU15" s="73" t="str">
        <f>IF(NSi.TS[[#This Row],[Ped.5]]=1,100,IF(NSi.TS[[#This Row],[Ped.5]]=2,89,IF(NSi.TS[[#This Row],[Ped.5]]=3,79,IF(NSi.TS[[#This Row],[Ped.5]]=4,69,IF(NSi.TS[[#This Row],[Ped.5]]=5,0,"-")))))</f>
        <v>-</v>
      </c>
      <c r="CV15" s="73" t="str">
        <f>IF(NSi.TS[[#This Row],[Pro-A.5]]=1,100,IF(NSi.TS[[#This Row],[Pro-A.5]]=2,89,IF(NSi.TS[[#This Row],[Pro-A.5]]=3,79,IF(NSi.TS[[#This Row],[Pro-A.5]]=4,69,IF(NSi.TS[[#This Row],[Pro-A.5]]=5,0,"-")))))</f>
        <v>-</v>
      </c>
      <c r="CW15" s="74" t="str">
        <f>IF(NSi.TS[[#This Row],[KU.6]]="A",100,IF(NSi.TS[[#This Row],[KU.6]]="B",89,IF(NSi.TS[[#This Row],[KU.6]]="C",79,IF(NSi.TS[[#This Row],[KU.6]]="D",69,IF(NSi.TS[[#This Row],[KU.6]]="E",0,"-")))))</f>
        <v>-</v>
      </c>
      <c r="CX15" s="73" t="str">
        <f>IF(NSi.TS[[#This Row],[TJ.6]]=1,100,IF(NSi.TS[[#This Row],[TJ.6]]=2,89,IF(NSi.TS[[#This Row],[TJ.6]]=3,79,IF(NSi.TS[[#This Row],[TJ.6]]=4,69,IF(NSi.TS[[#This Row],[TJ.6]]=5,0,"-")))))</f>
        <v>-</v>
      </c>
      <c r="CY15" s="73" t="str">
        <f>IF(NSi.TS[[#This Row],[Ker.6]]=1,100,IF(NSi.TS[[#This Row],[Ker.6]]=2,89,IF(NSi.TS[[#This Row],[Ker.6]]=3,79,IF(NSi.TS[[#This Row],[Ker.6]]=4,69,IF(NSi.TS[[#This Row],[Ker.6]]=5,0,"-")))))</f>
        <v>-</v>
      </c>
      <c r="CZ15" s="73" t="str">
        <f>IF(NSi.TS[[#This Row],[Ped.6]]=1,100,IF(NSi.TS[[#This Row],[Ped.6]]=2,89,IF(NSi.TS[[#This Row],[Ped.6]]=3,79,IF(NSi.TS[[#This Row],[Ped.6]]=4,69,IF(NSi.TS[[#This Row],[Ped.6]]=5,0,"-")))))</f>
        <v>-</v>
      </c>
      <c r="DA15" s="73" t="str">
        <f>IF(NSi.TS[[#This Row],[Pro-A.6]]=1,100,IF(NSi.TS[[#This Row],[Pro-A.6]]=2,89,IF(NSi.TS[[#This Row],[Pro-A.6]]=3,79,IF(NSi.TS[[#This Row],[Pro-A.6]]=4,69,IF(NSi.TS[[#This Row],[Pro-A.6]]=5,0,"-")))))</f>
        <v>-</v>
      </c>
      <c r="DB15" s="74" t="str">
        <f>IF(NSi.TS[[#This Row],[KU.7]]="A",100,IF(NSi.TS[[#This Row],[KU.7]]="B",89,IF(NSi.TS[[#This Row],[KU.7]]="C",79,IF(NSi.TS[[#This Row],[KU.7]]="D",69,IF(NSi.TS[[#This Row],[KU.7]]="E",0,"-")))))</f>
        <v>-</v>
      </c>
      <c r="DC15" s="73" t="str">
        <f>IF(NSi.TS[[#This Row],[TJ.7]]=1,100,IF(NSi.TS[[#This Row],[TJ.7]]=2,89,IF(NSi.TS[[#This Row],[TJ.7]]=3,79,IF(NSi.TS[[#This Row],[TJ.7]]=4,69,IF(NSi.TS[[#This Row],[TJ.7]]=5,0,"-")))))</f>
        <v>-</v>
      </c>
      <c r="DD15" s="73" t="str">
        <f>IF(NSi.TS[[#This Row],[Ker.7]]=1,100,IF(NSi.TS[[#This Row],[Ker.7]]=2,89,IF(NSi.TS[[#This Row],[Ker.7]]=3,79,IF(NSi.TS[[#This Row],[Ker.7]]=4,69,IF(NSi.TS[[#This Row],[Ker.7]]=5,0,"-")))))</f>
        <v>-</v>
      </c>
      <c r="DE15" s="73" t="str">
        <f>IF(NSi.TS[[#This Row],[Ped.7]]=1,100,IF(NSi.TS[[#This Row],[Ped.7]]=2,89,IF(NSi.TS[[#This Row],[Ped.7]]=3,79,IF(NSi.TS[[#This Row],[Ped.7]]=4,69,IF(NSi.TS[[#This Row],[Ped.7]]=5,0,"-")))))</f>
        <v>-</v>
      </c>
      <c r="DF15" s="73" t="str">
        <f>IF(NSi.TS[[#This Row],[Pro-A.7]]=1,100,IF(NSi.TS[[#This Row],[Pro-A.7]]=2,89,IF(NSi.TS[[#This Row],[Pro-A.7]]=3,79,IF(NSi.TS[[#This Row],[Pro-A.7]]=4,69,IF(NSi.TS[[#This Row],[Pro-A.7]]=5,0,"-")))))</f>
        <v>-</v>
      </c>
      <c r="DG15" s="74" t="str">
        <f>IF(NSi.TS[[#This Row],[KU.8]]="A",100,IF(NSi.TS[[#This Row],[KU.8]]="B",89,IF(NSi.TS[[#This Row],[KU.8]]="C",79,IF(NSi.TS[[#This Row],[KU.8]]="D",69,IF(NSi.TS[[#This Row],[KU.8]]="E",0,"-")))))</f>
        <v>-</v>
      </c>
      <c r="DH15" s="73" t="str">
        <f>IF(NSi.TS[[#This Row],[TJ.8]]=1,100,IF(NSi.TS[[#This Row],[TJ.8]]=2,89,IF(NSi.TS[[#This Row],[TJ.8]]=3,79,IF(NSi.TS[[#This Row],[TJ.8]]=4,69,IF(NSi.TS[[#This Row],[TJ.8]]=5,0,"-")))))</f>
        <v>-</v>
      </c>
      <c r="DI15" s="73" t="str">
        <f>IF(NSi.TS[[#This Row],[Ker.8]]=1,100,IF(NSi.TS[[#This Row],[Ker.8]]=2,89,IF(NSi.TS[[#This Row],[Ker.8]]=3,79,IF(NSi.TS[[#This Row],[Ker.8]]=4,69,IF(NSi.TS[[#This Row],[Ker.8]]=5,0,"-")))))</f>
        <v>-</v>
      </c>
      <c r="DJ15" s="73" t="str">
        <f>IF(NSi.TS[[#This Row],[Ped.8]]=1,100,IF(NSi.TS[[#This Row],[Ped.8]]=2,89,IF(NSi.TS[[#This Row],[Ped.8]]=3,79,IF(NSi.TS[[#This Row],[Ped.8]]=4,69,IF(NSi.TS[[#This Row],[Ped.8]]=5,0,"-")))))</f>
        <v>-</v>
      </c>
      <c r="DK15" s="73" t="str">
        <f>IF(NSi.TS[[#This Row],[Pro-A.8]]=1,100,IF(NSi.TS[[#This Row],[Pro-A.8]]=2,89,IF(NSi.TS[[#This Row],[Pro-A.8]]=3,79,IF(NSi.TS[[#This Row],[Pro-A.8]]=4,69,IF(NSi.TS[[#This Row],[Pro-A.8]]=5,0,"-")))))</f>
        <v>-</v>
      </c>
      <c r="DL15" s="74" t="str">
        <f>IF(NSi.TS[[#This Row],[KU.9]]="A",100,IF(NSi.TS[[#This Row],[KU.9]]="B",89,IF(NSi.TS[[#This Row],[KU.9]]="C",79,IF(NSi.TS[[#This Row],[KU.9]]="D",69,IF(NSi.TS[[#This Row],[KU.9]]="E",0,"-")))))</f>
        <v>-</v>
      </c>
      <c r="DM15" s="73" t="str">
        <f>IF(NSi.TS[[#This Row],[TJ.9]]=1,100,IF(NSi.TS[[#This Row],[TJ.9]]=2,89,IF(NSi.TS[[#This Row],[TJ.9]]=3,79,IF(NSi.TS[[#This Row],[TJ.9]]=4,69,IF(NSi.TS[[#This Row],[TJ.9]]=5,0,"-")))))</f>
        <v>-</v>
      </c>
      <c r="DN15" s="73" t="str">
        <f>IF(NSi.TS[[#This Row],[Ker.9]]=1,100,IF(NSi.TS[[#This Row],[Ker.9]]=2,89,IF(NSi.TS[[#This Row],[Ker.9]]=3,79,IF(NSi.TS[[#This Row],[Ker.9]]=4,69,IF(NSi.TS[[#This Row],[Ker.9]]=5,0,"-")))))</f>
        <v>-</v>
      </c>
      <c r="DO15" s="73" t="str">
        <f>IF(NSi.TS[[#This Row],[Ped.9]]=1,100,IF(NSi.TS[[#This Row],[Ped.9]]=2,89,IF(NSi.TS[[#This Row],[Ped.9]]=3,79,IF(NSi.TS[[#This Row],[Ped.9]]=4,69,IF(NSi.TS[[#This Row],[Ped.9]]=5,0,"-")))))</f>
        <v>-</v>
      </c>
      <c r="DP15" s="73" t="str">
        <f>IF(NSi.TS[[#This Row],[Pro-A.9]]=1,100,IF(NSi.TS[[#This Row],[Pro-A.9]]=2,89,IF(NSi.TS[[#This Row],[Pro-A.9]]=3,79,IF(NSi.TS[[#This Row],[Pro-A.9]]=4,69,IF(NSi.TS[[#This Row],[Pro-A.9]]=5,0,"-")))))</f>
        <v>-</v>
      </c>
    </row>
    <row r="16" spans="1:120" ht="50.1" customHeight="1" x14ac:dyDescent="0.3">
      <c r="A16" s="85"/>
      <c r="B16" s="86"/>
      <c r="C16" s="87"/>
      <c r="D16" s="87"/>
      <c r="E16" s="87"/>
      <c r="F16" s="44" t="str">
        <f>IFERROR(ROUND(AVERAGE(CSCR[#This Row]),0),"")</f>
        <v/>
      </c>
      <c r="G16" s="41" t="s">
        <v>102</v>
      </c>
      <c r="H16" s="45" t="s">
        <v>102</v>
      </c>
      <c r="I16" s="45" t="s">
        <v>102</v>
      </c>
      <c r="J16" s="45" t="s">
        <v>102</v>
      </c>
      <c r="K16" s="45" t="s">
        <v>102</v>
      </c>
      <c r="L16" s="41" t="s">
        <v>102</v>
      </c>
      <c r="M16" s="45" t="s">
        <v>102</v>
      </c>
      <c r="N16" s="45" t="s">
        <v>102</v>
      </c>
      <c r="O16" s="45" t="s">
        <v>102</v>
      </c>
      <c r="P16" s="45" t="s">
        <v>102</v>
      </c>
      <c r="Q16" s="41" t="s">
        <v>102</v>
      </c>
      <c r="R16" s="45" t="s">
        <v>102</v>
      </c>
      <c r="S16" s="45" t="s">
        <v>102</v>
      </c>
      <c r="T16" s="45" t="s">
        <v>102</v>
      </c>
      <c r="U16" s="45" t="s">
        <v>102</v>
      </c>
      <c r="V16" s="41" t="s">
        <v>102</v>
      </c>
      <c r="W16" s="45" t="s">
        <v>102</v>
      </c>
      <c r="X16" s="45" t="s">
        <v>102</v>
      </c>
      <c r="Y16" s="45" t="s">
        <v>102</v>
      </c>
      <c r="Z16" s="45" t="s">
        <v>102</v>
      </c>
      <c r="AA16" s="41" t="s">
        <v>102</v>
      </c>
      <c r="AB16" s="45" t="s">
        <v>102</v>
      </c>
      <c r="AC16" s="45" t="s">
        <v>102</v>
      </c>
      <c r="AD16" s="45" t="s">
        <v>102</v>
      </c>
      <c r="AE16" s="45" t="s">
        <v>102</v>
      </c>
      <c r="AF16" s="41" t="s">
        <v>102</v>
      </c>
      <c r="AG16" s="45" t="s">
        <v>102</v>
      </c>
      <c r="AH16" s="45" t="s">
        <v>102</v>
      </c>
      <c r="AI16" s="45" t="s">
        <v>102</v>
      </c>
      <c r="AJ16" s="45" t="s">
        <v>102</v>
      </c>
      <c r="AK16" s="41" t="s">
        <v>102</v>
      </c>
      <c r="AL16" s="45" t="s">
        <v>102</v>
      </c>
      <c r="AM16" s="45" t="s">
        <v>102</v>
      </c>
      <c r="AN16" s="45" t="s">
        <v>102</v>
      </c>
      <c r="AO16" s="45" t="s">
        <v>102</v>
      </c>
      <c r="AP16" s="41" t="s">
        <v>102</v>
      </c>
      <c r="AQ16" s="45" t="s">
        <v>102</v>
      </c>
      <c r="AR16" s="45" t="s">
        <v>102</v>
      </c>
      <c r="AS16" s="45" t="s">
        <v>102</v>
      </c>
      <c r="AT16" s="45" t="s">
        <v>102</v>
      </c>
      <c r="AU16" s="41" t="s">
        <v>102</v>
      </c>
      <c r="AV16" s="45" t="s">
        <v>102</v>
      </c>
      <c r="AW16" s="45" t="s">
        <v>102</v>
      </c>
      <c r="AX16" s="45" t="s">
        <v>102</v>
      </c>
      <c r="AY16" s="45" t="s">
        <v>102</v>
      </c>
      <c r="BA16" s="10" t="str">
        <f>CONCATENATE(NSi.TS[[#This Row],[KU.1]],(IF(A.LoE[[#This Row],[LE.1]]="-","-",IF(A.LoE[[#This Row],[LE.1]]&gt;=90,1,IF(A.LoE[[#This Row],[LE.1]]&gt;=80,2,IF(A.LoE[[#This Row],[LE.1]]&gt;=70,3,IF(A.LoE[[#This Row],[LE.1]]&gt;=1,4,5)))))))</f>
        <v>--</v>
      </c>
      <c r="BB16" s="46" t="str">
        <f>CONCATENATE(NSi.TS[[#This Row],[KU.2]],(IF(A.LoE[[#This Row],[LE.2]]="-","-",IF(A.LoE[[#This Row],[LE.2]]&gt;=90,1,IF(A.LoE[[#This Row],[LE.2]]&gt;=80,2,IF(A.LoE[[#This Row],[LE.2]]&gt;=70,3,IF(A.LoE[[#This Row],[LE.2]]&gt;=1,4,5)))))))</f>
        <v>--</v>
      </c>
      <c r="BC16" s="46" t="str">
        <f>CONCATENATE(NSi.TS[[#This Row],[KU.3]],(IF(A.LoE[[#This Row],[LE.3]]="-","-",IF(A.LoE[[#This Row],[LE.3]]&gt;=90,1,IF(A.LoE[[#This Row],[LE.3]]&gt;=80,2,IF(A.LoE[[#This Row],[LE.3]]&gt;=70,3,IF(A.LoE[[#This Row],[LE.3]]&gt;=1,4,5)))))))</f>
        <v>--</v>
      </c>
      <c r="BD16" s="46" t="str">
        <f>CONCATENATE(NSi.TS[[#This Row],[KU.4]],(IF(A.LoE[[#This Row],[LE.4]]="-","-",IF(A.LoE[[#This Row],[LE.4]]&gt;=90,1,IF(A.LoE[[#This Row],[LE.4]]&gt;=80,2,IF(A.LoE[[#This Row],[LE.4]]&gt;=70,3,IF(A.LoE[[#This Row],[LE.4]]&gt;=1,4,5)))))))</f>
        <v>--</v>
      </c>
      <c r="BE16" s="46" t="str">
        <f>CONCATENATE(NSi.TS[[#This Row],[KU.5]],(IF(A.LoE[[#This Row],[LE.5]]="-","-",IF(A.LoE[[#This Row],[LE.5]]&gt;=90,1,IF(A.LoE[[#This Row],[LE.5]]&gt;=80,2,IF(A.LoE[[#This Row],[LE.5]]&gt;=70,3,IF(A.LoE[[#This Row],[LE.5]]&gt;=1,4,5)))))))</f>
        <v>--</v>
      </c>
      <c r="BF16" s="46" t="str">
        <f>CONCATENATE(NSi.TS[[#This Row],[KU.6]],(IF(A.LoE[[#This Row],[LE.6]]="-","-",IF(A.LoE[[#This Row],[LE.6]]&gt;=90,1,IF(A.LoE[[#This Row],[LE.6]]&gt;=80,2,IF(A.LoE[[#This Row],[LE.6]]&gt;=70,3,IF(A.LoE[[#This Row],[LE.6]]&gt;=1,4,5)))))))</f>
        <v>--</v>
      </c>
      <c r="BG16" s="46" t="str">
        <f>CONCATENATE(NSi.TS[[#This Row],[KU.7]],(IF(A.LoE[[#This Row],[LE.7]]="-","-",IF(A.LoE[[#This Row],[LE.7]]&gt;=90,1,IF(A.LoE[[#This Row],[LE.7]]&gt;=80,2,IF(A.LoE[[#This Row],[LE.7]]&gt;=70,3,IF(A.LoE[[#This Row],[LE.7]]&gt;=1,4,5)))))))</f>
        <v>--</v>
      </c>
      <c r="BH16" s="46" t="str">
        <f>CONCATENATE(NSi.TS[[#This Row],[KU.8]],(IF(A.LoE[[#This Row],[LE.8]]="-","-",IF(A.LoE[[#This Row],[LE.8]]&gt;=90,1,IF(A.LoE[[#This Row],[LE.8]]&gt;=80,2,IF(A.LoE[[#This Row],[LE.8]]&gt;=70,3,IF(A.LoE[[#This Row],[LE.8]]&gt;=1,4,5)))))))</f>
        <v>--</v>
      </c>
      <c r="BI16" s="38" t="str">
        <f>CONCATENATE(NSi.TS[[#This Row],[KU.9]],(IF(A.LoE[[#This Row],[LE.9]]="-","-",IF(A.LoE[[#This Row],[LE.9]]&gt;=90,1,IF(A.LoE[[#This Row],[LE.9]]&gt;=80,2,IF(A.LoE[[#This Row],[LE.9]]&gt;=70,3,IF(A.LoE[[#This Row],[LE.9]]&gt;=1,4,5)))))))</f>
        <v>--</v>
      </c>
      <c r="BK16" s="35" t="str">
        <f>IFERROR(ROUND(AVERAGE(Con.Sk[[#This Row],[TJ.1]:[Pro-A.1]]),0),"-")</f>
        <v>-</v>
      </c>
      <c r="BL16" s="24" t="str">
        <f>IFERROR(ROUND(AVERAGE(Con.Sk[[#This Row],[TJ.2]:[Pro-A.2]]),0),"-")</f>
        <v>-</v>
      </c>
      <c r="BM16" s="24" t="str">
        <f>IFERROR(ROUND(AVERAGE(Con.Sk[[#This Row],[TJ.3]:[Pro-A.3]]),0),"-")</f>
        <v>-</v>
      </c>
      <c r="BN16" s="24" t="str">
        <f>IFERROR(ROUND(AVERAGE(Con.Sk[[#This Row],[TJ.4]:[Pro-A.4]]),0),"-")</f>
        <v>-</v>
      </c>
      <c r="BO16" s="24" t="str">
        <f>IFERROR(ROUND(AVERAGE(Con.Sk[[#This Row],[TJ.5]:[Pro-A.5]]),0),"-")</f>
        <v>-</v>
      </c>
      <c r="BP16" s="24" t="str">
        <f>IFERROR(ROUND(AVERAGE(Con.Sk[[#This Row],[TJ.6]:[Pro-A.6]]),0),"-")</f>
        <v>-</v>
      </c>
      <c r="BQ16" s="24" t="str">
        <f>IFERROR(ROUND(AVERAGE(Con.Sk[[#This Row],[TJ.7]:[Pro-A.7]]),0),"-")</f>
        <v>-</v>
      </c>
      <c r="BR16" s="24" t="str">
        <f>IFERROR(ROUND(AVERAGE(Con.Sk[[#This Row],[TJ.8]:[Pro-A.8]]),0),"-")</f>
        <v>-</v>
      </c>
      <c r="BS16" s="25" t="str">
        <f>IFERROR(ROUND(AVERAGE(Con.Sk[[#This Row],[TJ.9]:[Pro-A.9]]),0),"-")</f>
        <v>-</v>
      </c>
      <c r="BU16" s="47" t="str">
        <f>IFERROR(ROUND(AVERAGE(Con.Sk[[#This Row],[KU.1]],Con.Sk[[#This Row],[KU.2]],Con.Sk[[#This Row],[KU.3]],Con.Sk[[#This Row],[KU.4]],Con.Sk[[#This Row],[KU.5]],Con.Sk[[#This Row],[KU.6]],Con.Sk[[#This Row],[KU.7]],Con.Sk[[#This Row],[KU.8]],Con.Sk[[#This Row],[KU.9]]),0),"")</f>
        <v/>
      </c>
      <c r="BV16" s="48" t="str">
        <f>IFERROR(ROUND(AVERAGE(Con.Sk[[#This Row],[TJ.1]:[Pro-A.1]],Con.Sk[[#This Row],[TJ.2]:[Pro-A.2]],Con.Sk[[#This Row],[TJ.3]:[Pro-A.3]],Con.Sk[[#This Row],[TJ.4]:[Pro-A.4]],Con.Sk[[#This Row],[TJ.5]:[Pro-A.5]],Con.Sk[[#This Row],[TJ.6]:[Pro-A.6]],Con.Sk[[#This Row],[TJ.7]:[Pro-A.7]],Con.Sk[[#This Row],[TJ.8]:[Pro-A.8]],Con.Sk[[#This Row],[TJ.9]:[Pro-A.9]]),0),"")</f>
        <v/>
      </c>
      <c r="BW16" s="3"/>
      <c r="BX16" s="73" t="str">
        <f>IF(NSi.TS[[#This Row],[KU.1]]="A",100,IF(NSi.TS[[#This Row],[KU.1]]="B",89,IF(NSi.TS[[#This Row],[KU.1]]="C",79,IF(NSi.TS[[#This Row],[KU.1]]="D",69,IF(NSi.TS[[#This Row],[KU.1]]="E",0,"-")))))</f>
        <v>-</v>
      </c>
      <c r="BY16" s="73" t="str">
        <f>IF(NSi.TS[[#This Row],[TJ.1]]=1,100,IF(NSi.TS[[#This Row],[TJ.1]]=2,89,IF(NSi.TS[[#This Row],[TJ.1]]=3,79,IF(NSi.TS[[#This Row],[TJ.1]]=4,69,IF(NSi.TS[[#This Row],[TJ.1]]=5,0,"-")))))</f>
        <v>-</v>
      </c>
      <c r="BZ16" s="73" t="str">
        <f>IF(NSi.TS[[#This Row],[Ker.1]]=1,100,IF(NSi.TS[[#This Row],[Ker.1]]=2,89,IF(NSi.TS[[#This Row],[Ker.1]]=3,79,IF(NSi.TS[[#This Row],[Ker.1]]=4,69,IF(NSi.TS[[#This Row],[Ker.1]]=5,0,"-")))))</f>
        <v>-</v>
      </c>
      <c r="CA16" s="73" t="str">
        <f>IF(NSi.TS[[#This Row],[Ped.1]]=1,100,IF(NSi.TS[[#This Row],[Ped.1]]=2,89,IF(NSi.TS[[#This Row],[Ped.1]]=3,79,IF(NSi.TS[[#This Row],[Ped.1]]=4,69,IF(NSi.TS[[#This Row],[Ped.1]]=5,0,"-")))))</f>
        <v>-</v>
      </c>
      <c r="CB16" s="73" t="str">
        <f>IF(NSi.TS[[#This Row],[Pro-A.1]]=1,100,IF(NSi.TS[[#This Row],[Pro-A.1]]=2,89,IF(NSi.TS[[#This Row],[Pro-A.1]]=3,79,IF(NSi.TS[[#This Row],[Pro-A.1]]=4,69,IF(NSi.TS[[#This Row],[Pro-A.1]]=5,0,"-")))))</f>
        <v>-</v>
      </c>
      <c r="CC16" s="73" t="str">
        <f>IF(NSi.TS[[#This Row],[KU.2]]="A",100,IF(NSi.TS[[#This Row],[KU.2]]="B",89,IF(NSi.TS[[#This Row],[KU.2]]="C",79,IF(NSi.TS[[#This Row],[KU.2]]="D",69,IF(NSi.TS[[#This Row],[KU.2]]="E",0,"-")))))</f>
        <v>-</v>
      </c>
      <c r="CD16" s="73" t="str">
        <f>IF(NSi.TS[[#This Row],[TJ.2]]=1,100,IF(NSi.TS[[#This Row],[TJ.2]]=2,89,IF(NSi.TS[[#This Row],[TJ.2]]=3,79,IF(NSi.TS[[#This Row],[TJ.2]]=4,69,IF(NSi.TS[[#This Row],[TJ.2]]=5,0,"-")))))</f>
        <v>-</v>
      </c>
      <c r="CE16" s="73" t="str">
        <f>IF(NSi.TS[[#This Row],[Ker.2]]=1,100,IF(NSi.TS[[#This Row],[Ker.2]]=2,89,IF(NSi.TS[[#This Row],[Ker.2]]=3,79,IF(NSi.TS[[#This Row],[Ker.2]]=4,69,IF(NSi.TS[[#This Row],[Ker.2]]=5,0,"-")))))</f>
        <v>-</v>
      </c>
      <c r="CF16" s="73" t="str">
        <f>IF(NSi.TS[[#This Row],[Ped.2]]=1,100,IF(NSi.TS[[#This Row],[Ped.2]]=2,89,IF(NSi.TS[[#This Row],[Ped.2]]=3,79,IF(NSi.TS[[#This Row],[Ped.2]]=4,69,IF(NSi.TS[[#This Row],[Ped.2]]=5,0,"-")))))</f>
        <v>-</v>
      </c>
      <c r="CG16" s="73" t="str">
        <f>IF(NSi.TS[[#This Row],[Pro-A.2]]=1,100,IF(NSi.TS[[#This Row],[Pro-A.2]]=2,89,IF(NSi.TS[[#This Row],[Pro-A.2]]=3,79,IF(NSi.TS[[#This Row],[Pro-A.2]]=4,69,IF(NSi.TS[[#This Row],[Pro-A.2]]=5,0,"-")))))</f>
        <v>-</v>
      </c>
      <c r="CH16" s="74" t="str">
        <f>IF(NSi.TS[[#This Row],[KU.3]]="A",100,IF(NSi.TS[[#This Row],[KU.3]]="B",89,IF(NSi.TS[[#This Row],[KU.3]]="C",79,IF(NSi.TS[[#This Row],[KU.3]]="D",69,IF(NSi.TS[[#This Row],[KU.3]]="E",0,"-")))))</f>
        <v>-</v>
      </c>
      <c r="CI16" s="73" t="str">
        <f>IF(NSi.TS[[#This Row],[TJ.3]]=1,100,IF(NSi.TS[[#This Row],[TJ.3]]=2,89,IF(NSi.TS[[#This Row],[TJ.3]]=3,79,IF(NSi.TS[[#This Row],[TJ.3]]=4,69,IF(NSi.TS[[#This Row],[TJ.3]]=5,0,"-")))))</f>
        <v>-</v>
      </c>
      <c r="CJ16" s="73" t="str">
        <f>IF(NSi.TS[[#This Row],[Ker.3]]=1,100,IF(NSi.TS[[#This Row],[Ker.3]]=2,89,IF(NSi.TS[[#This Row],[Ker.3]]=3,79,IF(NSi.TS[[#This Row],[Ker.3]]=4,69,IF(NSi.TS[[#This Row],[Ker.3]]=5,0,"-")))))</f>
        <v>-</v>
      </c>
      <c r="CK16" s="73" t="str">
        <f>IF(NSi.TS[[#This Row],[Ped.3]]=1,100,IF(NSi.TS[[#This Row],[Ped.3]]=2,89,IF(NSi.TS[[#This Row],[Ped.3]]=3,79,IF(NSi.TS[[#This Row],[Ped.3]]=4,69,IF(NSi.TS[[#This Row],[Ped.3]]=5,0,"-")))))</f>
        <v>-</v>
      </c>
      <c r="CL16" s="73" t="str">
        <f>IF(NSi.TS[[#This Row],[Pro-A.3]]=1,100,IF(NSi.TS[[#This Row],[Pro-A.3]]=2,89,IF(NSi.TS[[#This Row],[Pro-A.3]]=3,79,IF(NSi.TS[[#This Row],[Pro-A.3]]=4,69,IF(NSi.TS[[#This Row],[Pro-A.3]]=5,0,"-")))))</f>
        <v>-</v>
      </c>
      <c r="CM16" s="74" t="str">
        <f>IF(NSi.TS[[#This Row],[KU.4]]="A",100,IF(NSi.TS[[#This Row],[KU.4]]="B",89,IF(NSi.TS[[#This Row],[KU.4]]="C",79,IF(NSi.TS[[#This Row],[KU.4]]="D",69,IF(NSi.TS[[#This Row],[KU.4]]="E",0,"-")))))</f>
        <v>-</v>
      </c>
      <c r="CN16" s="73" t="str">
        <f>IF(NSi.TS[[#This Row],[TJ.4]]=1,100,IF(NSi.TS[[#This Row],[TJ.4]]=2,89,IF(NSi.TS[[#This Row],[TJ.4]]=3,79,IF(NSi.TS[[#This Row],[TJ.4]]=4,69,IF(NSi.TS[[#This Row],[TJ.4]]=5,0,"-")))))</f>
        <v>-</v>
      </c>
      <c r="CO16" s="73" t="str">
        <f>IF(NSi.TS[[#This Row],[Ker.4]]=1,100,IF(NSi.TS[[#This Row],[Ker.4]]=2,89,IF(NSi.TS[[#This Row],[Ker.4]]=3,79,IF(NSi.TS[[#This Row],[Ker.4]]=4,69,IF(NSi.TS[[#This Row],[Ker.4]]=5,0,"-")))))</f>
        <v>-</v>
      </c>
      <c r="CP16" s="73" t="str">
        <f>IF(NSi.TS[[#This Row],[Ped.4]]=1,100,IF(NSi.TS[[#This Row],[Ped.4]]=2,89,IF(NSi.TS[[#This Row],[Ped.4]]=3,79,IF(NSi.TS[[#This Row],[Ped.4]]=4,69,IF(NSi.TS[[#This Row],[Ped.4]]=5,0,"-")))))</f>
        <v>-</v>
      </c>
      <c r="CQ16" s="73" t="str">
        <f>IF(NSi.TS[[#This Row],[Pro-A.4]]=1,100,IF(NSi.TS[[#This Row],[Pro-A.4]]=2,89,IF(NSi.TS[[#This Row],[Pro-A.4]]=3,79,IF(NSi.TS[[#This Row],[Pro-A.4]]=4,69,IF(NSi.TS[[#This Row],[Pro-A.4]]=5,0,"-")))))</f>
        <v>-</v>
      </c>
      <c r="CR16" s="74" t="str">
        <f>IF(NSi.TS[[#This Row],[KU.5]]="A",100,IF(NSi.TS[[#This Row],[KU.5]]="B",89,IF(NSi.TS[[#This Row],[KU.5]]="C",79,IF(NSi.TS[[#This Row],[KU.5]]="D",69,IF(NSi.TS[[#This Row],[KU.5]]="E",0,"-")))))</f>
        <v>-</v>
      </c>
      <c r="CS16" s="73" t="str">
        <f>IF(NSi.TS[[#This Row],[TJ.5]]=1,100,IF(NSi.TS[[#This Row],[TJ.5]]=2,89,IF(NSi.TS[[#This Row],[TJ.5]]=3,79,IF(NSi.TS[[#This Row],[TJ.5]]=4,69,IF(NSi.TS[[#This Row],[TJ.5]]=5,0,"-")))))</f>
        <v>-</v>
      </c>
      <c r="CT16" s="73" t="str">
        <f>IF(NSi.TS[[#This Row],[Ker.5]]=1,100,IF(NSi.TS[[#This Row],[Ker.5]]=2,89,IF(NSi.TS[[#This Row],[Ker.5]]=3,79,IF(NSi.TS[[#This Row],[Ker.5]]=4,69,IF(NSi.TS[[#This Row],[Ker.5]]=5,0,"-")))))</f>
        <v>-</v>
      </c>
      <c r="CU16" s="73" t="str">
        <f>IF(NSi.TS[[#This Row],[Ped.5]]=1,100,IF(NSi.TS[[#This Row],[Ped.5]]=2,89,IF(NSi.TS[[#This Row],[Ped.5]]=3,79,IF(NSi.TS[[#This Row],[Ped.5]]=4,69,IF(NSi.TS[[#This Row],[Ped.5]]=5,0,"-")))))</f>
        <v>-</v>
      </c>
      <c r="CV16" s="73" t="str">
        <f>IF(NSi.TS[[#This Row],[Pro-A.5]]=1,100,IF(NSi.TS[[#This Row],[Pro-A.5]]=2,89,IF(NSi.TS[[#This Row],[Pro-A.5]]=3,79,IF(NSi.TS[[#This Row],[Pro-A.5]]=4,69,IF(NSi.TS[[#This Row],[Pro-A.5]]=5,0,"-")))))</f>
        <v>-</v>
      </c>
      <c r="CW16" s="74" t="str">
        <f>IF(NSi.TS[[#This Row],[KU.6]]="A",100,IF(NSi.TS[[#This Row],[KU.6]]="B",89,IF(NSi.TS[[#This Row],[KU.6]]="C",79,IF(NSi.TS[[#This Row],[KU.6]]="D",69,IF(NSi.TS[[#This Row],[KU.6]]="E",0,"-")))))</f>
        <v>-</v>
      </c>
      <c r="CX16" s="73" t="str">
        <f>IF(NSi.TS[[#This Row],[TJ.6]]=1,100,IF(NSi.TS[[#This Row],[TJ.6]]=2,89,IF(NSi.TS[[#This Row],[TJ.6]]=3,79,IF(NSi.TS[[#This Row],[TJ.6]]=4,69,IF(NSi.TS[[#This Row],[TJ.6]]=5,0,"-")))))</f>
        <v>-</v>
      </c>
      <c r="CY16" s="73" t="str">
        <f>IF(NSi.TS[[#This Row],[Ker.6]]=1,100,IF(NSi.TS[[#This Row],[Ker.6]]=2,89,IF(NSi.TS[[#This Row],[Ker.6]]=3,79,IF(NSi.TS[[#This Row],[Ker.6]]=4,69,IF(NSi.TS[[#This Row],[Ker.6]]=5,0,"-")))))</f>
        <v>-</v>
      </c>
      <c r="CZ16" s="73" t="str">
        <f>IF(NSi.TS[[#This Row],[Ped.6]]=1,100,IF(NSi.TS[[#This Row],[Ped.6]]=2,89,IF(NSi.TS[[#This Row],[Ped.6]]=3,79,IF(NSi.TS[[#This Row],[Ped.6]]=4,69,IF(NSi.TS[[#This Row],[Ped.6]]=5,0,"-")))))</f>
        <v>-</v>
      </c>
      <c r="DA16" s="73" t="str">
        <f>IF(NSi.TS[[#This Row],[Pro-A.6]]=1,100,IF(NSi.TS[[#This Row],[Pro-A.6]]=2,89,IF(NSi.TS[[#This Row],[Pro-A.6]]=3,79,IF(NSi.TS[[#This Row],[Pro-A.6]]=4,69,IF(NSi.TS[[#This Row],[Pro-A.6]]=5,0,"-")))))</f>
        <v>-</v>
      </c>
      <c r="DB16" s="74" t="str">
        <f>IF(NSi.TS[[#This Row],[KU.7]]="A",100,IF(NSi.TS[[#This Row],[KU.7]]="B",89,IF(NSi.TS[[#This Row],[KU.7]]="C",79,IF(NSi.TS[[#This Row],[KU.7]]="D",69,IF(NSi.TS[[#This Row],[KU.7]]="E",0,"-")))))</f>
        <v>-</v>
      </c>
      <c r="DC16" s="73" t="str">
        <f>IF(NSi.TS[[#This Row],[TJ.7]]=1,100,IF(NSi.TS[[#This Row],[TJ.7]]=2,89,IF(NSi.TS[[#This Row],[TJ.7]]=3,79,IF(NSi.TS[[#This Row],[TJ.7]]=4,69,IF(NSi.TS[[#This Row],[TJ.7]]=5,0,"-")))))</f>
        <v>-</v>
      </c>
      <c r="DD16" s="73" t="str">
        <f>IF(NSi.TS[[#This Row],[Ker.7]]=1,100,IF(NSi.TS[[#This Row],[Ker.7]]=2,89,IF(NSi.TS[[#This Row],[Ker.7]]=3,79,IF(NSi.TS[[#This Row],[Ker.7]]=4,69,IF(NSi.TS[[#This Row],[Ker.7]]=5,0,"-")))))</f>
        <v>-</v>
      </c>
      <c r="DE16" s="73" t="str">
        <f>IF(NSi.TS[[#This Row],[Ped.7]]=1,100,IF(NSi.TS[[#This Row],[Ped.7]]=2,89,IF(NSi.TS[[#This Row],[Ped.7]]=3,79,IF(NSi.TS[[#This Row],[Ped.7]]=4,69,IF(NSi.TS[[#This Row],[Ped.7]]=5,0,"-")))))</f>
        <v>-</v>
      </c>
      <c r="DF16" s="73" t="str">
        <f>IF(NSi.TS[[#This Row],[Pro-A.7]]=1,100,IF(NSi.TS[[#This Row],[Pro-A.7]]=2,89,IF(NSi.TS[[#This Row],[Pro-A.7]]=3,79,IF(NSi.TS[[#This Row],[Pro-A.7]]=4,69,IF(NSi.TS[[#This Row],[Pro-A.7]]=5,0,"-")))))</f>
        <v>-</v>
      </c>
      <c r="DG16" s="74" t="str">
        <f>IF(NSi.TS[[#This Row],[KU.8]]="A",100,IF(NSi.TS[[#This Row],[KU.8]]="B",89,IF(NSi.TS[[#This Row],[KU.8]]="C",79,IF(NSi.TS[[#This Row],[KU.8]]="D",69,IF(NSi.TS[[#This Row],[KU.8]]="E",0,"-")))))</f>
        <v>-</v>
      </c>
      <c r="DH16" s="73" t="str">
        <f>IF(NSi.TS[[#This Row],[TJ.8]]=1,100,IF(NSi.TS[[#This Row],[TJ.8]]=2,89,IF(NSi.TS[[#This Row],[TJ.8]]=3,79,IF(NSi.TS[[#This Row],[TJ.8]]=4,69,IF(NSi.TS[[#This Row],[TJ.8]]=5,0,"-")))))</f>
        <v>-</v>
      </c>
      <c r="DI16" s="73" t="str">
        <f>IF(NSi.TS[[#This Row],[Ker.8]]=1,100,IF(NSi.TS[[#This Row],[Ker.8]]=2,89,IF(NSi.TS[[#This Row],[Ker.8]]=3,79,IF(NSi.TS[[#This Row],[Ker.8]]=4,69,IF(NSi.TS[[#This Row],[Ker.8]]=5,0,"-")))))</f>
        <v>-</v>
      </c>
      <c r="DJ16" s="73" t="str">
        <f>IF(NSi.TS[[#This Row],[Ped.8]]=1,100,IF(NSi.TS[[#This Row],[Ped.8]]=2,89,IF(NSi.TS[[#This Row],[Ped.8]]=3,79,IF(NSi.TS[[#This Row],[Ped.8]]=4,69,IF(NSi.TS[[#This Row],[Ped.8]]=5,0,"-")))))</f>
        <v>-</v>
      </c>
      <c r="DK16" s="73" t="str">
        <f>IF(NSi.TS[[#This Row],[Pro-A.8]]=1,100,IF(NSi.TS[[#This Row],[Pro-A.8]]=2,89,IF(NSi.TS[[#This Row],[Pro-A.8]]=3,79,IF(NSi.TS[[#This Row],[Pro-A.8]]=4,69,IF(NSi.TS[[#This Row],[Pro-A.8]]=5,0,"-")))))</f>
        <v>-</v>
      </c>
      <c r="DL16" s="74" t="str">
        <f>IF(NSi.TS[[#This Row],[KU.9]]="A",100,IF(NSi.TS[[#This Row],[KU.9]]="B",89,IF(NSi.TS[[#This Row],[KU.9]]="C",79,IF(NSi.TS[[#This Row],[KU.9]]="D",69,IF(NSi.TS[[#This Row],[KU.9]]="E",0,"-")))))</f>
        <v>-</v>
      </c>
      <c r="DM16" s="73" t="str">
        <f>IF(NSi.TS[[#This Row],[TJ.9]]=1,100,IF(NSi.TS[[#This Row],[TJ.9]]=2,89,IF(NSi.TS[[#This Row],[TJ.9]]=3,79,IF(NSi.TS[[#This Row],[TJ.9]]=4,69,IF(NSi.TS[[#This Row],[TJ.9]]=5,0,"-")))))</f>
        <v>-</v>
      </c>
      <c r="DN16" s="73" t="str">
        <f>IF(NSi.TS[[#This Row],[Ker.9]]=1,100,IF(NSi.TS[[#This Row],[Ker.9]]=2,89,IF(NSi.TS[[#This Row],[Ker.9]]=3,79,IF(NSi.TS[[#This Row],[Ker.9]]=4,69,IF(NSi.TS[[#This Row],[Ker.9]]=5,0,"-")))))</f>
        <v>-</v>
      </c>
      <c r="DO16" s="73" t="str">
        <f>IF(NSi.TS[[#This Row],[Ped.9]]=1,100,IF(NSi.TS[[#This Row],[Ped.9]]=2,89,IF(NSi.TS[[#This Row],[Ped.9]]=3,79,IF(NSi.TS[[#This Row],[Ped.9]]=4,69,IF(NSi.TS[[#This Row],[Ped.9]]=5,0,"-")))))</f>
        <v>-</v>
      </c>
      <c r="DP16" s="73" t="str">
        <f>IF(NSi.TS[[#This Row],[Pro-A.9]]=1,100,IF(NSi.TS[[#This Row],[Pro-A.9]]=2,89,IF(NSi.TS[[#This Row],[Pro-A.9]]=3,79,IF(NSi.TS[[#This Row],[Pro-A.9]]=4,69,IF(NSi.TS[[#This Row],[Pro-A.9]]=5,0,"-")))))</f>
        <v>-</v>
      </c>
    </row>
    <row r="17" spans="1:120" ht="50.1" customHeight="1" x14ac:dyDescent="0.3">
      <c r="A17" s="85"/>
      <c r="B17" s="86"/>
      <c r="C17" s="87"/>
      <c r="D17" s="87"/>
      <c r="E17" s="87"/>
      <c r="F17" s="44" t="str">
        <f>IFERROR(ROUND(AVERAGE(CSCR[#This Row]),0),"")</f>
        <v/>
      </c>
      <c r="G17" s="41" t="s">
        <v>102</v>
      </c>
      <c r="H17" s="45" t="s">
        <v>102</v>
      </c>
      <c r="I17" s="45" t="s">
        <v>102</v>
      </c>
      <c r="J17" s="45" t="s">
        <v>102</v>
      </c>
      <c r="K17" s="45" t="s">
        <v>102</v>
      </c>
      <c r="L17" s="41" t="s">
        <v>102</v>
      </c>
      <c r="M17" s="45" t="s">
        <v>102</v>
      </c>
      <c r="N17" s="45" t="s">
        <v>102</v>
      </c>
      <c r="O17" s="45" t="s">
        <v>102</v>
      </c>
      <c r="P17" s="45" t="s">
        <v>102</v>
      </c>
      <c r="Q17" s="41" t="s">
        <v>102</v>
      </c>
      <c r="R17" s="45" t="s">
        <v>102</v>
      </c>
      <c r="S17" s="45" t="s">
        <v>102</v>
      </c>
      <c r="T17" s="45" t="s">
        <v>102</v>
      </c>
      <c r="U17" s="45" t="s">
        <v>102</v>
      </c>
      <c r="V17" s="41" t="s">
        <v>102</v>
      </c>
      <c r="W17" s="45" t="s">
        <v>102</v>
      </c>
      <c r="X17" s="45" t="s">
        <v>102</v>
      </c>
      <c r="Y17" s="45" t="s">
        <v>102</v>
      </c>
      <c r="Z17" s="45" t="s">
        <v>102</v>
      </c>
      <c r="AA17" s="41" t="s">
        <v>102</v>
      </c>
      <c r="AB17" s="45" t="s">
        <v>102</v>
      </c>
      <c r="AC17" s="45" t="s">
        <v>102</v>
      </c>
      <c r="AD17" s="45" t="s">
        <v>102</v>
      </c>
      <c r="AE17" s="45" t="s">
        <v>102</v>
      </c>
      <c r="AF17" s="41" t="s">
        <v>102</v>
      </c>
      <c r="AG17" s="45" t="s">
        <v>102</v>
      </c>
      <c r="AH17" s="45" t="s">
        <v>102</v>
      </c>
      <c r="AI17" s="45" t="s">
        <v>102</v>
      </c>
      <c r="AJ17" s="45" t="s">
        <v>102</v>
      </c>
      <c r="AK17" s="41" t="s">
        <v>102</v>
      </c>
      <c r="AL17" s="45" t="s">
        <v>102</v>
      </c>
      <c r="AM17" s="45" t="s">
        <v>102</v>
      </c>
      <c r="AN17" s="45" t="s">
        <v>102</v>
      </c>
      <c r="AO17" s="45" t="s">
        <v>102</v>
      </c>
      <c r="AP17" s="41" t="s">
        <v>102</v>
      </c>
      <c r="AQ17" s="45" t="s">
        <v>102</v>
      </c>
      <c r="AR17" s="45" t="s">
        <v>102</v>
      </c>
      <c r="AS17" s="45" t="s">
        <v>102</v>
      </c>
      <c r="AT17" s="45" t="s">
        <v>102</v>
      </c>
      <c r="AU17" s="41" t="s">
        <v>102</v>
      </c>
      <c r="AV17" s="45" t="s">
        <v>102</v>
      </c>
      <c r="AW17" s="45" t="s">
        <v>102</v>
      </c>
      <c r="AX17" s="45" t="s">
        <v>102</v>
      </c>
      <c r="AY17" s="45" t="s">
        <v>102</v>
      </c>
      <c r="BA17" s="10" t="str">
        <f>CONCATENATE(NSi.TS[[#This Row],[KU.1]],(IF(A.LoE[[#This Row],[LE.1]]="-","-",IF(A.LoE[[#This Row],[LE.1]]&gt;=90,1,IF(A.LoE[[#This Row],[LE.1]]&gt;=80,2,IF(A.LoE[[#This Row],[LE.1]]&gt;=70,3,IF(A.LoE[[#This Row],[LE.1]]&gt;=1,4,5)))))))</f>
        <v>--</v>
      </c>
      <c r="BB17" s="46" t="str">
        <f>CONCATENATE(NSi.TS[[#This Row],[KU.2]],(IF(A.LoE[[#This Row],[LE.2]]="-","-",IF(A.LoE[[#This Row],[LE.2]]&gt;=90,1,IF(A.LoE[[#This Row],[LE.2]]&gt;=80,2,IF(A.LoE[[#This Row],[LE.2]]&gt;=70,3,IF(A.LoE[[#This Row],[LE.2]]&gt;=1,4,5)))))))</f>
        <v>--</v>
      </c>
      <c r="BC17" s="46" t="str">
        <f>CONCATENATE(NSi.TS[[#This Row],[KU.3]],(IF(A.LoE[[#This Row],[LE.3]]="-","-",IF(A.LoE[[#This Row],[LE.3]]&gt;=90,1,IF(A.LoE[[#This Row],[LE.3]]&gt;=80,2,IF(A.LoE[[#This Row],[LE.3]]&gt;=70,3,IF(A.LoE[[#This Row],[LE.3]]&gt;=1,4,5)))))))</f>
        <v>--</v>
      </c>
      <c r="BD17" s="46" t="str">
        <f>CONCATENATE(NSi.TS[[#This Row],[KU.4]],(IF(A.LoE[[#This Row],[LE.4]]="-","-",IF(A.LoE[[#This Row],[LE.4]]&gt;=90,1,IF(A.LoE[[#This Row],[LE.4]]&gt;=80,2,IF(A.LoE[[#This Row],[LE.4]]&gt;=70,3,IF(A.LoE[[#This Row],[LE.4]]&gt;=1,4,5)))))))</f>
        <v>--</v>
      </c>
      <c r="BE17" s="46" t="str">
        <f>CONCATENATE(NSi.TS[[#This Row],[KU.5]],(IF(A.LoE[[#This Row],[LE.5]]="-","-",IF(A.LoE[[#This Row],[LE.5]]&gt;=90,1,IF(A.LoE[[#This Row],[LE.5]]&gt;=80,2,IF(A.LoE[[#This Row],[LE.5]]&gt;=70,3,IF(A.LoE[[#This Row],[LE.5]]&gt;=1,4,5)))))))</f>
        <v>--</v>
      </c>
      <c r="BF17" s="46" t="str">
        <f>CONCATENATE(NSi.TS[[#This Row],[KU.6]],(IF(A.LoE[[#This Row],[LE.6]]="-","-",IF(A.LoE[[#This Row],[LE.6]]&gt;=90,1,IF(A.LoE[[#This Row],[LE.6]]&gt;=80,2,IF(A.LoE[[#This Row],[LE.6]]&gt;=70,3,IF(A.LoE[[#This Row],[LE.6]]&gt;=1,4,5)))))))</f>
        <v>--</v>
      </c>
      <c r="BG17" s="46" t="str">
        <f>CONCATENATE(NSi.TS[[#This Row],[KU.7]],(IF(A.LoE[[#This Row],[LE.7]]="-","-",IF(A.LoE[[#This Row],[LE.7]]&gt;=90,1,IF(A.LoE[[#This Row],[LE.7]]&gt;=80,2,IF(A.LoE[[#This Row],[LE.7]]&gt;=70,3,IF(A.LoE[[#This Row],[LE.7]]&gt;=1,4,5)))))))</f>
        <v>--</v>
      </c>
      <c r="BH17" s="46" t="str">
        <f>CONCATENATE(NSi.TS[[#This Row],[KU.8]],(IF(A.LoE[[#This Row],[LE.8]]="-","-",IF(A.LoE[[#This Row],[LE.8]]&gt;=90,1,IF(A.LoE[[#This Row],[LE.8]]&gt;=80,2,IF(A.LoE[[#This Row],[LE.8]]&gt;=70,3,IF(A.LoE[[#This Row],[LE.8]]&gt;=1,4,5)))))))</f>
        <v>--</v>
      </c>
      <c r="BI17" s="38" t="str">
        <f>CONCATENATE(NSi.TS[[#This Row],[KU.9]],(IF(A.LoE[[#This Row],[LE.9]]="-","-",IF(A.LoE[[#This Row],[LE.9]]&gt;=90,1,IF(A.LoE[[#This Row],[LE.9]]&gt;=80,2,IF(A.LoE[[#This Row],[LE.9]]&gt;=70,3,IF(A.LoE[[#This Row],[LE.9]]&gt;=1,4,5)))))))</f>
        <v>--</v>
      </c>
      <c r="BK17" s="35" t="str">
        <f>IFERROR(ROUND(AVERAGE(Con.Sk[[#This Row],[TJ.1]:[Pro-A.1]]),0),"-")</f>
        <v>-</v>
      </c>
      <c r="BL17" s="24" t="str">
        <f>IFERROR(ROUND(AVERAGE(Con.Sk[[#This Row],[TJ.2]:[Pro-A.2]]),0),"-")</f>
        <v>-</v>
      </c>
      <c r="BM17" s="24" t="str">
        <f>IFERROR(ROUND(AVERAGE(Con.Sk[[#This Row],[TJ.3]:[Pro-A.3]]),0),"-")</f>
        <v>-</v>
      </c>
      <c r="BN17" s="24" t="str">
        <f>IFERROR(ROUND(AVERAGE(Con.Sk[[#This Row],[TJ.4]:[Pro-A.4]]),0),"-")</f>
        <v>-</v>
      </c>
      <c r="BO17" s="24" t="str">
        <f>IFERROR(ROUND(AVERAGE(Con.Sk[[#This Row],[TJ.5]:[Pro-A.5]]),0),"-")</f>
        <v>-</v>
      </c>
      <c r="BP17" s="24" t="str">
        <f>IFERROR(ROUND(AVERAGE(Con.Sk[[#This Row],[TJ.6]:[Pro-A.6]]),0),"-")</f>
        <v>-</v>
      </c>
      <c r="BQ17" s="24" t="str">
        <f>IFERROR(ROUND(AVERAGE(Con.Sk[[#This Row],[TJ.7]:[Pro-A.7]]),0),"-")</f>
        <v>-</v>
      </c>
      <c r="BR17" s="24" t="str">
        <f>IFERROR(ROUND(AVERAGE(Con.Sk[[#This Row],[TJ.8]:[Pro-A.8]]),0),"-")</f>
        <v>-</v>
      </c>
      <c r="BS17" s="25" t="str">
        <f>IFERROR(ROUND(AVERAGE(Con.Sk[[#This Row],[TJ.9]:[Pro-A.9]]),0),"-")</f>
        <v>-</v>
      </c>
      <c r="BU17" s="47" t="str">
        <f>IFERROR(ROUND(AVERAGE(Con.Sk[[#This Row],[KU.1]],Con.Sk[[#This Row],[KU.2]],Con.Sk[[#This Row],[KU.3]],Con.Sk[[#This Row],[KU.4]],Con.Sk[[#This Row],[KU.5]],Con.Sk[[#This Row],[KU.6]],Con.Sk[[#This Row],[KU.7]],Con.Sk[[#This Row],[KU.8]],Con.Sk[[#This Row],[KU.9]]),0),"")</f>
        <v/>
      </c>
      <c r="BV17" s="48" t="str">
        <f>IFERROR(ROUND(AVERAGE(Con.Sk[[#This Row],[TJ.1]:[Pro-A.1]],Con.Sk[[#This Row],[TJ.2]:[Pro-A.2]],Con.Sk[[#This Row],[TJ.3]:[Pro-A.3]],Con.Sk[[#This Row],[TJ.4]:[Pro-A.4]],Con.Sk[[#This Row],[TJ.5]:[Pro-A.5]],Con.Sk[[#This Row],[TJ.6]:[Pro-A.6]],Con.Sk[[#This Row],[TJ.7]:[Pro-A.7]],Con.Sk[[#This Row],[TJ.8]:[Pro-A.8]],Con.Sk[[#This Row],[TJ.9]:[Pro-A.9]]),0),"")</f>
        <v/>
      </c>
      <c r="BW17" s="3"/>
      <c r="BX17" s="73" t="str">
        <f>IF(NSi.TS[[#This Row],[KU.1]]="A",100,IF(NSi.TS[[#This Row],[KU.1]]="B",89,IF(NSi.TS[[#This Row],[KU.1]]="C",79,IF(NSi.TS[[#This Row],[KU.1]]="D",69,IF(NSi.TS[[#This Row],[KU.1]]="E",0,"-")))))</f>
        <v>-</v>
      </c>
      <c r="BY17" s="73" t="str">
        <f>IF(NSi.TS[[#This Row],[TJ.1]]=1,100,IF(NSi.TS[[#This Row],[TJ.1]]=2,89,IF(NSi.TS[[#This Row],[TJ.1]]=3,79,IF(NSi.TS[[#This Row],[TJ.1]]=4,69,IF(NSi.TS[[#This Row],[TJ.1]]=5,0,"-")))))</f>
        <v>-</v>
      </c>
      <c r="BZ17" s="73" t="str">
        <f>IF(NSi.TS[[#This Row],[Ker.1]]=1,100,IF(NSi.TS[[#This Row],[Ker.1]]=2,89,IF(NSi.TS[[#This Row],[Ker.1]]=3,79,IF(NSi.TS[[#This Row],[Ker.1]]=4,69,IF(NSi.TS[[#This Row],[Ker.1]]=5,0,"-")))))</f>
        <v>-</v>
      </c>
      <c r="CA17" s="73" t="str">
        <f>IF(NSi.TS[[#This Row],[Ped.1]]=1,100,IF(NSi.TS[[#This Row],[Ped.1]]=2,89,IF(NSi.TS[[#This Row],[Ped.1]]=3,79,IF(NSi.TS[[#This Row],[Ped.1]]=4,69,IF(NSi.TS[[#This Row],[Ped.1]]=5,0,"-")))))</f>
        <v>-</v>
      </c>
      <c r="CB17" s="73" t="str">
        <f>IF(NSi.TS[[#This Row],[Pro-A.1]]=1,100,IF(NSi.TS[[#This Row],[Pro-A.1]]=2,89,IF(NSi.TS[[#This Row],[Pro-A.1]]=3,79,IF(NSi.TS[[#This Row],[Pro-A.1]]=4,69,IF(NSi.TS[[#This Row],[Pro-A.1]]=5,0,"-")))))</f>
        <v>-</v>
      </c>
      <c r="CC17" s="73" t="str">
        <f>IF(NSi.TS[[#This Row],[KU.2]]="A",100,IF(NSi.TS[[#This Row],[KU.2]]="B",89,IF(NSi.TS[[#This Row],[KU.2]]="C",79,IF(NSi.TS[[#This Row],[KU.2]]="D",69,IF(NSi.TS[[#This Row],[KU.2]]="E",0,"-")))))</f>
        <v>-</v>
      </c>
      <c r="CD17" s="73" t="str">
        <f>IF(NSi.TS[[#This Row],[TJ.2]]=1,100,IF(NSi.TS[[#This Row],[TJ.2]]=2,89,IF(NSi.TS[[#This Row],[TJ.2]]=3,79,IF(NSi.TS[[#This Row],[TJ.2]]=4,69,IF(NSi.TS[[#This Row],[TJ.2]]=5,0,"-")))))</f>
        <v>-</v>
      </c>
      <c r="CE17" s="73" t="str">
        <f>IF(NSi.TS[[#This Row],[Ker.2]]=1,100,IF(NSi.TS[[#This Row],[Ker.2]]=2,89,IF(NSi.TS[[#This Row],[Ker.2]]=3,79,IF(NSi.TS[[#This Row],[Ker.2]]=4,69,IF(NSi.TS[[#This Row],[Ker.2]]=5,0,"-")))))</f>
        <v>-</v>
      </c>
      <c r="CF17" s="73" t="str">
        <f>IF(NSi.TS[[#This Row],[Ped.2]]=1,100,IF(NSi.TS[[#This Row],[Ped.2]]=2,89,IF(NSi.TS[[#This Row],[Ped.2]]=3,79,IF(NSi.TS[[#This Row],[Ped.2]]=4,69,IF(NSi.TS[[#This Row],[Ped.2]]=5,0,"-")))))</f>
        <v>-</v>
      </c>
      <c r="CG17" s="73" t="str">
        <f>IF(NSi.TS[[#This Row],[Pro-A.2]]=1,100,IF(NSi.TS[[#This Row],[Pro-A.2]]=2,89,IF(NSi.TS[[#This Row],[Pro-A.2]]=3,79,IF(NSi.TS[[#This Row],[Pro-A.2]]=4,69,IF(NSi.TS[[#This Row],[Pro-A.2]]=5,0,"-")))))</f>
        <v>-</v>
      </c>
      <c r="CH17" s="74" t="str">
        <f>IF(NSi.TS[[#This Row],[KU.3]]="A",100,IF(NSi.TS[[#This Row],[KU.3]]="B",89,IF(NSi.TS[[#This Row],[KU.3]]="C",79,IF(NSi.TS[[#This Row],[KU.3]]="D",69,IF(NSi.TS[[#This Row],[KU.3]]="E",0,"-")))))</f>
        <v>-</v>
      </c>
      <c r="CI17" s="73" t="str">
        <f>IF(NSi.TS[[#This Row],[TJ.3]]=1,100,IF(NSi.TS[[#This Row],[TJ.3]]=2,89,IF(NSi.TS[[#This Row],[TJ.3]]=3,79,IF(NSi.TS[[#This Row],[TJ.3]]=4,69,IF(NSi.TS[[#This Row],[TJ.3]]=5,0,"-")))))</f>
        <v>-</v>
      </c>
      <c r="CJ17" s="73" t="str">
        <f>IF(NSi.TS[[#This Row],[Ker.3]]=1,100,IF(NSi.TS[[#This Row],[Ker.3]]=2,89,IF(NSi.TS[[#This Row],[Ker.3]]=3,79,IF(NSi.TS[[#This Row],[Ker.3]]=4,69,IF(NSi.TS[[#This Row],[Ker.3]]=5,0,"-")))))</f>
        <v>-</v>
      </c>
      <c r="CK17" s="73" t="str">
        <f>IF(NSi.TS[[#This Row],[Ped.3]]=1,100,IF(NSi.TS[[#This Row],[Ped.3]]=2,89,IF(NSi.TS[[#This Row],[Ped.3]]=3,79,IF(NSi.TS[[#This Row],[Ped.3]]=4,69,IF(NSi.TS[[#This Row],[Ped.3]]=5,0,"-")))))</f>
        <v>-</v>
      </c>
      <c r="CL17" s="73" t="str">
        <f>IF(NSi.TS[[#This Row],[Pro-A.3]]=1,100,IF(NSi.TS[[#This Row],[Pro-A.3]]=2,89,IF(NSi.TS[[#This Row],[Pro-A.3]]=3,79,IF(NSi.TS[[#This Row],[Pro-A.3]]=4,69,IF(NSi.TS[[#This Row],[Pro-A.3]]=5,0,"-")))))</f>
        <v>-</v>
      </c>
      <c r="CM17" s="74" t="str">
        <f>IF(NSi.TS[[#This Row],[KU.4]]="A",100,IF(NSi.TS[[#This Row],[KU.4]]="B",89,IF(NSi.TS[[#This Row],[KU.4]]="C",79,IF(NSi.TS[[#This Row],[KU.4]]="D",69,IF(NSi.TS[[#This Row],[KU.4]]="E",0,"-")))))</f>
        <v>-</v>
      </c>
      <c r="CN17" s="73" t="str">
        <f>IF(NSi.TS[[#This Row],[TJ.4]]=1,100,IF(NSi.TS[[#This Row],[TJ.4]]=2,89,IF(NSi.TS[[#This Row],[TJ.4]]=3,79,IF(NSi.TS[[#This Row],[TJ.4]]=4,69,IF(NSi.TS[[#This Row],[TJ.4]]=5,0,"-")))))</f>
        <v>-</v>
      </c>
      <c r="CO17" s="73" t="str">
        <f>IF(NSi.TS[[#This Row],[Ker.4]]=1,100,IF(NSi.TS[[#This Row],[Ker.4]]=2,89,IF(NSi.TS[[#This Row],[Ker.4]]=3,79,IF(NSi.TS[[#This Row],[Ker.4]]=4,69,IF(NSi.TS[[#This Row],[Ker.4]]=5,0,"-")))))</f>
        <v>-</v>
      </c>
      <c r="CP17" s="73" t="str">
        <f>IF(NSi.TS[[#This Row],[Ped.4]]=1,100,IF(NSi.TS[[#This Row],[Ped.4]]=2,89,IF(NSi.TS[[#This Row],[Ped.4]]=3,79,IF(NSi.TS[[#This Row],[Ped.4]]=4,69,IF(NSi.TS[[#This Row],[Ped.4]]=5,0,"-")))))</f>
        <v>-</v>
      </c>
      <c r="CQ17" s="73" t="str">
        <f>IF(NSi.TS[[#This Row],[Pro-A.4]]=1,100,IF(NSi.TS[[#This Row],[Pro-A.4]]=2,89,IF(NSi.TS[[#This Row],[Pro-A.4]]=3,79,IF(NSi.TS[[#This Row],[Pro-A.4]]=4,69,IF(NSi.TS[[#This Row],[Pro-A.4]]=5,0,"-")))))</f>
        <v>-</v>
      </c>
      <c r="CR17" s="74" t="str">
        <f>IF(NSi.TS[[#This Row],[KU.5]]="A",100,IF(NSi.TS[[#This Row],[KU.5]]="B",89,IF(NSi.TS[[#This Row],[KU.5]]="C",79,IF(NSi.TS[[#This Row],[KU.5]]="D",69,IF(NSi.TS[[#This Row],[KU.5]]="E",0,"-")))))</f>
        <v>-</v>
      </c>
      <c r="CS17" s="73" t="str">
        <f>IF(NSi.TS[[#This Row],[TJ.5]]=1,100,IF(NSi.TS[[#This Row],[TJ.5]]=2,89,IF(NSi.TS[[#This Row],[TJ.5]]=3,79,IF(NSi.TS[[#This Row],[TJ.5]]=4,69,IF(NSi.TS[[#This Row],[TJ.5]]=5,0,"-")))))</f>
        <v>-</v>
      </c>
      <c r="CT17" s="73" t="str">
        <f>IF(NSi.TS[[#This Row],[Ker.5]]=1,100,IF(NSi.TS[[#This Row],[Ker.5]]=2,89,IF(NSi.TS[[#This Row],[Ker.5]]=3,79,IF(NSi.TS[[#This Row],[Ker.5]]=4,69,IF(NSi.TS[[#This Row],[Ker.5]]=5,0,"-")))))</f>
        <v>-</v>
      </c>
      <c r="CU17" s="73" t="str">
        <f>IF(NSi.TS[[#This Row],[Ped.5]]=1,100,IF(NSi.TS[[#This Row],[Ped.5]]=2,89,IF(NSi.TS[[#This Row],[Ped.5]]=3,79,IF(NSi.TS[[#This Row],[Ped.5]]=4,69,IF(NSi.TS[[#This Row],[Ped.5]]=5,0,"-")))))</f>
        <v>-</v>
      </c>
      <c r="CV17" s="73" t="str">
        <f>IF(NSi.TS[[#This Row],[Pro-A.5]]=1,100,IF(NSi.TS[[#This Row],[Pro-A.5]]=2,89,IF(NSi.TS[[#This Row],[Pro-A.5]]=3,79,IF(NSi.TS[[#This Row],[Pro-A.5]]=4,69,IF(NSi.TS[[#This Row],[Pro-A.5]]=5,0,"-")))))</f>
        <v>-</v>
      </c>
      <c r="CW17" s="74" t="str">
        <f>IF(NSi.TS[[#This Row],[KU.6]]="A",100,IF(NSi.TS[[#This Row],[KU.6]]="B",89,IF(NSi.TS[[#This Row],[KU.6]]="C",79,IF(NSi.TS[[#This Row],[KU.6]]="D",69,IF(NSi.TS[[#This Row],[KU.6]]="E",0,"-")))))</f>
        <v>-</v>
      </c>
      <c r="CX17" s="73" t="str">
        <f>IF(NSi.TS[[#This Row],[TJ.6]]=1,100,IF(NSi.TS[[#This Row],[TJ.6]]=2,89,IF(NSi.TS[[#This Row],[TJ.6]]=3,79,IF(NSi.TS[[#This Row],[TJ.6]]=4,69,IF(NSi.TS[[#This Row],[TJ.6]]=5,0,"-")))))</f>
        <v>-</v>
      </c>
      <c r="CY17" s="73" t="str">
        <f>IF(NSi.TS[[#This Row],[Ker.6]]=1,100,IF(NSi.TS[[#This Row],[Ker.6]]=2,89,IF(NSi.TS[[#This Row],[Ker.6]]=3,79,IF(NSi.TS[[#This Row],[Ker.6]]=4,69,IF(NSi.TS[[#This Row],[Ker.6]]=5,0,"-")))))</f>
        <v>-</v>
      </c>
      <c r="CZ17" s="73" t="str">
        <f>IF(NSi.TS[[#This Row],[Ped.6]]=1,100,IF(NSi.TS[[#This Row],[Ped.6]]=2,89,IF(NSi.TS[[#This Row],[Ped.6]]=3,79,IF(NSi.TS[[#This Row],[Ped.6]]=4,69,IF(NSi.TS[[#This Row],[Ped.6]]=5,0,"-")))))</f>
        <v>-</v>
      </c>
      <c r="DA17" s="73" t="str">
        <f>IF(NSi.TS[[#This Row],[Pro-A.6]]=1,100,IF(NSi.TS[[#This Row],[Pro-A.6]]=2,89,IF(NSi.TS[[#This Row],[Pro-A.6]]=3,79,IF(NSi.TS[[#This Row],[Pro-A.6]]=4,69,IF(NSi.TS[[#This Row],[Pro-A.6]]=5,0,"-")))))</f>
        <v>-</v>
      </c>
      <c r="DB17" s="74" t="str">
        <f>IF(NSi.TS[[#This Row],[KU.7]]="A",100,IF(NSi.TS[[#This Row],[KU.7]]="B",89,IF(NSi.TS[[#This Row],[KU.7]]="C",79,IF(NSi.TS[[#This Row],[KU.7]]="D",69,IF(NSi.TS[[#This Row],[KU.7]]="E",0,"-")))))</f>
        <v>-</v>
      </c>
      <c r="DC17" s="73" t="str">
        <f>IF(NSi.TS[[#This Row],[TJ.7]]=1,100,IF(NSi.TS[[#This Row],[TJ.7]]=2,89,IF(NSi.TS[[#This Row],[TJ.7]]=3,79,IF(NSi.TS[[#This Row],[TJ.7]]=4,69,IF(NSi.TS[[#This Row],[TJ.7]]=5,0,"-")))))</f>
        <v>-</v>
      </c>
      <c r="DD17" s="73" t="str">
        <f>IF(NSi.TS[[#This Row],[Ker.7]]=1,100,IF(NSi.TS[[#This Row],[Ker.7]]=2,89,IF(NSi.TS[[#This Row],[Ker.7]]=3,79,IF(NSi.TS[[#This Row],[Ker.7]]=4,69,IF(NSi.TS[[#This Row],[Ker.7]]=5,0,"-")))))</f>
        <v>-</v>
      </c>
      <c r="DE17" s="73" t="str">
        <f>IF(NSi.TS[[#This Row],[Ped.7]]=1,100,IF(NSi.TS[[#This Row],[Ped.7]]=2,89,IF(NSi.TS[[#This Row],[Ped.7]]=3,79,IF(NSi.TS[[#This Row],[Ped.7]]=4,69,IF(NSi.TS[[#This Row],[Ped.7]]=5,0,"-")))))</f>
        <v>-</v>
      </c>
      <c r="DF17" s="73" t="str">
        <f>IF(NSi.TS[[#This Row],[Pro-A.7]]=1,100,IF(NSi.TS[[#This Row],[Pro-A.7]]=2,89,IF(NSi.TS[[#This Row],[Pro-A.7]]=3,79,IF(NSi.TS[[#This Row],[Pro-A.7]]=4,69,IF(NSi.TS[[#This Row],[Pro-A.7]]=5,0,"-")))))</f>
        <v>-</v>
      </c>
      <c r="DG17" s="74" t="str">
        <f>IF(NSi.TS[[#This Row],[KU.8]]="A",100,IF(NSi.TS[[#This Row],[KU.8]]="B",89,IF(NSi.TS[[#This Row],[KU.8]]="C",79,IF(NSi.TS[[#This Row],[KU.8]]="D",69,IF(NSi.TS[[#This Row],[KU.8]]="E",0,"-")))))</f>
        <v>-</v>
      </c>
      <c r="DH17" s="73" t="str">
        <f>IF(NSi.TS[[#This Row],[TJ.8]]=1,100,IF(NSi.TS[[#This Row],[TJ.8]]=2,89,IF(NSi.TS[[#This Row],[TJ.8]]=3,79,IF(NSi.TS[[#This Row],[TJ.8]]=4,69,IF(NSi.TS[[#This Row],[TJ.8]]=5,0,"-")))))</f>
        <v>-</v>
      </c>
      <c r="DI17" s="73" t="str">
        <f>IF(NSi.TS[[#This Row],[Ker.8]]=1,100,IF(NSi.TS[[#This Row],[Ker.8]]=2,89,IF(NSi.TS[[#This Row],[Ker.8]]=3,79,IF(NSi.TS[[#This Row],[Ker.8]]=4,69,IF(NSi.TS[[#This Row],[Ker.8]]=5,0,"-")))))</f>
        <v>-</v>
      </c>
      <c r="DJ17" s="73" t="str">
        <f>IF(NSi.TS[[#This Row],[Ped.8]]=1,100,IF(NSi.TS[[#This Row],[Ped.8]]=2,89,IF(NSi.TS[[#This Row],[Ped.8]]=3,79,IF(NSi.TS[[#This Row],[Ped.8]]=4,69,IF(NSi.TS[[#This Row],[Ped.8]]=5,0,"-")))))</f>
        <v>-</v>
      </c>
      <c r="DK17" s="73" t="str">
        <f>IF(NSi.TS[[#This Row],[Pro-A.8]]=1,100,IF(NSi.TS[[#This Row],[Pro-A.8]]=2,89,IF(NSi.TS[[#This Row],[Pro-A.8]]=3,79,IF(NSi.TS[[#This Row],[Pro-A.8]]=4,69,IF(NSi.TS[[#This Row],[Pro-A.8]]=5,0,"-")))))</f>
        <v>-</v>
      </c>
      <c r="DL17" s="74" t="str">
        <f>IF(NSi.TS[[#This Row],[KU.9]]="A",100,IF(NSi.TS[[#This Row],[KU.9]]="B",89,IF(NSi.TS[[#This Row],[KU.9]]="C",79,IF(NSi.TS[[#This Row],[KU.9]]="D",69,IF(NSi.TS[[#This Row],[KU.9]]="E",0,"-")))))</f>
        <v>-</v>
      </c>
      <c r="DM17" s="73" t="str">
        <f>IF(NSi.TS[[#This Row],[TJ.9]]=1,100,IF(NSi.TS[[#This Row],[TJ.9]]=2,89,IF(NSi.TS[[#This Row],[TJ.9]]=3,79,IF(NSi.TS[[#This Row],[TJ.9]]=4,69,IF(NSi.TS[[#This Row],[TJ.9]]=5,0,"-")))))</f>
        <v>-</v>
      </c>
      <c r="DN17" s="73" t="str">
        <f>IF(NSi.TS[[#This Row],[Ker.9]]=1,100,IF(NSi.TS[[#This Row],[Ker.9]]=2,89,IF(NSi.TS[[#This Row],[Ker.9]]=3,79,IF(NSi.TS[[#This Row],[Ker.9]]=4,69,IF(NSi.TS[[#This Row],[Ker.9]]=5,0,"-")))))</f>
        <v>-</v>
      </c>
      <c r="DO17" s="73" t="str">
        <f>IF(NSi.TS[[#This Row],[Ped.9]]=1,100,IF(NSi.TS[[#This Row],[Ped.9]]=2,89,IF(NSi.TS[[#This Row],[Ped.9]]=3,79,IF(NSi.TS[[#This Row],[Ped.9]]=4,69,IF(NSi.TS[[#This Row],[Ped.9]]=5,0,"-")))))</f>
        <v>-</v>
      </c>
      <c r="DP17" s="73" t="str">
        <f>IF(NSi.TS[[#This Row],[Pro-A.9]]=1,100,IF(NSi.TS[[#This Row],[Pro-A.9]]=2,89,IF(NSi.TS[[#This Row],[Pro-A.9]]=3,79,IF(NSi.TS[[#This Row],[Pro-A.9]]=4,69,IF(NSi.TS[[#This Row],[Pro-A.9]]=5,0,"-")))))</f>
        <v>-</v>
      </c>
    </row>
    <row r="18" spans="1:120" ht="50.1" customHeight="1" x14ac:dyDescent="0.3">
      <c r="A18" s="85"/>
      <c r="B18" s="86"/>
      <c r="C18" s="87"/>
      <c r="D18" s="87"/>
      <c r="E18" s="87"/>
      <c r="F18" s="44" t="str">
        <f>IFERROR(ROUND(AVERAGE(CSCR[#This Row]),0),"")</f>
        <v/>
      </c>
      <c r="G18" s="41" t="s">
        <v>102</v>
      </c>
      <c r="H18" s="45" t="s">
        <v>102</v>
      </c>
      <c r="I18" s="45" t="s">
        <v>102</v>
      </c>
      <c r="J18" s="45" t="s">
        <v>102</v>
      </c>
      <c r="K18" s="45" t="s">
        <v>102</v>
      </c>
      <c r="L18" s="41" t="s">
        <v>102</v>
      </c>
      <c r="M18" s="45" t="s">
        <v>102</v>
      </c>
      <c r="N18" s="45" t="s">
        <v>102</v>
      </c>
      <c r="O18" s="45" t="s">
        <v>102</v>
      </c>
      <c r="P18" s="45" t="s">
        <v>102</v>
      </c>
      <c r="Q18" s="41" t="s">
        <v>102</v>
      </c>
      <c r="R18" s="45" t="s">
        <v>102</v>
      </c>
      <c r="S18" s="45" t="s">
        <v>102</v>
      </c>
      <c r="T18" s="45" t="s">
        <v>102</v>
      </c>
      <c r="U18" s="45" t="s">
        <v>102</v>
      </c>
      <c r="V18" s="41" t="s">
        <v>102</v>
      </c>
      <c r="W18" s="45" t="s">
        <v>102</v>
      </c>
      <c r="X18" s="45" t="s">
        <v>102</v>
      </c>
      <c r="Y18" s="45" t="s">
        <v>102</v>
      </c>
      <c r="Z18" s="45" t="s">
        <v>102</v>
      </c>
      <c r="AA18" s="41" t="s">
        <v>102</v>
      </c>
      <c r="AB18" s="45" t="s">
        <v>102</v>
      </c>
      <c r="AC18" s="45" t="s">
        <v>102</v>
      </c>
      <c r="AD18" s="45" t="s">
        <v>102</v>
      </c>
      <c r="AE18" s="45" t="s">
        <v>102</v>
      </c>
      <c r="AF18" s="41" t="s">
        <v>102</v>
      </c>
      <c r="AG18" s="45" t="s">
        <v>102</v>
      </c>
      <c r="AH18" s="45" t="s">
        <v>102</v>
      </c>
      <c r="AI18" s="45" t="s">
        <v>102</v>
      </c>
      <c r="AJ18" s="45" t="s">
        <v>102</v>
      </c>
      <c r="AK18" s="41" t="s">
        <v>102</v>
      </c>
      <c r="AL18" s="45" t="s">
        <v>102</v>
      </c>
      <c r="AM18" s="45" t="s">
        <v>102</v>
      </c>
      <c r="AN18" s="45" t="s">
        <v>102</v>
      </c>
      <c r="AO18" s="45" t="s">
        <v>102</v>
      </c>
      <c r="AP18" s="41" t="s">
        <v>102</v>
      </c>
      <c r="AQ18" s="45" t="s">
        <v>102</v>
      </c>
      <c r="AR18" s="45" t="s">
        <v>102</v>
      </c>
      <c r="AS18" s="45" t="s">
        <v>102</v>
      </c>
      <c r="AT18" s="45" t="s">
        <v>102</v>
      </c>
      <c r="AU18" s="41" t="s">
        <v>102</v>
      </c>
      <c r="AV18" s="45" t="s">
        <v>102</v>
      </c>
      <c r="AW18" s="45" t="s">
        <v>102</v>
      </c>
      <c r="AX18" s="45" t="s">
        <v>102</v>
      </c>
      <c r="AY18" s="45" t="s">
        <v>102</v>
      </c>
      <c r="BA18" s="10" t="str">
        <f>CONCATENATE(NSi.TS[[#This Row],[KU.1]],(IF(A.LoE[[#This Row],[LE.1]]="-","-",IF(A.LoE[[#This Row],[LE.1]]&gt;=90,1,IF(A.LoE[[#This Row],[LE.1]]&gt;=80,2,IF(A.LoE[[#This Row],[LE.1]]&gt;=70,3,IF(A.LoE[[#This Row],[LE.1]]&gt;=1,4,5)))))))</f>
        <v>--</v>
      </c>
      <c r="BB18" s="46" t="str">
        <f>CONCATENATE(NSi.TS[[#This Row],[KU.2]],(IF(A.LoE[[#This Row],[LE.2]]="-","-",IF(A.LoE[[#This Row],[LE.2]]&gt;=90,1,IF(A.LoE[[#This Row],[LE.2]]&gt;=80,2,IF(A.LoE[[#This Row],[LE.2]]&gt;=70,3,IF(A.LoE[[#This Row],[LE.2]]&gt;=1,4,5)))))))</f>
        <v>--</v>
      </c>
      <c r="BC18" s="46" t="str">
        <f>CONCATENATE(NSi.TS[[#This Row],[KU.3]],(IF(A.LoE[[#This Row],[LE.3]]="-","-",IF(A.LoE[[#This Row],[LE.3]]&gt;=90,1,IF(A.LoE[[#This Row],[LE.3]]&gt;=80,2,IF(A.LoE[[#This Row],[LE.3]]&gt;=70,3,IF(A.LoE[[#This Row],[LE.3]]&gt;=1,4,5)))))))</f>
        <v>--</v>
      </c>
      <c r="BD18" s="46" t="str">
        <f>CONCATENATE(NSi.TS[[#This Row],[KU.4]],(IF(A.LoE[[#This Row],[LE.4]]="-","-",IF(A.LoE[[#This Row],[LE.4]]&gt;=90,1,IF(A.LoE[[#This Row],[LE.4]]&gt;=80,2,IF(A.LoE[[#This Row],[LE.4]]&gt;=70,3,IF(A.LoE[[#This Row],[LE.4]]&gt;=1,4,5)))))))</f>
        <v>--</v>
      </c>
      <c r="BE18" s="46" t="str">
        <f>CONCATENATE(NSi.TS[[#This Row],[KU.5]],(IF(A.LoE[[#This Row],[LE.5]]="-","-",IF(A.LoE[[#This Row],[LE.5]]&gt;=90,1,IF(A.LoE[[#This Row],[LE.5]]&gt;=80,2,IF(A.LoE[[#This Row],[LE.5]]&gt;=70,3,IF(A.LoE[[#This Row],[LE.5]]&gt;=1,4,5)))))))</f>
        <v>--</v>
      </c>
      <c r="BF18" s="46" t="str">
        <f>CONCATENATE(NSi.TS[[#This Row],[KU.6]],(IF(A.LoE[[#This Row],[LE.6]]="-","-",IF(A.LoE[[#This Row],[LE.6]]&gt;=90,1,IF(A.LoE[[#This Row],[LE.6]]&gt;=80,2,IF(A.LoE[[#This Row],[LE.6]]&gt;=70,3,IF(A.LoE[[#This Row],[LE.6]]&gt;=1,4,5)))))))</f>
        <v>--</v>
      </c>
      <c r="BG18" s="46" t="str">
        <f>CONCATENATE(NSi.TS[[#This Row],[KU.7]],(IF(A.LoE[[#This Row],[LE.7]]="-","-",IF(A.LoE[[#This Row],[LE.7]]&gt;=90,1,IF(A.LoE[[#This Row],[LE.7]]&gt;=80,2,IF(A.LoE[[#This Row],[LE.7]]&gt;=70,3,IF(A.LoE[[#This Row],[LE.7]]&gt;=1,4,5)))))))</f>
        <v>--</v>
      </c>
      <c r="BH18" s="46" t="str">
        <f>CONCATENATE(NSi.TS[[#This Row],[KU.8]],(IF(A.LoE[[#This Row],[LE.8]]="-","-",IF(A.LoE[[#This Row],[LE.8]]&gt;=90,1,IF(A.LoE[[#This Row],[LE.8]]&gt;=80,2,IF(A.LoE[[#This Row],[LE.8]]&gt;=70,3,IF(A.LoE[[#This Row],[LE.8]]&gt;=1,4,5)))))))</f>
        <v>--</v>
      </c>
      <c r="BI18" s="38" t="str">
        <f>CONCATENATE(NSi.TS[[#This Row],[KU.9]],(IF(A.LoE[[#This Row],[LE.9]]="-","-",IF(A.LoE[[#This Row],[LE.9]]&gt;=90,1,IF(A.LoE[[#This Row],[LE.9]]&gt;=80,2,IF(A.LoE[[#This Row],[LE.9]]&gt;=70,3,IF(A.LoE[[#This Row],[LE.9]]&gt;=1,4,5)))))))</f>
        <v>--</v>
      </c>
      <c r="BK18" s="35" t="str">
        <f>IFERROR(ROUND(AVERAGE(Con.Sk[[#This Row],[TJ.1]:[Pro-A.1]]),0),"-")</f>
        <v>-</v>
      </c>
      <c r="BL18" s="24" t="str">
        <f>IFERROR(ROUND(AVERAGE(Con.Sk[[#This Row],[TJ.2]:[Pro-A.2]]),0),"-")</f>
        <v>-</v>
      </c>
      <c r="BM18" s="24" t="str">
        <f>IFERROR(ROUND(AVERAGE(Con.Sk[[#This Row],[TJ.3]:[Pro-A.3]]),0),"-")</f>
        <v>-</v>
      </c>
      <c r="BN18" s="24" t="str">
        <f>IFERROR(ROUND(AVERAGE(Con.Sk[[#This Row],[TJ.4]:[Pro-A.4]]),0),"-")</f>
        <v>-</v>
      </c>
      <c r="BO18" s="24" t="str">
        <f>IFERROR(ROUND(AVERAGE(Con.Sk[[#This Row],[TJ.5]:[Pro-A.5]]),0),"-")</f>
        <v>-</v>
      </c>
      <c r="BP18" s="24" t="str">
        <f>IFERROR(ROUND(AVERAGE(Con.Sk[[#This Row],[TJ.6]:[Pro-A.6]]),0),"-")</f>
        <v>-</v>
      </c>
      <c r="BQ18" s="24" t="str">
        <f>IFERROR(ROUND(AVERAGE(Con.Sk[[#This Row],[TJ.7]:[Pro-A.7]]),0),"-")</f>
        <v>-</v>
      </c>
      <c r="BR18" s="24" t="str">
        <f>IFERROR(ROUND(AVERAGE(Con.Sk[[#This Row],[TJ.8]:[Pro-A.8]]),0),"-")</f>
        <v>-</v>
      </c>
      <c r="BS18" s="25" t="str">
        <f>IFERROR(ROUND(AVERAGE(Con.Sk[[#This Row],[TJ.9]:[Pro-A.9]]),0),"-")</f>
        <v>-</v>
      </c>
      <c r="BU18" s="47" t="str">
        <f>IFERROR(ROUND(AVERAGE(Con.Sk[[#This Row],[KU.1]],Con.Sk[[#This Row],[KU.2]],Con.Sk[[#This Row],[KU.3]],Con.Sk[[#This Row],[KU.4]],Con.Sk[[#This Row],[KU.5]],Con.Sk[[#This Row],[KU.6]],Con.Sk[[#This Row],[KU.7]],Con.Sk[[#This Row],[KU.8]],Con.Sk[[#This Row],[KU.9]]),0),"")</f>
        <v/>
      </c>
      <c r="BV18" s="48" t="str">
        <f>IFERROR(ROUND(AVERAGE(Con.Sk[[#This Row],[TJ.1]:[Pro-A.1]],Con.Sk[[#This Row],[TJ.2]:[Pro-A.2]],Con.Sk[[#This Row],[TJ.3]:[Pro-A.3]],Con.Sk[[#This Row],[TJ.4]:[Pro-A.4]],Con.Sk[[#This Row],[TJ.5]:[Pro-A.5]],Con.Sk[[#This Row],[TJ.6]:[Pro-A.6]],Con.Sk[[#This Row],[TJ.7]:[Pro-A.7]],Con.Sk[[#This Row],[TJ.8]:[Pro-A.8]],Con.Sk[[#This Row],[TJ.9]:[Pro-A.9]]),0),"")</f>
        <v/>
      </c>
      <c r="BW18" s="3"/>
      <c r="BX18" s="73" t="str">
        <f>IF(NSi.TS[[#This Row],[KU.1]]="A",100,IF(NSi.TS[[#This Row],[KU.1]]="B",89,IF(NSi.TS[[#This Row],[KU.1]]="C",79,IF(NSi.TS[[#This Row],[KU.1]]="D",69,IF(NSi.TS[[#This Row],[KU.1]]="E",0,"-")))))</f>
        <v>-</v>
      </c>
      <c r="BY18" s="73" t="str">
        <f>IF(NSi.TS[[#This Row],[TJ.1]]=1,100,IF(NSi.TS[[#This Row],[TJ.1]]=2,89,IF(NSi.TS[[#This Row],[TJ.1]]=3,79,IF(NSi.TS[[#This Row],[TJ.1]]=4,69,IF(NSi.TS[[#This Row],[TJ.1]]=5,0,"-")))))</f>
        <v>-</v>
      </c>
      <c r="BZ18" s="73" t="str">
        <f>IF(NSi.TS[[#This Row],[Ker.1]]=1,100,IF(NSi.TS[[#This Row],[Ker.1]]=2,89,IF(NSi.TS[[#This Row],[Ker.1]]=3,79,IF(NSi.TS[[#This Row],[Ker.1]]=4,69,IF(NSi.TS[[#This Row],[Ker.1]]=5,0,"-")))))</f>
        <v>-</v>
      </c>
      <c r="CA18" s="73" t="str">
        <f>IF(NSi.TS[[#This Row],[Ped.1]]=1,100,IF(NSi.TS[[#This Row],[Ped.1]]=2,89,IF(NSi.TS[[#This Row],[Ped.1]]=3,79,IF(NSi.TS[[#This Row],[Ped.1]]=4,69,IF(NSi.TS[[#This Row],[Ped.1]]=5,0,"-")))))</f>
        <v>-</v>
      </c>
      <c r="CB18" s="73" t="str">
        <f>IF(NSi.TS[[#This Row],[Pro-A.1]]=1,100,IF(NSi.TS[[#This Row],[Pro-A.1]]=2,89,IF(NSi.TS[[#This Row],[Pro-A.1]]=3,79,IF(NSi.TS[[#This Row],[Pro-A.1]]=4,69,IF(NSi.TS[[#This Row],[Pro-A.1]]=5,0,"-")))))</f>
        <v>-</v>
      </c>
      <c r="CC18" s="73" t="str">
        <f>IF(NSi.TS[[#This Row],[KU.2]]="A",100,IF(NSi.TS[[#This Row],[KU.2]]="B",89,IF(NSi.TS[[#This Row],[KU.2]]="C",79,IF(NSi.TS[[#This Row],[KU.2]]="D",69,IF(NSi.TS[[#This Row],[KU.2]]="E",0,"-")))))</f>
        <v>-</v>
      </c>
      <c r="CD18" s="73" t="str">
        <f>IF(NSi.TS[[#This Row],[TJ.2]]=1,100,IF(NSi.TS[[#This Row],[TJ.2]]=2,89,IF(NSi.TS[[#This Row],[TJ.2]]=3,79,IF(NSi.TS[[#This Row],[TJ.2]]=4,69,IF(NSi.TS[[#This Row],[TJ.2]]=5,0,"-")))))</f>
        <v>-</v>
      </c>
      <c r="CE18" s="73" t="str">
        <f>IF(NSi.TS[[#This Row],[Ker.2]]=1,100,IF(NSi.TS[[#This Row],[Ker.2]]=2,89,IF(NSi.TS[[#This Row],[Ker.2]]=3,79,IF(NSi.TS[[#This Row],[Ker.2]]=4,69,IF(NSi.TS[[#This Row],[Ker.2]]=5,0,"-")))))</f>
        <v>-</v>
      </c>
      <c r="CF18" s="73" t="str">
        <f>IF(NSi.TS[[#This Row],[Ped.2]]=1,100,IF(NSi.TS[[#This Row],[Ped.2]]=2,89,IF(NSi.TS[[#This Row],[Ped.2]]=3,79,IF(NSi.TS[[#This Row],[Ped.2]]=4,69,IF(NSi.TS[[#This Row],[Ped.2]]=5,0,"-")))))</f>
        <v>-</v>
      </c>
      <c r="CG18" s="73" t="str">
        <f>IF(NSi.TS[[#This Row],[Pro-A.2]]=1,100,IF(NSi.TS[[#This Row],[Pro-A.2]]=2,89,IF(NSi.TS[[#This Row],[Pro-A.2]]=3,79,IF(NSi.TS[[#This Row],[Pro-A.2]]=4,69,IF(NSi.TS[[#This Row],[Pro-A.2]]=5,0,"-")))))</f>
        <v>-</v>
      </c>
      <c r="CH18" s="74" t="str">
        <f>IF(NSi.TS[[#This Row],[KU.3]]="A",100,IF(NSi.TS[[#This Row],[KU.3]]="B",89,IF(NSi.TS[[#This Row],[KU.3]]="C",79,IF(NSi.TS[[#This Row],[KU.3]]="D",69,IF(NSi.TS[[#This Row],[KU.3]]="E",0,"-")))))</f>
        <v>-</v>
      </c>
      <c r="CI18" s="73" t="str">
        <f>IF(NSi.TS[[#This Row],[TJ.3]]=1,100,IF(NSi.TS[[#This Row],[TJ.3]]=2,89,IF(NSi.TS[[#This Row],[TJ.3]]=3,79,IF(NSi.TS[[#This Row],[TJ.3]]=4,69,IF(NSi.TS[[#This Row],[TJ.3]]=5,0,"-")))))</f>
        <v>-</v>
      </c>
      <c r="CJ18" s="73" t="str">
        <f>IF(NSi.TS[[#This Row],[Ker.3]]=1,100,IF(NSi.TS[[#This Row],[Ker.3]]=2,89,IF(NSi.TS[[#This Row],[Ker.3]]=3,79,IF(NSi.TS[[#This Row],[Ker.3]]=4,69,IF(NSi.TS[[#This Row],[Ker.3]]=5,0,"-")))))</f>
        <v>-</v>
      </c>
      <c r="CK18" s="73" t="str">
        <f>IF(NSi.TS[[#This Row],[Ped.3]]=1,100,IF(NSi.TS[[#This Row],[Ped.3]]=2,89,IF(NSi.TS[[#This Row],[Ped.3]]=3,79,IF(NSi.TS[[#This Row],[Ped.3]]=4,69,IF(NSi.TS[[#This Row],[Ped.3]]=5,0,"-")))))</f>
        <v>-</v>
      </c>
      <c r="CL18" s="73" t="str">
        <f>IF(NSi.TS[[#This Row],[Pro-A.3]]=1,100,IF(NSi.TS[[#This Row],[Pro-A.3]]=2,89,IF(NSi.TS[[#This Row],[Pro-A.3]]=3,79,IF(NSi.TS[[#This Row],[Pro-A.3]]=4,69,IF(NSi.TS[[#This Row],[Pro-A.3]]=5,0,"-")))))</f>
        <v>-</v>
      </c>
      <c r="CM18" s="74" t="str">
        <f>IF(NSi.TS[[#This Row],[KU.4]]="A",100,IF(NSi.TS[[#This Row],[KU.4]]="B",89,IF(NSi.TS[[#This Row],[KU.4]]="C",79,IF(NSi.TS[[#This Row],[KU.4]]="D",69,IF(NSi.TS[[#This Row],[KU.4]]="E",0,"-")))))</f>
        <v>-</v>
      </c>
      <c r="CN18" s="73" t="str">
        <f>IF(NSi.TS[[#This Row],[TJ.4]]=1,100,IF(NSi.TS[[#This Row],[TJ.4]]=2,89,IF(NSi.TS[[#This Row],[TJ.4]]=3,79,IF(NSi.TS[[#This Row],[TJ.4]]=4,69,IF(NSi.TS[[#This Row],[TJ.4]]=5,0,"-")))))</f>
        <v>-</v>
      </c>
      <c r="CO18" s="73" t="str">
        <f>IF(NSi.TS[[#This Row],[Ker.4]]=1,100,IF(NSi.TS[[#This Row],[Ker.4]]=2,89,IF(NSi.TS[[#This Row],[Ker.4]]=3,79,IF(NSi.TS[[#This Row],[Ker.4]]=4,69,IF(NSi.TS[[#This Row],[Ker.4]]=5,0,"-")))))</f>
        <v>-</v>
      </c>
      <c r="CP18" s="73" t="str">
        <f>IF(NSi.TS[[#This Row],[Ped.4]]=1,100,IF(NSi.TS[[#This Row],[Ped.4]]=2,89,IF(NSi.TS[[#This Row],[Ped.4]]=3,79,IF(NSi.TS[[#This Row],[Ped.4]]=4,69,IF(NSi.TS[[#This Row],[Ped.4]]=5,0,"-")))))</f>
        <v>-</v>
      </c>
      <c r="CQ18" s="73" t="str">
        <f>IF(NSi.TS[[#This Row],[Pro-A.4]]=1,100,IF(NSi.TS[[#This Row],[Pro-A.4]]=2,89,IF(NSi.TS[[#This Row],[Pro-A.4]]=3,79,IF(NSi.TS[[#This Row],[Pro-A.4]]=4,69,IF(NSi.TS[[#This Row],[Pro-A.4]]=5,0,"-")))))</f>
        <v>-</v>
      </c>
      <c r="CR18" s="74" t="str">
        <f>IF(NSi.TS[[#This Row],[KU.5]]="A",100,IF(NSi.TS[[#This Row],[KU.5]]="B",89,IF(NSi.TS[[#This Row],[KU.5]]="C",79,IF(NSi.TS[[#This Row],[KU.5]]="D",69,IF(NSi.TS[[#This Row],[KU.5]]="E",0,"-")))))</f>
        <v>-</v>
      </c>
      <c r="CS18" s="73" t="str">
        <f>IF(NSi.TS[[#This Row],[TJ.5]]=1,100,IF(NSi.TS[[#This Row],[TJ.5]]=2,89,IF(NSi.TS[[#This Row],[TJ.5]]=3,79,IF(NSi.TS[[#This Row],[TJ.5]]=4,69,IF(NSi.TS[[#This Row],[TJ.5]]=5,0,"-")))))</f>
        <v>-</v>
      </c>
      <c r="CT18" s="73" t="str">
        <f>IF(NSi.TS[[#This Row],[Ker.5]]=1,100,IF(NSi.TS[[#This Row],[Ker.5]]=2,89,IF(NSi.TS[[#This Row],[Ker.5]]=3,79,IF(NSi.TS[[#This Row],[Ker.5]]=4,69,IF(NSi.TS[[#This Row],[Ker.5]]=5,0,"-")))))</f>
        <v>-</v>
      </c>
      <c r="CU18" s="73" t="str">
        <f>IF(NSi.TS[[#This Row],[Ped.5]]=1,100,IF(NSi.TS[[#This Row],[Ped.5]]=2,89,IF(NSi.TS[[#This Row],[Ped.5]]=3,79,IF(NSi.TS[[#This Row],[Ped.5]]=4,69,IF(NSi.TS[[#This Row],[Ped.5]]=5,0,"-")))))</f>
        <v>-</v>
      </c>
      <c r="CV18" s="73" t="str">
        <f>IF(NSi.TS[[#This Row],[Pro-A.5]]=1,100,IF(NSi.TS[[#This Row],[Pro-A.5]]=2,89,IF(NSi.TS[[#This Row],[Pro-A.5]]=3,79,IF(NSi.TS[[#This Row],[Pro-A.5]]=4,69,IF(NSi.TS[[#This Row],[Pro-A.5]]=5,0,"-")))))</f>
        <v>-</v>
      </c>
      <c r="CW18" s="74" t="str">
        <f>IF(NSi.TS[[#This Row],[KU.6]]="A",100,IF(NSi.TS[[#This Row],[KU.6]]="B",89,IF(NSi.TS[[#This Row],[KU.6]]="C",79,IF(NSi.TS[[#This Row],[KU.6]]="D",69,IF(NSi.TS[[#This Row],[KU.6]]="E",0,"-")))))</f>
        <v>-</v>
      </c>
      <c r="CX18" s="73" t="str">
        <f>IF(NSi.TS[[#This Row],[TJ.6]]=1,100,IF(NSi.TS[[#This Row],[TJ.6]]=2,89,IF(NSi.TS[[#This Row],[TJ.6]]=3,79,IF(NSi.TS[[#This Row],[TJ.6]]=4,69,IF(NSi.TS[[#This Row],[TJ.6]]=5,0,"-")))))</f>
        <v>-</v>
      </c>
      <c r="CY18" s="73" t="str">
        <f>IF(NSi.TS[[#This Row],[Ker.6]]=1,100,IF(NSi.TS[[#This Row],[Ker.6]]=2,89,IF(NSi.TS[[#This Row],[Ker.6]]=3,79,IF(NSi.TS[[#This Row],[Ker.6]]=4,69,IF(NSi.TS[[#This Row],[Ker.6]]=5,0,"-")))))</f>
        <v>-</v>
      </c>
      <c r="CZ18" s="73" t="str">
        <f>IF(NSi.TS[[#This Row],[Ped.6]]=1,100,IF(NSi.TS[[#This Row],[Ped.6]]=2,89,IF(NSi.TS[[#This Row],[Ped.6]]=3,79,IF(NSi.TS[[#This Row],[Ped.6]]=4,69,IF(NSi.TS[[#This Row],[Ped.6]]=5,0,"-")))))</f>
        <v>-</v>
      </c>
      <c r="DA18" s="73" t="str">
        <f>IF(NSi.TS[[#This Row],[Pro-A.6]]=1,100,IF(NSi.TS[[#This Row],[Pro-A.6]]=2,89,IF(NSi.TS[[#This Row],[Pro-A.6]]=3,79,IF(NSi.TS[[#This Row],[Pro-A.6]]=4,69,IF(NSi.TS[[#This Row],[Pro-A.6]]=5,0,"-")))))</f>
        <v>-</v>
      </c>
      <c r="DB18" s="74" t="str">
        <f>IF(NSi.TS[[#This Row],[KU.7]]="A",100,IF(NSi.TS[[#This Row],[KU.7]]="B",89,IF(NSi.TS[[#This Row],[KU.7]]="C",79,IF(NSi.TS[[#This Row],[KU.7]]="D",69,IF(NSi.TS[[#This Row],[KU.7]]="E",0,"-")))))</f>
        <v>-</v>
      </c>
      <c r="DC18" s="73" t="str">
        <f>IF(NSi.TS[[#This Row],[TJ.7]]=1,100,IF(NSi.TS[[#This Row],[TJ.7]]=2,89,IF(NSi.TS[[#This Row],[TJ.7]]=3,79,IF(NSi.TS[[#This Row],[TJ.7]]=4,69,IF(NSi.TS[[#This Row],[TJ.7]]=5,0,"-")))))</f>
        <v>-</v>
      </c>
      <c r="DD18" s="73" t="str">
        <f>IF(NSi.TS[[#This Row],[Ker.7]]=1,100,IF(NSi.TS[[#This Row],[Ker.7]]=2,89,IF(NSi.TS[[#This Row],[Ker.7]]=3,79,IF(NSi.TS[[#This Row],[Ker.7]]=4,69,IF(NSi.TS[[#This Row],[Ker.7]]=5,0,"-")))))</f>
        <v>-</v>
      </c>
      <c r="DE18" s="73" t="str">
        <f>IF(NSi.TS[[#This Row],[Ped.7]]=1,100,IF(NSi.TS[[#This Row],[Ped.7]]=2,89,IF(NSi.TS[[#This Row],[Ped.7]]=3,79,IF(NSi.TS[[#This Row],[Ped.7]]=4,69,IF(NSi.TS[[#This Row],[Ped.7]]=5,0,"-")))))</f>
        <v>-</v>
      </c>
      <c r="DF18" s="73" t="str">
        <f>IF(NSi.TS[[#This Row],[Pro-A.7]]=1,100,IF(NSi.TS[[#This Row],[Pro-A.7]]=2,89,IF(NSi.TS[[#This Row],[Pro-A.7]]=3,79,IF(NSi.TS[[#This Row],[Pro-A.7]]=4,69,IF(NSi.TS[[#This Row],[Pro-A.7]]=5,0,"-")))))</f>
        <v>-</v>
      </c>
      <c r="DG18" s="74" t="str">
        <f>IF(NSi.TS[[#This Row],[KU.8]]="A",100,IF(NSi.TS[[#This Row],[KU.8]]="B",89,IF(NSi.TS[[#This Row],[KU.8]]="C",79,IF(NSi.TS[[#This Row],[KU.8]]="D",69,IF(NSi.TS[[#This Row],[KU.8]]="E",0,"-")))))</f>
        <v>-</v>
      </c>
      <c r="DH18" s="73" t="str">
        <f>IF(NSi.TS[[#This Row],[TJ.8]]=1,100,IF(NSi.TS[[#This Row],[TJ.8]]=2,89,IF(NSi.TS[[#This Row],[TJ.8]]=3,79,IF(NSi.TS[[#This Row],[TJ.8]]=4,69,IF(NSi.TS[[#This Row],[TJ.8]]=5,0,"-")))))</f>
        <v>-</v>
      </c>
      <c r="DI18" s="73" t="str">
        <f>IF(NSi.TS[[#This Row],[Ker.8]]=1,100,IF(NSi.TS[[#This Row],[Ker.8]]=2,89,IF(NSi.TS[[#This Row],[Ker.8]]=3,79,IF(NSi.TS[[#This Row],[Ker.8]]=4,69,IF(NSi.TS[[#This Row],[Ker.8]]=5,0,"-")))))</f>
        <v>-</v>
      </c>
      <c r="DJ18" s="73" t="str">
        <f>IF(NSi.TS[[#This Row],[Ped.8]]=1,100,IF(NSi.TS[[#This Row],[Ped.8]]=2,89,IF(NSi.TS[[#This Row],[Ped.8]]=3,79,IF(NSi.TS[[#This Row],[Ped.8]]=4,69,IF(NSi.TS[[#This Row],[Ped.8]]=5,0,"-")))))</f>
        <v>-</v>
      </c>
      <c r="DK18" s="73" t="str">
        <f>IF(NSi.TS[[#This Row],[Pro-A.8]]=1,100,IF(NSi.TS[[#This Row],[Pro-A.8]]=2,89,IF(NSi.TS[[#This Row],[Pro-A.8]]=3,79,IF(NSi.TS[[#This Row],[Pro-A.8]]=4,69,IF(NSi.TS[[#This Row],[Pro-A.8]]=5,0,"-")))))</f>
        <v>-</v>
      </c>
      <c r="DL18" s="74" t="str">
        <f>IF(NSi.TS[[#This Row],[KU.9]]="A",100,IF(NSi.TS[[#This Row],[KU.9]]="B",89,IF(NSi.TS[[#This Row],[KU.9]]="C",79,IF(NSi.TS[[#This Row],[KU.9]]="D",69,IF(NSi.TS[[#This Row],[KU.9]]="E",0,"-")))))</f>
        <v>-</v>
      </c>
      <c r="DM18" s="73" t="str">
        <f>IF(NSi.TS[[#This Row],[TJ.9]]=1,100,IF(NSi.TS[[#This Row],[TJ.9]]=2,89,IF(NSi.TS[[#This Row],[TJ.9]]=3,79,IF(NSi.TS[[#This Row],[TJ.9]]=4,69,IF(NSi.TS[[#This Row],[TJ.9]]=5,0,"-")))))</f>
        <v>-</v>
      </c>
      <c r="DN18" s="73" t="str">
        <f>IF(NSi.TS[[#This Row],[Ker.9]]=1,100,IF(NSi.TS[[#This Row],[Ker.9]]=2,89,IF(NSi.TS[[#This Row],[Ker.9]]=3,79,IF(NSi.TS[[#This Row],[Ker.9]]=4,69,IF(NSi.TS[[#This Row],[Ker.9]]=5,0,"-")))))</f>
        <v>-</v>
      </c>
      <c r="DO18" s="73" t="str">
        <f>IF(NSi.TS[[#This Row],[Ped.9]]=1,100,IF(NSi.TS[[#This Row],[Ped.9]]=2,89,IF(NSi.TS[[#This Row],[Ped.9]]=3,79,IF(NSi.TS[[#This Row],[Ped.9]]=4,69,IF(NSi.TS[[#This Row],[Ped.9]]=5,0,"-")))))</f>
        <v>-</v>
      </c>
      <c r="DP18" s="73" t="str">
        <f>IF(NSi.TS[[#This Row],[Pro-A.9]]=1,100,IF(NSi.TS[[#This Row],[Pro-A.9]]=2,89,IF(NSi.TS[[#This Row],[Pro-A.9]]=3,79,IF(NSi.TS[[#This Row],[Pro-A.9]]=4,69,IF(NSi.TS[[#This Row],[Pro-A.9]]=5,0,"-")))))</f>
        <v>-</v>
      </c>
    </row>
    <row r="19" spans="1:120" ht="50.1" customHeight="1" x14ac:dyDescent="0.3">
      <c r="A19" s="85"/>
      <c r="B19" s="86"/>
      <c r="C19" s="87"/>
      <c r="D19" s="87"/>
      <c r="E19" s="87"/>
      <c r="F19" s="44" t="str">
        <f>IFERROR(ROUND(AVERAGE(CSCR[#This Row]),0),"")</f>
        <v/>
      </c>
      <c r="G19" s="41" t="s">
        <v>102</v>
      </c>
      <c r="H19" s="45" t="s">
        <v>102</v>
      </c>
      <c r="I19" s="45" t="s">
        <v>102</v>
      </c>
      <c r="J19" s="45" t="s">
        <v>102</v>
      </c>
      <c r="K19" s="45" t="s">
        <v>102</v>
      </c>
      <c r="L19" s="41" t="s">
        <v>102</v>
      </c>
      <c r="M19" s="45" t="s">
        <v>102</v>
      </c>
      <c r="N19" s="45" t="s">
        <v>102</v>
      </c>
      <c r="O19" s="45" t="s">
        <v>102</v>
      </c>
      <c r="P19" s="45" t="s">
        <v>102</v>
      </c>
      <c r="Q19" s="41" t="s">
        <v>102</v>
      </c>
      <c r="R19" s="45" t="s">
        <v>102</v>
      </c>
      <c r="S19" s="45" t="s">
        <v>102</v>
      </c>
      <c r="T19" s="45" t="s">
        <v>102</v>
      </c>
      <c r="U19" s="45" t="s">
        <v>102</v>
      </c>
      <c r="V19" s="41" t="s">
        <v>102</v>
      </c>
      <c r="W19" s="45" t="s">
        <v>102</v>
      </c>
      <c r="X19" s="45" t="s">
        <v>102</v>
      </c>
      <c r="Y19" s="45" t="s">
        <v>102</v>
      </c>
      <c r="Z19" s="45" t="s">
        <v>102</v>
      </c>
      <c r="AA19" s="41" t="s">
        <v>102</v>
      </c>
      <c r="AB19" s="45" t="s">
        <v>102</v>
      </c>
      <c r="AC19" s="45" t="s">
        <v>102</v>
      </c>
      <c r="AD19" s="45" t="s">
        <v>102</v>
      </c>
      <c r="AE19" s="45" t="s">
        <v>102</v>
      </c>
      <c r="AF19" s="41" t="s">
        <v>102</v>
      </c>
      <c r="AG19" s="45" t="s">
        <v>102</v>
      </c>
      <c r="AH19" s="45" t="s">
        <v>102</v>
      </c>
      <c r="AI19" s="45" t="s">
        <v>102</v>
      </c>
      <c r="AJ19" s="45" t="s">
        <v>102</v>
      </c>
      <c r="AK19" s="41" t="s">
        <v>102</v>
      </c>
      <c r="AL19" s="45" t="s">
        <v>102</v>
      </c>
      <c r="AM19" s="45" t="s">
        <v>102</v>
      </c>
      <c r="AN19" s="45" t="s">
        <v>102</v>
      </c>
      <c r="AO19" s="45" t="s">
        <v>102</v>
      </c>
      <c r="AP19" s="41" t="s">
        <v>102</v>
      </c>
      <c r="AQ19" s="45" t="s">
        <v>102</v>
      </c>
      <c r="AR19" s="45" t="s">
        <v>102</v>
      </c>
      <c r="AS19" s="45" t="s">
        <v>102</v>
      </c>
      <c r="AT19" s="45" t="s">
        <v>102</v>
      </c>
      <c r="AU19" s="41" t="s">
        <v>102</v>
      </c>
      <c r="AV19" s="45" t="s">
        <v>102</v>
      </c>
      <c r="AW19" s="45" t="s">
        <v>102</v>
      </c>
      <c r="AX19" s="45" t="s">
        <v>102</v>
      </c>
      <c r="AY19" s="45" t="s">
        <v>102</v>
      </c>
      <c r="BA19" s="10" t="str">
        <f>CONCATENATE(NSi.TS[[#This Row],[KU.1]],(IF(A.LoE[[#This Row],[LE.1]]="-","-",IF(A.LoE[[#This Row],[LE.1]]&gt;=90,1,IF(A.LoE[[#This Row],[LE.1]]&gt;=80,2,IF(A.LoE[[#This Row],[LE.1]]&gt;=70,3,IF(A.LoE[[#This Row],[LE.1]]&gt;=1,4,5)))))))</f>
        <v>--</v>
      </c>
      <c r="BB19" s="46" t="str">
        <f>CONCATENATE(NSi.TS[[#This Row],[KU.2]],(IF(A.LoE[[#This Row],[LE.2]]="-","-",IF(A.LoE[[#This Row],[LE.2]]&gt;=90,1,IF(A.LoE[[#This Row],[LE.2]]&gt;=80,2,IF(A.LoE[[#This Row],[LE.2]]&gt;=70,3,IF(A.LoE[[#This Row],[LE.2]]&gt;=1,4,5)))))))</f>
        <v>--</v>
      </c>
      <c r="BC19" s="46" t="str">
        <f>CONCATENATE(NSi.TS[[#This Row],[KU.3]],(IF(A.LoE[[#This Row],[LE.3]]="-","-",IF(A.LoE[[#This Row],[LE.3]]&gt;=90,1,IF(A.LoE[[#This Row],[LE.3]]&gt;=80,2,IF(A.LoE[[#This Row],[LE.3]]&gt;=70,3,IF(A.LoE[[#This Row],[LE.3]]&gt;=1,4,5)))))))</f>
        <v>--</v>
      </c>
      <c r="BD19" s="46" t="str">
        <f>CONCATENATE(NSi.TS[[#This Row],[KU.4]],(IF(A.LoE[[#This Row],[LE.4]]="-","-",IF(A.LoE[[#This Row],[LE.4]]&gt;=90,1,IF(A.LoE[[#This Row],[LE.4]]&gt;=80,2,IF(A.LoE[[#This Row],[LE.4]]&gt;=70,3,IF(A.LoE[[#This Row],[LE.4]]&gt;=1,4,5)))))))</f>
        <v>--</v>
      </c>
      <c r="BE19" s="46" t="str">
        <f>CONCATENATE(NSi.TS[[#This Row],[KU.5]],(IF(A.LoE[[#This Row],[LE.5]]="-","-",IF(A.LoE[[#This Row],[LE.5]]&gt;=90,1,IF(A.LoE[[#This Row],[LE.5]]&gt;=80,2,IF(A.LoE[[#This Row],[LE.5]]&gt;=70,3,IF(A.LoE[[#This Row],[LE.5]]&gt;=1,4,5)))))))</f>
        <v>--</v>
      </c>
      <c r="BF19" s="46" t="str">
        <f>CONCATENATE(NSi.TS[[#This Row],[KU.6]],(IF(A.LoE[[#This Row],[LE.6]]="-","-",IF(A.LoE[[#This Row],[LE.6]]&gt;=90,1,IF(A.LoE[[#This Row],[LE.6]]&gt;=80,2,IF(A.LoE[[#This Row],[LE.6]]&gt;=70,3,IF(A.LoE[[#This Row],[LE.6]]&gt;=1,4,5)))))))</f>
        <v>--</v>
      </c>
      <c r="BG19" s="46" t="str">
        <f>CONCATENATE(NSi.TS[[#This Row],[KU.7]],(IF(A.LoE[[#This Row],[LE.7]]="-","-",IF(A.LoE[[#This Row],[LE.7]]&gt;=90,1,IF(A.LoE[[#This Row],[LE.7]]&gt;=80,2,IF(A.LoE[[#This Row],[LE.7]]&gt;=70,3,IF(A.LoE[[#This Row],[LE.7]]&gt;=1,4,5)))))))</f>
        <v>--</v>
      </c>
      <c r="BH19" s="46" t="str">
        <f>CONCATENATE(NSi.TS[[#This Row],[KU.8]],(IF(A.LoE[[#This Row],[LE.8]]="-","-",IF(A.LoE[[#This Row],[LE.8]]&gt;=90,1,IF(A.LoE[[#This Row],[LE.8]]&gt;=80,2,IF(A.LoE[[#This Row],[LE.8]]&gt;=70,3,IF(A.LoE[[#This Row],[LE.8]]&gt;=1,4,5)))))))</f>
        <v>--</v>
      </c>
      <c r="BI19" s="38" t="str">
        <f>CONCATENATE(NSi.TS[[#This Row],[KU.9]],(IF(A.LoE[[#This Row],[LE.9]]="-","-",IF(A.LoE[[#This Row],[LE.9]]&gt;=90,1,IF(A.LoE[[#This Row],[LE.9]]&gt;=80,2,IF(A.LoE[[#This Row],[LE.9]]&gt;=70,3,IF(A.LoE[[#This Row],[LE.9]]&gt;=1,4,5)))))))</f>
        <v>--</v>
      </c>
      <c r="BK19" s="35" t="str">
        <f>IFERROR(ROUND(AVERAGE(Con.Sk[[#This Row],[TJ.1]:[Pro-A.1]]),0),"-")</f>
        <v>-</v>
      </c>
      <c r="BL19" s="24" t="str">
        <f>IFERROR(ROUND(AVERAGE(Con.Sk[[#This Row],[TJ.2]:[Pro-A.2]]),0),"-")</f>
        <v>-</v>
      </c>
      <c r="BM19" s="24" t="str">
        <f>IFERROR(ROUND(AVERAGE(Con.Sk[[#This Row],[TJ.3]:[Pro-A.3]]),0),"-")</f>
        <v>-</v>
      </c>
      <c r="BN19" s="24" t="str">
        <f>IFERROR(ROUND(AVERAGE(Con.Sk[[#This Row],[TJ.4]:[Pro-A.4]]),0),"-")</f>
        <v>-</v>
      </c>
      <c r="BO19" s="24" t="str">
        <f>IFERROR(ROUND(AVERAGE(Con.Sk[[#This Row],[TJ.5]:[Pro-A.5]]),0),"-")</f>
        <v>-</v>
      </c>
      <c r="BP19" s="24" t="str">
        <f>IFERROR(ROUND(AVERAGE(Con.Sk[[#This Row],[TJ.6]:[Pro-A.6]]),0),"-")</f>
        <v>-</v>
      </c>
      <c r="BQ19" s="24" t="str">
        <f>IFERROR(ROUND(AVERAGE(Con.Sk[[#This Row],[TJ.7]:[Pro-A.7]]),0),"-")</f>
        <v>-</v>
      </c>
      <c r="BR19" s="24" t="str">
        <f>IFERROR(ROUND(AVERAGE(Con.Sk[[#This Row],[TJ.8]:[Pro-A.8]]),0),"-")</f>
        <v>-</v>
      </c>
      <c r="BS19" s="25" t="str">
        <f>IFERROR(ROUND(AVERAGE(Con.Sk[[#This Row],[TJ.9]:[Pro-A.9]]),0),"-")</f>
        <v>-</v>
      </c>
      <c r="BU19" s="47" t="str">
        <f>IFERROR(ROUND(AVERAGE(Con.Sk[[#This Row],[KU.1]],Con.Sk[[#This Row],[KU.2]],Con.Sk[[#This Row],[KU.3]],Con.Sk[[#This Row],[KU.4]],Con.Sk[[#This Row],[KU.5]],Con.Sk[[#This Row],[KU.6]],Con.Sk[[#This Row],[KU.7]],Con.Sk[[#This Row],[KU.8]],Con.Sk[[#This Row],[KU.9]]),0),"")</f>
        <v/>
      </c>
      <c r="BV19" s="48" t="str">
        <f>IFERROR(ROUND(AVERAGE(Con.Sk[[#This Row],[TJ.1]:[Pro-A.1]],Con.Sk[[#This Row],[TJ.2]:[Pro-A.2]],Con.Sk[[#This Row],[TJ.3]:[Pro-A.3]],Con.Sk[[#This Row],[TJ.4]:[Pro-A.4]],Con.Sk[[#This Row],[TJ.5]:[Pro-A.5]],Con.Sk[[#This Row],[TJ.6]:[Pro-A.6]],Con.Sk[[#This Row],[TJ.7]:[Pro-A.7]],Con.Sk[[#This Row],[TJ.8]:[Pro-A.8]],Con.Sk[[#This Row],[TJ.9]:[Pro-A.9]]),0),"")</f>
        <v/>
      </c>
      <c r="BW19" s="3"/>
      <c r="BX19" s="73" t="str">
        <f>IF(NSi.TS[[#This Row],[KU.1]]="A",100,IF(NSi.TS[[#This Row],[KU.1]]="B",89,IF(NSi.TS[[#This Row],[KU.1]]="C",79,IF(NSi.TS[[#This Row],[KU.1]]="D",69,IF(NSi.TS[[#This Row],[KU.1]]="E",0,"-")))))</f>
        <v>-</v>
      </c>
      <c r="BY19" s="73" t="str">
        <f>IF(NSi.TS[[#This Row],[TJ.1]]=1,100,IF(NSi.TS[[#This Row],[TJ.1]]=2,89,IF(NSi.TS[[#This Row],[TJ.1]]=3,79,IF(NSi.TS[[#This Row],[TJ.1]]=4,69,IF(NSi.TS[[#This Row],[TJ.1]]=5,0,"-")))))</f>
        <v>-</v>
      </c>
      <c r="BZ19" s="73" t="str">
        <f>IF(NSi.TS[[#This Row],[Ker.1]]=1,100,IF(NSi.TS[[#This Row],[Ker.1]]=2,89,IF(NSi.TS[[#This Row],[Ker.1]]=3,79,IF(NSi.TS[[#This Row],[Ker.1]]=4,69,IF(NSi.TS[[#This Row],[Ker.1]]=5,0,"-")))))</f>
        <v>-</v>
      </c>
      <c r="CA19" s="73" t="str">
        <f>IF(NSi.TS[[#This Row],[Ped.1]]=1,100,IF(NSi.TS[[#This Row],[Ped.1]]=2,89,IF(NSi.TS[[#This Row],[Ped.1]]=3,79,IF(NSi.TS[[#This Row],[Ped.1]]=4,69,IF(NSi.TS[[#This Row],[Ped.1]]=5,0,"-")))))</f>
        <v>-</v>
      </c>
      <c r="CB19" s="73" t="str">
        <f>IF(NSi.TS[[#This Row],[Pro-A.1]]=1,100,IF(NSi.TS[[#This Row],[Pro-A.1]]=2,89,IF(NSi.TS[[#This Row],[Pro-A.1]]=3,79,IF(NSi.TS[[#This Row],[Pro-A.1]]=4,69,IF(NSi.TS[[#This Row],[Pro-A.1]]=5,0,"-")))))</f>
        <v>-</v>
      </c>
      <c r="CC19" s="73" t="str">
        <f>IF(NSi.TS[[#This Row],[KU.2]]="A",100,IF(NSi.TS[[#This Row],[KU.2]]="B",89,IF(NSi.TS[[#This Row],[KU.2]]="C",79,IF(NSi.TS[[#This Row],[KU.2]]="D",69,IF(NSi.TS[[#This Row],[KU.2]]="E",0,"-")))))</f>
        <v>-</v>
      </c>
      <c r="CD19" s="73" t="str">
        <f>IF(NSi.TS[[#This Row],[TJ.2]]=1,100,IF(NSi.TS[[#This Row],[TJ.2]]=2,89,IF(NSi.TS[[#This Row],[TJ.2]]=3,79,IF(NSi.TS[[#This Row],[TJ.2]]=4,69,IF(NSi.TS[[#This Row],[TJ.2]]=5,0,"-")))))</f>
        <v>-</v>
      </c>
      <c r="CE19" s="73" t="str">
        <f>IF(NSi.TS[[#This Row],[Ker.2]]=1,100,IF(NSi.TS[[#This Row],[Ker.2]]=2,89,IF(NSi.TS[[#This Row],[Ker.2]]=3,79,IF(NSi.TS[[#This Row],[Ker.2]]=4,69,IF(NSi.TS[[#This Row],[Ker.2]]=5,0,"-")))))</f>
        <v>-</v>
      </c>
      <c r="CF19" s="73" t="str">
        <f>IF(NSi.TS[[#This Row],[Ped.2]]=1,100,IF(NSi.TS[[#This Row],[Ped.2]]=2,89,IF(NSi.TS[[#This Row],[Ped.2]]=3,79,IF(NSi.TS[[#This Row],[Ped.2]]=4,69,IF(NSi.TS[[#This Row],[Ped.2]]=5,0,"-")))))</f>
        <v>-</v>
      </c>
      <c r="CG19" s="73" t="str">
        <f>IF(NSi.TS[[#This Row],[Pro-A.2]]=1,100,IF(NSi.TS[[#This Row],[Pro-A.2]]=2,89,IF(NSi.TS[[#This Row],[Pro-A.2]]=3,79,IF(NSi.TS[[#This Row],[Pro-A.2]]=4,69,IF(NSi.TS[[#This Row],[Pro-A.2]]=5,0,"-")))))</f>
        <v>-</v>
      </c>
      <c r="CH19" s="74" t="str">
        <f>IF(NSi.TS[[#This Row],[KU.3]]="A",100,IF(NSi.TS[[#This Row],[KU.3]]="B",89,IF(NSi.TS[[#This Row],[KU.3]]="C",79,IF(NSi.TS[[#This Row],[KU.3]]="D",69,IF(NSi.TS[[#This Row],[KU.3]]="E",0,"-")))))</f>
        <v>-</v>
      </c>
      <c r="CI19" s="73" t="str">
        <f>IF(NSi.TS[[#This Row],[TJ.3]]=1,100,IF(NSi.TS[[#This Row],[TJ.3]]=2,89,IF(NSi.TS[[#This Row],[TJ.3]]=3,79,IF(NSi.TS[[#This Row],[TJ.3]]=4,69,IF(NSi.TS[[#This Row],[TJ.3]]=5,0,"-")))))</f>
        <v>-</v>
      </c>
      <c r="CJ19" s="73" t="str">
        <f>IF(NSi.TS[[#This Row],[Ker.3]]=1,100,IF(NSi.TS[[#This Row],[Ker.3]]=2,89,IF(NSi.TS[[#This Row],[Ker.3]]=3,79,IF(NSi.TS[[#This Row],[Ker.3]]=4,69,IF(NSi.TS[[#This Row],[Ker.3]]=5,0,"-")))))</f>
        <v>-</v>
      </c>
      <c r="CK19" s="73" t="str">
        <f>IF(NSi.TS[[#This Row],[Ped.3]]=1,100,IF(NSi.TS[[#This Row],[Ped.3]]=2,89,IF(NSi.TS[[#This Row],[Ped.3]]=3,79,IF(NSi.TS[[#This Row],[Ped.3]]=4,69,IF(NSi.TS[[#This Row],[Ped.3]]=5,0,"-")))))</f>
        <v>-</v>
      </c>
      <c r="CL19" s="73" t="str">
        <f>IF(NSi.TS[[#This Row],[Pro-A.3]]=1,100,IF(NSi.TS[[#This Row],[Pro-A.3]]=2,89,IF(NSi.TS[[#This Row],[Pro-A.3]]=3,79,IF(NSi.TS[[#This Row],[Pro-A.3]]=4,69,IF(NSi.TS[[#This Row],[Pro-A.3]]=5,0,"-")))))</f>
        <v>-</v>
      </c>
      <c r="CM19" s="74" t="str">
        <f>IF(NSi.TS[[#This Row],[KU.4]]="A",100,IF(NSi.TS[[#This Row],[KU.4]]="B",89,IF(NSi.TS[[#This Row],[KU.4]]="C",79,IF(NSi.TS[[#This Row],[KU.4]]="D",69,IF(NSi.TS[[#This Row],[KU.4]]="E",0,"-")))))</f>
        <v>-</v>
      </c>
      <c r="CN19" s="73" t="str">
        <f>IF(NSi.TS[[#This Row],[TJ.4]]=1,100,IF(NSi.TS[[#This Row],[TJ.4]]=2,89,IF(NSi.TS[[#This Row],[TJ.4]]=3,79,IF(NSi.TS[[#This Row],[TJ.4]]=4,69,IF(NSi.TS[[#This Row],[TJ.4]]=5,0,"-")))))</f>
        <v>-</v>
      </c>
      <c r="CO19" s="73" t="str">
        <f>IF(NSi.TS[[#This Row],[Ker.4]]=1,100,IF(NSi.TS[[#This Row],[Ker.4]]=2,89,IF(NSi.TS[[#This Row],[Ker.4]]=3,79,IF(NSi.TS[[#This Row],[Ker.4]]=4,69,IF(NSi.TS[[#This Row],[Ker.4]]=5,0,"-")))))</f>
        <v>-</v>
      </c>
      <c r="CP19" s="73" t="str">
        <f>IF(NSi.TS[[#This Row],[Ped.4]]=1,100,IF(NSi.TS[[#This Row],[Ped.4]]=2,89,IF(NSi.TS[[#This Row],[Ped.4]]=3,79,IF(NSi.TS[[#This Row],[Ped.4]]=4,69,IF(NSi.TS[[#This Row],[Ped.4]]=5,0,"-")))))</f>
        <v>-</v>
      </c>
      <c r="CQ19" s="73" t="str">
        <f>IF(NSi.TS[[#This Row],[Pro-A.4]]=1,100,IF(NSi.TS[[#This Row],[Pro-A.4]]=2,89,IF(NSi.TS[[#This Row],[Pro-A.4]]=3,79,IF(NSi.TS[[#This Row],[Pro-A.4]]=4,69,IF(NSi.TS[[#This Row],[Pro-A.4]]=5,0,"-")))))</f>
        <v>-</v>
      </c>
      <c r="CR19" s="74" t="str">
        <f>IF(NSi.TS[[#This Row],[KU.5]]="A",100,IF(NSi.TS[[#This Row],[KU.5]]="B",89,IF(NSi.TS[[#This Row],[KU.5]]="C",79,IF(NSi.TS[[#This Row],[KU.5]]="D",69,IF(NSi.TS[[#This Row],[KU.5]]="E",0,"-")))))</f>
        <v>-</v>
      </c>
      <c r="CS19" s="73" t="str">
        <f>IF(NSi.TS[[#This Row],[TJ.5]]=1,100,IF(NSi.TS[[#This Row],[TJ.5]]=2,89,IF(NSi.TS[[#This Row],[TJ.5]]=3,79,IF(NSi.TS[[#This Row],[TJ.5]]=4,69,IF(NSi.TS[[#This Row],[TJ.5]]=5,0,"-")))))</f>
        <v>-</v>
      </c>
      <c r="CT19" s="73" t="str">
        <f>IF(NSi.TS[[#This Row],[Ker.5]]=1,100,IF(NSi.TS[[#This Row],[Ker.5]]=2,89,IF(NSi.TS[[#This Row],[Ker.5]]=3,79,IF(NSi.TS[[#This Row],[Ker.5]]=4,69,IF(NSi.TS[[#This Row],[Ker.5]]=5,0,"-")))))</f>
        <v>-</v>
      </c>
      <c r="CU19" s="73" t="str">
        <f>IF(NSi.TS[[#This Row],[Ped.5]]=1,100,IF(NSi.TS[[#This Row],[Ped.5]]=2,89,IF(NSi.TS[[#This Row],[Ped.5]]=3,79,IF(NSi.TS[[#This Row],[Ped.5]]=4,69,IF(NSi.TS[[#This Row],[Ped.5]]=5,0,"-")))))</f>
        <v>-</v>
      </c>
      <c r="CV19" s="73" t="str">
        <f>IF(NSi.TS[[#This Row],[Pro-A.5]]=1,100,IF(NSi.TS[[#This Row],[Pro-A.5]]=2,89,IF(NSi.TS[[#This Row],[Pro-A.5]]=3,79,IF(NSi.TS[[#This Row],[Pro-A.5]]=4,69,IF(NSi.TS[[#This Row],[Pro-A.5]]=5,0,"-")))))</f>
        <v>-</v>
      </c>
      <c r="CW19" s="74" t="str">
        <f>IF(NSi.TS[[#This Row],[KU.6]]="A",100,IF(NSi.TS[[#This Row],[KU.6]]="B",89,IF(NSi.TS[[#This Row],[KU.6]]="C",79,IF(NSi.TS[[#This Row],[KU.6]]="D",69,IF(NSi.TS[[#This Row],[KU.6]]="E",0,"-")))))</f>
        <v>-</v>
      </c>
      <c r="CX19" s="73" t="str">
        <f>IF(NSi.TS[[#This Row],[TJ.6]]=1,100,IF(NSi.TS[[#This Row],[TJ.6]]=2,89,IF(NSi.TS[[#This Row],[TJ.6]]=3,79,IF(NSi.TS[[#This Row],[TJ.6]]=4,69,IF(NSi.TS[[#This Row],[TJ.6]]=5,0,"-")))))</f>
        <v>-</v>
      </c>
      <c r="CY19" s="73" t="str">
        <f>IF(NSi.TS[[#This Row],[Ker.6]]=1,100,IF(NSi.TS[[#This Row],[Ker.6]]=2,89,IF(NSi.TS[[#This Row],[Ker.6]]=3,79,IF(NSi.TS[[#This Row],[Ker.6]]=4,69,IF(NSi.TS[[#This Row],[Ker.6]]=5,0,"-")))))</f>
        <v>-</v>
      </c>
      <c r="CZ19" s="73" t="str">
        <f>IF(NSi.TS[[#This Row],[Ped.6]]=1,100,IF(NSi.TS[[#This Row],[Ped.6]]=2,89,IF(NSi.TS[[#This Row],[Ped.6]]=3,79,IF(NSi.TS[[#This Row],[Ped.6]]=4,69,IF(NSi.TS[[#This Row],[Ped.6]]=5,0,"-")))))</f>
        <v>-</v>
      </c>
      <c r="DA19" s="73" t="str">
        <f>IF(NSi.TS[[#This Row],[Pro-A.6]]=1,100,IF(NSi.TS[[#This Row],[Pro-A.6]]=2,89,IF(NSi.TS[[#This Row],[Pro-A.6]]=3,79,IF(NSi.TS[[#This Row],[Pro-A.6]]=4,69,IF(NSi.TS[[#This Row],[Pro-A.6]]=5,0,"-")))))</f>
        <v>-</v>
      </c>
      <c r="DB19" s="74" t="str">
        <f>IF(NSi.TS[[#This Row],[KU.7]]="A",100,IF(NSi.TS[[#This Row],[KU.7]]="B",89,IF(NSi.TS[[#This Row],[KU.7]]="C",79,IF(NSi.TS[[#This Row],[KU.7]]="D",69,IF(NSi.TS[[#This Row],[KU.7]]="E",0,"-")))))</f>
        <v>-</v>
      </c>
      <c r="DC19" s="73" t="str">
        <f>IF(NSi.TS[[#This Row],[TJ.7]]=1,100,IF(NSi.TS[[#This Row],[TJ.7]]=2,89,IF(NSi.TS[[#This Row],[TJ.7]]=3,79,IF(NSi.TS[[#This Row],[TJ.7]]=4,69,IF(NSi.TS[[#This Row],[TJ.7]]=5,0,"-")))))</f>
        <v>-</v>
      </c>
      <c r="DD19" s="73" t="str">
        <f>IF(NSi.TS[[#This Row],[Ker.7]]=1,100,IF(NSi.TS[[#This Row],[Ker.7]]=2,89,IF(NSi.TS[[#This Row],[Ker.7]]=3,79,IF(NSi.TS[[#This Row],[Ker.7]]=4,69,IF(NSi.TS[[#This Row],[Ker.7]]=5,0,"-")))))</f>
        <v>-</v>
      </c>
      <c r="DE19" s="73" t="str">
        <f>IF(NSi.TS[[#This Row],[Ped.7]]=1,100,IF(NSi.TS[[#This Row],[Ped.7]]=2,89,IF(NSi.TS[[#This Row],[Ped.7]]=3,79,IF(NSi.TS[[#This Row],[Ped.7]]=4,69,IF(NSi.TS[[#This Row],[Ped.7]]=5,0,"-")))))</f>
        <v>-</v>
      </c>
      <c r="DF19" s="73" t="str">
        <f>IF(NSi.TS[[#This Row],[Pro-A.7]]=1,100,IF(NSi.TS[[#This Row],[Pro-A.7]]=2,89,IF(NSi.TS[[#This Row],[Pro-A.7]]=3,79,IF(NSi.TS[[#This Row],[Pro-A.7]]=4,69,IF(NSi.TS[[#This Row],[Pro-A.7]]=5,0,"-")))))</f>
        <v>-</v>
      </c>
      <c r="DG19" s="74" t="str">
        <f>IF(NSi.TS[[#This Row],[KU.8]]="A",100,IF(NSi.TS[[#This Row],[KU.8]]="B",89,IF(NSi.TS[[#This Row],[KU.8]]="C",79,IF(NSi.TS[[#This Row],[KU.8]]="D",69,IF(NSi.TS[[#This Row],[KU.8]]="E",0,"-")))))</f>
        <v>-</v>
      </c>
      <c r="DH19" s="73" t="str">
        <f>IF(NSi.TS[[#This Row],[TJ.8]]=1,100,IF(NSi.TS[[#This Row],[TJ.8]]=2,89,IF(NSi.TS[[#This Row],[TJ.8]]=3,79,IF(NSi.TS[[#This Row],[TJ.8]]=4,69,IF(NSi.TS[[#This Row],[TJ.8]]=5,0,"-")))))</f>
        <v>-</v>
      </c>
      <c r="DI19" s="73" t="str">
        <f>IF(NSi.TS[[#This Row],[Ker.8]]=1,100,IF(NSi.TS[[#This Row],[Ker.8]]=2,89,IF(NSi.TS[[#This Row],[Ker.8]]=3,79,IF(NSi.TS[[#This Row],[Ker.8]]=4,69,IF(NSi.TS[[#This Row],[Ker.8]]=5,0,"-")))))</f>
        <v>-</v>
      </c>
      <c r="DJ19" s="73" t="str">
        <f>IF(NSi.TS[[#This Row],[Ped.8]]=1,100,IF(NSi.TS[[#This Row],[Ped.8]]=2,89,IF(NSi.TS[[#This Row],[Ped.8]]=3,79,IF(NSi.TS[[#This Row],[Ped.8]]=4,69,IF(NSi.TS[[#This Row],[Ped.8]]=5,0,"-")))))</f>
        <v>-</v>
      </c>
      <c r="DK19" s="73" t="str">
        <f>IF(NSi.TS[[#This Row],[Pro-A.8]]=1,100,IF(NSi.TS[[#This Row],[Pro-A.8]]=2,89,IF(NSi.TS[[#This Row],[Pro-A.8]]=3,79,IF(NSi.TS[[#This Row],[Pro-A.8]]=4,69,IF(NSi.TS[[#This Row],[Pro-A.8]]=5,0,"-")))))</f>
        <v>-</v>
      </c>
      <c r="DL19" s="74" t="str">
        <f>IF(NSi.TS[[#This Row],[KU.9]]="A",100,IF(NSi.TS[[#This Row],[KU.9]]="B",89,IF(NSi.TS[[#This Row],[KU.9]]="C",79,IF(NSi.TS[[#This Row],[KU.9]]="D",69,IF(NSi.TS[[#This Row],[KU.9]]="E",0,"-")))))</f>
        <v>-</v>
      </c>
      <c r="DM19" s="73" t="str">
        <f>IF(NSi.TS[[#This Row],[TJ.9]]=1,100,IF(NSi.TS[[#This Row],[TJ.9]]=2,89,IF(NSi.TS[[#This Row],[TJ.9]]=3,79,IF(NSi.TS[[#This Row],[TJ.9]]=4,69,IF(NSi.TS[[#This Row],[TJ.9]]=5,0,"-")))))</f>
        <v>-</v>
      </c>
      <c r="DN19" s="73" t="str">
        <f>IF(NSi.TS[[#This Row],[Ker.9]]=1,100,IF(NSi.TS[[#This Row],[Ker.9]]=2,89,IF(NSi.TS[[#This Row],[Ker.9]]=3,79,IF(NSi.TS[[#This Row],[Ker.9]]=4,69,IF(NSi.TS[[#This Row],[Ker.9]]=5,0,"-")))))</f>
        <v>-</v>
      </c>
      <c r="DO19" s="73" t="str">
        <f>IF(NSi.TS[[#This Row],[Ped.9]]=1,100,IF(NSi.TS[[#This Row],[Ped.9]]=2,89,IF(NSi.TS[[#This Row],[Ped.9]]=3,79,IF(NSi.TS[[#This Row],[Ped.9]]=4,69,IF(NSi.TS[[#This Row],[Ped.9]]=5,0,"-")))))</f>
        <v>-</v>
      </c>
      <c r="DP19" s="73" t="str">
        <f>IF(NSi.TS[[#This Row],[Pro-A.9]]=1,100,IF(NSi.TS[[#This Row],[Pro-A.9]]=2,89,IF(NSi.TS[[#This Row],[Pro-A.9]]=3,79,IF(NSi.TS[[#This Row],[Pro-A.9]]=4,69,IF(NSi.TS[[#This Row],[Pro-A.9]]=5,0,"-")))))</f>
        <v>-</v>
      </c>
    </row>
    <row r="20" spans="1:120" ht="50.1" customHeight="1" x14ac:dyDescent="0.3">
      <c r="A20" s="85"/>
      <c r="B20" s="86"/>
      <c r="C20" s="87"/>
      <c r="D20" s="87"/>
      <c r="E20" s="87"/>
      <c r="F20" s="44" t="str">
        <f>IFERROR(ROUND(AVERAGE(CSCR[#This Row]),0),"")</f>
        <v/>
      </c>
      <c r="G20" s="41" t="s">
        <v>102</v>
      </c>
      <c r="H20" s="45" t="s">
        <v>102</v>
      </c>
      <c r="I20" s="45" t="s">
        <v>102</v>
      </c>
      <c r="J20" s="45" t="s">
        <v>102</v>
      </c>
      <c r="K20" s="45" t="s">
        <v>102</v>
      </c>
      <c r="L20" s="41" t="s">
        <v>102</v>
      </c>
      <c r="M20" s="45" t="s">
        <v>102</v>
      </c>
      <c r="N20" s="45" t="s">
        <v>102</v>
      </c>
      <c r="O20" s="45" t="s">
        <v>102</v>
      </c>
      <c r="P20" s="45" t="s">
        <v>102</v>
      </c>
      <c r="Q20" s="41" t="s">
        <v>102</v>
      </c>
      <c r="R20" s="45" t="s">
        <v>102</v>
      </c>
      <c r="S20" s="45" t="s">
        <v>102</v>
      </c>
      <c r="T20" s="45" t="s">
        <v>102</v>
      </c>
      <c r="U20" s="45" t="s">
        <v>102</v>
      </c>
      <c r="V20" s="41" t="s">
        <v>102</v>
      </c>
      <c r="W20" s="45" t="s">
        <v>102</v>
      </c>
      <c r="X20" s="45" t="s">
        <v>102</v>
      </c>
      <c r="Y20" s="45" t="s">
        <v>102</v>
      </c>
      <c r="Z20" s="45" t="s">
        <v>102</v>
      </c>
      <c r="AA20" s="41" t="s">
        <v>102</v>
      </c>
      <c r="AB20" s="45" t="s">
        <v>102</v>
      </c>
      <c r="AC20" s="45" t="s">
        <v>102</v>
      </c>
      <c r="AD20" s="45" t="s">
        <v>102</v>
      </c>
      <c r="AE20" s="45" t="s">
        <v>102</v>
      </c>
      <c r="AF20" s="41" t="s">
        <v>102</v>
      </c>
      <c r="AG20" s="45" t="s">
        <v>102</v>
      </c>
      <c r="AH20" s="45" t="s">
        <v>102</v>
      </c>
      <c r="AI20" s="45" t="s">
        <v>102</v>
      </c>
      <c r="AJ20" s="45" t="s">
        <v>102</v>
      </c>
      <c r="AK20" s="41" t="s">
        <v>102</v>
      </c>
      <c r="AL20" s="45" t="s">
        <v>102</v>
      </c>
      <c r="AM20" s="45" t="s">
        <v>102</v>
      </c>
      <c r="AN20" s="45" t="s">
        <v>102</v>
      </c>
      <c r="AO20" s="45" t="s">
        <v>102</v>
      </c>
      <c r="AP20" s="41" t="s">
        <v>102</v>
      </c>
      <c r="AQ20" s="45" t="s">
        <v>102</v>
      </c>
      <c r="AR20" s="45" t="s">
        <v>102</v>
      </c>
      <c r="AS20" s="45" t="s">
        <v>102</v>
      </c>
      <c r="AT20" s="45" t="s">
        <v>102</v>
      </c>
      <c r="AU20" s="41" t="s">
        <v>102</v>
      </c>
      <c r="AV20" s="45" t="s">
        <v>102</v>
      </c>
      <c r="AW20" s="45" t="s">
        <v>102</v>
      </c>
      <c r="AX20" s="45" t="s">
        <v>102</v>
      </c>
      <c r="AY20" s="45" t="s">
        <v>102</v>
      </c>
      <c r="BA20" s="10" t="str">
        <f>CONCATENATE(NSi.TS[[#This Row],[KU.1]],(IF(A.LoE[[#This Row],[LE.1]]="-","-",IF(A.LoE[[#This Row],[LE.1]]&gt;=90,1,IF(A.LoE[[#This Row],[LE.1]]&gt;=80,2,IF(A.LoE[[#This Row],[LE.1]]&gt;=70,3,IF(A.LoE[[#This Row],[LE.1]]&gt;=1,4,5)))))))</f>
        <v>--</v>
      </c>
      <c r="BB20" s="46" t="str">
        <f>CONCATENATE(NSi.TS[[#This Row],[KU.2]],(IF(A.LoE[[#This Row],[LE.2]]="-","-",IF(A.LoE[[#This Row],[LE.2]]&gt;=90,1,IF(A.LoE[[#This Row],[LE.2]]&gt;=80,2,IF(A.LoE[[#This Row],[LE.2]]&gt;=70,3,IF(A.LoE[[#This Row],[LE.2]]&gt;=1,4,5)))))))</f>
        <v>--</v>
      </c>
      <c r="BC20" s="46" t="str">
        <f>CONCATENATE(NSi.TS[[#This Row],[KU.3]],(IF(A.LoE[[#This Row],[LE.3]]="-","-",IF(A.LoE[[#This Row],[LE.3]]&gt;=90,1,IF(A.LoE[[#This Row],[LE.3]]&gt;=80,2,IF(A.LoE[[#This Row],[LE.3]]&gt;=70,3,IF(A.LoE[[#This Row],[LE.3]]&gt;=1,4,5)))))))</f>
        <v>--</v>
      </c>
      <c r="BD20" s="46" t="str">
        <f>CONCATENATE(NSi.TS[[#This Row],[KU.4]],(IF(A.LoE[[#This Row],[LE.4]]="-","-",IF(A.LoE[[#This Row],[LE.4]]&gt;=90,1,IF(A.LoE[[#This Row],[LE.4]]&gt;=80,2,IF(A.LoE[[#This Row],[LE.4]]&gt;=70,3,IF(A.LoE[[#This Row],[LE.4]]&gt;=1,4,5)))))))</f>
        <v>--</v>
      </c>
      <c r="BE20" s="46" t="str">
        <f>CONCATENATE(NSi.TS[[#This Row],[KU.5]],(IF(A.LoE[[#This Row],[LE.5]]="-","-",IF(A.LoE[[#This Row],[LE.5]]&gt;=90,1,IF(A.LoE[[#This Row],[LE.5]]&gt;=80,2,IF(A.LoE[[#This Row],[LE.5]]&gt;=70,3,IF(A.LoE[[#This Row],[LE.5]]&gt;=1,4,5)))))))</f>
        <v>--</v>
      </c>
      <c r="BF20" s="46" t="str">
        <f>CONCATENATE(NSi.TS[[#This Row],[KU.6]],(IF(A.LoE[[#This Row],[LE.6]]="-","-",IF(A.LoE[[#This Row],[LE.6]]&gt;=90,1,IF(A.LoE[[#This Row],[LE.6]]&gt;=80,2,IF(A.LoE[[#This Row],[LE.6]]&gt;=70,3,IF(A.LoE[[#This Row],[LE.6]]&gt;=1,4,5)))))))</f>
        <v>--</v>
      </c>
      <c r="BG20" s="46" t="str">
        <f>CONCATENATE(NSi.TS[[#This Row],[KU.7]],(IF(A.LoE[[#This Row],[LE.7]]="-","-",IF(A.LoE[[#This Row],[LE.7]]&gt;=90,1,IF(A.LoE[[#This Row],[LE.7]]&gt;=80,2,IF(A.LoE[[#This Row],[LE.7]]&gt;=70,3,IF(A.LoE[[#This Row],[LE.7]]&gt;=1,4,5)))))))</f>
        <v>--</v>
      </c>
      <c r="BH20" s="46" t="str">
        <f>CONCATENATE(NSi.TS[[#This Row],[KU.8]],(IF(A.LoE[[#This Row],[LE.8]]="-","-",IF(A.LoE[[#This Row],[LE.8]]&gt;=90,1,IF(A.LoE[[#This Row],[LE.8]]&gt;=80,2,IF(A.LoE[[#This Row],[LE.8]]&gt;=70,3,IF(A.LoE[[#This Row],[LE.8]]&gt;=1,4,5)))))))</f>
        <v>--</v>
      </c>
      <c r="BI20" s="38" t="str">
        <f>CONCATENATE(NSi.TS[[#This Row],[KU.9]],(IF(A.LoE[[#This Row],[LE.9]]="-","-",IF(A.LoE[[#This Row],[LE.9]]&gt;=90,1,IF(A.LoE[[#This Row],[LE.9]]&gt;=80,2,IF(A.LoE[[#This Row],[LE.9]]&gt;=70,3,IF(A.LoE[[#This Row],[LE.9]]&gt;=1,4,5)))))))</f>
        <v>--</v>
      </c>
      <c r="BK20" s="35" t="str">
        <f>IFERROR(ROUND(AVERAGE(Con.Sk[[#This Row],[TJ.1]:[Pro-A.1]]),0),"-")</f>
        <v>-</v>
      </c>
      <c r="BL20" s="24" t="str">
        <f>IFERROR(ROUND(AVERAGE(Con.Sk[[#This Row],[TJ.2]:[Pro-A.2]]),0),"-")</f>
        <v>-</v>
      </c>
      <c r="BM20" s="24" t="str">
        <f>IFERROR(ROUND(AVERAGE(Con.Sk[[#This Row],[TJ.3]:[Pro-A.3]]),0),"-")</f>
        <v>-</v>
      </c>
      <c r="BN20" s="24" t="str">
        <f>IFERROR(ROUND(AVERAGE(Con.Sk[[#This Row],[TJ.4]:[Pro-A.4]]),0),"-")</f>
        <v>-</v>
      </c>
      <c r="BO20" s="24" t="str">
        <f>IFERROR(ROUND(AVERAGE(Con.Sk[[#This Row],[TJ.5]:[Pro-A.5]]),0),"-")</f>
        <v>-</v>
      </c>
      <c r="BP20" s="24" t="str">
        <f>IFERROR(ROUND(AVERAGE(Con.Sk[[#This Row],[TJ.6]:[Pro-A.6]]),0),"-")</f>
        <v>-</v>
      </c>
      <c r="BQ20" s="24" t="str">
        <f>IFERROR(ROUND(AVERAGE(Con.Sk[[#This Row],[TJ.7]:[Pro-A.7]]),0),"-")</f>
        <v>-</v>
      </c>
      <c r="BR20" s="24" t="str">
        <f>IFERROR(ROUND(AVERAGE(Con.Sk[[#This Row],[TJ.8]:[Pro-A.8]]),0),"-")</f>
        <v>-</v>
      </c>
      <c r="BS20" s="25" t="str">
        <f>IFERROR(ROUND(AVERAGE(Con.Sk[[#This Row],[TJ.9]:[Pro-A.9]]),0),"-")</f>
        <v>-</v>
      </c>
      <c r="BU20" s="47" t="str">
        <f>IFERROR(ROUND(AVERAGE(Con.Sk[[#This Row],[KU.1]],Con.Sk[[#This Row],[KU.2]],Con.Sk[[#This Row],[KU.3]],Con.Sk[[#This Row],[KU.4]],Con.Sk[[#This Row],[KU.5]],Con.Sk[[#This Row],[KU.6]],Con.Sk[[#This Row],[KU.7]],Con.Sk[[#This Row],[KU.8]],Con.Sk[[#This Row],[KU.9]]),0),"")</f>
        <v/>
      </c>
      <c r="BV20" s="48" t="str">
        <f>IFERROR(ROUND(AVERAGE(Con.Sk[[#This Row],[TJ.1]:[Pro-A.1]],Con.Sk[[#This Row],[TJ.2]:[Pro-A.2]],Con.Sk[[#This Row],[TJ.3]:[Pro-A.3]],Con.Sk[[#This Row],[TJ.4]:[Pro-A.4]],Con.Sk[[#This Row],[TJ.5]:[Pro-A.5]],Con.Sk[[#This Row],[TJ.6]:[Pro-A.6]],Con.Sk[[#This Row],[TJ.7]:[Pro-A.7]],Con.Sk[[#This Row],[TJ.8]:[Pro-A.8]],Con.Sk[[#This Row],[TJ.9]:[Pro-A.9]]),0),"")</f>
        <v/>
      </c>
      <c r="BW20" s="3"/>
      <c r="BX20" s="73" t="str">
        <f>IF(NSi.TS[[#This Row],[KU.1]]="A",100,IF(NSi.TS[[#This Row],[KU.1]]="B",89,IF(NSi.TS[[#This Row],[KU.1]]="C",79,IF(NSi.TS[[#This Row],[KU.1]]="D",69,IF(NSi.TS[[#This Row],[KU.1]]="E",0,"-")))))</f>
        <v>-</v>
      </c>
      <c r="BY20" s="73" t="str">
        <f>IF(NSi.TS[[#This Row],[TJ.1]]=1,100,IF(NSi.TS[[#This Row],[TJ.1]]=2,89,IF(NSi.TS[[#This Row],[TJ.1]]=3,79,IF(NSi.TS[[#This Row],[TJ.1]]=4,69,IF(NSi.TS[[#This Row],[TJ.1]]=5,0,"-")))))</f>
        <v>-</v>
      </c>
      <c r="BZ20" s="73" t="str">
        <f>IF(NSi.TS[[#This Row],[Ker.1]]=1,100,IF(NSi.TS[[#This Row],[Ker.1]]=2,89,IF(NSi.TS[[#This Row],[Ker.1]]=3,79,IF(NSi.TS[[#This Row],[Ker.1]]=4,69,IF(NSi.TS[[#This Row],[Ker.1]]=5,0,"-")))))</f>
        <v>-</v>
      </c>
      <c r="CA20" s="73" t="str">
        <f>IF(NSi.TS[[#This Row],[Ped.1]]=1,100,IF(NSi.TS[[#This Row],[Ped.1]]=2,89,IF(NSi.TS[[#This Row],[Ped.1]]=3,79,IF(NSi.TS[[#This Row],[Ped.1]]=4,69,IF(NSi.TS[[#This Row],[Ped.1]]=5,0,"-")))))</f>
        <v>-</v>
      </c>
      <c r="CB20" s="73" t="str">
        <f>IF(NSi.TS[[#This Row],[Pro-A.1]]=1,100,IF(NSi.TS[[#This Row],[Pro-A.1]]=2,89,IF(NSi.TS[[#This Row],[Pro-A.1]]=3,79,IF(NSi.TS[[#This Row],[Pro-A.1]]=4,69,IF(NSi.TS[[#This Row],[Pro-A.1]]=5,0,"-")))))</f>
        <v>-</v>
      </c>
      <c r="CC20" s="73" t="str">
        <f>IF(NSi.TS[[#This Row],[KU.2]]="A",100,IF(NSi.TS[[#This Row],[KU.2]]="B",89,IF(NSi.TS[[#This Row],[KU.2]]="C",79,IF(NSi.TS[[#This Row],[KU.2]]="D",69,IF(NSi.TS[[#This Row],[KU.2]]="E",0,"-")))))</f>
        <v>-</v>
      </c>
      <c r="CD20" s="73" t="str">
        <f>IF(NSi.TS[[#This Row],[TJ.2]]=1,100,IF(NSi.TS[[#This Row],[TJ.2]]=2,89,IF(NSi.TS[[#This Row],[TJ.2]]=3,79,IF(NSi.TS[[#This Row],[TJ.2]]=4,69,IF(NSi.TS[[#This Row],[TJ.2]]=5,0,"-")))))</f>
        <v>-</v>
      </c>
      <c r="CE20" s="73" t="str">
        <f>IF(NSi.TS[[#This Row],[Ker.2]]=1,100,IF(NSi.TS[[#This Row],[Ker.2]]=2,89,IF(NSi.TS[[#This Row],[Ker.2]]=3,79,IF(NSi.TS[[#This Row],[Ker.2]]=4,69,IF(NSi.TS[[#This Row],[Ker.2]]=5,0,"-")))))</f>
        <v>-</v>
      </c>
      <c r="CF20" s="73" t="str">
        <f>IF(NSi.TS[[#This Row],[Ped.2]]=1,100,IF(NSi.TS[[#This Row],[Ped.2]]=2,89,IF(NSi.TS[[#This Row],[Ped.2]]=3,79,IF(NSi.TS[[#This Row],[Ped.2]]=4,69,IF(NSi.TS[[#This Row],[Ped.2]]=5,0,"-")))))</f>
        <v>-</v>
      </c>
      <c r="CG20" s="73" t="str">
        <f>IF(NSi.TS[[#This Row],[Pro-A.2]]=1,100,IF(NSi.TS[[#This Row],[Pro-A.2]]=2,89,IF(NSi.TS[[#This Row],[Pro-A.2]]=3,79,IF(NSi.TS[[#This Row],[Pro-A.2]]=4,69,IF(NSi.TS[[#This Row],[Pro-A.2]]=5,0,"-")))))</f>
        <v>-</v>
      </c>
      <c r="CH20" s="74" t="str">
        <f>IF(NSi.TS[[#This Row],[KU.3]]="A",100,IF(NSi.TS[[#This Row],[KU.3]]="B",89,IF(NSi.TS[[#This Row],[KU.3]]="C",79,IF(NSi.TS[[#This Row],[KU.3]]="D",69,IF(NSi.TS[[#This Row],[KU.3]]="E",0,"-")))))</f>
        <v>-</v>
      </c>
      <c r="CI20" s="73" t="str">
        <f>IF(NSi.TS[[#This Row],[TJ.3]]=1,100,IF(NSi.TS[[#This Row],[TJ.3]]=2,89,IF(NSi.TS[[#This Row],[TJ.3]]=3,79,IF(NSi.TS[[#This Row],[TJ.3]]=4,69,IF(NSi.TS[[#This Row],[TJ.3]]=5,0,"-")))))</f>
        <v>-</v>
      </c>
      <c r="CJ20" s="73" t="str">
        <f>IF(NSi.TS[[#This Row],[Ker.3]]=1,100,IF(NSi.TS[[#This Row],[Ker.3]]=2,89,IF(NSi.TS[[#This Row],[Ker.3]]=3,79,IF(NSi.TS[[#This Row],[Ker.3]]=4,69,IF(NSi.TS[[#This Row],[Ker.3]]=5,0,"-")))))</f>
        <v>-</v>
      </c>
      <c r="CK20" s="73" t="str">
        <f>IF(NSi.TS[[#This Row],[Ped.3]]=1,100,IF(NSi.TS[[#This Row],[Ped.3]]=2,89,IF(NSi.TS[[#This Row],[Ped.3]]=3,79,IF(NSi.TS[[#This Row],[Ped.3]]=4,69,IF(NSi.TS[[#This Row],[Ped.3]]=5,0,"-")))))</f>
        <v>-</v>
      </c>
      <c r="CL20" s="73" t="str">
        <f>IF(NSi.TS[[#This Row],[Pro-A.3]]=1,100,IF(NSi.TS[[#This Row],[Pro-A.3]]=2,89,IF(NSi.TS[[#This Row],[Pro-A.3]]=3,79,IF(NSi.TS[[#This Row],[Pro-A.3]]=4,69,IF(NSi.TS[[#This Row],[Pro-A.3]]=5,0,"-")))))</f>
        <v>-</v>
      </c>
      <c r="CM20" s="74" t="str">
        <f>IF(NSi.TS[[#This Row],[KU.4]]="A",100,IF(NSi.TS[[#This Row],[KU.4]]="B",89,IF(NSi.TS[[#This Row],[KU.4]]="C",79,IF(NSi.TS[[#This Row],[KU.4]]="D",69,IF(NSi.TS[[#This Row],[KU.4]]="E",0,"-")))))</f>
        <v>-</v>
      </c>
      <c r="CN20" s="73" t="str">
        <f>IF(NSi.TS[[#This Row],[TJ.4]]=1,100,IF(NSi.TS[[#This Row],[TJ.4]]=2,89,IF(NSi.TS[[#This Row],[TJ.4]]=3,79,IF(NSi.TS[[#This Row],[TJ.4]]=4,69,IF(NSi.TS[[#This Row],[TJ.4]]=5,0,"-")))))</f>
        <v>-</v>
      </c>
      <c r="CO20" s="73" t="str">
        <f>IF(NSi.TS[[#This Row],[Ker.4]]=1,100,IF(NSi.TS[[#This Row],[Ker.4]]=2,89,IF(NSi.TS[[#This Row],[Ker.4]]=3,79,IF(NSi.TS[[#This Row],[Ker.4]]=4,69,IF(NSi.TS[[#This Row],[Ker.4]]=5,0,"-")))))</f>
        <v>-</v>
      </c>
      <c r="CP20" s="73" t="str">
        <f>IF(NSi.TS[[#This Row],[Ped.4]]=1,100,IF(NSi.TS[[#This Row],[Ped.4]]=2,89,IF(NSi.TS[[#This Row],[Ped.4]]=3,79,IF(NSi.TS[[#This Row],[Ped.4]]=4,69,IF(NSi.TS[[#This Row],[Ped.4]]=5,0,"-")))))</f>
        <v>-</v>
      </c>
      <c r="CQ20" s="73" t="str">
        <f>IF(NSi.TS[[#This Row],[Pro-A.4]]=1,100,IF(NSi.TS[[#This Row],[Pro-A.4]]=2,89,IF(NSi.TS[[#This Row],[Pro-A.4]]=3,79,IF(NSi.TS[[#This Row],[Pro-A.4]]=4,69,IF(NSi.TS[[#This Row],[Pro-A.4]]=5,0,"-")))))</f>
        <v>-</v>
      </c>
      <c r="CR20" s="74" t="str">
        <f>IF(NSi.TS[[#This Row],[KU.5]]="A",100,IF(NSi.TS[[#This Row],[KU.5]]="B",89,IF(NSi.TS[[#This Row],[KU.5]]="C",79,IF(NSi.TS[[#This Row],[KU.5]]="D",69,IF(NSi.TS[[#This Row],[KU.5]]="E",0,"-")))))</f>
        <v>-</v>
      </c>
      <c r="CS20" s="73" t="str">
        <f>IF(NSi.TS[[#This Row],[TJ.5]]=1,100,IF(NSi.TS[[#This Row],[TJ.5]]=2,89,IF(NSi.TS[[#This Row],[TJ.5]]=3,79,IF(NSi.TS[[#This Row],[TJ.5]]=4,69,IF(NSi.TS[[#This Row],[TJ.5]]=5,0,"-")))))</f>
        <v>-</v>
      </c>
      <c r="CT20" s="73" t="str">
        <f>IF(NSi.TS[[#This Row],[Ker.5]]=1,100,IF(NSi.TS[[#This Row],[Ker.5]]=2,89,IF(NSi.TS[[#This Row],[Ker.5]]=3,79,IF(NSi.TS[[#This Row],[Ker.5]]=4,69,IF(NSi.TS[[#This Row],[Ker.5]]=5,0,"-")))))</f>
        <v>-</v>
      </c>
      <c r="CU20" s="73" t="str">
        <f>IF(NSi.TS[[#This Row],[Ped.5]]=1,100,IF(NSi.TS[[#This Row],[Ped.5]]=2,89,IF(NSi.TS[[#This Row],[Ped.5]]=3,79,IF(NSi.TS[[#This Row],[Ped.5]]=4,69,IF(NSi.TS[[#This Row],[Ped.5]]=5,0,"-")))))</f>
        <v>-</v>
      </c>
      <c r="CV20" s="73" t="str">
        <f>IF(NSi.TS[[#This Row],[Pro-A.5]]=1,100,IF(NSi.TS[[#This Row],[Pro-A.5]]=2,89,IF(NSi.TS[[#This Row],[Pro-A.5]]=3,79,IF(NSi.TS[[#This Row],[Pro-A.5]]=4,69,IF(NSi.TS[[#This Row],[Pro-A.5]]=5,0,"-")))))</f>
        <v>-</v>
      </c>
      <c r="CW20" s="74" t="str">
        <f>IF(NSi.TS[[#This Row],[KU.6]]="A",100,IF(NSi.TS[[#This Row],[KU.6]]="B",89,IF(NSi.TS[[#This Row],[KU.6]]="C",79,IF(NSi.TS[[#This Row],[KU.6]]="D",69,IF(NSi.TS[[#This Row],[KU.6]]="E",0,"-")))))</f>
        <v>-</v>
      </c>
      <c r="CX20" s="73" t="str">
        <f>IF(NSi.TS[[#This Row],[TJ.6]]=1,100,IF(NSi.TS[[#This Row],[TJ.6]]=2,89,IF(NSi.TS[[#This Row],[TJ.6]]=3,79,IF(NSi.TS[[#This Row],[TJ.6]]=4,69,IF(NSi.TS[[#This Row],[TJ.6]]=5,0,"-")))))</f>
        <v>-</v>
      </c>
      <c r="CY20" s="73" t="str">
        <f>IF(NSi.TS[[#This Row],[Ker.6]]=1,100,IF(NSi.TS[[#This Row],[Ker.6]]=2,89,IF(NSi.TS[[#This Row],[Ker.6]]=3,79,IF(NSi.TS[[#This Row],[Ker.6]]=4,69,IF(NSi.TS[[#This Row],[Ker.6]]=5,0,"-")))))</f>
        <v>-</v>
      </c>
      <c r="CZ20" s="73" t="str">
        <f>IF(NSi.TS[[#This Row],[Ped.6]]=1,100,IF(NSi.TS[[#This Row],[Ped.6]]=2,89,IF(NSi.TS[[#This Row],[Ped.6]]=3,79,IF(NSi.TS[[#This Row],[Ped.6]]=4,69,IF(NSi.TS[[#This Row],[Ped.6]]=5,0,"-")))))</f>
        <v>-</v>
      </c>
      <c r="DA20" s="73" t="str">
        <f>IF(NSi.TS[[#This Row],[Pro-A.6]]=1,100,IF(NSi.TS[[#This Row],[Pro-A.6]]=2,89,IF(NSi.TS[[#This Row],[Pro-A.6]]=3,79,IF(NSi.TS[[#This Row],[Pro-A.6]]=4,69,IF(NSi.TS[[#This Row],[Pro-A.6]]=5,0,"-")))))</f>
        <v>-</v>
      </c>
      <c r="DB20" s="74" t="str">
        <f>IF(NSi.TS[[#This Row],[KU.7]]="A",100,IF(NSi.TS[[#This Row],[KU.7]]="B",89,IF(NSi.TS[[#This Row],[KU.7]]="C",79,IF(NSi.TS[[#This Row],[KU.7]]="D",69,IF(NSi.TS[[#This Row],[KU.7]]="E",0,"-")))))</f>
        <v>-</v>
      </c>
      <c r="DC20" s="73" t="str">
        <f>IF(NSi.TS[[#This Row],[TJ.7]]=1,100,IF(NSi.TS[[#This Row],[TJ.7]]=2,89,IF(NSi.TS[[#This Row],[TJ.7]]=3,79,IF(NSi.TS[[#This Row],[TJ.7]]=4,69,IF(NSi.TS[[#This Row],[TJ.7]]=5,0,"-")))))</f>
        <v>-</v>
      </c>
      <c r="DD20" s="73" t="str">
        <f>IF(NSi.TS[[#This Row],[Ker.7]]=1,100,IF(NSi.TS[[#This Row],[Ker.7]]=2,89,IF(NSi.TS[[#This Row],[Ker.7]]=3,79,IF(NSi.TS[[#This Row],[Ker.7]]=4,69,IF(NSi.TS[[#This Row],[Ker.7]]=5,0,"-")))))</f>
        <v>-</v>
      </c>
      <c r="DE20" s="73" t="str">
        <f>IF(NSi.TS[[#This Row],[Ped.7]]=1,100,IF(NSi.TS[[#This Row],[Ped.7]]=2,89,IF(NSi.TS[[#This Row],[Ped.7]]=3,79,IF(NSi.TS[[#This Row],[Ped.7]]=4,69,IF(NSi.TS[[#This Row],[Ped.7]]=5,0,"-")))))</f>
        <v>-</v>
      </c>
      <c r="DF20" s="73" t="str">
        <f>IF(NSi.TS[[#This Row],[Pro-A.7]]=1,100,IF(NSi.TS[[#This Row],[Pro-A.7]]=2,89,IF(NSi.TS[[#This Row],[Pro-A.7]]=3,79,IF(NSi.TS[[#This Row],[Pro-A.7]]=4,69,IF(NSi.TS[[#This Row],[Pro-A.7]]=5,0,"-")))))</f>
        <v>-</v>
      </c>
      <c r="DG20" s="74" t="str">
        <f>IF(NSi.TS[[#This Row],[KU.8]]="A",100,IF(NSi.TS[[#This Row],[KU.8]]="B",89,IF(NSi.TS[[#This Row],[KU.8]]="C",79,IF(NSi.TS[[#This Row],[KU.8]]="D",69,IF(NSi.TS[[#This Row],[KU.8]]="E",0,"-")))))</f>
        <v>-</v>
      </c>
      <c r="DH20" s="73" t="str">
        <f>IF(NSi.TS[[#This Row],[TJ.8]]=1,100,IF(NSi.TS[[#This Row],[TJ.8]]=2,89,IF(NSi.TS[[#This Row],[TJ.8]]=3,79,IF(NSi.TS[[#This Row],[TJ.8]]=4,69,IF(NSi.TS[[#This Row],[TJ.8]]=5,0,"-")))))</f>
        <v>-</v>
      </c>
      <c r="DI20" s="73" t="str">
        <f>IF(NSi.TS[[#This Row],[Ker.8]]=1,100,IF(NSi.TS[[#This Row],[Ker.8]]=2,89,IF(NSi.TS[[#This Row],[Ker.8]]=3,79,IF(NSi.TS[[#This Row],[Ker.8]]=4,69,IF(NSi.TS[[#This Row],[Ker.8]]=5,0,"-")))))</f>
        <v>-</v>
      </c>
      <c r="DJ20" s="73" t="str">
        <f>IF(NSi.TS[[#This Row],[Ped.8]]=1,100,IF(NSi.TS[[#This Row],[Ped.8]]=2,89,IF(NSi.TS[[#This Row],[Ped.8]]=3,79,IF(NSi.TS[[#This Row],[Ped.8]]=4,69,IF(NSi.TS[[#This Row],[Ped.8]]=5,0,"-")))))</f>
        <v>-</v>
      </c>
      <c r="DK20" s="73" t="str">
        <f>IF(NSi.TS[[#This Row],[Pro-A.8]]=1,100,IF(NSi.TS[[#This Row],[Pro-A.8]]=2,89,IF(NSi.TS[[#This Row],[Pro-A.8]]=3,79,IF(NSi.TS[[#This Row],[Pro-A.8]]=4,69,IF(NSi.TS[[#This Row],[Pro-A.8]]=5,0,"-")))))</f>
        <v>-</v>
      </c>
      <c r="DL20" s="74" t="str">
        <f>IF(NSi.TS[[#This Row],[KU.9]]="A",100,IF(NSi.TS[[#This Row],[KU.9]]="B",89,IF(NSi.TS[[#This Row],[KU.9]]="C",79,IF(NSi.TS[[#This Row],[KU.9]]="D",69,IF(NSi.TS[[#This Row],[KU.9]]="E",0,"-")))))</f>
        <v>-</v>
      </c>
      <c r="DM20" s="73" t="str">
        <f>IF(NSi.TS[[#This Row],[TJ.9]]=1,100,IF(NSi.TS[[#This Row],[TJ.9]]=2,89,IF(NSi.TS[[#This Row],[TJ.9]]=3,79,IF(NSi.TS[[#This Row],[TJ.9]]=4,69,IF(NSi.TS[[#This Row],[TJ.9]]=5,0,"-")))))</f>
        <v>-</v>
      </c>
      <c r="DN20" s="73" t="str">
        <f>IF(NSi.TS[[#This Row],[Ker.9]]=1,100,IF(NSi.TS[[#This Row],[Ker.9]]=2,89,IF(NSi.TS[[#This Row],[Ker.9]]=3,79,IF(NSi.TS[[#This Row],[Ker.9]]=4,69,IF(NSi.TS[[#This Row],[Ker.9]]=5,0,"-")))))</f>
        <v>-</v>
      </c>
      <c r="DO20" s="73" t="str">
        <f>IF(NSi.TS[[#This Row],[Ped.9]]=1,100,IF(NSi.TS[[#This Row],[Ped.9]]=2,89,IF(NSi.TS[[#This Row],[Ped.9]]=3,79,IF(NSi.TS[[#This Row],[Ped.9]]=4,69,IF(NSi.TS[[#This Row],[Ped.9]]=5,0,"-")))))</f>
        <v>-</v>
      </c>
      <c r="DP20" s="73" t="str">
        <f>IF(NSi.TS[[#This Row],[Pro-A.9]]=1,100,IF(NSi.TS[[#This Row],[Pro-A.9]]=2,89,IF(NSi.TS[[#This Row],[Pro-A.9]]=3,79,IF(NSi.TS[[#This Row],[Pro-A.9]]=4,69,IF(NSi.TS[[#This Row],[Pro-A.9]]=5,0,"-")))))</f>
        <v>-</v>
      </c>
    </row>
    <row r="21" spans="1:120" ht="50.1" customHeight="1" x14ac:dyDescent="0.3">
      <c r="A21" s="85"/>
      <c r="B21" s="86"/>
      <c r="C21" s="87"/>
      <c r="D21" s="87"/>
      <c r="E21" s="87"/>
      <c r="F21" s="44" t="str">
        <f>IFERROR(ROUND(AVERAGE(CSCR[#This Row]),0),"")</f>
        <v/>
      </c>
      <c r="G21" s="41" t="s">
        <v>102</v>
      </c>
      <c r="H21" s="45" t="s">
        <v>102</v>
      </c>
      <c r="I21" s="45" t="s">
        <v>102</v>
      </c>
      <c r="J21" s="45" t="s">
        <v>102</v>
      </c>
      <c r="K21" s="45" t="s">
        <v>102</v>
      </c>
      <c r="L21" s="41" t="s">
        <v>102</v>
      </c>
      <c r="M21" s="45" t="s">
        <v>102</v>
      </c>
      <c r="N21" s="45" t="s">
        <v>102</v>
      </c>
      <c r="O21" s="45" t="s">
        <v>102</v>
      </c>
      <c r="P21" s="45" t="s">
        <v>102</v>
      </c>
      <c r="Q21" s="41" t="s">
        <v>102</v>
      </c>
      <c r="R21" s="45" t="s">
        <v>102</v>
      </c>
      <c r="S21" s="45" t="s">
        <v>102</v>
      </c>
      <c r="T21" s="45" t="s">
        <v>102</v>
      </c>
      <c r="U21" s="45" t="s">
        <v>102</v>
      </c>
      <c r="V21" s="41" t="s">
        <v>102</v>
      </c>
      <c r="W21" s="45" t="s">
        <v>102</v>
      </c>
      <c r="X21" s="45" t="s">
        <v>102</v>
      </c>
      <c r="Y21" s="45" t="s">
        <v>102</v>
      </c>
      <c r="Z21" s="45" t="s">
        <v>102</v>
      </c>
      <c r="AA21" s="41" t="s">
        <v>102</v>
      </c>
      <c r="AB21" s="45" t="s">
        <v>102</v>
      </c>
      <c r="AC21" s="45" t="s">
        <v>102</v>
      </c>
      <c r="AD21" s="45" t="s">
        <v>102</v>
      </c>
      <c r="AE21" s="45" t="s">
        <v>102</v>
      </c>
      <c r="AF21" s="41" t="s">
        <v>102</v>
      </c>
      <c r="AG21" s="45" t="s">
        <v>102</v>
      </c>
      <c r="AH21" s="45" t="s">
        <v>102</v>
      </c>
      <c r="AI21" s="45" t="s">
        <v>102</v>
      </c>
      <c r="AJ21" s="45" t="s">
        <v>102</v>
      </c>
      <c r="AK21" s="41" t="s">
        <v>102</v>
      </c>
      <c r="AL21" s="45" t="s">
        <v>102</v>
      </c>
      <c r="AM21" s="45" t="s">
        <v>102</v>
      </c>
      <c r="AN21" s="45" t="s">
        <v>102</v>
      </c>
      <c r="AO21" s="45" t="s">
        <v>102</v>
      </c>
      <c r="AP21" s="41" t="s">
        <v>102</v>
      </c>
      <c r="AQ21" s="45" t="s">
        <v>102</v>
      </c>
      <c r="AR21" s="45" t="s">
        <v>102</v>
      </c>
      <c r="AS21" s="45" t="s">
        <v>102</v>
      </c>
      <c r="AT21" s="45" t="s">
        <v>102</v>
      </c>
      <c r="AU21" s="41" t="s">
        <v>102</v>
      </c>
      <c r="AV21" s="45" t="s">
        <v>102</v>
      </c>
      <c r="AW21" s="45" t="s">
        <v>102</v>
      </c>
      <c r="AX21" s="45" t="s">
        <v>102</v>
      </c>
      <c r="AY21" s="45" t="s">
        <v>102</v>
      </c>
      <c r="BA21" s="10" t="str">
        <f>CONCATENATE(NSi.TS[[#This Row],[KU.1]],(IF(A.LoE[[#This Row],[LE.1]]="-","-",IF(A.LoE[[#This Row],[LE.1]]&gt;=90,1,IF(A.LoE[[#This Row],[LE.1]]&gt;=80,2,IF(A.LoE[[#This Row],[LE.1]]&gt;=70,3,IF(A.LoE[[#This Row],[LE.1]]&gt;=1,4,5)))))))</f>
        <v>--</v>
      </c>
      <c r="BB21" s="46" t="str">
        <f>CONCATENATE(NSi.TS[[#This Row],[KU.2]],(IF(A.LoE[[#This Row],[LE.2]]="-","-",IF(A.LoE[[#This Row],[LE.2]]&gt;=90,1,IF(A.LoE[[#This Row],[LE.2]]&gt;=80,2,IF(A.LoE[[#This Row],[LE.2]]&gt;=70,3,IF(A.LoE[[#This Row],[LE.2]]&gt;=1,4,5)))))))</f>
        <v>--</v>
      </c>
      <c r="BC21" s="46" t="str">
        <f>CONCATENATE(NSi.TS[[#This Row],[KU.3]],(IF(A.LoE[[#This Row],[LE.3]]="-","-",IF(A.LoE[[#This Row],[LE.3]]&gt;=90,1,IF(A.LoE[[#This Row],[LE.3]]&gt;=80,2,IF(A.LoE[[#This Row],[LE.3]]&gt;=70,3,IF(A.LoE[[#This Row],[LE.3]]&gt;=1,4,5)))))))</f>
        <v>--</v>
      </c>
      <c r="BD21" s="46" t="str">
        <f>CONCATENATE(NSi.TS[[#This Row],[KU.4]],(IF(A.LoE[[#This Row],[LE.4]]="-","-",IF(A.LoE[[#This Row],[LE.4]]&gt;=90,1,IF(A.LoE[[#This Row],[LE.4]]&gt;=80,2,IF(A.LoE[[#This Row],[LE.4]]&gt;=70,3,IF(A.LoE[[#This Row],[LE.4]]&gt;=1,4,5)))))))</f>
        <v>--</v>
      </c>
      <c r="BE21" s="46" t="str">
        <f>CONCATENATE(NSi.TS[[#This Row],[KU.5]],(IF(A.LoE[[#This Row],[LE.5]]="-","-",IF(A.LoE[[#This Row],[LE.5]]&gt;=90,1,IF(A.LoE[[#This Row],[LE.5]]&gt;=80,2,IF(A.LoE[[#This Row],[LE.5]]&gt;=70,3,IF(A.LoE[[#This Row],[LE.5]]&gt;=1,4,5)))))))</f>
        <v>--</v>
      </c>
      <c r="BF21" s="46" t="str">
        <f>CONCATENATE(NSi.TS[[#This Row],[KU.6]],(IF(A.LoE[[#This Row],[LE.6]]="-","-",IF(A.LoE[[#This Row],[LE.6]]&gt;=90,1,IF(A.LoE[[#This Row],[LE.6]]&gt;=80,2,IF(A.LoE[[#This Row],[LE.6]]&gt;=70,3,IF(A.LoE[[#This Row],[LE.6]]&gt;=1,4,5)))))))</f>
        <v>--</v>
      </c>
      <c r="BG21" s="46" t="str">
        <f>CONCATENATE(NSi.TS[[#This Row],[KU.7]],(IF(A.LoE[[#This Row],[LE.7]]="-","-",IF(A.LoE[[#This Row],[LE.7]]&gt;=90,1,IF(A.LoE[[#This Row],[LE.7]]&gt;=80,2,IF(A.LoE[[#This Row],[LE.7]]&gt;=70,3,IF(A.LoE[[#This Row],[LE.7]]&gt;=1,4,5)))))))</f>
        <v>--</v>
      </c>
      <c r="BH21" s="46" t="str">
        <f>CONCATENATE(NSi.TS[[#This Row],[KU.8]],(IF(A.LoE[[#This Row],[LE.8]]="-","-",IF(A.LoE[[#This Row],[LE.8]]&gt;=90,1,IF(A.LoE[[#This Row],[LE.8]]&gt;=80,2,IF(A.LoE[[#This Row],[LE.8]]&gt;=70,3,IF(A.LoE[[#This Row],[LE.8]]&gt;=1,4,5)))))))</f>
        <v>--</v>
      </c>
      <c r="BI21" s="38" t="str">
        <f>CONCATENATE(NSi.TS[[#This Row],[KU.9]],(IF(A.LoE[[#This Row],[LE.9]]="-","-",IF(A.LoE[[#This Row],[LE.9]]&gt;=90,1,IF(A.LoE[[#This Row],[LE.9]]&gt;=80,2,IF(A.LoE[[#This Row],[LE.9]]&gt;=70,3,IF(A.LoE[[#This Row],[LE.9]]&gt;=1,4,5)))))))</f>
        <v>--</v>
      </c>
      <c r="BK21" s="35" t="str">
        <f>IFERROR(ROUND(AVERAGE(Con.Sk[[#This Row],[TJ.1]:[Pro-A.1]]),0),"-")</f>
        <v>-</v>
      </c>
      <c r="BL21" s="24" t="str">
        <f>IFERROR(ROUND(AVERAGE(Con.Sk[[#This Row],[TJ.2]:[Pro-A.2]]),0),"-")</f>
        <v>-</v>
      </c>
      <c r="BM21" s="24" t="str">
        <f>IFERROR(ROUND(AVERAGE(Con.Sk[[#This Row],[TJ.3]:[Pro-A.3]]),0),"-")</f>
        <v>-</v>
      </c>
      <c r="BN21" s="24" t="str">
        <f>IFERROR(ROUND(AVERAGE(Con.Sk[[#This Row],[TJ.4]:[Pro-A.4]]),0),"-")</f>
        <v>-</v>
      </c>
      <c r="BO21" s="24" t="str">
        <f>IFERROR(ROUND(AVERAGE(Con.Sk[[#This Row],[TJ.5]:[Pro-A.5]]),0),"-")</f>
        <v>-</v>
      </c>
      <c r="BP21" s="24" t="str">
        <f>IFERROR(ROUND(AVERAGE(Con.Sk[[#This Row],[TJ.6]:[Pro-A.6]]),0),"-")</f>
        <v>-</v>
      </c>
      <c r="BQ21" s="24" t="str">
        <f>IFERROR(ROUND(AVERAGE(Con.Sk[[#This Row],[TJ.7]:[Pro-A.7]]),0),"-")</f>
        <v>-</v>
      </c>
      <c r="BR21" s="24" t="str">
        <f>IFERROR(ROUND(AVERAGE(Con.Sk[[#This Row],[TJ.8]:[Pro-A.8]]),0),"-")</f>
        <v>-</v>
      </c>
      <c r="BS21" s="25" t="str">
        <f>IFERROR(ROUND(AVERAGE(Con.Sk[[#This Row],[TJ.9]:[Pro-A.9]]),0),"-")</f>
        <v>-</v>
      </c>
      <c r="BU21" s="47" t="str">
        <f>IFERROR(ROUND(AVERAGE(Con.Sk[[#This Row],[KU.1]],Con.Sk[[#This Row],[KU.2]],Con.Sk[[#This Row],[KU.3]],Con.Sk[[#This Row],[KU.4]],Con.Sk[[#This Row],[KU.5]],Con.Sk[[#This Row],[KU.6]],Con.Sk[[#This Row],[KU.7]],Con.Sk[[#This Row],[KU.8]],Con.Sk[[#This Row],[KU.9]]),0),"")</f>
        <v/>
      </c>
      <c r="BV21" s="48" t="str">
        <f>IFERROR(ROUND(AVERAGE(Con.Sk[[#This Row],[TJ.1]:[Pro-A.1]],Con.Sk[[#This Row],[TJ.2]:[Pro-A.2]],Con.Sk[[#This Row],[TJ.3]:[Pro-A.3]],Con.Sk[[#This Row],[TJ.4]:[Pro-A.4]],Con.Sk[[#This Row],[TJ.5]:[Pro-A.5]],Con.Sk[[#This Row],[TJ.6]:[Pro-A.6]],Con.Sk[[#This Row],[TJ.7]:[Pro-A.7]],Con.Sk[[#This Row],[TJ.8]:[Pro-A.8]],Con.Sk[[#This Row],[TJ.9]:[Pro-A.9]]),0),"")</f>
        <v/>
      </c>
      <c r="BW21" s="3"/>
      <c r="BX21" s="73" t="str">
        <f>IF(NSi.TS[[#This Row],[KU.1]]="A",100,IF(NSi.TS[[#This Row],[KU.1]]="B",89,IF(NSi.TS[[#This Row],[KU.1]]="C",79,IF(NSi.TS[[#This Row],[KU.1]]="D",69,IF(NSi.TS[[#This Row],[KU.1]]="E",0,"-")))))</f>
        <v>-</v>
      </c>
      <c r="BY21" s="73" t="str">
        <f>IF(NSi.TS[[#This Row],[TJ.1]]=1,100,IF(NSi.TS[[#This Row],[TJ.1]]=2,89,IF(NSi.TS[[#This Row],[TJ.1]]=3,79,IF(NSi.TS[[#This Row],[TJ.1]]=4,69,IF(NSi.TS[[#This Row],[TJ.1]]=5,0,"-")))))</f>
        <v>-</v>
      </c>
      <c r="BZ21" s="73" t="str">
        <f>IF(NSi.TS[[#This Row],[Ker.1]]=1,100,IF(NSi.TS[[#This Row],[Ker.1]]=2,89,IF(NSi.TS[[#This Row],[Ker.1]]=3,79,IF(NSi.TS[[#This Row],[Ker.1]]=4,69,IF(NSi.TS[[#This Row],[Ker.1]]=5,0,"-")))))</f>
        <v>-</v>
      </c>
      <c r="CA21" s="73" t="str">
        <f>IF(NSi.TS[[#This Row],[Ped.1]]=1,100,IF(NSi.TS[[#This Row],[Ped.1]]=2,89,IF(NSi.TS[[#This Row],[Ped.1]]=3,79,IF(NSi.TS[[#This Row],[Ped.1]]=4,69,IF(NSi.TS[[#This Row],[Ped.1]]=5,0,"-")))))</f>
        <v>-</v>
      </c>
      <c r="CB21" s="73" t="str">
        <f>IF(NSi.TS[[#This Row],[Pro-A.1]]=1,100,IF(NSi.TS[[#This Row],[Pro-A.1]]=2,89,IF(NSi.TS[[#This Row],[Pro-A.1]]=3,79,IF(NSi.TS[[#This Row],[Pro-A.1]]=4,69,IF(NSi.TS[[#This Row],[Pro-A.1]]=5,0,"-")))))</f>
        <v>-</v>
      </c>
      <c r="CC21" s="73" t="str">
        <f>IF(NSi.TS[[#This Row],[KU.2]]="A",100,IF(NSi.TS[[#This Row],[KU.2]]="B",89,IF(NSi.TS[[#This Row],[KU.2]]="C",79,IF(NSi.TS[[#This Row],[KU.2]]="D",69,IF(NSi.TS[[#This Row],[KU.2]]="E",0,"-")))))</f>
        <v>-</v>
      </c>
      <c r="CD21" s="73" t="str">
        <f>IF(NSi.TS[[#This Row],[TJ.2]]=1,100,IF(NSi.TS[[#This Row],[TJ.2]]=2,89,IF(NSi.TS[[#This Row],[TJ.2]]=3,79,IF(NSi.TS[[#This Row],[TJ.2]]=4,69,IF(NSi.TS[[#This Row],[TJ.2]]=5,0,"-")))))</f>
        <v>-</v>
      </c>
      <c r="CE21" s="73" t="str">
        <f>IF(NSi.TS[[#This Row],[Ker.2]]=1,100,IF(NSi.TS[[#This Row],[Ker.2]]=2,89,IF(NSi.TS[[#This Row],[Ker.2]]=3,79,IF(NSi.TS[[#This Row],[Ker.2]]=4,69,IF(NSi.TS[[#This Row],[Ker.2]]=5,0,"-")))))</f>
        <v>-</v>
      </c>
      <c r="CF21" s="73" t="str">
        <f>IF(NSi.TS[[#This Row],[Ped.2]]=1,100,IF(NSi.TS[[#This Row],[Ped.2]]=2,89,IF(NSi.TS[[#This Row],[Ped.2]]=3,79,IF(NSi.TS[[#This Row],[Ped.2]]=4,69,IF(NSi.TS[[#This Row],[Ped.2]]=5,0,"-")))))</f>
        <v>-</v>
      </c>
      <c r="CG21" s="73" t="str">
        <f>IF(NSi.TS[[#This Row],[Pro-A.2]]=1,100,IF(NSi.TS[[#This Row],[Pro-A.2]]=2,89,IF(NSi.TS[[#This Row],[Pro-A.2]]=3,79,IF(NSi.TS[[#This Row],[Pro-A.2]]=4,69,IF(NSi.TS[[#This Row],[Pro-A.2]]=5,0,"-")))))</f>
        <v>-</v>
      </c>
      <c r="CH21" s="74" t="str">
        <f>IF(NSi.TS[[#This Row],[KU.3]]="A",100,IF(NSi.TS[[#This Row],[KU.3]]="B",89,IF(NSi.TS[[#This Row],[KU.3]]="C",79,IF(NSi.TS[[#This Row],[KU.3]]="D",69,IF(NSi.TS[[#This Row],[KU.3]]="E",0,"-")))))</f>
        <v>-</v>
      </c>
      <c r="CI21" s="73" t="str">
        <f>IF(NSi.TS[[#This Row],[TJ.3]]=1,100,IF(NSi.TS[[#This Row],[TJ.3]]=2,89,IF(NSi.TS[[#This Row],[TJ.3]]=3,79,IF(NSi.TS[[#This Row],[TJ.3]]=4,69,IF(NSi.TS[[#This Row],[TJ.3]]=5,0,"-")))))</f>
        <v>-</v>
      </c>
      <c r="CJ21" s="73" t="str">
        <f>IF(NSi.TS[[#This Row],[Ker.3]]=1,100,IF(NSi.TS[[#This Row],[Ker.3]]=2,89,IF(NSi.TS[[#This Row],[Ker.3]]=3,79,IF(NSi.TS[[#This Row],[Ker.3]]=4,69,IF(NSi.TS[[#This Row],[Ker.3]]=5,0,"-")))))</f>
        <v>-</v>
      </c>
      <c r="CK21" s="73" t="str">
        <f>IF(NSi.TS[[#This Row],[Ped.3]]=1,100,IF(NSi.TS[[#This Row],[Ped.3]]=2,89,IF(NSi.TS[[#This Row],[Ped.3]]=3,79,IF(NSi.TS[[#This Row],[Ped.3]]=4,69,IF(NSi.TS[[#This Row],[Ped.3]]=5,0,"-")))))</f>
        <v>-</v>
      </c>
      <c r="CL21" s="73" t="str">
        <f>IF(NSi.TS[[#This Row],[Pro-A.3]]=1,100,IF(NSi.TS[[#This Row],[Pro-A.3]]=2,89,IF(NSi.TS[[#This Row],[Pro-A.3]]=3,79,IF(NSi.TS[[#This Row],[Pro-A.3]]=4,69,IF(NSi.TS[[#This Row],[Pro-A.3]]=5,0,"-")))))</f>
        <v>-</v>
      </c>
      <c r="CM21" s="74" t="str">
        <f>IF(NSi.TS[[#This Row],[KU.4]]="A",100,IF(NSi.TS[[#This Row],[KU.4]]="B",89,IF(NSi.TS[[#This Row],[KU.4]]="C",79,IF(NSi.TS[[#This Row],[KU.4]]="D",69,IF(NSi.TS[[#This Row],[KU.4]]="E",0,"-")))))</f>
        <v>-</v>
      </c>
      <c r="CN21" s="73" t="str">
        <f>IF(NSi.TS[[#This Row],[TJ.4]]=1,100,IF(NSi.TS[[#This Row],[TJ.4]]=2,89,IF(NSi.TS[[#This Row],[TJ.4]]=3,79,IF(NSi.TS[[#This Row],[TJ.4]]=4,69,IF(NSi.TS[[#This Row],[TJ.4]]=5,0,"-")))))</f>
        <v>-</v>
      </c>
      <c r="CO21" s="73" t="str">
        <f>IF(NSi.TS[[#This Row],[Ker.4]]=1,100,IF(NSi.TS[[#This Row],[Ker.4]]=2,89,IF(NSi.TS[[#This Row],[Ker.4]]=3,79,IF(NSi.TS[[#This Row],[Ker.4]]=4,69,IF(NSi.TS[[#This Row],[Ker.4]]=5,0,"-")))))</f>
        <v>-</v>
      </c>
      <c r="CP21" s="73" t="str">
        <f>IF(NSi.TS[[#This Row],[Ped.4]]=1,100,IF(NSi.TS[[#This Row],[Ped.4]]=2,89,IF(NSi.TS[[#This Row],[Ped.4]]=3,79,IF(NSi.TS[[#This Row],[Ped.4]]=4,69,IF(NSi.TS[[#This Row],[Ped.4]]=5,0,"-")))))</f>
        <v>-</v>
      </c>
      <c r="CQ21" s="73" t="str">
        <f>IF(NSi.TS[[#This Row],[Pro-A.4]]=1,100,IF(NSi.TS[[#This Row],[Pro-A.4]]=2,89,IF(NSi.TS[[#This Row],[Pro-A.4]]=3,79,IF(NSi.TS[[#This Row],[Pro-A.4]]=4,69,IF(NSi.TS[[#This Row],[Pro-A.4]]=5,0,"-")))))</f>
        <v>-</v>
      </c>
      <c r="CR21" s="74" t="str">
        <f>IF(NSi.TS[[#This Row],[KU.5]]="A",100,IF(NSi.TS[[#This Row],[KU.5]]="B",89,IF(NSi.TS[[#This Row],[KU.5]]="C",79,IF(NSi.TS[[#This Row],[KU.5]]="D",69,IF(NSi.TS[[#This Row],[KU.5]]="E",0,"-")))))</f>
        <v>-</v>
      </c>
      <c r="CS21" s="73" t="str">
        <f>IF(NSi.TS[[#This Row],[TJ.5]]=1,100,IF(NSi.TS[[#This Row],[TJ.5]]=2,89,IF(NSi.TS[[#This Row],[TJ.5]]=3,79,IF(NSi.TS[[#This Row],[TJ.5]]=4,69,IF(NSi.TS[[#This Row],[TJ.5]]=5,0,"-")))))</f>
        <v>-</v>
      </c>
      <c r="CT21" s="73" t="str">
        <f>IF(NSi.TS[[#This Row],[Ker.5]]=1,100,IF(NSi.TS[[#This Row],[Ker.5]]=2,89,IF(NSi.TS[[#This Row],[Ker.5]]=3,79,IF(NSi.TS[[#This Row],[Ker.5]]=4,69,IF(NSi.TS[[#This Row],[Ker.5]]=5,0,"-")))))</f>
        <v>-</v>
      </c>
      <c r="CU21" s="73" t="str">
        <f>IF(NSi.TS[[#This Row],[Ped.5]]=1,100,IF(NSi.TS[[#This Row],[Ped.5]]=2,89,IF(NSi.TS[[#This Row],[Ped.5]]=3,79,IF(NSi.TS[[#This Row],[Ped.5]]=4,69,IF(NSi.TS[[#This Row],[Ped.5]]=5,0,"-")))))</f>
        <v>-</v>
      </c>
      <c r="CV21" s="73" t="str">
        <f>IF(NSi.TS[[#This Row],[Pro-A.5]]=1,100,IF(NSi.TS[[#This Row],[Pro-A.5]]=2,89,IF(NSi.TS[[#This Row],[Pro-A.5]]=3,79,IF(NSi.TS[[#This Row],[Pro-A.5]]=4,69,IF(NSi.TS[[#This Row],[Pro-A.5]]=5,0,"-")))))</f>
        <v>-</v>
      </c>
      <c r="CW21" s="74" t="str">
        <f>IF(NSi.TS[[#This Row],[KU.6]]="A",100,IF(NSi.TS[[#This Row],[KU.6]]="B",89,IF(NSi.TS[[#This Row],[KU.6]]="C",79,IF(NSi.TS[[#This Row],[KU.6]]="D",69,IF(NSi.TS[[#This Row],[KU.6]]="E",0,"-")))))</f>
        <v>-</v>
      </c>
      <c r="CX21" s="73" t="str">
        <f>IF(NSi.TS[[#This Row],[TJ.6]]=1,100,IF(NSi.TS[[#This Row],[TJ.6]]=2,89,IF(NSi.TS[[#This Row],[TJ.6]]=3,79,IF(NSi.TS[[#This Row],[TJ.6]]=4,69,IF(NSi.TS[[#This Row],[TJ.6]]=5,0,"-")))))</f>
        <v>-</v>
      </c>
      <c r="CY21" s="73" t="str">
        <f>IF(NSi.TS[[#This Row],[Ker.6]]=1,100,IF(NSi.TS[[#This Row],[Ker.6]]=2,89,IF(NSi.TS[[#This Row],[Ker.6]]=3,79,IF(NSi.TS[[#This Row],[Ker.6]]=4,69,IF(NSi.TS[[#This Row],[Ker.6]]=5,0,"-")))))</f>
        <v>-</v>
      </c>
      <c r="CZ21" s="73" t="str">
        <f>IF(NSi.TS[[#This Row],[Ped.6]]=1,100,IF(NSi.TS[[#This Row],[Ped.6]]=2,89,IF(NSi.TS[[#This Row],[Ped.6]]=3,79,IF(NSi.TS[[#This Row],[Ped.6]]=4,69,IF(NSi.TS[[#This Row],[Ped.6]]=5,0,"-")))))</f>
        <v>-</v>
      </c>
      <c r="DA21" s="73" t="str">
        <f>IF(NSi.TS[[#This Row],[Pro-A.6]]=1,100,IF(NSi.TS[[#This Row],[Pro-A.6]]=2,89,IF(NSi.TS[[#This Row],[Pro-A.6]]=3,79,IF(NSi.TS[[#This Row],[Pro-A.6]]=4,69,IF(NSi.TS[[#This Row],[Pro-A.6]]=5,0,"-")))))</f>
        <v>-</v>
      </c>
      <c r="DB21" s="74" t="str">
        <f>IF(NSi.TS[[#This Row],[KU.7]]="A",100,IF(NSi.TS[[#This Row],[KU.7]]="B",89,IF(NSi.TS[[#This Row],[KU.7]]="C",79,IF(NSi.TS[[#This Row],[KU.7]]="D",69,IF(NSi.TS[[#This Row],[KU.7]]="E",0,"-")))))</f>
        <v>-</v>
      </c>
      <c r="DC21" s="73" t="str">
        <f>IF(NSi.TS[[#This Row],[TJ.7]]=1,100,IF(NSi.TS[[#This Row],[TJ.7]]=2,89,IF(NSi.TS[[#This Row],[TJ.7]]=3,79,IF(NSi.TS[[#This Row],[TJ.7]]=4,69,IF(NSi.TS[[#This Row],[TJ.7]]=5,0,"-")))))</f>
        <v>-</v>
      </c>
      <c r="DD21" s="73" t="str">
        <f>IF(NSi.TS[[#This Row],[Ker.7]]=1,100,IF(NSi.TS[[#This Row],[Ker.7]]=2,89,IF(NSi.TS[[#This Row],[Ker.7]]=3,79,IF(NSi.TS[[#This Row],[Ker.7]]=4,69,IF(NSi.TS[[#This Row],[Ker.7]]=5,0,"-")))))</f>
        <v>-</v>
      </c>
      <c r="DE21" s="73" t="str">
        <f>IF(NSi.TS[[#This Row],[Ped.7]]=1,100,IF(NSi.TS[[#This Row],[Ped.7]]=2,89,IF(NSi.TS[[#This Row],[Ped.7]]=3,79,IF(NSi.TS[[#This Row],[Ped.7]]=4,69,IF(NSi.TS[[#This Row],[Ped.7]]=5,0,"-")))))</f>
        <v>-</v>
      </c>
      <c r="DF21" s="73" t="str">
        <f>IF(NSi.TS[[#This Row],[Pro-A.7]]=1,100,IF(NSi.TS[[#This Row],[Pro-A.7]]=2,89,IF(NSi.TS[[#This Row],[Pro-A.7]]=3,79,IF(NSi.TS[[#This Row],[Pro-A.7]]=4,69,IF(NSi.TS[[#This Row],[Pro-A.7]]=5,0,"-")))))</f>
        <v>-</v>
      </c>
      <c r="DG21" s="74" t="str">
        <f>IF(NSi.TS[[#This Row],[KU.8]]="A",100,IF(NSi.TS[[#This Row],[KU.8]]="B",89,IF(NSi.TS[[#This Row],[KU.8]]="C",79,IF(NSi.TS[[#This Row],[KU.8]]="D",69,IF(NSi.TS[[#This Row],[KU.8]]="E",0,"-")))))</f>
        <v>-</v>
      </c>
      <c r="DH21" s="73" t="str">
        <f>IF(NSi.TS[[#This Row],[TJ.8]]=1,100,IF(NSi.TS[[#This Row],[TJ.8]]=2,89,IF(NSi.TS[[#This Row],[TJ.8]]=3,79,IF(NSi.TS[[#This Row],[TJ.8]]=4,69,IF(NSi.TS[[#This Row],[TJ.8]]=5,0,"-")))))</f>
        <v>-</v>
      </c>
      <c r="DI21" s="73" t="str">
        <f>IF(NSi.TS[[#This Row],[Ker.8]]=1,100,IF(NSi.TS[[#This Row],[Ker.8]]=2,89,IF(NSi.TS[[#This Row],[Ker.8]]=3,79,IF(NSi.TS[[#This Row],[Ker.8]]=4,69,IF(NSi.TS[[#This Row],[Ker.8]]=5,0,"-")))))</f>
        <v>-</v>
      </c>
      <c r="DJ21" s="73" t="str">
        <f>IF(NSi.TS[[#This Row],[Ped.8]]=1,100,IF(NSi.TS[[#This Row],[Ped.8]]=2,89,IF(NSi.TS[[#This Row],[Ped.8]]=3,79,IF(NSi.TS[[#This Row],[Ped.8]]=4,69,IF(NSi.TS[[#This Row],[Ped.8]]=5,0,"-")))))</f>
        <v>-</v>
      </c>
      <c r="DK21" s="73" t="str">
        <f>IF(NSi.TS[[#This Row],[Pro-A.8]]=1,100,IF(NSi.TS[[#This Row],[Pro-A.8]]=2,89,IF(NSi.TS[[#This Row],[Pro-A.8]]=3,79,IF(NSi.TS[[#This Row],[Pro-A.8]]=4,69,IF(NSi.TS[[#This Row],[Pro-A.8]]=5,0,"-")))))</f>
        <v>-</v>
      </c>
      <c r="DL21" s="74" t="str">
        <f>IF(NSi.TS[[#This Row],[KU.9]]="A",100,IF(NSi.TS[[#This Row],[KU.9]]="B",89,IF(NSi.TS[[#This Row],[KU.9]]="C",79,IF(NSi.TS[[#This Row],[KU.9]]="D",69,IF(NSi.TS[[#This Row],[KU.9]]="E",0,"-")))))</f>
        <v>-</v>
      </c>
      <c r="DM21" s="73" t="str">
        <f>IF(NSi.TS[[#This Row],[TJ.9]]=1,100,IF(NSi.TS[[#This Row],[TJ.9]]=2,89,IF(NSi.TS[[#This Row],[TJ.9]]=3,79,IF(NSi.TS[[#This Row],[TJ.9]]=4,69,IF(NSi.TS[[#This Row],[TJ.9]]=5,0,"-")))))</f>
        <v>-</v>
      </c>
      <c r="DN21" s="73" t="str">
        <f>IF(NSi.TS[[#This Row],[Ker.9]]=1,100,IF(NSi.TS[[#This Row],[Ker.9]]=2,89,IF(NSi.TS[[#This Row],[Ker.9]]=3,79,IF(NSi.TS[[#This Row],[Ker.9]]=4,69,IF(NSi.TS[[#This Row],[Ker.9]]=5,0,"-")))))</f>
        <v>-</v>
      </c>
      <c r="DO21" s="73" t="str">
        <f>IF(NSi.TS[[#This Row],[Ped.9]]=1,100,IF(NSi.TS[[#This Row],[Ped.9]]=2,89,IF(NSi.TS[[#This Row],[Ped.9]]=3,79,IF(NSi.TS[[#This Row],[Ped.9]]=4,69,IF(NSi.TS[[#This Row],[Ped.9]]=5,0,"-")))))</f>
        <v>-</v>
      </c>
      <c r="DP21" s="73" t="str">
        <f>IF(NSi.TS[[#This Row],[Pro-A.9]]=1,100,IF(NSi.TS[[#This Row],[Pro-A.9]]=2,89,IF(NSi.TS[[#This Row],[Pro-A.9]]=3,79,IF(NSi.TS[[#This Row],[Pro-A.9]]=4,69,IF(NSi.TS[[#This Row],[Pro-A.9]]=5,0,"-")))))</f>
        <v>-</v>
      </c>
    </row>
    <row r="22" spans="1:120" ht="50.1" customHeight="1" x14ac:dyDescent="0.3">
      <c r="A22" s="85"/>
      <c r="B22" s="86"/>
      <c r="C22" s="87"/>
      <c r="D22" s="87"/>
      <c r="E22" s="87"/>
      <c r="F22" s="44" t="str">
        <f>IFERROR(ROUND(AVERAGE(CSCR[#This Row]),0),"")</f>
        <v/>
      </c>
      <c r="G22" s="41" t="s">
        <v>102</v>
      </c>
      <c r="H22" s="45" t="s">
        <v>102</v>
      </c>
      <c r="I22" s="45" t="s">
        <v>102</v>
      </c>
      <c r="J22" s="45" t="s">
        <v>102</v>
      </c>
      <c r="K22" s="45" t="s">
        <v>102</v>
      </c>
      <c r="L22" s="41" t="s">
        <v>102</v>
      </c>
      <c r="M22" s="45" t="s">
        <v>102</v>
      </c>
      <c r="N22" s="45" t="s">
        <v>102</v>
      </c>
      <c r="O22" s="45" t="s">
        <v>102</v>
      </c>
      <c r="P22" s="45" t="s">
        <v>102</v>
      </c>
      <c r="Q22" s="41" t="s">
        <v>102</v>
      </c>
      <c r="R22" s="45" t="s">
        <v>102</v>
      </c>
      <c r="S22" s="45" t="s">
        <v>102</v>
      </c>
      <c r="T22" s="45" t="s">
        <v>102</v>
      </c>
      <c r="U22" s="45" t="s">
        <v>102</v>
      </c>
      <c r="V22" s="41" t="s">
        <v>102</v>
      </c>
      <c r="W22" s="45" t="s">
        <v>102</v>
      </c>
      <c r="X22" s="45" t="s">
        <v>102</v>
      </c>
      <c r="Y22" s="45" t="s">
        <v>102</v>
      </c>
      <c r="Z22" s="45" t="s">
        <v>102</v>
      </c>
      <c r="AA22" s="41" t="s">
        <v>102</v>
      </c>
      <c r="AB22" s="45" t="s">
        <v>102</v>
      </c>
      <c r="AC22" s="45" t="s">
        <v>102</v>
      </c>
      <c r="AD22" s="45" t="s">
        <v>102</v>
      </c>
      <c r="AE22" s="45" t="s">
        <v>102</v>
      </c>
      <c r="AF22" s="41" t="s">
        <v>102</v>
      </c>
      <c r="AG22" s="45" t="s">
        <v>102</v>
      </c>
      <c r="AH22" s="45" t="s">
        <v>102</v>
      </c>
      <c r="AI22" s="45" t="s">
        <v>102</v>
      </c>
      <c r="AJ22" s="45" t="s">
        <v>102</v>
      </c>
      <c r="AK22" s="41" t="s">
        <v>102</v>
      </c>
      <c r="AL22" s="45" t="s">
        <v>102</v>
      </c>
      <c r="AM22" s="45" t="s">
        <v>102</v>
      </c>
      <c r="AN22" s="45" t="s">
        <v>102</v>
      </c>
      <c r="AO22" s="45" t="s">
        <v>102</v>
      </c>
      <c r="AP22" s="41" t="s">
        <v>102</v>
      </c>
      <c r="AQ22" s="45" t="s">
        <v>102</v>
      </c>
      <c r="AR22" s="45" t="s">
        <v>102</v>
      </c>
      <c r="AS22" s="45" t="s">
        <v>102</v>
      </c>
      <c r="AT22" s="45" t="s">
        <v>102</v>
      </c>
      <c r="AU22" s="41" t="s">
        <v>102</v>
      </c>
      <c r="AV22" s="45" t="s">
        <v>102</v>
      </c>
      <c r="AW22" s="45" t="s">
        <v>102</v>
      </c>
      <c r="AX22" s="45" t="s">
        <v>102</v>
      </c>
      <c r="AY22" s="45" t="s">
        <v>102</v>
      </c>
      <c r="BA22" s="10" t="str">
        <f>CONCATENATE(NSi.TS[[#This Row],[KU.1]],(IF(A.LoE[[#This Row],[LE.1]]="-","-",IF(A.LoE[[#This Row],[LE.1]]&gt;=90,1,IF(A.LoE[[#This Row],[LE.1]]&gt;=80,2,IF(A.LoE[[#This Row],[LE.1]]&gt;=70,3,IF(A.LoE[[#This Row],[LE.1]]&gt;=1,4,5)))))))</f>
        <v>--</v>
      </c>
      <c r="BB22" s="46" t="str">
        <f>CONCATENATE(NSi.TS[[#This Row],[KU.2]],(IF(A.LoE[[#This Row],[LE.2]]="-","-",IF(A.LoE[[#This Row],[LE.2]]&gt;=90,1,IF(A.LoE[[#This Row],[LE.2]]&gt;=80,2,IF(A.LoE[[#This Row],[LE.2]]&gt;=70,3,IF(A.LoE[[#This Row],[LE.2]]&gt;=1,4,5)))))))</f>
        <v>--</v>
      </c>
      <c r="BC22" s="46" t="str">
        <f>CONCATENATE(NSi.TS[[#This Row],[KU.3]],(IF(A.LoE[[#This Row],[LE.3]]="-","-",IF(A.LoE[[#This Row],[LE.3]]&gt;=90,1,IF(A.LoE[[#This Row],[LE.3]]&gt;=80,2,IF(A.LoE[[#This Row],[LE.3]]&gt;=70,3,IF(A.LoE[[#This Row],[LE.3]]&gt;=1,4,5)))))))</f>
        <v>--</v>
      </c>
      <c r="BD22" s="46" t="str">
        <f>CONCATENATE(NSi.TS[[#This Row],[KU.4]],(IF(A.LoE[[#This Row],[LE.4]]="-","-",IF(A.LoE[[#This Row],[LE.4]]&gt;=90,1,IF(A.LoE[[#This Row],[LE.4]]&gt;=80,2,IF(A.LoE[[#This Row],[LE.4]]&gt;=70,3,IF(A.LoE[[#This Row],[LE.4]]&gt;=1,4,5)))))))</f>
        <v>--</v>
      </c>
      <c r="BE22" s="46" t="str">
        <f>CONCATENATE(NSi.TS[[#This Row],[KU.5]],(IF(A.LoE[[#This Row],[LE.5]]="-","-",IF(A.LoE[[#This Row],[LE.5]]&gt;=90,1,IF(A.LoE[[#This Row],[LE.5]]&gt;=80,2,IF(A.LoE[[#This Row],[LE.5]]&gt;=70,3,IF(A.LoE[[#This Row],[LE.5]]&gt;=1,4,5)))))))</f>
        <v>--</v>
      </c>
      <c r="BF22" s="46" t="str">
        <f>CONCATENATE(NSi.TS[[#This Row],[KU.6]],(IF(A.LoE[[#This Row],[LE.6]]="-","-",IF(A.LoE[[#This Row],[LE.6]]&gt;=90,1,IF(A.LoE[[#This Row],[LE.6]]&gt;=80,2,IF(A.LoE[[#This Row],[LE.6]]&gt;=70,3,IF(A.LoE[[#This Row],[LE.6]]&gt;=1,4,5)))))))</f>
        <v>--</v>
      </c>
      <c r="BG22" s="46" t="str">
        <f>CONCATENATE(NSi.TS[[#This Row],[KU.7]],(IF(A.LoE[[#This Row],[LE.7]]="-","-",IF(A.LoE[[#This Row],[LE.7]]&gt;=90,1,IF(A.LoE[[#This Row],[LE.7]]&gt;=80,2,IF(A.LoE[[#This Row],[LE.7]]&gt;=70,3,IF(A.LoE[[#This Row],[LE.7]]&gt;=1,4,5)))))))</f>
        <v>--</v>
      </c>
      <c r="BH22" s="46" t="str">
        <f>CONCATENATE(NSi.TS[[#This Row],[KU.8]],(IF(A.LoE[[#This Row],[LE.8]]="-","-",IF(A.LoE[[#This Row],[LE.8]]&gt;=90,1,IF(A.LoE[[#This Row],[LE.8]]&gt;=80,2,IF(A.LoE[[#This Row],[LE.8]]&gt;=70,3,IF(A.LoE[[#This Row],[LE.8]]&gt;=1,4,5)))))))</f>
        <v>--</v>
      </c>
      <c r="BI22" s="38" t="str">
        <f>CONCATENATE(NSi.TS[[#This Row],[KU.9]],(IF(A.LoE[[#This Row],[LE.9]]="-","-",IF(A.LoE[[#This Row],[LE.9]]&gt;=90,1,IF(A.LoE[[#This Row],[LE.9]]&gt;=80,2,IF(A.LoE[[#This Row],[LE.9]]&gt;=70,3,IF(A.LoE[[#This Row],[LE.9]]&gt;=1,4,5)))))))</f>
        <v>--</v>
      </c>
      <c r="BK22" s="35" t="str">
        <f>IFERROR(ROUND(AVERAGE(Con.Sk[[#This Row],[TJ.1]:[Pro-A.1]]),0),"-")</f>
        <v>-</v>
      </c>
      <c r="BL22" s="24" t="str">
        <f>IFERROR(ROUND(AVERAGE(Con.Sk[[#This Row],[TJ.2]:[Pro-A.2]]),0),"-")</f>
        <v>-</v>
      </c>
      <c r="BM22" s="24" t="str">
        <f>IFERROR(ROUND(AVERAGE(Con.Sk[[#This Row],[TJ.3]:[Pro-A.3]]),0),"-")</f>
        <v>-</v>
      </c>
      <c r="BN22" s="24" t="str">
        <f>IFERROR(ROUND(AVERAGE(Con.Sk[[#This Row],[TJ.4]:[Pro-A.4]]),0),"-")</f>
        <v>-</v>
      </c>
      <c r="BO22" s="24" t="str">
        <f>IFERROR(ROUND(AVERAGE(Con.Sk[[#This Row],[TJ.5]:[Pro-A.5]]),0),"-")</f>
        <v>-</v>
      </c>
      <c r="BP22" s="24" t="str">
        <f>IFERROR(ROUND(AVERAGE(Con.Sk[[#This Row],[TJ.6]:[Pro-A.6]]),0),"-")</f>
        <v>-</v>
      </c>
      <c r="BQ22" s="24" t="str">
        <f>IFERROR(ROUND(AVERAGE(Con.Sk[[#This Row],[TJ.7]:[Pro-A.7]]),0),"-")</f>
        <v>-</v>
      </c>
      <c r="BR22" s="24" t="str">
        <f>IFERROR(ROUND(AVERAGE(Con.Sk[[#This Row],[TJ.8]:[Pro-A.8]]),0),"-")</f>
        <v>-</v>
      </c>
      <c r="BS22" s="25" t="str">
        <f>IFERROR(ROUND(AVERAGE(Con.Sk[[#This Row],[TJ.9]:[Pro-A.9]]),0),"-")</f>
        <v>-</v>
      </c>
      <c r="BU22" s="47" t="str">
        <f>IFERROR(ROUND(AVERAGE(Con.Sk[[#This Row],[KU.1]],Con.Sk[[#This Row],[KU.2]],Con.Sk[[#This Row],[KU.3]],Con.Sk[[#This Row],[KU.4]],Con.Sk[[#This Row],[KU.5]],Con.Sk[[#This Row],[KU.6]],Con.Sk[[#This Row],[KU.7]],Con.Sk[[#This Row],[KU.8]],Con.Sk[[#This Row],[KU.9]]),0),"")</f>
        <v/>
      </c>
      <c r="BV22" s="48" t="str">
        <f>IFERROR(ROUND(AVERAGE(Con.Sk[[#This Row],[TJ.1]:[Pro-A.1]],Con.Sk[[#This Row],[TJ.2]:[Pro-A.2]],Con.Sk[[#This Row],[TJ.3]:[Pro-A.3]],Con.Sk[[#This Row],[TJ.4]:[Pro-A.4]],Con.Sk[[#This Row],[TJ.5]:[Pro-A.5]],Con.Sk[[#This Row],[TJ.6]:[Pro-A.6]],Con.Sk[[#This Row],[TJ.7]:[Pro-A.7]],Con.Sk[[#This Row],[TJ.8]:[Pro-A.8]],Con.Sk[[#This Row],[TJ.9]:[Pro-A.9]]),0),"")</f>
        <v/>
      </c>
      <c r="BW22" s="3"/>
      <c r="BX22" s="73" t="str">
        <f>IF(NSi.TS[[#This Row],[KU.1]]="A",100,IF(NSi.TS[[#This Row],[KU.1]]="B",89,IF(NSi.TS[[#This Row],[KU.1]]="C",79,IF(NSi.TS[[#This Row],[KU.1]]="D",69,IF(NSi.TS[[#This Row],[KU.1]]="E",0,"-")))))</f>
        <v>-</v>
      </c>
      <c r="BY22" s="73" t="str">
        <f>IF(NSi.TS[[#This Row],[TJ.1]]=1,100,IF(NSi.TS[[#This Row],[TJ.1]]=2,89,IF(NSi.TS[[#This Row],[TJ.1]]=3,79,IF(NSi.TS[[#This Row],[TJ.1]]=4,69,IF(NSi.TS[[#This Row],[TJ.1]]=5,0,"-")))))</f>
        <v>-</v>
      </c>
      <c r="BZ22" s="73" t="str">
        <f>IF(NSi.TS[[#This Row],[Ker.1]]=1,100,IF(NSi.TS[[#This Row],[Ker.1]]=2,89,IF(NSi.TS[[#This Row],[Ker.1]]=3,79,IF(NSi.TS[[#This Row],[Ker.1]]=4,69,IF(NSi.TS[[#This Row],[Ker.1]]=5,0,"-")))))</f>
        <v>-</v>
      </c>
      <c r="CA22" s="73" t="str">
        <f>IF(NSi.TS[[#This Row],[Ped.1]]=1,100,IF(NSi.TS[[#This Row],[Ped.1]]=2,89,IF(NSi.TS[[#This Row],[Ped.1]]=3,79,IF(NSi.TS[[#This Row],[Ped.1]]=4,69,IF(NSi.TS[[#This Row],[Ped.1]]=5,0,"-")))))</f>
        <v>-</v>
      </c>
      <c r="CB22" s="73" t="str">
        <f>IF(NSi.TS[[#This Row],[Pro-A.1]]=1,100,IF(NSi.TS[[#This Row],[Pro-A.1]]=2,89,IF(NSi.TS[[#This Row],[Pro-A.1]]=3,79,IF(NSi.TS[[#This Row],[Pro-A.1]]=4,69,IF(NSi.TS[[#This Row],[Pro-A.1]]=5,0,"-")))))</f>
        <v>-</v>
      </c>
      <c r="CC22" s="73" t="str">
        <f>IF(NSi.TS[[#This Row],[KU.2]]="A",100,IF(NSi.TS[[#This Row],[KU.2]]="B",89,IF(NSi.TS[[#This Row],[KU.2]]="C",79,IF(NSi.TS[[#This Row],[KU.2]]="D",69,IF(NSi.TS[[#This Row],[KU.2]]="E",0,"-")))))</f>
        <v>-</v>
      </c>
      <c r="CD22" s="73" t="str">
        <f>IF(NSi.TS[[#This Row],[TJ.2]]=1,100,IF(NSi.TS[[#This Row],[TJ.2]]=2,89,IF(NSi.TS[[#This Row],[TJ.2]]=3,79,IF(NSi.TS[[#This Row],[TJ.2]]=4,69,IF(NSi.TS[[#This Row],[TJ.2]]=5,0,"-")))))</f>
        <v>-</v>
      </c>
      <c r="CE22" s="73" t="str">
        <f>IF(NSi.TS[[#This Row],[Ker.2]]=1,100,IF(NSi.TS[[#This Row],[Ker.2]]=2,89,IF(NSi.TS[[#This Row],[Ker.2]]=3,79,IF(NSi.TS[[#This Row],[Ker.2]]=4,69,IF(NSi.TS[[#This Row],[Ker.2]]=5,0,"-")))))</f>
        <v>-</v>
      </c>
      <c r="CF22" s="73" t="str">
        <f>IF(NSi.TS[[#This Row],[Ped.2]]=1,100,IF(NSi.TS[[#This Row],[Ped.2]]=2,89,IF(NSi.TS[[#This Row],[Ped.2]]=3,79,IF(NSi.TS[[#This Row],[Ped.2]]=4,69,IF(NSi.TS[[#This Row],[Ped.2]]=5,0,"-")))))</f>
        <v>-</v>
      </c>
      <c r="CG22" s="73" t="str">
        <f>IF(NSi.TS[[#This Row],[Pro-A.2]]=1,100,IF(NSi.TS[[#This Row],[Pro-A.2]]=2,89,IF(NSi.TS[[#This Row],[Pro-A.2]]=3,79,IF(NSi.TS[[#This Row],[Pro-A.2]]=4,69,IF(NSi.TS[[#This Row],[Pro-A.2]]=5,0,"-")))))</f>
        <v>-</v>
      </c>
      <c r="CH22" s="74" t="str">
        <f>IF(NSi.TS[[#This Row],[KU.3]]="A",100,IF(NSi.TS[[#This Row],[KU.3]]="B",89,IF(NSi.TS[[#This Row],[KU.3]]="C",79,IF(NSi.TS[[#This Row],[KU.3]]="D",69,IF(NSi.TS[[#This Row],[KU.3]]="E",0,"-")))))</f>
        <v>-</v>
      </c>
      <c r="CI22" s="73" t="str">
        <f>IF(NSi.TS[[#This Row],[TJ.3]]=1,100,IF(NSi.TS[[#This Row],[TJ.3]]=2,89,IF(NSi.TS[[#This Row],[TJ.3]]=3,79,IF(NSi.TS[[#This Row],[TJ.3]]=4,69,IF(NSi.TS[[#This Row],[TJ.3]]=5,0,"-")))))</f>
        <v>-</v>
      </c>
      <c r="CJ22" s="73" t="str">
        <f>IF(NSi.TS[[#This Row],[Ker.3]]=1,100,IF(NSi.TS[[#This Row],[Ker.3]]=2,89,IF(NSi.TS[[#This Row],[Ker.3]]=3,79,IF(NSi.TS[[#This Row],[Ker.3]]=4,69,IF(NSi.TS[[#This Row],[Ker.3]]=5,0,"-")))))</f>
        <v>-</v>
      </c>
      <c r="CK22" s="73" t="str">
        <f>IF(NSi.TS[[#This Row],[Ped.3]]=1,100,IF(NSi.TS[[#This Row],[Ped.3]]=2,89,IF(NSi.TS[[#This Row],[Ped.3]]=3,79,IF(NSi.TS[[#This Row],[Ped.3]]=4,69,IF(NSi.TS[[#This Row],[Ped.3]]=5,0,"-")))))</f>
        <v>-</v>
      </c>
      <c r="CL22" s="73" t="str">
        <f>IF(NSi.TS[[#This Row],[Pro-A.3]]=1,100,IF(NSi.TS[[#This Row],[Pro-A.3]]=2,89,IF(NSi.TS[[#This Row],[Pro-A.3]]=3,79,IF(NSi.TS[[#This Row],[Pro-A.3]]=4,69,IF(NSi.TS[[#This Row],[Pro-A.3]]=5,0,"-")))))</f>
        <v>-</v>
      </c>
      <c r="CM22" s="74" t="str">
        <f>IF(NSi.TS[[#This Row],[KU.4]]="A",100,IF(NSi.TS[[#This Row],[KU.4]]="B",89,IF(NSi.TS[[#This Row],[KU.4]]="C",79,IF(NSi.TS[[#This Row],[KU.4]]="D",69,IF(NSi.TS[[#This Row],[KU.4]]="E",0,"-")))))</f>
        <v>-</v>
      </c>
      <c r="CN22" s="73" t="str">
        <f>IF(NSi.TS[[#This Row],[TJ.4]]=1,100,IF(NSi.TS[[#This Row],[TJ.4]]=2,89,IF(NSi.TS[[#This Row],[TJ.4]]=3,79,IF(NSi.TS[[#This Row],[TJ.4]]=4,69,IF(NSi.TS[[#This Row],[TJ.4]]=5,0,"-")))))</f>
        <v>-</v>
      </c>
      <c r="CO22" s="73" t="str">
        <f>IF(NSi.TS[[#This Row],[Ker.4]]=1,100,IF(NSi.TS[[#This Row],[Ker.4]]=2,89,IF(NSi.TS[[#This Row],[Ker.4]]=3,79,IF(NSi.TS[[#This Row],[Ker.4]]=4,69,IF(NSi.TS[[#This Row],[Ker.4]]=5,0,"-")))))</f>
        <v>-</v>
      </c>
      <c r="CP22" s="73" t="str">
        <f>IF(NSi.TS[[#This Row],[Ped.4]]=1,100,IF(NSi.TS[[#This Row],[Ped.4]]=2,89,IF(NSi.TS[[#This Row],[Ped.4]]=3,79,IF(NSi.TS[[#This Row],[Ped.4]]=4,69,IF(NSi.TS[[#This Row],[Ped.4]]=5,0,"-")))))</f>
        <v>-</v>
      </c>
      <c r="CQ22" s="73" t="str">
        <f>IF(NSi.TS[[#This Row],[Pro-A.4]]=1,100,IF(NSi.TS[[#This Row],[Pro-A.4]]=2,89,IF(NSi.TS[[#This Row],[Pro-A.4]]=3,79,IF(NSi.TS[[#This Row],[Pro-A.4]]=4,69,IF(NSi.TS[[#This Row],[Pro-A.4]]=5,0,"-")))))</f>
        <v>-</v>
      </c>
      <c r="CR22" s="74" t="str">
        <f>IF(NSi.TS[[#This Row],[KU.5]]="A",100,IF(NSi.TS[[#This Row],[KU.5]]="B",89,IF(NSi.TS[[#This Row],[KU.5]]="C",79,IF(NSi.TS[[#This Row],[KU.5]]="D",69,IF(NSi.TS[[#This Row],[KU.5]]="E",0,"-")))))</f>
        <v>-</v>
      </c>
      <c r="CS22" s="73" t="str">
        <f>IF(NSi.TS[[#This Row],[TJ.5]]=1,100,IF(NSi.TS[[#This Row],[TJ.5]]=2,89,IF(NSi.TS[[#This Row],[TJ.5]]=3,79,IF(NSi.TS[[#This Row],[TJ.5]]=4,69,IF(NSi.TS[[#This Row],[TJ.5]]=5,0,"-")))))</f>
        <v>-</v>
      </c>
      <c r="CT22" s="73" t="str">
        <f>IF(NSi.TS[[#This Row],[Ker.5]]=1,100,IF(NSi.TS[[#This Row],[Ker.5]]=2,89,IF(NSi.TS[[#This Row],[Ker.5]]=3,79,IF(NSi.TS[[#This Row],[Ker.5]]=4,69,IF(NSi.TS[[#This Row],[Ker.5]]=5,0,"-")))))</f>
        <v>-</v>
      </c>
      <c r="CU22" s="73" t="str">
        <f>IF(NSi.TS[[#This Row],[Ped.5]]=1,100,IF(NSi.TS[[#This Row],[Ped.5]]=2,89,IF(NSi.TS[[#This Row],[Ped.5]]=3,79,IF(NSi.TS[[#This Row],[Ped.5]]=4,69,IF(NSi.TS[[#This Row],[Ped.5]]=5,0,"-")))))</f>
        <v>-</v>
      </c>
      <c r="CV22" s="73" t="str">
        <f>IF(NSi.TS[[#This Row],[Pro-A.5]]=1,100,IF(NSi.TS[[#This Row],[Pro-A.5]]=2,89,IF(NSi.TS[[#This Row],[Pro-A.5]]=3,79,IF(NSi.TS[[#This Row],[Pro-A.5]]=4,69,IF(NSi.TS[[#This Row],[Pro-A.5]]=5,0,"-")))))</f>
        <v>-</v>
      </c>
      <c r="CW22" s="74" t="str">
        <f>IF(NSi.TS[[#This Row],[KU.6]]="A",100,IF(NSi.TS[[#This Row],[KU.6]]="B",89,IF(NSi.TS[[#This Row],[KU.6]]="C",79,IF(NSi.TS[[#This Row],[KU.6]]="D",69,IF(NSi.TS[[#This Row],[KU.6]]="E",0,"-")))))</f>
        <v>-</v>
      </c>
      <c r="CX22" s="73" t="str">
        <f>IF(NSi.TS[[#This Row],[TJ.6]]=1,100,IF(NSi.TS[[#This Row],[TJ.6]]=2,89,IF(NSi.TS[[#This Row],[TJ.6]]=3,79,IF(NSi.TS[[#This Row],[TJ.6]]=4,69,IF(NSi.TS[[#This Row],[TJ.6]]=5,0,"-")))))</f>
        <v>-</v>
      </c>
      <c r="CY22" s="73" t="str">
        <f>IF(NSi.TS[[#This Row],[Ker.6]]=1,100,IF(NSi.TS[[#This Row],[Ker.6]]=2,89,IF(NSi.TS[[#This Row],[Ker.6]]=3,79,IF(NSi.TS[[#This Row],[Ker.6]]=4,69,IF(NSi.TS[[#This Row],[Ker.6]]=5,0,"-")))))</f>
        <v>-</v>
      </c>
      <c r="CZ22" s="73" t="str">
        <f>IF(NSi.TS[[#This Row],[Ped.6]]=1,100,IF(NSi.TS[[#This Row],[Ped.6]]=2,89,IF(NSi.TS[[#This Row],[Ped.6]]=3,79,IF(NSi.TS[[#This Row],[Ped.6]]=4,69,IF(NSi.TS[[#This Row],[Ped.6]]=5,0,"-")))))</f>
        <v>-</v>
      </c>
      <c r="DA22" s="73" t="str">
        <f>IF(NSi.TS[[#This Row],[Pro-A.6]]=1,100,IF(NSi.TS[[#This Row],[Pro-A.6]]=2,89,IF(NSi.TS[[#This Row],[Pro-A.6]]=3,79,IF(NSi.TS[[#This Row],[Pro-A.6]]=4,69,IF(NSi.TS[[#This Row],[Pro-A.6]]=5,0,"-")))))</f>
        <v>-</v>
      </c>
      <c r="DB22" s="74" t="str">
        <f>IF(NSi.TS[[#This Row],[KU.7]]="A",100,IF(NSi.TS[[#This Row],[KU.7]]="B",89,IF(NSi.TS[[#This Row],[KU.7]]="C",79,IF(NSi.TS[[#This Row],[KU.7]]="D",69,IF(NSi.TS[[#This Row],[KU.7]]="E",0,"-")))))</f>
        <v>-</v>
      </c>
      <c r="DC22" s="73" t="str">
        <f>IF(NSi.TS[[#This Row],[TJ.7]]=1,100,IF(NSi.TS[[#This Row],[TJ.7]]=2,89,IF(NSi.TS[[#This Row],[TJ.7]]=3,79,IF(NSi.TS[[#This Row],[TJ.7]]=4,69,IF(NSi.TS[[#This Row],[TJ.7]]=5,0,"-")))))</f>
        <v>-</v>
      </c>
      <c r="DD22" s="73" t="str">
        <f>IF(NSi.TS[[#This Row],[Ker.7]]=1,100,IF(NSi.TS[[#This Row],[Ker.7]]=2,89,IF(NSi.TS[[#This Row],[Ker.7]]=3,79,IF(NSi.TS[[#This Row],[Ker.7]]=4,69,IF(NSi.TS[[#This Row],[Ker.7]]=5,0,"-")))))</f>
        <v>-</v>
      </c>
      <c r="DE22" s="73" t="str">
        <f>IF(NSi.TS[[#This Row],[Ped.7]]=1,100,IF(NSi.TS[[#This Row],[Ped.7]]=2,89,IF(NSi.TS[[#This Row],[Ped.7]]=3,79,IF(NSi.TS[[#This Row],[Ped.7]]=4,69,IF(NSi.TS[[#This Row],[Ped.7]]=5,0,"-")))))</f>
        <v>-</v>
      </c>
      <c r="DF22" s="73" t="str">
        <f>IF(NSi.TS[[#This Row],[Pro-A.7]]=1,100,IF(NSi.TS[[#This Row],[Pro-A.7]]=2,89,IF(NSi.TS[[#This Row],[Pro-A.7]]=3,79,IF(NSi.TS[[#This Row],[Pro-A.7]]=4,69,IF(NSi.TS[[#This Row],[Pro-A.7]]=5,0,"-")))))</f>
        <v>-</v>
      </c>
      <c r="DG22" s="74" t="str">
        <f>IF(NSi.TS[[#This Row],[KU.8]]="A",100,IF(NSi.TS[[#This Row],[KU.8]]="B",89,IF(NSi.TS[[#This Row],[KU.8]]="C",79,IF(NSi.TS[[#This Row],[KU.8]]="D",69,IF(NSi.TS[[#This Row],[KU.8]]="E",0,"-")))))</f>
        <v>-</v>
      </c>
      <c r="DH22" s="73" t="str">
        <f>IF(NSi.TS[[#This Row],[TJ.8]]=1,100,IF(NSi.TS[[#This Row],[TJ.8]]=2,89,IF(NSi.TS[[#This Row],[TJ.8]]=3,79,IF(NSi.TS[[#This Row],[TJ.8]]=4,69,IF(NSi.TS[[#This Row],[TJ.8]]=5,0,"-")))))</f>
        <v>-</v>
      </c>
      <c r="DI22" s="73" t="str">
        <f>IF(NSi.TS[[#This Row],[Ker.8]]=1,100,IF(NSi.TS[[#This Row],[Ker.8]]=2,89,IF(NSi.TS[[#This Row],[Ker.8]]=3,79,IF(NSi.TS[[#This Row],[Ker.8]]=4,69,IF(NSi.TS[[#This Row],[Ker.8]]=5,0,"-")))))</f>
        <v>-</v>
      </c>
      <c r="DJ22" s="73" t="str">
        <f>IF(NSi.TS[[#This Row],[Ped.8]]=1,100,IF(NSi.TS[[#This Row],[Ped.8]]=2,89,IF(NSi.TS[[#This Row],[Ped.8]]=3,79,IF(NSi.TS[[#This Row],[Ped.8]]=4,69,IF(NSi.TS[[#This Row],[Ped.8]]=5,0,"-")))))</f>
        <v>-</v>
      </c>
      <c r="DK22" s="73" t="str">
        <f>IF(NSi.TS[[#This Row],[Pro-A.8]]=1,100,IF(NSi.TS[[#This Row],[Pro-A.8]]=2,89,IF(NSi.TS[[#This Row],[Pro-A.8]]=3,79,IF(NSi.TS[[#This Row],[Pro-A.8]]=4,69,IF(NSi.TS[[#This Row],[Pro-A.8]]=5,0,"-")))))</f>
        <v>-</v>
      </c>
      <c r="DL22" s="74" t="str">
        <f>IF(NSi.TS[[#This Row],[KU.9]]="A",100,IF(NSi.TS[[#This Row],[KU.9]]="B",89,IF(NSi.TS[[#This Row],[KU.9]]="C",79,IF(NSi.TS[[#This Row],[KU.9]]="D",69,IF(NSi.TS[[#This Row],[KU.9]]="E",0,"-")))))</f>
        <v>-</v>
      </c>
      <c r="DM22" s="73" t="str">
        <f>IF(NSi.TS[[#This Row],[TJ.9]]=1,100,IF(NSi.TS[[#This Row],[TJ.9]]=2,89,IF(NSi.TS[[#This Row],[TJ.9]]=3,79,IF(NSi.TS[[#This Row],[TJ.9]]=4,69,IF(NSi.TS[[#This Row],[TJ.9]]=5,0,"-")))))</f>
        <v>-</v>
      </c>
      <c r="DN22" s="73" t="str">
        <f>IF(NSi.TS[[#This Row],[Ker.9]]=1,100,IF(NSi.TS[[#This Row],[Ker.9]]=2,89,IF(NSi.TS[[#This Row],[Ker.9]]=3,79,IF(NSi.TS[[#This Row],[Ker.9]]=4,69,IF(NSi.TS[[#This Row],[Ker.9]]=5,0,"-")))))</f>
        <v>-</v>
      </c>
      <c r="DO22" s="73" t="str">
        <f>IF(NSi.TS[[#This Row],[Ped.9]]=1,100,IF(NSi.TS[[#This Row],[Ped.9]]=2,89,IF(NSi.TS[[#This Row],[Ped.9]]=3,79,IF(NSi.TS[[#This Row],[Ped.9]]=4,69,IF(NSi.TS[[#This Row],[Ped.9]]=5,0,"-")))))</f>
        <v>-</v>
      </c>
      <c r="DP22" s="73" t="str">
        <f>IF(NSi.TS[[#This Row],[Pro-A.9]]=1,100,IF(NSi.TS[[#This Row],[Pro-A.9]]=2,89,IF(NSi.TS[[#This Row],[Pro-A.9]]=3,79,IF(NSi.TS[[#This Row],[Pro-A.9]]=4,69,IF(NSi.TS[[#This Row],[Pro-A.9]]=5,0,"-")))))</f>
        <v>-</v>
      </c>
    </row>
    <row r="23" spans="1:120" ht="50.1" customHeight="1" x14ac:dyDescent="0.3">
      <c r="A23" s="85"/>
      <c r="B23" s="86"/>
      <c r="C23" s="87"/>
      <c r="D23" s="87"/>
      <c r="E23" s="87"/>
      <c r="F23" s="44" t="str">
        <f>IFERROR(ROUND(AVERAGE(CSCR[#This Row]),0),"")</f>
        <v/>
      </c>
      <c r="G23" s="41" t="s">
        <v>102</v>
      </c>
      <c r="H23" s="45" t="s">
        <v>102</v>
      </c>
      <c r="I23" s="45" t="s">
        <v>102</v>
      </c>
      <c r="J23" s="45" t="s">
        <v>102</v>
      </c>
      <c r="K23" s="45" t="s">
        <v>102</v>
      </c>
      <c r="L23" s="41" t="s">
        <v>102</v>
      </c>
      <c r="M23" s="45" t="s">
        <v>102</v>
      </c>
      <c r="N23" s="45" t="s">
        <v>102</v>
      </c>
      <c r="O23" s="45" t="s">
        <v>102</v>
      </c>
      <c r="P23" s="45" t="s">
        <v>102</v>
      </c>
      <c r="Q23" s="41" t="s">
        <v>102</v>
      </c>
      <c r="R23" s="45" t="s">
        <v>102</v>
      </c>
      <c r="S23" s="45" t="s">
        <v>102</v>
      </c>
      <c r="T23" s="45" t="s">
        <v>102</v>
      </c>
      <c r="U23" s="45" t="s">
        <v>102</v>
      </c>
      <c r="V23" s="41" t="s">
        <v>102</v>
      </c>
      <c r="W23" s="45" t="s">
        <v>102</v>
      </c>
      <c r="X23" s="45" t="s">
        <v>102</v>
      </c>
      <c r="Y23" s="45" t="s">
        <v>102</v>
      </c>
      <c r="Z23" s="45" t="s">
        <v>102</v>
      </c>
      <c r="AA23" s="41" t="s">
        <v>102</v>
      </c>
      <c r="AB23" s="45" t="s">
        <v>102</v>
      </c>
      <c r="AC23" s="45" t="s">
        <v>102</v>
      </c>
      <c r="AD23" s="45" t="s">
        <v>102</v>
      </c>
      <c r="AE23" s="45" t="s">
        <v>102</v>
      </c>
      <c r="AF23" s="41" t="s">
        <v>102</v>
      </c>
      <c r="AG23" s="45" t="s">
        <v>102</v>
      </c>
      <c r="AH23" s="45" t="s">
        <v>102</v>
      </c>
      <c r="AI23" s="45" t="s">
        <v>102</v>
      </c>
      <c r="AJ23" s="45" t="s">
        <v>102</v>
      </c>
      <c r="AK23" s="41" t="s">
        <v>102</v>
      </c>
      <c r="AL23" s="45" t="s">
        <v>102</v>
      </c>
      <c r="AM23" s="45" t="s">
        <v>102</v>
      </c>
      <c r="AN23" s="45" t="s">
        <v>102</v>
      </c>
      <c r="AO23" s="45" t="s">
        <v>102</v>
      </c>
      <c r="AP23" s="41" t="s">
        <v>102</v>
      </c>
      <c r="AQ23" s="45" t="s">
        <v>102</v>
      </c>
      <c r="AR23" s="45" t="s">
        <v>102</v>
      </c>
      <c r="AS23" s="45" t="s">
        <v>102</v>
      </c>
      <c r="AT23" s="45" t="s">
        <v>102</v>
      </c>
      <c r="AU23" s="41" t="s">
        <v>102</v>
      </c>
      <c r="AV23" s="45" t="s">
        <v>102</v>
      </c>
      <c r="AW23" s="45" t="s">
        <v>102</v>
      </c>
      <c r="AX23" s="45" t="s">
        <v>102</v>
      </c>
      <c r="AY23" s="45" t="s">
        <v>102</v>
      </c>
      <c r="BA23" s="10" t="str">
        <f>CONCATENATE(NSi.TS[[#This Row],[KU.1]],(IF(A.LoE[[#This Row],[LE.1]]="-","-",IF(A.LoE[[#This Row],[LE.1]]&gt;=90,1,IF(A.LoE[[#This Row],[LE.1]]&gt;=80,2,IF(A.LoE[[#This Row],[LE.1]]&gt;=70,3,IF(A.LoE[[#This Row],[LE.1]]&gt;=1,4,5)))))))</f>
        <v>--</v>
      </c>
      <c r="BB23" s="46" t="str">
        <f>CONCATENATE(NSi.TS[[#This Row],[KU.2]],(IF(A.LoE[[#This Row],[LE.2]]="-","-",IF(A.LoE[[#This Row],[LE.2]]&gt;=90,1,IF(A.LoE[[#This Row],[LE.2]]&gt;=80,2,IF(A.LoE[[#This Row],[LE.2]]&gt;=70,3,IF(A.LoE[[#This Row],[LE.2]]&gt;=1,4,5)))))))</f>
        <v>--</v>
      </c>
      <c r="BC23" s="46" t="str">
        <f>CONCATENATE(NSi.TS[[#This Row],[KU.3]],(IF(A.LoE[[#This Row],[LE.3]]="-","-",IF(A.LoE[[#This Row],[LE.3]]&gt;=90,1,IF(A.LoE[[#This Row],[LE.3]]&gt;=80,2,IF(A.LoE[[#This Row],[LE.3]]&gt;=70,3,IF(A.LoE[[#This Row],[LE.3]]&gt;=1,4,5)))))))</f>
        <v>--</v>
      </c>
      <c r="BD23" s="46" t="str">
        <f>CONCATENATE(NSi.TS[[#This Row],[KU.4]],(IF(A.LoE[[#This Row],[LE.4]]="-","-",IF(A.LoE[[#This Row],[LE.4]]&gt;=90,1,IF(A.LoE[[#This Row],[LE.4]]&gt;=80,2,IF(A.LoE[[#This Row],[LE.4]]&gt;=70,3,IF(A.LoE[[#This Row],[LE.4]]&gt;=1,4,5)))))))</f>
        <v>--</v>
      </c>
      <c r="BE23" s="46" t="str">
        <f>CONCATENATE(NSi.TS[[#This Row],[KU.5]],(IF(A.LoE[[#This Row],[LE.5]]="-","-",IF(A.LoE[[#This Row],[LE.5]]&gt;=90,1,IF(A.LoE[[#This Row],[LE.5]]&gt;=80,2,IF(A.LoE[[#This Row],[LE.5]]&gt;=70,3,IF(A.LoE[[#This Row],[LE.5]]&gt;=1,4,5)))))))</f>
        <v>--</v>
      </c>
      <c r="BF23" s="46" t="str">
        <f>CONCATENATE(NSi.TS[[#This Row],[KU.6]],(IF(A.LoE[[#This Row],[LE.6]]="-","-",IF(A.LoE[[#This Row],[LE.6]]&gt;=90,1,IF(A.LoE[[#This Row],[LE.6]]&gt;=80,2,IF(A.LoE[[#This Row],[LE.6]]&gt;=70,3,IF(A.LoE[[#This Row],[LE.6]]&gt;=1,4,5)))))))</f>
        <v>--</v>
      </c>
      <c r="BG23" s="46" t="str">
        <f>CONCATENATE(NSi.TS[[#This Row],[KU.7]],(IF(A.LoE[[#This Row],[LE.7]]="-","-",IF(A.LoE[[#This Row],[LE.7]]&gt;=90,1,IF(A.LoE[[#This Row],[LE.7]]&gt;=80,2,IF(A.LoE[[#This Row],[LE.7]]&gt;=70,3,IF(A.LoE[[#This Row],[LE.7]]&gt;=1,4,5)))))))</f>
        <v>--</v>
      </c>
      <c r="BH23" s="46" t="str">
        <f>CONCATENATE(NSi.TS[[#This Row],[KU.8]],(IF(A.LoE[[#This Row],[LE.8]]="-","-",IF(A.LoE[[#This Row],[LE.8]]&gt;=90,1,IF(A.LoE[[#This Row],[LE.8]]&gt;=80,2,IF(A.LoE[[#This Row],[LE.8]]&gt;=70,3,IF(A.LoE[[#This Row],[LE.8]]&gt;=1,4,5)))))))</f>
        <v>--</v>
      </c>
      <c r="BI23" s="38" t="str">
        <f>CONCATENATE(NSi.TS[[#This Row],[KU.9]],(IF(A.LoE[[#This Row],[LE.9]]="-","-",IF(A.LoE[[#This Row],[LE.9]]&gt;=90,1,IF(A.LoE[[#This Row],[LE.9]]&gt;=80,2,IF(A.LoE[[#This Row],[LE.9]]&gt;=70,3,IF(A.LoE[[#This Row],[LE.9]]&gt;=1,4,5)))))))</f>
        <v>--</v>
      </c>
      <c r="BK23" s="35" t="str">
        <f>IFERROR(ROUND(AVERAGE(Con.Sk[[#This Row],[TJ.1]:[Pro-A.1]]),0),"-")</f>
        <v>-</v>
      </c>
      <c r="BL23" s="24" t="str">
        <f>IFERROR(ROUND(AVERAGE(Con.Sk[[#This Row],[TJ.2]:[Pro-A.2]]),0),"-")</f>
        <v>-</v>
      </c>
      <c r="BM23" s="24" t="str">
        <f>IFERROR(ROUND(AVERAGE(Con.Sk[[#This Row],[TJ.3]:[Pro-A.3]]),0),"-")</f>
        <v>-</v>
      </c>
      <c r="BN23" s="24" t="str">
        <f>IFERROR(ROUND(AVERAGE(Con.Sk[[#This Row],[TJ.4]:[Pro-A.4]]),0),"-")</f>
        <v>-</v>
      </c>
      <c r="BO23" s="24" t="str">
        <f>IFERROR(ROUND(AVERAGE(Con.Sk[[#This Row],[TJ.5]:[Pro-A.5]]),0),"-")</f>
        <v>-</v>
      </c>
      <c r="BP23" s="24" t="str">
        <f>IFERROR(ROUND(AVERAGE(Con.Sk[[#This Row],[TJ.6]:[Pro-A.6]]),0),"-")</f>
        <v>-</v>
      </c>
      <c r="BQ23" s="24" t="str">
        <f>IFERROR(ROUND(AVERAGE(Con.Sk[[#This Row],[TJ.7]:[Pro-A.7]]),0),"-")</f>
        <v>-</v>
      </c>
      <c r="BR23" s="24" t="str">
        <f>IFERROR(ROUND(AVERAGE(Con.Sk[[#This Row],[TJ.8]:[Pro-A.8]]),0),"-")</f>
        <v>-</v>
      </c>
      <c r="BS23" s="25" t="str">
        <f>IFERROR(ROUND(AVERAGE(Con.Sk[[#This Row],[TJ.9]:[Pro-A.9]]),0),"-")</f>
        <v>-</v>
      </c>
      <c r="BU23" s="47" t="str">
        <f>IFERROR(ROUND(AVERAGE(Con.Sk[[#This Row],[KU.1]],Con.Sk[[#This Row],[KU.2]],Con.Sk[[#This Row],[KU.3]],Con.Sk[[#This Row],[KU.4]],Con.Sk[[#This Row],[KU.5]],Con.Sk[[#This Row],[KU.6]],Con.Sk[[#This Row],[KU.7]],Con.Sk[[#This Row],[KU.8]],Con.Sk[[#This Row],[KU.9]]),0),"")</f>
        <v/>
      </c>
      <c r="BV23" s="48" t="str">
        <f>IFERROR(ROUND(AVERAGE(Con.Sk[[#This Row],[TJ.1]:[Pro-A.1]],Con.Sk[[#This Row],[TJ.2]:[Pro-A.2]],Con.Sk[[#This Row],[TJ.3]:[Pro-A.3]],Con.Sk[[#This Row],[TJ.4]:[Pro-A.4]],Con.Sk[[#This Row],[TJ.5]:[Pro-A.5]],Con.Sk[[#This Row],[TJ.6]:[Pro-A.6]],Con.Sk[[#This Row],[TJ.7]:[Pro-A.7]],Con.Sk[[#This Row],[TJ.8]:[Pro-A.8]],Con.Sk[[#This Row],[TJ.9]:[Pro-A.9]]),0),"")</f>
        <v/>
      </c>
      <c r="BW23" s="3"/>
      <c r="BX23" s="73" t="str">
        <f>IF(NSi.TS[[#This Row],[KU.1]]="A",100,IF(NSi.TS[[#This Row],[KU.1]]="B",89,IF(NSi.TS[[#This Row],[KU.1]]="C",79,IF(NSi.TS[[#This Row],[KU.1]]="D",69,IF(NSi.TS[[#This Row],[KU.1]]="E",0,"-")))))</f>
        <v>-</v>
      </c>
      <c r="BY23" s="73" t="str">
        <f>IF(NSi.TS[[#This Row],[TJ.1]]=1,100,IF(NSi.TS[[#This Row],[TJ.1]]=2,89,IF(NSi.TS[[#This Row],[TJ.1]]=3,79,IF(NSi.TS[[#This Row],[TJ.1]]=4,69,IF(NSi.TS[[#This Row],[TJ.1]]=5,0,"-")))))</f>
        <v>-</v>
      </c>
      <c r="BZ23" s="73" t="str">
        <f>IF(NSi.TS[[#This Row],[Ker.1]]=1,100,IF(NSi.TS[[#This Row],[Ker.1]]=2,89,IF(NSi.TS[[#This Row],[Ker.1]]=3,79,IF(NSi.TS[[#This Row],[Ker.1]]=4,69,IF(NSi.TS[[#This Row],[Ker.1]]=5,0,"-")))))</f>
        <v>-</v>
      </c>
      <c r="CA23" s="73" t="str">
        <f>IF(NSi.TS[[#This Row],[Ped.1]]=1,100,IF(NSi.TS[[#This Row],[Ped.1]]=2,89,IF(NSi.TS[[#This Row],[Ped.1]]=3,79,IF(NSi.TS[[#This Row],[Ped.1]]=4,69,IF(NSi.TS[[#This Row],[Ped.1]]=5,0,"-")))))</f>
        <v>-</v>
      </c>
      <c r="CB23" s="73" t="str">
        <f>IF(NSi.TS[[#This Row],[Pro-A.1]]=1,100,IF(NSi.TS[[#This Row],[Pro-A.1]]=2,89,IF(NSi.TS[[#This Row],[Pro-A.1]]=3,79,IF(NSi.TS[[#This Row],[Pro-A.1]]=4,69,IF(NSi.TS[[#This Row],[Pro-A.1]]=5,0,"-")))))</f>
        <v>-</v>
      </c>
      <c r="CC23" s="73" t="str">
        <f>IF(NSi.TS[[#This Row],[KU.2]]="A",100,IF(NSi.TS[[#This Row],[KU.2]]="B",89,IF(NSi.TS[[#This Row],[KU.2]]="C",79,IF(NSi.TS[[#This Row],[KU.2]]="D",69,IF(NSi.TS[[#This Row],[KU.2]]="E",0,"-")))))</f>
        <v>-</v>
      </c>
      <c r="CD23" s="73" t="str">
        <f>IF(NSi.TS[[#This Row],[TJ.2]]=1,100,IF(NSi.TS[[#This Row],[TJ.2]]=2,89,IF(NSi.TS[[#This Row],[TJ.2]]=3,79,IF(NSi.TS[[#This Row],[TJ.2]]=4,69,IF(NSi.TS[[#This Row],[TJ.2]]=5,0,"-")))))</f>
        <v>-</v>
      </c>
      <c r="CE23" s="73" t="str">
        <f>IF(NSi.TS[[#This Row],[Ker.2]]=1,100,IF(NSi.TS[[#This Row],[Ker.2]]=2,89,IF(NSi.TS[[#This Row],[Ker.2]]=3,79,IF(NSi.TS[[#This Row],[Ker.2]]=4,69,IF(NSi.TS[[#This Row],[Ker.2]]=5,0,"-")))))</f>
        <v>-</v>
      </c>
      <c r="CF23" s="73" t="str">
        <f>IF(NSi.TS[[#This Row],[Ped.2]]=1,100,IF(NSi.TS[[#This Row],[Ped.2]]=2,89,IF(NSi.TS[[#This Row],[Ped.2]]=3,79,IF(NSi.TS[[#This Row],[Ped.2]]=4,69,IF(NSi.TS[[#This Row],[Ped.2]]=5,0,"-")))))</f>
        <v>-</v>
      </c>
      <c r="CG23" s="73" t="str">
        <f>IF(NSi.TS[[#This Row],[Pro-A.2]]=1,100,IF(NSi.TS[[#This Row],[Pro-A.2]]=2,89,IF(NSi.TS[[#This Row],[Pro-A.2]]=3,79,IF(NSi.TS[[#This Row],[Pro-A.2]]=4,69,IF(NSi.TS[[#This Row],[Pro-A.2]]=5,0,"-")))))</f>
        <v>-</v>
      </c>
      <c r="CH23" s="74" t="str">
        <f>IF(NSi.TS[[#This Row],[KU.3]]="A",100,IF(NSi.TS[[#This Row],[KU.3]]="B",89,IF(NSi.TS[[#This Row],[KU.3]]="C",79,IF(NSi.TS[[#This Row],[KU.3]]="D",69,IF(NSi.TS[[#This Row],[KU.3]]="E",0,"-")))))</f>
        <v>-</v>
      </c>
      <c r="CI23" s="73" t="str">
        <f>IF(NSi.TS[[#This Row],[TJ.3]]=1,100,IF(NSi.TS[[#This Row],[TJ.3]]=2,89,IF(NSi.TS[[#This Row],[TJ.3]]=3,79,IF(NSi.TS[[#This Row],[TJ.3]]=4,69,IF(NSi.TS[[#This Row],[TJ.3]]=5,0,"-")))))</f>
        <v>-</v>
      </c>
      <c r="CJ23" s="73" t="str">
        <f>IF(NSi.TS[[#This Row],[Ker.3]]=1,100,IF(NSi.TS[[#This Row],[Ker.3]]=2,89,IF(NSi.TS[[#This Row],[Ker.3]]=3,79,IF(NSi.TS[[#This Row],[Ker.3]]=4,69,IF(NSi.TS[[#This Row],[Ker.3]]=5,0,"-")))))</f>
        <v>-</v>
      </c>
      <c r="CK23" s="73" t="str">
        <f>IF(NSi.TS[[#This Row],[Ped.3]]=1,100,IF(NSi.TS[[#This Row],[Ped.3]]=2,89,IF(NSi.TS[[#This Row],[Ped.3]]=3,79,IF(NSi.TS[[#This Row],[Ped.3]]=4,69,IF(NSi.TS[[#This Row],[Ped.3]]=5,0,"-")))))</f>
        <v>-</v>
      </c>
      <c r="CL23" s="73" t="str">
        <f>IF(NSi.TS[[#This Row],[Pro-A.3]]=1,100,IF(NSi.TS[[#This Row],[Pro-A.3]]=2,89,IF(NSi.TS[[#This Row],[Pro-A.3]]=3,79,IF(NSi.TS[[#This Row],[Pro-A.3]]=4,69,IF(NSi.TS[[#This Row],[Pro-A.3]]=5,0,"-")))))</f>
        <v>-</v>
      </c>
      <c r="CM23" s="74" t="str">
        <f>IF(NSi.TS[[#This Row],[KU.4]]="A",100,IF(NSi.TS[[#This Row],[KU.4]]="B",89,IF(NSi.TS[[#This Row],[KU.4]]="C",79,IF(NSi.TS[[#This Row],[KU.4]]="D",69,IF(NSi.TS[[#This Row],[KU.4]]="E",0,"-")))))</f>
        <v>-</v>
      </c>
      <c r="CN23" s="73" t="str">
        <f>IF(NSi.TS[[#This Row],[TJ.4]]=1,100,IF(NSi.TS[[#This Row],[TJ.4]]=2,89,IF(NSi.TS[[#This Row],[TJ.4]]=3,79,IF(NSi.TS[[#This Row],[TJ.4]]=4,69,IF(NSi.TS[[#This Row],[TJ.4]]=5,0,"-")))))</f>
        <v>-</v>
      </c>
      <c r="CO23" s="73" t="str">
        <f>IF(NSi.TS[[#This Row],[Ker.4]]=1,100,IF(NSi.TS[[#This Row],[Ker.4]]=2,89,IF(NSi.TS[[#This Row],[Ker.4]]=3,79,IF(NSi.TS[[#This Row],[Ker.4]]=4,69,IF(NSi.TS[[#This Row],[Ker.4]]=5,0,"-")))))</f>
        <v>-</v>
      </c>
      <c r="CP23" s="73" t="str">
        <f>IF(NSi.TS[[#This Row],[Ped.4]]=1,100,IF(NSi.TS[[#This Row],[Ped.4]]=2,89,IF(NSi.TS[[#This Row],[Ped.4]]=3,79,IF(NSi.TS[[#This Row],[Ped.4]]=4,69,IF(NSi.TS[[#This Row],[Ped.4]]=5,0,"-")))))</f>
        <v>-</v>
      </c>
      <c r="CQ23" s="73" t="str">
        <f>IF(NSi.TS[[#This Row],[Pro-A.4]]=1,100,IF(NSi.TS[[#This Row],[Pro-A.4]]=2,89,IF(NSi.TS[[#This Row],[Pro-A.4]]=3,79,IF(NSi.TS[[#This Row],[Pro-A.4]]=4,69,IF(NSi.TS[[#This Row],[Pro-A.4]]=5,0,"-")))))</f>
        <v>-</v>
      </c>
      <c r="CR23" s="74" t="str">
        <f>IF(NSi.TS[[#This Row],[KU.5]]="A",100,IF(NSi.TS[[#This Row],[KU.5]]="B",89,IF(NSi.TS[[#This Row],[KU.5]]="C",79,IF(NSi.TS[[#This Row],[KU.5]]="D",69,IF(NSi.TS[[#This Row],[KU.5]]="E",0,"-")))))</f>
        <v>-</v>
      </c>
      <c r="CS23" s="73" t="str">
        <f>IF(NSi.TS[[#This Row],[TJ.5]]=1,100,IF(NSi.TS[[#This Row],[TJ.5]]=2,89,IF(NSi.TS[[#This Row],[TJ.5]]=3,79,IF(NSi.TS[[#This Row],[TJ.5]]=4,69,IF(NSi.TS[[#This Row],[TJ.5]]=5,0,"-")))))</f>
        <v>-</v>
      </c>
      <c r="CT23" s="73" t="str">
        <f>IF(NSi.TS[[#This Row],[Ker.5]]=1,100,IF(NSi.TS[[#This Row],[Ker.5]]=2,89,IF(NSi.TS[[#This Row],[Ker.5]]=3,79,IF(NSi.TS[[#This Row],[Ker.5]]=4,69,IF(NSi.TS[[#This Row],[Ker.5]]=5,0,"-")))))</f>
        <v>-</v>
      </c>
      <c r="CU23" s="73" t="str">
        <f>IF(NSi.TS[[#This Row],[Ped.5]]=1,100,IF(NSi.TS[[#This Row],[Ped.5]]=2,89,IF(NSi.TS[[#This Row],[Ped.5]]=3,79,IF(NSi.TS[[#This Row],[Ped.5]]=4,69,IF(NSi.TS[[#This Row],[Ped.5]]=5,0,"-")))))</f>
        <v>-</v>
      </c>
      <c r="CV23" s="73" t="str">
        <f>IF(NSi.TS[[#This Row],[Pro-A.5]]=1,100,IF(NSi.TS[[#This Row],[Pro-A.5]]=2,89,IF(NSi.TS[[#This Row],[Pro-A.5]]=3,79,IF(NSi.TS[[#This Row],[Pro-A.5]]=4,69,IF(NSi.TS[[#This Row],[Pro-A.5]]=5,0,"-")))))</f>
        <v>-</v>
      </c>
      <c r="CW23" s="74" t="str">
        <f>IF(NSi.TS[[#This Row],[KU.6]]="A",100,IF(NSi.TS[[#This Row],[KU.6]]="B",89,IF(NSi.TS[[#This Row],[KU.6]]="C",79,IF(NSi.TS[[#This Row],[KU.6]]="D",69,IF(NSi.TS[[#This Row],[KU.6]]="E",0,"-")))))</f>
        <v>-</v>
      </c>
      <c r="CX23" s="73" t="str">
        <f>IF(NSi.TS[[#This Row],[TJ.6]]=1,100,IF(NSi.TS[[#This Row],[TJ.6]]=2,89,IF(NSi.TS[[#This Row],[TJ.6]]=3,79,IF(NSi.TS[[#This Row],[TJ.6]]=4,69,IF(NSi.TS[[#This Row],[TJ.6]]=5,0,"-")))))</f>
        <v>-</v>
      </c>
      <c r="CY23" s="73" t="str">
        <f>IF(NSi.TS[[#This Row],[Ker.6]]=1,100,IF(NSi.TS[[#This Row],[Ker.6]]=2,89,IF(NSi.TS[[#This Row],[Ker.6]]=3,79,IF(NSi.TS[[#This Row],[Ker.6]]=4,69,IF(NSi.TS[[#This Row],[Ker.6]]=5,0,"-")))))</f>
        <v>-</v>
      </c>
      <c r="CZ23" s="73" t="str">
        <f>IF(NSi.TS[[#This Row],[Ped.6]]=1,100,IF(NSi.TS[[#This Row],[Ped.6]]=2,89,IF(NSi.TS[[#This Row],[Ped.6]]=3,79,IF(NSi.TS[[#This Row],[Ped.6]]=4,69,IF(NSi.TS[[#This Row],[Ped.6]]=5,0,"-")))))</f>
        <v>-</v>
      </c>
      <c r="DA23" s="73" t="str">
        <f>IF(NSi.TS[[#This Row],[Pro-A.6]]=1,100,IF(NSi.TS[[#This Row],[Pro-A.6]]=2,89,IF(NSi.TS[[#This Row],[Pro-A.6]]=3,79,IF(NSi.TS[[#This Row],[Pro-A.6]]=4,69,IF(NSi.TS[[#This Row],[Pro-A.6]]=5,0,"-")))))</f>
        <v>-</v>
      </c>
      <c r="DB23" s="74" t="str">
        <f>IF(NSi.TS[[#This Row],[KU.7]]="A",100,IF(NSi.TS[[#This Row],[KU.7]]="B",89,IF(NSi.TS[[#This Row],[KU.7]]="C",79,IF(NSi.TS[[#This Row],[KU.7]]="D",69,IF(NSi.TS[[#This Row],[KU.7]]="E",0,"-")))))</f>
        <v>-</v>
      </c>
      <c r="DC23" s="73" t="str">
        <f>IF(NSi.TS[[#This Row],[TJ.7]]=1,100,IF(NSi.TS[[#This Row],[TJ.7]]=2,89,IF(NSi.TS[[#This Row],[TJ.7]]=3,79,IF(NSi.TS[[#This Row],[TJ.7]]=4,69,IF(NSi.TS[[#This Row],[TJ.7]]=5,0,"-")))))</f>
        <v>-</v>
      </c>
      <c r="DD23" s="73" t="str">
        <f>IF(NSi.TS[[#This Row],[Ker.7]]=1,100,IF(NSi.TS[[#This Row],[Ker.7]]=2,89,IF(NSi.TS[[#This Row],[Ker.7]]=3,79,IF(NSi.TS[[#This Row],[Ker.7]]=4,69,IF(NSi.TS[[#This Row],[Ker.7]]=5,0,"-")))))</f>
        <v>-</v>
      </c>
      <c r="DE23" s="73" t="str">
        <f>IF(NSi.TS[[#This Row],[Ped.7]]=1,100,IF(NSi.TS[[#This Row],[Ped.7]]=2,89,IF(NSi.TS[[#This Row],[Ped.7]]=3,79,IF(NSi.TS[[#This Row],[Ped.7]]=4,69,IF(NSi.TS[[#This Row],[Ped.7]]=5,0,"-")))))</f>
        <v>-</v>
      </c>
      <c r="DF23" s="73" t="str">
        <f>IF(NSi.TS[[#This Row],[Pro-A.7]]=1,100,IF(NSi.TS[[#This Row],[Pro-A.7]]=2,89,IF(NSi.TS[[#This Row],[Pro-A.7]]=3,79,IF(NSi.TS[[#This Row],[Pro-A.7]]=4,69,IF(NSi.TS[[#This Row],[Pro-A.7]]=5,0,"-")))))</f>
        <v>-</v>
      </c>
      <c r="DG23" s="74" t="str">
        <f>IF(NSi.TS[[#This Row],[KU.8]]="A",100,IF(NSi.TS[[#This Row],[KU.8]]="B",89,IF(NSi.TS[[#This Row],[KU.8]]="C",79,IF(NSi.TS[[#This Row],[KU.8]]="D",69,IF(NSi.TS[[#This Row],[KU.8]]="E",0,"-")))))</f>
        <v>-</v>
      </c>
      <c r="DH23" s="73" t="str">
        <f>IF(NSi.TS[[#This Row],[TJ.8]]=1,100,IF(NSi.TS[[#This Row],[TJ.8]]=2,89,IF(NSi.TS[[#This Row],[TJ.8]]=3,79,IF(NSi.TS[[#This Row],[TJ.8]]=4,69,IF(NSi.TS[[#This Row],[TJ.8]]=5,0,"-")))))</f>
        <v>-</v>
      </c>
      <c r="DI23" s="73" t="str">
        <f>IF(NSi.TS[[#This Row],[Ker.8]]=1,100,IF(NSi.TS[[#This Row],[Ker.8]]=2,89,IF(NSi.TS[[#This Row],[Ker.8]]=3,79,IF(NSi.TS[[#This Row],[Ker.8]]=4,69,IF(NSi.TS[[#This Row],[Ker.8]]=5,0,"-")))))</f>
        <v>-</v>
      </c>
      <c r="DJ23" s="73" t="str">
        <f>IF(NSi.TS[[#This Row],[Ped.8]]=1,100,IF(NSi.TS[[#This Row],[Ped.8]]=2,89,IF(NSi.TS[[#This Row],[Ped.8]]=3,79,IF(NSi.TS[[#This Row],[Ped.8]]=4,69,IF(NSi.TS[[#This Row],[Ped.8]]=5,0,"-")))))</f>
        <v>-</v>
      </c>
      <c r="DK23" s="73" t="str">
        <f>IF(NSi.TS[[#This Row],[Pro-A.8]]=1,100,IF(NSi.TS[[#This Row],[Pro-A.8]]=2,89,IF(NSi.TS[[#This Row],[Pro-A.8]]=3,79,IF(NSi.TS[[#This Row],[Pro-A.8]]=4,69,IF(NSi.TS[[#This Row],[Pro-A.8]]=5,0,"-")))))</f>
        <v>-</v>
      </c>
      <c r="DL23" s="74" t="str">
        <f>IF(NSi.TS[[#This Row],[KU.9]]="A",100,IF(NSi.TS[[#This Row],[KU.9]]="B",89,IF(NSi.TS[[#This Row],[KU.9]]="C",79,IF(NSi.TS[[#This Row],[KU.9]]="D",69,IF(NSi.TS[[#This Row],[KU.9]]="E",0,"-")))))</f>
        <v>-</v>
      </c>
      <c r="DM23" s="73" t="str">
        <f>IF(NSi.TS[[#This Row],[TJ.9]]=1,100,IF(NSi.TS[[#This Row],[TJ.9]]=2,89,IF(NSi.TS[[#This Row],[TJ.9]]=3,79,IF(NSi.TS[[#This Row],[TJ.9]]=4,69,IF(NSi.TS[[#This Row],[TJ.9]]=5,0,"-")))))</f>
        <v>-</v>
      </c>
      <c r="DN23" s="73" t="str">
        <f>IF(NSi.TS[[#This Row],[Ker.9]]=1,100,IF(NSi.TS[[#This Row],[Ker.9]]=2,89,IF(NSi.TS[[#This Row],[Ker.9]]=3,79,IF(NSi.TS[[#This Row],[Ker.9]]=4,69,IF(NSi.TS[[#This Row],[Ker.9]]=5,0,"-")))))</f>
        <v>-</v>
      </c>
      <c r="DO23" s="73" t="str">
        <f>IF(NSi.TS[[#This Row],[Ped.9]]=1,100,IF(NSi.TS[[#This Row],[Ped.9]]=2,89,IF(NSi.TS[[#This Row],[Ped.9]]=3,79,IF(NSi.TS[[#This Row],[Ped.9]]=4,69,IF(NSi.TS[[#This Row],[Ped.9]]=5,0,"-")))))</f>
        <v>-</v>
      </c>
      <c r="DP23" s="73" t="str">
        <f>IF(NSi.TS[[#This Row],[Pro-A.9]]=1,100,IF(NSi.TS[[#This Row],[Pro-A.9]]=2,89,IF(NSi.TS[[#This Row],[Pro-A.9]]=3,79,IF(NSi.TS[[#This Row],[Pro-A.9]]=4,69,IF(NSi.TS[[#This Row],[Pro-A.9]]=5,0,"-")))))</f>
        <v>-</v>
      </c>
    </row>
    <row r="24" spans="1:120" ht="50.1" customHeight="1" x14ac:dyDescent="0.3">
      <c r="A24" s="85"/>
      <c r="B24" s="86"/>
      <c r="C24" s="87"/>
      <c r="D24" s="87"/>
      <c r="E24" s="87"/>
      <c r="F24" s="44" t="str">
        <f>IFERROR(ROUND(AVERAGE(CSCR[#This Row]),0),"")</f>
        <v/>
      </c>
      <c r="G24" s="41" t="s">
        <v>102</v>
      </c>
      <c r="H24" s="45" t="s">
        <v>102</v>
      </c>
      <c r="I24" s="45" t="s">
        <v>102</v>
      </c>
      <c r="J24" s="45" t="s">
        <v>102</v>
      </c>
      <c r="K24" s="45" t="s">
        <v>102</v>
      </c>
      <c r="L24" s="41" t="s">
        <v>102</v>
      </c>
      <c r="M24" s="45" t="s">
        <v>102</v>
      </c>
      <c r="N24" s="45" t="s">
        <v>102</v>
      </c>
      <c r="O24" s="45" t="s">
        <v>102</v>
      </c>
      <c r="P24" s="45" t="s">
        <v>102</v>
      </c>
      <c r="Q24" s="41" t="s">
        <v>102</v>
      </c>
      <c r="R24" s="45" t="s">
        <v>102</v>
      </c>
      <c r="S24" s="45" t="s">
        <v>102</v>
      </c>
      <c r="T24" s="45" t="s">
        <v>102</v>
      </c>
      <c r="U24" s="45" t="s">
        <v>102</v>
      </c>
      <c r="V24" s="41" t="s">
        <v>102</v>
      </c>
      <c r="W24" s="45" t="s">
        <v>102</v>
      </c>
      <c r="X24" s="45" t="s">
        <v>102</v>
      </c>
      <c r="Y24" s="45" t="s">
        <v>102</v>
      </c>
      <c r="Z24" s="45" t="s">
        <v>102</v>
      </c>
      <c r="AA24" s="41" t="s">
        <v>102</v>
      </c>
      <c r="AB24" s="45" t="s">
        <v>102</v>
      </c>
      <c r="AC24" s="45" t="s">
        <v>102</v>
      </c>
      <c r="AD24" s="45" t="s">
        <v>102</v>
      </c>
      <c r="AE24" s="45" t="s">
        <v>102</v>
      </c>
      <c r="AF24" s="41" t="s">
        <v>102</v>
      </c>
      <c r="AG24" s="45" t="s">
        <v>102</v>
      </c>
      <c r="AH24" s="45" t="s">
        <v>102</v>
      </c>
      <c r="AI24" s="45" t="s">
        <v>102</v>
      </c>
      <c r="AJ24" s="45" t="s">
        <v>102</v>
      </c>
      <c r="AK24" s="41" t="s">
        <v>102</v>
      </c>
      <c r="AL24" s="45" t="s">
        <v>102</v>
      </c>
      <c r="AM24" s="45" t="s">
        <v>102</v>
      </c>
      <c r="AN24" s="45" t="s">
        <v>102</v>
      </c>
      <c r="AO24" s="45" t="s">
        <v>102</v>
      </c>
      <c r="AP24" s="41" t="s">
        <v>102</v>
      </c>
      <c r="AQ24" s="45" t="s">
        <v>102</v>
      </c>
      <c r="AR24" s="45" t="s">
        <v>102</v>
      </c>
      <c r="AS24" s="45" t="s">
        <v>102</v>
      </c>
      <c r="AT24" s="45" t="s">
        <v>102</v>
      </c>
      <c r="AU24" s="41" t="s">
        <v>102</v>
      </c>
      <c r="AV24" s="45" t="s">
        <v>102</v>
      </c>
      <c r="AW24" s="45" t="s">
        <v>102</v>
      </c>
      <c r="AX24" s="45" t="s">
        <v>102</v>
      </c>
      <c r="AY24" s="45" t="s">
        <v>102</v>
      </c>
      <c r="BA24" s="10" t="str">
        <f>CONCATENATE(NSi.TS[[#This Row],[KU.1]],(IF(A.LoE[[#This Row],[LE.1]]="-","-",IF(A.LoE[[#This Row],[LE.1]]&gt;=90,1,IF(A.LoE[[#This Row],[LE.1]]&gt;=80,2,IF(A.LoE[[#This Row],[LE.1]]&gt;=70,3,IF(A.LoE[[#This Row],[LE.1]]&gt;=1,4,5)))))))</f>
        <v>--</v>
      </c>
      <c r="BB24" s="46" t="str">
        <f>CONCATENATE(NSi.TS[[#This Row],[KU.2]],(IF(A.LoE[[#This Row],[LE.2]]="-","-",IF(A.LoE[[#This Row],[LE.2]]&gt;=90,1,IF(A.LoE[[#This Row],[LE.2]]&gt;=80,2,IF(A.LoE[[#This Row],[LE.2]]&gt;=70,3,IF(A.LoE[[#This Row],[LE.2]]&gt;=1,4,5)))))))</f>
        <v>--</v>
      </c>
      <c r="BC24" s="46" t="str">
        <f>CONCATENATE(NSi.TS[[#This Row],[KU.3]],(IF(A.LoE[[#This Row],[LE.3]]="-","-",IF(A.LoE[[#This Row],[LE.3]]&gt;=90,1,IF(A.LoE[[#This Row],[LE.3]]&gt;=80,2,IF(A.LoE[[#This Row],[LE.3]]&gt;=70,3,IF(A.LoE[[#This Row],[LE.3]]&gt;=1,4,5)))))))</f>
        <v>--</v>
      </c>
      <c r="BD24" s="46" t="str">
        <f>CONCATENATE(NSi.TS[[#This Row],[KU.4]],(IF(A.LoE[[#This Row],[LE.4]]="-","-",IF(A.LoE[[#This Row],[LE.4]]&gt;=90,1,IF(A.LoE[[#This Row],[LE.4]]&gt;=80,2,IF(A.LoE[[#This Row],[LE.4]]&gt;=70,3,IF(A.LoE[[#This Row],[LE.4]]&gt;=1,4,5)))))))</f>
        <v>--</v>
      </c>
      <c r="BE24" s="46" t="str">
        <f>CONCATENATE(NSi.TS[[#This Row],[KU.5]],(IF(A.LoE[[#This Row],[LE.5]]="-","-",IF(A.LoE[[#This Row],[LE.5]]&gt;=90,1,IF(A.LoE[[#This Row],[LE.5]]&gt;=80,2,IF(A.LoE[[#This Row],[LE.5]]&gt;=70,3,IF(A.LoE[[#This Row],[LE.5]]&gt;=1,4,5)))))))</f>
        <v>--</v>
      </c>
      <c r="BF24" s="46" t="str">
        <f>CONCATENATE(NSi.TS[[#This Row],[KU.6]],(IF(A.LoE[[#This Row],[LE.6]]="-","-",IF(A.LoE[[#This Row],[LE.6]]&gt;=90,1,IF(A.LoE[[#This Row],[LE.6]]&gt;=80,2,IF(A.LoE[[#This Row],[LE.6]]&gt;=70,3,IF(A.LoE[[#This Row],[LE.6]]&gt;=1,4,5)))))))</f>
        <v>--</v>
      </c>
      <c r="BG24" s="46" t="str">
        <f>CONCATENATE(NSi.TS[[#This Row],[KU.7]],(IF(A.LoE[[#This Row],[LE.7]]="-","-",IF(A.LoE[[#This Row],[LE.7]]&gt;=90,1,IF(A.LoE[[#This Row],[LE.7]]&gt;=80,2,IF(A.LoE[[#This Row],[LE.7]]&gt;=70,3,IF(A.LoE[[#This Row],[LE.7]]&gt;=1,4,5)))))))</f>
        <v>--</v>
      </c>
      <c r="BH24" s="46" t="str">
        <f>CONCATENATE(NSi.TS[[#This Row],[KU.8]],(IF(A.LoE[[#This Row],[LE.8]]="-","-",IF(A.LoE[[#This Row],[LE.8]]&gt;=90,1,IF(A.LoE[[#This Row],[LE.8]]&gt;=80,2,IF(A.LoE[[#This Row],[LE.8]]&gt;=70,3,IF(A.LoE[[#This Row],[LE.8]]&gt;=1,4,5)))))))</f>
        <v>--</v>
      </c>
      <c r="BI24" s="38" t="str">
        <f>CONCATENATE(NSi.TS[[#This Row],[KU.9]],(IF(A.LoE[[#This Row],[LE.9]]="-","-",IF(A.LoE[[#This Row],[LE.9]]&gt;=90,1,IF(A.LoE[[#This Row],[LE.9]]&gt;=80,2,IF(A.LoE[[#This Row],[LE.9]]&gt;=70,3,IF(A.LoE[[#This Row],[LE.9]]&gt;=1,4,5)))))))</f>
        <v>--</v>
      </c>
      <c r="BK24" s="35" t="str">
        <f>IFERROR(ROUND(AVERAGE(Con.Sk[[#This Row],[TJ.1]:[Pro-A.1]]),0),"-")</f>
        <v>-</v>
      </c>
      <c r="BL24" s="24" t="str">
        <f>IFERROR(ROUND(AVERAGE(Con.Sk[[#This Row],[TJ.2]:[Pro-A.2]]),0),"-")</f>
        <v>-</v>
      </c>
      <c r="BM24" s="24" t="str">
        <f>IFERROR(ROUND(AVERAGE(Con.Sk[[#This Row],[TJ.3]:[Pro-A.3]]),0),"-")</f>
        <v>-</v>
      </c>
      <c r="BN24" s="24" t="str">
        <f>IFERROR(ROUND(AVERAGE(Con.Sk[[#This Row],[TJ.4]:[Pro-A.4]]),0),"-")</f>
        <v>-</v>
      </c>
      <c r="BO24" s="24" t="str">
        <f>IFERROR(ROUND(AVERAGE(Con.Sk[[#This Row],[TJ.5]:[Pro-A.5]]),0),"-")</f>
        <v>-</v>
      </c>
      <c r="BP24" s="24" t="str">
        <f>IFERROR(ROUND(AVERAGE(Con.Sk[[#This Row],[TJ.6]:[Pro-A.6]]),0),"-")</f>
        <v>-</v>
      </c>
      <c r="BQ24" s="24" t="str">
        <f>IFERROR(ROUND(AVERAGE(Con.Sk[[#This Row],[TJ.7]:[Pro-A.7]]),0),"-")</f>
        <v>-</v>
      </c>
      <c r="BR24" s="24" t="str">
        <f>IFERROR(ROUND(AVERAGE(Con.Sk[[#This Row],[TJ.8]:[Pro-A.8]]),0),"-")</f>
        <v>-</v>
      </c>
      <c r="BS24" s="25" t="str">
        <f>IFERROR(ROUND(AVERAGE(Con.Sk[[#This Row],[TJ.9]:[Pro-A.9]]),0),"-")</f>
        <v>-</v>
      </c>
      <c r="BU24" s="47" t="str">
        <f>IFERROR(ROUND(AVERAGE(Con.Sk[[#This Row],[KU.1]],Con.Sk[[#This Row],[KU.2]],Con.Sk[[#This Row],[KU.3]],Con.Sk[[#This Row],[KU.4]],Con.Sk[[#This Row],[KU.5]],Con.Sk[[#This Row],[KU.6]],Con.Sk[[#This Row],[KU.7]],Con.Sk[[#This Row],[KU.8]],Con.Sk[[#This Row],[KU.9]]),0),"")</f>
        <v/>
      </c>
      <c r="BV24" s="48" t="str">
        <f>IFERROR(ROUND(AVERAGE(Con.Sk[[#This Row],[TJ.1]:[Pro-A.1]],Con.Sk[[#This Row],[TJ.2]:[Pro-A.2]],Con.Sk[[#This Row],[TJ.3]:[Pro-A.3]],Con.Sk[[#This Row],[TJ.4]:[Pro-A.4]],Con.Sk[[#This Row],[TJ.5]:[Pro-A.5]],Con.Sk[[#This Row],[TJ.6]:[Pro-A.6]],Con.Sk[[#This Row],[TJ.7]:[Pro-A.7]],Con.Sk[[#This Row],[TJ.8]:[Pro-A.8]],Con.Sk[[#This Row],[TJ.9]:[Pro-A.9]]),0),"")</f>
        <v/>
      </c>
      <c r="BW24" s="3"/>
      <c r="BX24" s="73" t="str">
        <f>IF(NSi.TS[[#This Row],[KU.1]]="A",100,IF(NSi.TS[[#This Row],[KU.1]]="B",89,IF(NSi.TS[[#This Row],[KU.1]]="C",79,IF(NSi.TS[[#This Row],[KU.1]]="D",69,IF(NSi.TS[[#This Row],[KU.1]]="E",0,"-")))))</f>
        <v>-</v>
      </c>
      <c r="BY24" s="73" t="str">
        <f>IF(NSi.TS[[#This Row],[TJ.1]]=1,100,IF(NSi.TS[[#This Row],[TJ.1]]=2,89,IF(NSi.TS[[#This Row],[TJ.1]]=3,79,IF(NSi.TS[[#This Row],[TJ.1]]=4,69,IF(NSi.TS[[#This Row],[TJ.1]]=5,0,"-")))))</f>
        <v>-</v>
      </c>
      <c r="BZ24" s="73" t="str">
        <f>IF(NSi.TS[[#This Row],[Ker.1]]=1,100,IF(NSi.TS[[#This Row],[Ker.1]]=2,89,IF(NSi.TS[[#This Row],[Ker.1]]=3,79,IF(NSi.TS[[#This Row],[Ker.1]]=4,69,IF(NSi.TS[[#This Row],[Ker.1]]=5,0,"-")))))</f>
        <v>-</v>
      </c>
      <c r="CA24" s="73" t="str">
        <f>IF(NSi.TS[[#This Row],[Ped.1]]=1,100,IF(NSi.TS[[#This Row],[Ped.1]]=2,89,IF(NSi.TS[[#This Row],[Ped.1]]=3,79,IF(NSi.TS[[#This Row],[Ped.1]]=4,69,IF(NSi.TS[[#This Row],[Ped.1]]=5,0,"-")))))</f>
        <v>-</v>
      </c>
      <c r="CB24" s="73" t="str">
        <f>IF(NSi.TS[[#This Row],[Pro-A.1]]=1,100,IF(NSi.TS[[#This Row],[Pro-A.1]]=2,89,IF(NSi.TS[[#This Row],[Pro-A.1]]=3,79,IF(NSi.TS[[#This Row],[Pro-A.1]]=4,69,IF(NSi.TS[[#This Row],[Pro-A.1]]=5,0,"-")))))</f>
        <v>-</v>
      </c>
      <c r="CC24" s="73" t="str">
        <f>IF(NSi.TS[[#This Row],[KU.2]]="A",100,IF(NSi.TS[[#This Row],[KU.2]]="B",89,IF(NSi.TS[[#This Row],[KU.2]]="C",79,IF(NSi.TS[[#This Row],[KU.2]]="D",69,IF(NSi.TS[[#This Row],[KU.2]]="E",0,"-")))))</f>
        <v>-</v>
      </c>
      <c r="CD24" s="73" t="str">
        <f>IF(NSi.TS[[#This Row],[TJ.2]]=1,100,IF(NSi.TS[[#This Row],[TJ.2]]=2,89,IF(NSi.TS[[#This Row],[TJ.2]]=3,79,IF(NSi.TS[[#This Row],[TJ.2]]=4,69,IF(NSi.TS[[#This Row],[TJ.2]]=5,0,"-")))))</f>
        <v>-</v>
      </c>
      <c r="CE24" s="73" t="str">
        <f>IF(NSi.TS[[#This Row],[Ker.2]]=1,100,IF(NSi.TS[[#This Row],[Ker.2]]=2,89,IF(NSi.TS[[#This Row],[Ker.2]]=3,79,IF(NSi.TS[[#This Row],[Ker.2]]=4,69,IF(NSi.TS[[#This Row],[Ker.2]]=5,0,"-")))))</f>
        <v>-</v>
      </c>
      <c r="CF24" s="73" t="str">
        <f>IF(NSi.TS[[#This Row],[Ped.2]]=1,100,IF(NSi.TS[[#This Row],[Ped.2]]=2,89,IF(NSi.TS[[#This Row],[Ped.2]]=3,79,IF(NSi.TS[[#This Row],[Ped.2]]=4,69,IF(NSi.TS[[#This Row],[Ped.2]]=5,0,"-")))))</f>
        <v>-</v>
      </c>
      <c r="CG24" s="73" t="str">
        <f>IF(NSi.TS[[#This Row],[Pro-A.2]]=1,100,IF(NSi.TS[[#This Row],[Pro-A.2]]=2,89,IF(NSi.TS[[#This Row],[Pro-A.2]]=3,79,IF(NSi.TS[[#This Row],[Pro-A.2]]=4,69,IF(NSi.TS[[#This Row],[Pro-A.2]]=5,0,"-")))))</f>
        <v>-</v>
      </c>
      <c r="CH24" s="74" t="str">
        <f>IF(NSi.TS[[#This Row],[KU.3]]="A",100,IF(NSi.TS[[#This Row],[KU.3]]="B",89,IF(NSi.TS[[#This Row],[KU.3]]="C",79,IF(NSi.TS[[#This Row],[KU.3]]="D",69,IF(NSi.TS[[#This Row],[KU.3]]="E",0,"-")))))</f>
        <v>-</v>
      </c>
      <c r="CI24" s="73" t="str">
        <f>IF(NSi.TS[[#This Row],[TJ.3]]=1,100,IF(NSi.TS[[#This Row],[TJ.3]]=2,89,IF(NSi.TS[[#This Row],[TJ.3]]=3,79,IF(NSi.TS[[#This Row],[TJ.3]]=4,69,IF(NSi.TS[[#This Row],[TJ.3]]=5,0,"-")))))</f>
        <v>-</v>
      </c>
      <c r="CJ24" s="73" t="str">
        <f>IF(NSi.TS[[#This Row],[Ker.3]]=1,100,IF(NSi.TS[[#This Row],[Ker.3]]=2,89,IF(NSi.TS[[#This Row],[Ker.3]]=3,79,IF(NSi.TS[[#This Row],[Ker.3]]=4,69,IF(NSi.TS[[#This Row],[Ker.3]]=5,0,"-")))))</f>
        <v>-</v>
      </c>
      <c r="CK24" s="73" t="str">
        <f>IF(NSi.TS[[#This Row],[Ped.3]]=1,100,IF(NSi.TS[[#This Row],[Ped.3]]=2,89,IF(NSi.TS[[#This Row],[Ped.3]]=3,79,IF(NSi.TS[[#This Row],[Ped.3]]=4,69,IF(NSi.TS[[#This Row],[Ped.3]]=5,0,"-")))))</f>
        <v>-</v>
      </c>
      <c r="CL24" s="73" t="str">
        <f>IF(NSi.TS[[#This Row],[Pro-A.3]]=1,100,IF(NSi.TS[[#This Row],[Pro-A.3]]=2,89,IF(NSi.TS[[#This Row],[Pro-A.3]]=3,79,IF(NSi.TS[[#This Row],[Pro-A.3]]=4,69,IF(NSi.TS[[#This Row],[Pro-A.3]]=5,0,"-")))))</f>
        <v>-</v>
      </c>
      <c r="CM24" s="74" t="str">
        <f>IF(NSi.TS[[#This Row],[KU.4]]="A",100,IF(NSi.TS[[#This Row],[KU.4]]="B",89,IF(NSi.TS[[#This Row],[KU.4]]="C",79,IF(NSi.TS[[#This Row],[KU.4]]="D",69,IF(NSi.TS[[#This Row],[KU.4]]="E",0,"-")))))</f>
        <v>-</v>
      </c>
      <c r="CN24" s="73" t="str">
        <f>IF(NSi.TS[[#This Row],[TJ.4]]=1,100,IF(NSi.TS[[#This Row],[TJ.4]]=2,89,IF(NSi.TS[[#This Row],[TJ.4]]=3,79,IF(NSi.TS[[#This Row],[TJ.4]]=4,69,IF(NSi.TS[[#This Row],[TJ.4]]=5,0,"-")))))</f>
        <v>-</v>
      </c>
      <c r="CO24" s="73" t="str">
        <f>IF(NSi.TS[[#This Row],[Ker.4]]=1,100,IF(NSi.TS[[#This Row],[Ker.4]]=2,89,IF(NSi.TS[[#This Row],[Ker.4]]=3,79,IF(NSi.TS[[#This Row],[Ker.4]]=4,69,IF(NSi.TS[[#This Row],[Ker.4]]=5,0,"-")))))</f>
        <v>-</v>
      </c>
      <c r="CP24" s="73" t="str">
        <f>IF(NSi.TS[[#This Row],[Ped.4]]=1,100,IF(NSi.TS[[#This Row],[Ped.4]]=2,89,IF(NSi.TS[[#This Row],[Ped.4]]=3,79,IF(NSi.TS[[#This Row],[Ped.4]]=4,69,IF(NSi.TS[[#This Row],[Ped.4]]=5,0,"-")))))</f>
        <v>-</v>
      </c>
      <c r="CQ24" s="73" t="str">
        <f>IF(NSi.TS[[#This Row],[Pro-A.4]]=1,100,IF(NSi.TS[[#This Row],[Pro-A.4]]=2,89,IF(NSi.TS[[#This Row],[Pro-A.4]]=3,79,IF(NSi.TS[[#This Row],[Pro-A.4]]=4,69,IF(NSi.TS[[#This Row],[Pro-A.4]]=5,0,"-")))))</f>
        <v>-</v>
      </c>
      <c r="CR24" s="74" t="str">
        <f>IF(NSi.TS[[#This Row],[KU.5]]="A",100,IF(NSi.TS[[#This Row],[KU.5]]="B",89,IF(NSi.TS[[#This Row],[KU.5]]="C",79,IF(NSi.TS[[#This Row],[KU.5]]="D",69,IF(NSi.TS[[#This Row],[KU.5]]="E",0,"-")))))</f>
        <v>-</v>
      </c>
      <c r="CS24" s="73" t="str">
        <f>IF(NSi.TS[[#This Row],[TJ.5]]=1,100,IF(NSi.TS[[#This Row],[TJ.5]]=2,89,IF(NSi.TS[[#This Row],[TJ.5]]=3,79,IF(NSi.TS[[#This Row],[TJ.5]]=4,69,IF(NSi.TS[[#This Row],[TJ.5]]=5,0,"-")))))</f>
        <v>-</v>
      </c>
      <c r="CT24" s="73" t="str">
        <f>IF(NSi.TS[[#This Row],[Ker.5]]=1,100,IF(NSi.TS[[#This Row],[Ker.5]]=2,89,IF(NSi.TS[[#This Row],[Ker.5]]=3,79,IF(NSi.TS[[#This Row],[Ker.5]]=4,69,IF(NSi.TS[[#This Row],[Ker.5]]=5,0,"-")))))</f>
        <v>-</v>
      </c>
      <c r="CU24" s="73" t="str">
        <f>IF(NSi.TS[[#This Row],[Ped.5]]=1,100,IF(NSi.TS[[#This Row],[Ped.5]]=2,89,IF(NSi.TS[[#This Row],[Ped.5]]=3,79,IF(NSi.TS[[#This Row],[Ped.5]]=4,69,IF(NSi.TS[[#This Row],[Ped.5]]=5,0,"-")))))</f>
        <v>-</v>
      </c>
      <c r="CV24" s="73" t="str">
        <f>IF(NSi.TS[[#This Row],[Pro-A.5]]=1,100,IF(NSi.TS[[#This Row],[Pro-A.5]]=2,89,IF(NSi.TS[[#This Row],[Pro-A.5]]=3,79,IF(NSi.TS[[#This Row],[Pro-A.5]]=4,69,IF(NSi.TS[[#This Row],[Pro-A.5]]=5,0,"-")))))</f>
        <v>-</v>
      </c>
      <c r="CW24" s="74" t="str">
        <f>IF(NSi.TS[[#This Row],[KU.6]]="A",100,IF(NSi.TS[[#This Row],[KU.6]]="B",89,IF(NSi.TS[[#This Row],[KU.6]]="C",79,IF(NSi.TS[[#This Row],[KU.6]]="D",69,IF(NSi.TS[[#This Row],[KU.6]]="E",0,"-")))))</f>
        <v>-</v>
      </c>
      <c r="CX24" s="73" t="str">
        <f>IF(NSi.TS[[#This Row],[TJ.6]]=1,100,IF(NSi.TS[[#This Row],[TJ.6]]=2,89,IF(NSi.TS[[#This Row],[TJ.6]]=3,79,IF(NSi.TS[[#This Row],[TJ.6]]=4,69,IF(NSi.TS[[#This Row],[TJ.6]]=5,0,"-")))))</f>
        <v>-</v>
      </c>
      <c r="CY24" s="73" t="str">
        <f>IF(NSi.TS[[#This Row],[Ker.6]]=1,100,IF(NSi.TS[[#This Row],[Ker.6]]=2,89,IF(NSi.TS[[#This Row],[Ker.6]]=3,79,IF(NSi.TS[[#This Row],[Ker.6]]=4,69,IF(NSi.TS[[#This Row],[Ker.6]]=5,0,"-")))))</f>
        <v>-</v>
      </c>
      <c r="CZ24" s="73" t="str">
        <f>IF(NSi.TS[[#This Row],[Ped.6]]=1,100,IF(NSi.TS[[#This Row],[Ped.6]]=2,89,IF(NSi.TS[[#This Row],[Ped.6]]=3,79,IF(NSi.TS[[#This Row],[Ped.6]]=4,69,IF(NSi.TS[[#This Row],[Ped.6]]=5,0,"-")))))</f>
        <v>-</v>
      </c>
      <c r="DA24" s="73" t="str">
        <f>IF(NSi.TS[[#This Row],[Pro-A.6]]=1,100,IF(NSi.TS[[#This Row],[Pro-A.6]]=2,89,IF(NSi.TS[[#This Row],[Pro-A.6]]=3,79,IF(NSi.TS[[#This Row],[Pro-A.6]]=4,69,IF(NSi.TS[[#This Row],[Pro-A.6]]=5,0,"-")))))</f>
        <v>-</v>
      </c>
      <c r="DB24" s="74" t="str">
        <f>IF(NSi.TS[[#This Row],[KU.7]]="A",100,IF(NSi.TS[[#This Row],[KU.7]]="B",89,IF(NSi.TS[[#This Row],[KU.7]]="C",79,IF(NSi.TS[[#This Row],[KU.7]]="D",69,IF(NSi.TS[[#This Row],[KU.7]]="E",0,"-")))))</f>
        <v>-</v>
      </c>
      <c r="DC24" s="73" t="str">
        <f>IF(NSi.TS[[#This Row],[TJ.7]]=1,100,IF(NSi.TS[[#This Row],[TJ.7]]=2,89,IF(NSi.TS[[#This Row],[TJ.7]]=3,79,IF(NSi.TS[[#This Row],[TJ.7]]=4,69,IF(NSi.TS[[#This Row],[TJ.7]]=5,0,"-")))))</f>
        <v>-</v>
      </c>
      <c r="DD24" s="73" t="str">
        <f>IF(NSi.TS[[#This Row],[Ker.7]]=1,100,IF(NSi.TS[[#This Row],[Ker.7]]=2,89,IF(NSi.TS[[#This Row],[Ker.7]]=3,79,IF(NSi.TS[[#This Row],[Ker.7]]=4,69,IF(NSi.TS[[#This Row],[Ker.7]]=5,0,"-")))))</f>
        <v>-</v>
      </c>
      <c r="DE24" s="73" t="str">
        <f>IF(NSi.TS[[#This Row],[Ped.7]]=1,100,IF(NSi.TS[[#This Row],[Ped.7]]=2,89,IF(NSi.TS[[#This Row],[Ped.7]]=3,79,IF(NSi.TS[[#This Row],[Ped.7]]=4,69,IF(NSi.TS[[#This Row],[Ped.7]]=5,0,"-")))))</f>
        <v>-</v>
      </c>
      <c r="DF24" s="73" t="str">
        <f>IF(NSi.TS[[#This Row],[Pro-A.7]]=1,100,IF(NSi.TS[[#This Row],[Pro-A.7]]=2,89,IF(NSi.TS[[#This Row],[Pro-A.7]]=3,79,IF(NSi.TS[[#This Row],[Pro-A.7]]=4,69,IF(NSi.TS[[#This Row],[Pro-A.7]]=5,0,"-")))))</f>
        <v>-</v>
      </c>
      <c r="DG24" s="74" t="str">
        <f>IF(NSi.TS[[#This Row],[KU.8]]="A",100,IF(NSi.TS[[#This Row],[KU.8]]="B",89,IF(NSi.TS[[#This Row],[KU.8]]="C",79,IF(NSi.TS[[#This Row],[KU.8]]="D",69,IF(NSi.TS[[#This Row],[KU.8]]="E",0,"-")))))</f>
        <v>-</v>
      </c>
      <c r="DH24" s="73" t="str">
        <f>IF(NSi.TS[[#This Row],[TJ.8]]=1,100,IF(NSi.TS[[#This Row],[TJ.8]]=2,89,IF(NSi.TS[[#This Row],[TJ.8]]=3,79,IF(NSi.TS[[#This Row],[TJ.8]]=4,69,IF(NSi.TS[[#This Row],[TJ.8]]=5,0,"-")))))</f>
        <v>-</v>
      </c>
      <c r="DI24" s="73" t="str">
        <f>IF(NSi.TS[[#This Row],[Ker.8]]=1,100,IF(NSi.TS[[#This Row],[Ker.8]]=2,89,IF(NSi.TS[[#This Row],[Ker.8]]=3,79,IF(NSi.TS[[#This Row],[Ker.8]]=4,69,IF(NSi.TS[[#This Row],[Ker.8]]=5,0,"-")))))</f>
        <v>-</v>
      </c>
      <c r="DJ24" s="73" t="str">
        <f>IF(NSi.TS[[#This Row],[Ped.8]]=1,100,IF(NSi.TS[[#This Row],[Ped.8]]=2,89,IF(NSi.TS[[#This Row],[Ped.8]]=3,79,IF(NSi.TS[[#This Row],[Ped.8]]=4,69,IF(NSi.TS[[#This Row],[Ped.8]]=5,0,"-")))))</f>
        <v>-</v>
      </c>
      <c r="DK24" s="73" t="str">
        <f>IF(NSi.TS[[#This Row],[Pro-A.8]]=1,100,IF(NSi.TS[[#This Row],[Pro-A.8]]=2,89,IF(NSi.TS[[#This Row],[Pro-A.8]]=3,79,IF(NSi.TS[[#This Row],[Pro-A.8]]=4,69,IF(NSi.TS[[#This Row],[Pro-A.8]]=5,0,"-")))))</f>
        <v>-</v>
      </c>
      <c r="DL24" s="74" t="str">
        <f>IF(NSi.TS[[#This Row],[KU.9]]="A",100,IF(NSi.TS[[#This Row],[KU.9]]="B",89,IF(NSi.TS[[#This Row],[KU.9]]="C",79,IF(NSi.TS[[#This Row],[KU.9]]="D",69,IF(NSi.TS[[#This Row],[KU.9]]="E",0,"-")))))</f>
        <v>-</v>
      </c>
      <c r="DM24" s="73" t="str">
        <f>IF(NSi.TS[[#This Row],[TJ.9]]=1,100,IF(NSi.TS[[#This Row],[TJ.9]]=2,89,IF(NSi.TS[[#This Row],[TJ.9]]=3,79,IF(NSi.TS[[#This Row],[TJ.9]]=4,69,IF(NSi.TS[[#This Row],[TJ.9]]=5,0,"-")))))</f>
        <v>-</v>
      </c>
      <c r="DN24" s="73" t="str">
        <f>IF(NSi.TS[[#This Row],[Ker.9]]=1,100,IF(NSi.TS[[#This Row],[Ker.9]]=2,89,IF(NSi.TS[[#This Row],[Ker.9]]=3,79,IF(NSi.TS[[#This Row],[Ker.9]]=4,69,IF(NSi.TS[[#This Row],[Ker.9]]=5,0,"-")))))</f>
        <v>-</v>
      </c>
      <c r="DO24" s="73" t="str">
        <f>IF(NSi.TS[[#This Row],[Ped.9]]=1,100,IF(NSi.TS[[#This Row],[Ped.9]]=2,89,IF(NSi.TS[[#This Row],[Ped.9]]=3,79,IF(NSi.TS[[#This Row],[Ped.9]]=4,69,IF(NSi.TS[[#This Row],[Ped.9]]=5,0,"-")))))</f>
        <v>-</v>
      </c>
      <c r="DP24" s="73" t="str">
        <f>IF(NSi.TS[[#This Row],[Pro-A.9]]=1,100,IF(NSi.TS[[#This Row],[Pro-A.9]]=2,89,IF(NSi.TS[[#This Row],[Pro-A.9]]=3,79,IF(NSi.TS[[#This Row],[Pro-A.9]]=4,69,IF(NSi.TS[[#This Row],[Pro-A.9]]=5,0,"-")))))</f>
        <v>-</v>
      </c>
    </row>
    <row r="25" spans="1:120" ht="50.1" customHeight="1" x14ac:dyDescent="0.3">
      <c r="A25" s="85"/>
      <c r="B25" s="86"/>
      <c r="C25" s="87"/>
      <c r="D25" s="87"/>
      <c r="E25" s="87"/>
      <c r="F25" s="44" t="str">
        <f>IFERROR(ROUND(AVERAGE(CSCR[#This Row]),0),"")</f>
        <v/>
      </c>
      <c r="G25" s="41" t="s">
        <v>102</v>
      </c>
      <c r="H25" s="45" t="s">
        <v>102</v>
      </c>
      <c r="I25" s="45" t="s">
        <v>102</v>
      </c>
      <c r="J25" s="45" t="s">
        <v>102</v>
      </c>
      <c r="K25" s="45" t="s">
        <v>102</v>
      </c>
      <c r="L25" s="41" t="s">
        <v>102</v>
      </c>
      <c r="M25" s="45" t="s">
        <v>102</v>
      </c>
      <c r="N25" s="45" t="s">
        <v>102</v>
      </c>
      <c r="O25" s="45" t="s">
        <v>102</v>
      </c>
      <c r="P25" s="45" t="s">
        <v>102</v>
      </c>
      <c r="Q25" s="41" t="s">
        <v>102</v>
      </c>
      <c r="R25" s="45" t="s">
        <v>102</v>
      </c>
      <c r="S25" s="45" t="s">
        <v>102</v>
      </c>
      <c r="T25" s="45" t="s">
        <v>102</v>
      </c>
      <c r="U25" s="45" t="s">
        <v>102</v>
      </c>
      <c r="V25" s="41" t="s">
        <v>102</v>
      </c>
      <c r="W25" s="45" t="s">
        <v>102</v>
      </c>
      <c r="X25" s="45" t="s">
        <v>102</v>
      </c>
      <c r="Y25" s="45" t="s">
        <v>102</v>
      </c>
      <c r="Z25" s="45" t="s">
        <v>102</v>
      </c>
      <c r="AA25" s="41" t="s">
        <v>102</v>
      </c>
      <c r="AB25" s="45" t="s">
        <v>102</v>
      </c>
      <c r="AC25" s="45" t="s">
        <v>102</v>
      </c>
      <c r="AD25" s="45" t="s">
        <v>102</v>
      </c>
      <c r="AE25" s="45" t="s">
        <v>102</v>
      </c>
      <c r="AF25" s="41" t="s">
        <v>102</v>
      </c>
      <c r="AG25" s="45" t="s">
        <v>102</v>
      </c>
      <c r="AH25" s="45" t="s">
        <v>102</v>
      </c>
      <c r="AI25" s="45" t="s">
        <v>102</v>
      </c>
      <c r="AJ25" s="45" t="s">
        <v>102</v>
      </c>
      <c r="AK25" s="41" t="s">
        <v>102</v>
      </c>
      <c r="AL25" s="45" t="s">
        <v>102</v>
      </c>
      <c r="AM25" s="45" t="s">
        <v>102</v>
      </c>
      <c r="AN25" s="45" t="s">
        <v>102</v>
      </c>
      <c r="AO25" s="45" t="s">
        <v>102</v>
      </c>
      <c r="AP25" s="41" t="s">
        <v>102</v>
      </c>
      <c r="AQ25" s="45" t="s">
        <v>102</v>
      </c>
      <c r="AR25" s="45" t="s">
        <v>102</v>
      </c>
      <c r="AS25" s="45" t="s">
        <v>102</v>
      </c>
      <c r="AT25" s="45" t="s">
        <v>102</v>
      </c>
      <c r="AU25" s="41" t="s">
        <v>102</v>
      </c>
      <c r="AV25" s="45" t="s">
        <v>102</v>
      </c>
      <c r="AW25" s="45" t="s">
        <v>102</v>
      </c>
      <c r="AX25" s="45" t="s">
        <v>102</v>
      </c>
      <c r="AY25" s="45" t="s">
        <v>102</v>
      </c>
      <c r="BA25" s="10" t="str">
        <f>CONCATENATE(NSi.TS[[#This Row],[KU.1]],(IF(A.LoE[[#This Row],[LE.1]]="-","-",IF(A.LoE[[#This Row],[LE.1]]&gt;=90,1,IF(A.LoE[[#This Row],[LE.1]]&gt;=80,2,IF(A.LoE[[#This Row],[LE.1]]&gt;=70,3,IF(A.LoE[[#This Row],[LE.1]]&gt;=1,4,5)))))))</f>
        <v>--</v>
      </c>
      <c r="BB25" s="46" t="str">
        <f>CONCATENATE(NSi.TS[[#This Row],[KU.2]],(IF(A.LoE[[#This Row],[LE.2]]="-","-",IF(A.LoE[[#This Row],[LE.2]]&gt;=90,1,IF(A.LoE[[#This Row],[LE.2]]&gt;=80,2,IF(A.LoE[[#This Row],[LE.2]]&gt;=70,3,IF(A.LoE[[#This Row],[LE.2]]&gt;=1,4,5)))))))</f>
        <v>--</v>
      </c>
      <c r="BC25" s="46" t="str">
        <f>CONCATENATE(NSi.TS[[#This Row],[KU.3]],(IF(A.LoE[[#This Row],[LE.3]]="-","-",IF(A.LoE[[#This Row],[LE.3]]&gt;=90,1,IF(A.LoE[[#This Row],[LE.3]]&gt;=80,2,IF(A.LoE[[#This Row],[LE.3]]&gt;=70,3,IF(A.LoE[[#This Row],[LE.3]]&gt;=1,4,5)))))))</f>
        <v>--</v>
      </c>
      <c r="BD25" s="46" t="str">
        <f>CONCATENATE(NSi.TS[[#This Row],[KU.4]],(IF(A.LoE[[#This Row],[LE.4]]="-","-",IF(A.LoE[[#This Row],[LE.4]]&gt;=90,1,IF(A.LoE[[#This Row],[LE.4]]&gt;=80,2,IF(A.LoE[[#This Row],[LE.4]]&gt;=70,3,IF(A.LoE[[#This Row],[LE.4]]&gt;=1,4,5)))))))</f>
        <v>--</v>
      </c>
      <c r="BE25" s="46" t="str">
        <f>CONCATENATE(NSi.TS[[#This Row],[KU.5]],(IF(A.LoE[[#This Row],[LE.5]]="-","-",IF(A.LoE[[#This Row],[LE.5]]&gt;=90,1,IF(A.LoE[[#This Row],[LE.5]]&gt;=80,2,IF(A.LoE[[#This Row],[LE.5]]&gt;=70,3,IF(A.LoE[[#This Row],[LE.5]]&gt;=1,4,5)))))))</f>
        <v>--</v>
      </c>
      <c r="BF25" s="46" t="str">
        <f>CONCATENATE(NSi.TS[[#This Row],[KU.6]],(IF(A.LoE[[#This Row],[LE.6]]="-","-",IF(A.LoE[[#This Row],[LE.6]]&gt;=90,1,IF(A.LoE[[#This Row],[LE.6]]&gt;=80,2,IF(A.LoE[[#This Row],[LE.6]]&gt;=70,3,IF(A.LoE[[#This Row],[LE.6]]&gt;=1,4,5)))))))</f>
        <v>--</v>
      </c>
      <c r="BG25" s="46" t="str">
        <f>CONCATENATE(NSi.TS[[#This Row],[KU.7]],(IF(A.LoE[[#This Row],[LE.7]]="-","-",IF(A.LoE[[#This Row],[LE.7]]&gt;=90,1,IF(A.LoE[[#This Row],[LE.7]]&gt;=80,2,IF(A.LoE[[#This Row],[LE.7]]&gt;=70,3,IF(A.LoE[[#This Row],[LE.7]]&gt;=1,4,5)))))))</f>
        <v>--</v>
      </c>
      <c r="BH25" s="46" t="str">
        <f>CONCATENATE(NSi.TS[[#This Row],[KU.8]],(IF(A.LoE[[#This Row],[LE.8]]="-","-",IF(A.LoE[[#This Row],[LE.8]]&gt;=90,1,IF(A.LoE[[#This Row],[LE.8]]&gt;=80,2,IF(A.LoE[[#This Row],[LE.8]]&gt;=70,3,IF(A.LoE[[#This Row],[LE.8]]&gt;=1,4,5)))))))</f>
        <v>--</v>
      </c>
      <c r="BI25" s="38" t="str">
        <f>CONCATENATE(NSi.TS[[#This Row],[KU.9]],(IF(A.LoE[[#This Row],[LE.9]]="-","-",IF(A.LoE[[#This Row],[LE.9]]&gt;=90,1,IF(A.LoE[[#This Row],[LE.9]]&gt;=80,2,IF(A.LoE[[#This Row],[LE.9]]&gt;=70,3,IF(A.LoE[[#This Row],[LE.9]]&gt;=1,4,5)))))))</f>
        <v>--</v>
      </c>
      <c r="BK25" s="35" t="str">
        <f>IFERROR(ROUND(AVERAGE(Con.Sk[[#This Row],[TJ.1]:[Pro-A.1]]),0),"-")</f>
        <v>-</v>
      </c>
      <c r="BL25" s="24" t="str">
        <f>IFERROR(ROUND(AVERAGE(Con.Sk[[#This Row],[TJ.2]:[Pro-A.2]]),0),"-")</f>
        <v>-</v>
      </c>
      <c r="BM25" s="24" t="str">
        <f>IFERROR(ROUND(AVERAGE(Con.Sk[[#This Row],[TJ.3]:[Pro-A.3]]),0),"-")</f>
        <v>-</v>
      </c>
      <c r="BN25" s="24" t="str">
        <f>IFERROR(ROUND(AVERAGE(Con.Sk[[#This Row],[TJ.4]:[Pro-A.4]]),0),"-")</f>
        <v>-</v>
      </c>
      <c r="BO25" s="24" t="str">
        <f>IFERROR(ROUND(AVERAGE(Con.Sk[[#This Row],[TJ.5]:[Pro-A.5]]),0),"-")</f>
        <v>-</v>
      </c>
      <c r="BP25" s="24" t="str">
        <f>IFERROR(ROUND(AVERAGE(Con.Sk[[#This Row],[TJ.6]:[Pro-A.6]]),0),"-")</f>
        <v>-</v>
      </c>
      <c r="BQ25" s="24" t="str">
        <f>IFERROR(ROUND(AVERAGE(Con.Sk[[#This Row],[TJ.7]:[Pro-A.7]]),0),"-")</f>
        <v>-</v>
      </c>
      <c r="BR25" s="24" t="str">
        <f>IFERROR(ROUND(AVERAGE(Con.Sk[[#This Row],[TJ.8]:[Pro-A.8]]),0),"-")</f>
        <v>-</v>
      </c>
      <c r="BS25" s="25" t="str">
        <f>IFERROR(ROUND(AVERAGE(Con.Sk[[#This Row],[TJ.9]:[Pro-A.9]]),0),"-")</f>
        <v>-</v>
      </c>
      <c r="BU25" s="47" t="str">
        <f>IFERROR(ROUND(AVERAGE(Con.Sk[[#This Row],[KU.1]],Con.Sk[[#This Row],[KU.2]],Con.Sk[[#This Row],[KU.3]],Con.Sk[[#This Row],[KU.4]],Con.Sk[[#This Row],[KU.5]],Con.Sk[[#This Row],[KU.6]],Con.Sk[[#This Row],[KU.7]],Con.Sk[[#This Row],[KU.8]],Con.Sk[[#This Row],[KU.9]]),0),"")</f>
        <v/>
      </c>
      <c r="BV25" s="48" t="str">
        <f>IFERROR(ROUND(AVERAGE(Con.Sk[[#This Row],[TJ.1]:[Pro-A.1]],Con.Sk[[#This Row],[TJ.2]:[Pro-A.2]],Con.Sk[[#This Row],[TJ.3]:[Pro-A.3]],Con.Sk[[#This Row],[TJ.4]:[Pro-A.4]],Con.Sk[[#This Row],[TJ.5]:[Pro-A.5]],Con.Sk[[#This Row],[TJ.6]:[Pro-A.6]],Con.Sk[[#This Row],[TJ.7]:[Pro-A.7]],Con.Sk[[#This Row],[TJ.8]:[Pro-A.8]],Con.Sk[[#This Row],[TJ.9]:[Pro-A.9]]),0),"")</f>
        <v/>
      </c>
      <c r="BW25" s="3"/>
      <c r="BX25" s="73" t="str">
        <f>IF(NSi.TS[[#This Row],[KU.1]]="A",100,IF(NSi.TS[[#This Row],[KU.1]]="B",89,IF(NSi.TS[[#This Row],[KU.1]]="C",79,IF(NSi.TS[[#This Row],[KU.1]]="D",69,IF(NSi.TS[[#This Row],[KU.1]]="E",0,"-")))))</f>
        <v>-</v>
      </c>
      <c r="BY25" s="73" t="str">
        <f>IF(NSi.TS[[#This Row],[TJ.1]]=1,100,IF(NSi.TS[[#This Row],[TJ.1]]=2,89,IF(NSi.TS[[#This Row],[TJ.1]]=3,79,IF(NSi.TS[[#This Row],[TJ.1]]=4,69,IF(NSi.TS[[#This Row],[TJ.1]]=5,0,"-")))))</f>
        <v>-</v>
      </c>
      <c r="BZ25" s="73" t="str">
        <f>IF(NSi.TS[[#This Row],[Ker.1]]=1,100,IF(NSi.TS[[#This Row],[Ker.1]]=2,89,IF(NSi.TS[[#This Row],[Ker.1]]=3,79,IF(NSi.TS[[#This Row],[Ker.1]]=4,69,IF(NSi.TS[[#This Row],[Ker.1]]=5,0,"-")))))</f>
        <v>-</v>
      </c>
      <c r="CA25" s="73" t="str">
        <f>IF(NSi.TS[[#This Row],[Ped.1]]=1,100,IF(NSi.TS[[#This Row],[Ped.1]]=2,89,IF(NSi.TS[[#This Row],[Ped.1]]=3,79,IF(NSi.TS[[#This Row],[Ped.1]]=4,69,IF(NSi.TS[[#This Row],[Ped.1]]=5,0,"-")))))</f>
        <v>-</v>
      </c>
      <c r="CB25" s="73" t="str">
        <f>IF(NSi.TS[[#This Row],[Pro-A.1]]=1,100,IF(NSi.TS[[#This Row],[Pro-A.1]]=2,89,IF(NSi.TS[[#This Row],[Pro-A.1]]=3,79,IF(NSi.TS[[#This Row],[Pro-A.1]]=4,69,IF(NSi.TS[[#This Row],[Pro-A.1]]=5,0,"-")))))</f>
        <v>-</v>
      </c>
      <c r="CC25" s="73" t="str">
        <f>IF(NSi.TS[[#This Row],[KU.2]]="A",100,IF(NSi.TS[[#This Row],[KU.2]]="B",89,IF(NSi.TS[[#This Row],[KU.2]]="C",79,IF(NSi.TS[[#This Row],[KU.2]]="D",69,IF(NSi.TS[[#This Row],[KU.2]]="E",0,"-")))))</f>
        <v>-</v>
      </c>
      <c r="CD25" s="73" t="str">
        <f>IF(NSi.TS[[#This Row],[TJ.2]]=1,100,IF(NSi.TS[[#This Row],[TJ.2]]=2,89,IF(NSi.TS[[#This Row],[TJ.2]]=3,79,IF(NSi.TS[[#This Row],[TJ.2]]=4,69,IF(NSi.TS[[#This Row],[TJ.2]]=5,0,"-")))))</f>
        <v>-</v>
      </c>
      <c r="CE25" s="73" t="str">
        <f>IF(NSi.TS[[#This Row],[Ker.2]]=1,100,IF(NSi.TS[[#This Row],[Ker.2]]=2,89,IF(NSi.TS[[#This Row],[Ker.2]]=3,79,IF(NSi.TS[[#This Row],[Ker.2]]=4,69,IF(NSi.TS[[#This Row],[Ker.2]]=5,0,"-")))))</f>
        <v>-</v>
      </c>
      <c r="CF25" s="73" t="str">
        <f>IF(NSi.TS[[#This Row],[Ped.2]]=1,100,IF(NSi.TS[[#This Row],[Ped.2]]=2,89,IF(NSi.TS[[#This Row],[Ped.2]]=3,79,IF(NSi.TS[[#This Row],[Ped.2]]=4,69,IF(NSi.TS[[#This Row],[Ped.2]]=5,0,"-")))))</f>
        <v>-</v>
      </c>
      <c r="CG25" s="73" t="str">
        <f>IF(NSi.TS[[#This Row],[Pro-A.2]]=1,100,IF(NSi.TS[[#This Row],[Pro-A.2]]=2,89,IF(NSi.TS[[#This Row],[Pro-A.2]]=3,79,IF(NSi.TS[[#This Row],[Pro-A.2]]=4,69,IF(NSi.TS[[#This Row],[Pro-A.2]]=5,0,"-")))))</f>
        <v>-</v>
      </c>
      <c r="CH25" s="74" t="str">
        <f>IF(NSi.TS[[#This Row],[KU.3]]="A",100,IF(NSi.TS[[#This Row],[KU.3]]="B",89,IF(NSi.TS[[#This Row],[KU.3]]="C",79,IF(NSi.TS[[#This Row],[KU.3]]="D",69,IF(NSi.TS[[#This Row],[KU.3]]="E",0,"-")))))</f>
        <v>-</v>
      </c>
      <c r="CI25" s="73" t="str">
        <f>IF(NSi.TS[[#This Row],[TJ.3]]=1,100,IF(NSi.TS[[#This Row],[TJ.3]]=2,89,IF(NSi.TS[[#This Row],[TJ.3]]=3,79,IF(NSi.TS[[#This Row],[TJ.3]]=4,69,IF(NSi.TS[[#This Row],[TJ.3]]=5,0,"-")))))</f>
        <v>-</v>
      </c>
      <c r="CJ25" s="73" t="str">
        <f>IF(NSi.TS[[#This Row],[Ker.3]]=1,100,IF(NSi.TS[[#This Row],[Ker.3]]=2,89,IF(NSi.TS[[#This Row],[Ker.3]]=3,79,IF(NSi.TS[[#This Row],[Ker.3]]=4,69,IF(NSi.TS[[#This Row],[Ker.3]]=5,0,"-")))))</f>
        <v>-</v>
      </c>
      <c r="CK25" s="73" t="str">
        <f>IF(NSi.TS[[#This Row],[Ped.3]]=1,100,IF(NSi.TS[[#This Row],[Ped.3]]=2,89,IF(NSi.TS[[#This Row],[Ped.3]]=3,79,IF(NSi.TS[[#This Row],[Ped.3]]=4,69,IF(NSi.TS[[#This Row],[Ped.3]]=5,0,"-")))))</f>
        <v>-</v>
      </c>
      <c r="CL25" s="73" t="str">
        <f>IF(NSi.TS[[#This Row],[Pro-A.3]]=1,100,IF(NSi.TS[[#This Row],[Pro-A.3]]=2,89,IF(NSi.TS[[#This Row],[Pro-A.3]]=3,79,IF(NSi.TS[[#This Row],[Pro-A.3]]=4,69,IF(NSi.TS[[#This Row],[Pro-A.3]]=5,0,"-")))))</f>
        <v>-</v>
      </c>
      <c r="CM25" s="74" t="str">
        <f>IF(NSi.TS[[#This Row],[KU.4]]="A",100,IF(NSi.TS[[#This Row],[KU.4]]="B",89,IF(NSi.TS[[#This Row],[KU.4]]="C",79,IF(NSi.TS[[#This Row],[KU.4]]="D",69,IF(NSi.TS[[#This Row],[KU.4]]="E",0,"-")))))</f>
        <v>-</v>
      </c>
      <c r="CN25" s="73" t="str">
        <f>IF(NSi.TS[[#This Row],[TJ.4]]=1,100,IF(NSi.TS[[#This Row],[TJ.4]]=2,89,IF(NSi.TS[[#This Row],[TJ.4]]=3,79,IF(NSi.TS[[#This Row],[TJ.4]]=4,69,IF(NSi.TS[[#This Row],[TJ.4]]=5,0,"-")))))</f>
        <v>-</v>
      </c>
      <c r="CO25" s="73" t="str">
        <f>IF(NSi.TS[[#This Row],[Ker.4]]=1,100,IF(NSi.TS[[#This Row],[Ker.4]]=2,89,IF(NSi.TS[[#This Row],[Ker.4]]=3,79,IF(NSi.TS[[#This Row],[Ker.4]]=4,69,IF(NSi.TS[[#This Row],[Ker.4]]=5,0,"-")))))</f>
        <v>-</v>
      </c>
      <c r="CP25" s="73" t="str">
        <f>IF(NSi.TS[[#This Row],[Ped.4]]=1,100,IF(NSi.TS[[#This Row],[Ped.4]]=2,89,IF(NSi.TS[[#This Row],[Ped.4]]=3,79,IF(NSi.TS[[#This Row],[Ped.4]]=4,69,IF(NSi.TS[[#This Row],[Ped.4]]=5,0,"-")))))</f>
        <v>-</v>
      </c>
      <c r="CQ25" s="73" t="str">
        <f>IF(NSi.TS[[#This Row],[Pro-A.4]]=1,100,IF(NSi.TS[[#This Row],[Pro-A.4]]=2,89,IF(NSi.TS[[#This Row],[Pro-A.4]]=3,79,IF(NSi.TS[[#This Row],[Pro-A.4]]=4,69,IF(NSi.TS[[#This Row],[Pro-A.4]]=5,0,"-")))))</f>
        <v>-</v>
      </c>
      <c r="CR25" s="74" t="str">
        <f>IF(NSi.TS[[#This Row],[KU.5]]="A",100,IF(NSi.TS[[#This Row],[KU.5]]="B",89,IF(NSi.TS[[#This Row],[KU.5]]="C",79,IF(NSi.TS[[#This Row],[KU.5]]="D",69,IF(NSi.TS[[#This Row],[KU.5]]="E",0,"-")))))</f>
        <v>-</v>
      </c>
      <c r="CS25" s="73" t="str">
        <f>IF(NSi.TS[[#This Row],[TJ.5]]=1,100,IF(NSi.TS[[#This Row],[TJ.5]]=2,89,IF(NSi.TS[[#This Row],[TJ.5]]=3,79,IF(NSi.TS[[#This Row],[TJ.5]]=4,69,IF(NSi.TS[[#This Row],[TJ.5]]=5,0,"-")))))</f>
        <v>-</v>
      </c>
      <c r="CT25" s="73" t="str">
        <f>IF(NSi.TS[[#This Row],[Ker.5]]=1,100,IF(NSi.TS[[#This Row],[Ker.5]]=2,89,IF(NSi.TS[[#This Row],[Ker.5]]=3,79,IF(NSi.TS[[#This Row],[Ker.5]]=4,69,IF(NSi.TS[[#This Row],[Ker.5]]=5,0,"-")))))</f>
        <v>-</v>
      </c>
      <c r="CU25" s="73" t="str">
        <f>IF(NSi.TS[[#This Row],[Ped.5]]=1,100,IF(NSi.TS[[#This Row],[Ped.5]]=2,89,IF(NSi.TS[[#This Row],[Ped.5]]=3,79,IF(NSi.TS[[#This Row],[Ped.5]]=4,69,IF(NSi.TS[[#This Row],[Ped.5]]=5,0,"-")))))</f>
        <v>-</v>
      </c>
      <c r="CV25" s="73" t="str">
        <f>IF(NSi.TS[[#This Row],[Pro-A.5]]=1,100,IF(NSi.TS[[#This Row],[Pro-A.5]]=2,89,IF(NSi.TS[[#This Row],[Pro-A.5]]=3,79,IF(NSi.TS[[#This Row],[Pro-A.5]]=4,69,IF(NSi.TS[[#This Row],[Pro-A.5]]=5,0,"-")))))</f>
        <v>-</v>
      </c>
      <c r="CW25" s="74" t="str">
        <f>IF(NSi.TS[[#This Row],[KU.6]]="A",100,IF(NSi.TS[[#This Row],[KU.6]]="B",89,IF(NSi.TS[[#This Row],[KU.6]]="C",79,IF(NSi.TS[[#This Row],[KU.6]]="D",69,IF(NSi.TS[[#This Row],[KU.6]]="E",0,"-")))))</f>
        <v>-</v>
      </c>
      <c r="CX25" s="73" t="str">
        <f>IF(NSi.TS[[#This Row],[TJ.6]]=1,100,IF(NSi.TS[[#This Row],[TJ.6]]=2,89,IF(NSi.TS[[#This Row],[TJ.6]]=3,79,IF(NSi.TS[[#This Row],[TJ.6]]=4,69,IF(NSi.TS[[#This Row],[TJ.6]]=5,0,"-")))))</f>
        <v>-</v>
      </c>
      <c r="CY25" s="73" t="str">
        <f>IF(NSi.TS[[#This Row],[Ker.6]]=1,100,IF(NSi.TS[[#This Row],[Ker.6]]=2,89,IF(NSi.TS[[#This Row],[Ker.6]]=3,79,IF(NSi.TS[[#This Row],[Ker.6]]=4,69,IF(NSi.TS[[#This Row],[Ker.6]]=5,0,"-")))))</f>
        <v>-</v>
      </c>
      <c r="CZ25" s="73" t="str">
        <f>IF(NSi.TS[[#This Row],[Ped.6]]=1,100,IF(NSi.TS[[#This Row],[Ped.6]]=2,89,IF(NSi.TS[[#This Row],[Ped.6]]=3,79,IF(NSi.TS[[#This Row],[Ped.6]]=4,69,IF(NSi.TS[[#This Row],[Ped.6]]=5,0,"-")))))</f>
        <v>-</v>
      </c>
      <c r="DA25" s="73" t="str">
        <f>IF(NSi.TS[[#This Row],[Pro-A.6]]=1,100,IF(NSi.TS[[#This Row],[Pro-A.6]]=2,89,IF(NSi.TS[[#This Row],[Pro-A.6]]=3,79,IF(NSi.TS[[#This Row],[Pro-A.6]]=4,69,IF(NSi.TS[[#This Row],[Pro-A.6]]=5,0,"-")))))</f>
        <v>-</v>
      </c>
      <c r="DB25" s="74" t="str">
        <f>IF(NSi.TS[[#This Row],[KU.7]]="A",100,IF(NSi.TS[[#This Row],[KU.7]]="B",89,IF(NSi.TS[[#This Row],[KU.7]]="C",79,IF(NSi.TS[[#This Row],[KU.7]]="D",69,IF(NSi.TS[[#This Row],[KU.7]]="E",0,"-")))))</f>
        <v>-</v>
      </c>
      <c r="DC25" s="73" t="str">
        <f>IF(NSi.TS[[#This Row],[TJ.7]]=1,100,IF(NSi.TS[[#This Row],[TJ.7]]=2,89,IF(NSi.TS[[#This Row],[TJ.7]]=3,79,IF(NSi.TS[[#This Row],[TJ.7]]=4,69,IF(NSi.TS[[#This Row],[TJ.7]]=5,0,"-")))))</f>
        <v>-</v>
      </c>
      <c r="DD25" s="73" t="str">
        <f>IF(NSi.TS[[#This Row],[Ker.7]]=1,100,IF(NSi.TS[[#This Row],[Ker.7]]=2,89,IF(NSi.TS[[#This Row],[Ker.7]]=3,79,IF(NSi.TS[[#This Row],[Ker.7]]=4,69,IF(NSi.TS[[#This Row],[Ker.7]]=5,0,"-")))))</f>
        <v>-</v>
      </c>
      <c r="DE25" s="73" t="str">
        <f>IF(NSi.TS[[#This Row],[Ped.7]]=1,100,IF(NSi.TS[[#This Row],[Ped.7]]=2,89,IF(NSi.TS[[#This Row],[Ped.7]]=3,79,IF(NSi.TS[[#This Row],[Ped.7]]=4,69,IF(NSi.TS[[#This Row],[Ped.7]]=5,0,"-")))))</f>
        <v>-</v>
      </c>
      <c r="DF25" s="73" t="str">
        <f>IF(NSi.TS[[#This Row],[Pro-A.7]]=1,100,IF(NSi.TS[[#This Row],[Pro-A.7]]=2,89,IF(NSi.TS[[#This Row],[Pro-A.7]]=3,79,IF(NSi.TS[[#This Row],[Pro-A.7]]=4,69,IF(NSi.TS[[#This Row],[Pro-A.7]]=5,0,"-")))))</f>
        <v>-</v>
      </c>
      <c r="DG25" s="74" t="str">
        <f>IF(NSi.TS[[#This Row],[KU.8]]="A",100,IF(NSi.TS[[#This Row],[KU.8]]="B",89,IF(NSi.TS[[#This Row],[KU.8]]="C",79,IF(NSi.TS[[#This Row],[KU.8]]="D",69,IF(NSi.TS[[#This Row],[KU.8]]="E",0,"-")))))</f>
        <v>-</v>
      </c>
      <c r="DH25" s="73" t="str">
        <f>IF(NSi.TS[[#This Row],[TJ.8]]=1,100,IF(NSi.TS[[#This Row],[TJ.8]]=2,89,IF(NSi.TS[[#This Row],[TJ.8]]=3,79,IF(NSi.TS[[#This Row],[TJ.8]]=4,69,IF(NSi.TS[[#This Row],[TJ.8]]=5,0,"-")))))</f>
        <v>-</v>
      </c>
      <c r="DI25" s="73" t="str">
        <f>IF(NSi.TS[[#This Row],[Ker.8]]=1,100,IF(NSi.TS[[#This Row],[Ker.8]]=2,89,IF(NSi.TS[[#This Row],[Ker.8]]=3,79,IF(NSi.TS[[#This Row],[Ker.8]]=4,69,IF(NSi.TS[[#This Row],[Ker.8]]=5,0,"-")))))</f>
        <v>-</v>
      </c>
      <c r="DJ25" s="73" t="str">
        <f>IF(NSi.TS[[#This Row],[Ped.8]]=1,100,IF(NSi.TS[[#This Row],[Ped.8]]=2,89,IF(NSi.TS[[#This Row],[Ped.8]]=3,79,IF(NSi.TS[[#This Row],[Ped.8]]=4,69,IF(NSi.TS[[#This Row],[Ped.8]]=5,0,"-")))))</f>
        <v>-</v>
      </c>
      <c r="DK25" s="73" t="str">
        <f>IF(NSi.TS[[#This Row],[Pro-A.8]]=1,100,IF(NSi.TS[[#This Row],[Pro-A.8]]=2,89,IF(NSi.TS[[#This Row],[Pro-A.8]]=3,79,IF(NSi.TS[[#This Row],[Pro-A.8]]=4,69,IF(NSi.TS[[#This Row],[Pro-A.8]]=5,0,"-")))))</f>
        <v>-</v>
      </c>
      <c r="DL25" s="74" t="str">
        <f>IF(NSi.TS[[#This Row],[KU.9]]="A",100,IF(NSi.TS[[#This Row],[KU.9]]="B",89,IF(NSi.TS[[#This Row],[KU.9]]="C",79,IF(NSi.TS[[#This Row],[KU.9]]="D",69,IF(NSi.TS[[#This Row],[KU.9]]="E",0,"-")))))</f>
        <v>-</v>
      </c>
      <c r="DM25" s="73" t="str">
        <f>IF(NSi.TS[[#This Row],[TJ.9]]=1,100,IF(NSi.TS[[#This Row],[TJ.9]]=2,89,IF(NSi.TS[[#This Row],[TJ.9]]=3,79,IF(NSi.TS[[#This Row],[TJ.9]]=4,69,IF(NSi.TS[[#This Row],[TJ.9]]=5,0,"-")))))</f>
        <v>-</v>
      </c>
      <c r="DN25" s="73" t="str">
        <f>IF(NSi.TS[[#This Row],[Ker.9]]=1,100,IF(NSi.TS[[#This Row],[Ker.9]]=2,89,IF(NSi.TS[[#This Row],[Ker.9]]=3,79,IF(NSi.TS[[#This Row],[Ker.9]]=4,69,IF(NSi.TS[[#This Row],[Ker.9]]=5,0,"-")))))</f>
        <v>-</v>
      </c>
      <c r="DO25" s="73" t="str">
        <f>IF(NSi.TS[[#This Row],[Ped.9]]=1,100,IF(NSi.TS[[#This Row],[Ped.9]]=2,89,IF(NSi.TS[[#This Row],[Ped.9]]=3,79,IF(NSi.TS[[#This Row],[Ped.9]]=4,69,IF(NSi.TS[[#This Row],[Ped.9]]=5,0,"-")))))</f>
        <v>-</v>
      </c>
      <c r="DP25" s="73" t="str">
        <f>IF(NSi.TS[[#This Row],[Pro-A.9]]=1,100,IF(NSi.TS[[#This Row],[Pro-A.9]]=2,89,IF(NSi.TS[[#This Row],[Pro-A.9]]=3,79,IF(NSi.TS[[#This Row],[Pro-A.9]]=4,69,IF(NSi.TS[[#This Row],[Pro-A.9]]=5,0,"-")))))</f>
        <v>-</v>
      </c>
    </row>
    <row r="26" spans="1:120" ht="50.1" customHeight="1" x14ac:dyDescent="0.3">
      <c r="A26" s="85"/>
      <c r="B26" s="86"/>
      <c r="C26" s="87"/>
      <c r="D26" s="87"/>
      <c r="E26" s="87"/>
      <c r="F26" s="44" t="str">
        <f>IFERROR(ROUND(AVERAGE(CSCR[#This Row]),0),"")</f>
        <v/>
      </c>
      <c r="G26" s="41" t="s">
        <v>102</v>
      </c>
      <c r="H26" s="45" t="s">
        <v>102</v>
      </c>
      <c r="I26" s="45" t="s">
        <v>102</v>
      </c>
      <c r="J26" s="45" t="s">
        <v>102</v>
      </c>
      <c r="K26" s="45" t="s">
        <v>102</v>
      </c>
      <c r="L26" s="41" t="s">
        <v>102</v>
      </c>
      <c r="M26" s="45" t="s">
        <v>102</v>
      </c>
      <c r="N26" s="45" t="s">
        <v>102</v>
      </c>
      <c r="O26" s="45" t="s">
        <v>102</v>
      </c>
      <c r="P26" s="45" t="s">
        <v>102</v>
      </c>
      <c r="Q26" s="41" t="s">
        <v>102</v>
      </c>
      <c r="R26" s="45" t="s">
        <v>102</v>
      </c>
      <c r="S26" s="45" t="s">
        <v>102</v>
      </c>
      <c r="T26" s="45" t="s">
        <v>102</v>
      </c>
      <c r="U26" s="45" t="s">
        <v>102</v>
      </c>
      <c r="V26" s="41" t="s">
        <v>102</v>
      </c>
      <c r="W26" s="45" t="s">
        <v>102</v>
      </c>
      <c r="X26" s="45" t="s">
        <v>102</v>
      </c>
      <c r="Y26" s="45" t="s">
        <v>102</v>
      </c>
      <c r="Z26" s="45" t="s">
        <v>102</v>
      </c>
      <c r="AA26" s="41" t="s">
        <v>102</v>
      </c>
      <c r="AB26" s="45" t="s">
        <v>102</v>
      </c>
      <c r="AC26" s="45" t="s">
        <v>102</v>
      </c>
      <c r="AD26" s="45" t="s">
        <v>102</v>
      </c>
      <c r="AE26" s="45" t="s">
        <v>102</v>
      </c>
      <c r="AF26" s="41" t="s">
        <v>102</v>
      </c>
      <c r="AG26" s="45" t="s">
        <v>102</v>
      </c>
      <c r="AH26" s="45" t="s">
        <v>102</v>
      </c>
      <c r="AI26" s="45" t="s">
        <v>102</v>
      </c>
      <c r="AJ26" s="45" t="s">
        <v>102</v>
      </c>
      <c r="AK26" s="41" t="s">
        <v>102</v>
      </c>
      <c r="AL26" s="45" t="s">
        <v>102</v>
      </c>
      <c r="AM26" s="45" t="s">
        <v>102</v>
      </c>
      <c r="AN26" s="45" t="s">
        <v>102</v>
      </c>
      <c r="AO26" s="45" t="s">
        <v>102</v>
      </c>
      <c r="AP26" s="41" t="s">
        <v>102</v>
      </c>
      <c r="AQ26" s="45" t="s">
        <v>102</v>
      </c>
      <c r="AR26" s="45" t="s">
        <v>102</v>
      </c>
      <c r="AS26" s="45" t="s">
        <v>102</v>
      </c>
      <c r="AT26" s="45" t="s">
        <v>102</v>
      </c>
      <c r="AU26" s="41" t="s">
        <v>102</v>
      </c>
      <c r="AV26" s="45" t="s">
        <v>102</v>
      </c>
      <c r="AW26" s="45" t="s">
        <v>102</v>
      </c>
      <c r="AX26" s="45" t="s">
        <v>102</v>
      </c>
      <c r="AY26" s="45" t="s">
        <v>102</v>
      </c>
      <c r="BA26" s="10" t="str">
        <f>CONCATENATE(NSi.TS[[#This Row],[KU.1]],(IF(A.LoE[[#This Row],[LE.1]]="-","-",IF(A.LoE[[#This Row],[LE.1]]&gt;=90,1,IF(A.LoE[[#This Row],[LE.1]]&gt;=80,2,IF(A.LoE[[#This Row],[LE.1]]&gt;=70,3,IF(A.LoE[[#This Row],[LE.1]]&gt;=1,4,5)))))))</f>
        <v>--</v>
      </c>
      <c r="BB26" s="46" t="str">
        <f>CONCATENATE(NSi.TS[[#This Row],[KU.2]],(IF(A.LoE[[#This Row],[LE.2]]="-","-",IF(A.LoE[[#This Row],[LE.2]]&gt;=90,1,IF(A.LoE[[#This Row],[LE.2]]&gt;=80,2,IF(A.LoE[[#This Row],[LE.2]]&gt;=70,3,IF(A.LoE[[#This Row],[LE.2]]&gt;=1,4,5)))))))</f>
        <v>--</v>
      </c>
      <c r="BC26" s="46" t="str">
        <f>CONCATENATE(NSi.TS[[#This Row],[KU.3]],(IF(A.LoE[[#This Row],[LE.3]]="-","-",IF(A.LoE[[#This Row],[LE.3]]&gt;=90,1,IF(A.LoE[[#This Row],[LE.3]]&gt;=80,2,IF(A.LoE[[#This Row],[LE.3]]&gt;=70,3,IF(A.LoE[[#This Row],[LE.3]]&gt;=1,4,5)))))))</f>
        <v>--</v>
      </c>
      <c r="BD26" s="46" t="str">
        <f>CONCATENATE(NSi.TS[[#This Row],[KU.4]],(IF(A.LoE[[#This Row],[LE.4]]="-","-",IF(A.LoE[[#This Row],[LE.4]]&gt;=90,1,IF(A.LoE[[#This Row],[LE.4]]&gt;=80,2,IF(A.LoE[[#This Row],[LE.4]]&gt;=70,3,IF(A.LoE[[#This Row],[LE.4]]&gt;=1,4,5)))))))</f>
        <v>--</v>
      </c>
      <c r="BE26" s="46" t="str">
        <f>CONCATENATE(NSi.TS[[#This Row],[KU.5]],(IF(A.LoE[[#This Row],[LE.5]]="-","-",IF(A.LoE[[#This Row],[LE.5]]&gt;=90,1,IF(A.LoE[[#This Row],[LE.5]]&gt;=80,2,IF(A.LoE[[#This Row],[LE.5]]&gt;=70,3,IF(A.LoE[[#This Row],[LE.5]]&gt;=1,4,5)))))))</f>
        <v>--</v>
      </c>
      <c r="BF26" s="46" t="str">
        <f>CONCATENATE(NSi.TS[[#This Row],[KU.6]],(IF(A.LoE[[#This Row],[LE.6]]="-","-",IF(A.LoE[[#This Row],[LE.6]]&gt;=90,1,IF(A.LoE[[#This Row],[LE.6]]&gt;=80,2,IF(A.LoE[[#This Row],[LE.6]]&gt;=70,3,IF(A.LoE[[#This Row],[LE.6]]&gt;=1,4,5)))))))</f>
        <v>--</v>
      </c>
      <c r="BG26" s="46" t="str">
        <f>CONCATENATE(NSi.TS[[#This Row],[KU.7]],(IF(A.LoE[[#This Row],[LE.7]]="-","-",IF(A.LoE[[#This Row],[LE.7]]&gt;=90,1,IF(A.LoE[[#This Row],[LE.7]]&gt;=80,2,IF(A.LoE[[#This Row],[LE.7]]&gt;=70,3,IF(A.LoE[[#This Row],[LE.7]]&gt;=1,4,5)))))))</f>
        <v>--</v>
      </c>
      <c r="BH26" s="46" t="str">
        <f>CONCATENATE(NSi.TS[[#This Row],[KU.8]],(IF(A.LoE[[#This Row],[LE.8]]="-","-",IF(A.LoE[[#This Row],[LE.8]]&gt;=90,1,IF(A.LoE[[#This Row],[LE.8]]&gt;=80,2,IF(A.LoE[[#This Row],[LE.8]]&gt;=70,3,IF(A.LoE[[#This Row],[LE.8]]&gt;=1,4,5)))))))</f>
        <v>--</v>
      </c>
      <c r="BI26" s="38" t="str">
        <f>CONCATENATE(NSi.TS[[#This Row],[KU.9]],(IF(A.LoE[[#This Row],[LE.9]]="-","-",IF(A.LoE[[#This Row],[LE.9]]&gt;=90,1,IF(A.LoE[[#This Row],[LE.9]]&gt;=80,2,IF(A.LoE[[#This Row],[LE.9]]&gt;=70,3,IF(A.LoE[[#This Row],[LE.9]]&gt;=1,4,5)))))))</f>
        <v>--</v>
      </c>
      <c r="BK26" s="35" t="str">
        <f>IFERROR(ROUND(AVERAGE(Con.Sk[[#This Row],[TJ.1]:[Pro-A.1]]),0),"-")</f>
        <v>-</v>
      </c>
      <c r="BL26" s="24" t="str">
        <f>IFERROR(ROUND(AVERAGE(Con.Sk[[#This Row],[TJ.2]:[Pro-A.2]]),0),"-")</f>
        <v>-</v>
      </c>
      <c r="BM26" s="24" t="str">
        <f>IFERROR(ROUND(AVERAGE(Con.Sk[[#This Row],[TJ.3]:[Pro-A.3]]),0),"-")</f>
        <v>-</v>
      </c>
      <c r="BN26" s="24" t="str">
        <f>IFERROR(ROUND(AVERAGE(Con.Sk[[#This Row],[TJ.4]:[Pro-A.4]]),0),"-")</f>
        <v>-</v>
      </c>
      <c r="BO26" s="24" t="str">
        <f>IFERROR(ROUND(AVERAGE(Con.Sk[[#This Row],[TJ.5]:[Pro-A.5]]),0),"-")</f>
        <v>-</v>
      </c>
      <c r="BP26" s="24" t="str">
        <f>IFERROR(ROUND(AVERAGE(Con.Sk[[#This Row],[TJ.6]:[Pro-A.6]]),0),"-")</f>
        <v>-</v>
      </c>
      <c r="BQ26" s="24" t="str">
        <f>IFERROR(ROUND(AVERAGE(Con.Sk[[#This Row],[TJ.7]:[Pro-A.7]]),0),"-")</f>
        <v>-</v>
      </c>
      <c r="BR26" s="24" t="str">
        <f>IFERROR(ROUND(AVERAGE(Con.Sk[[#This Row],[TJ.8]:[Pro-A.8]]),0),"-")</f>
        <v>-</v>
      </c>
      <c r="BS26" s="25" t="str">
        <f>IFERROR(ROUND(AVERAGE(Con.Sk[[#This Row],[TJ.9]:[Pro-A.9]]),0),"-")</f>
        <v>-</v>
      </c>
      <c r="BU26" s="47" t="str">
        <f>IFERROR(ROUND(AVERAGE(Con.Sk[[#This Row],[KU.1]],Con.Sk[[#This Row],[KU.2]],Con.Sk[[#This Row],[KU.3]],Con.Sk[[#This Row],[KU.4]],Con.Sk[[#This Row],[KU.5]],Con.Sk[[#This Row],[KU.6]],Con.Sk[[#This Row],[KU.7]],Con.Sk[[#This Row],[KU.8]],Con.Sk[[#This Row],[KU.9]]),0),"")</f>
        <v/>
      </c>
      <c r="BV26" s="48" t="str">
        <f>IFERROR(ROUND(AVERAGE(Con.Sk[[#This Row],[TJ.1]:[Pro-A.1]],Con.Sk[[#This Row],[TJ.2]:[Pro-A.2]],Con.Sk[[#This Row],[TJ.3]:[Pro-A.3]],Con.Sk[[#This Row],[TJ.4]:[Pro-A.4]],Con.Sk[[#This Row],[TJ.5]:[Pro-A.5]],Con.Sk[[#This Row],[TJ.6]:[Pro-A.6]],Con.Sk[[#This Row],[TJ.7]:[Pro-A.7]],Con.Sk[[#This Row],[TJ.8]:[Pro-A.8]],Con.Sk[[#This Row],[TJ.9]:[Pro-A.9]]),0),"")</f>
        <v/>
      </c>
      <c r="BW26" s="3"/>
      <c r="BX26" s="73" t="str">
        <f>IF(NSi.TS[[#This Row],[KU.1]]="A",100,IF(NSi.TS[[#This Row],[KU.1]]="B",89,IF(NSi.TS[[#This Row],[KU.1]]="C",79,IF(NSi.TS[[#This Row],[KU.1]]="D",69,IF(NSi.TS[[#This Row],[KU.1]]="E",0,"-")))))</f>
        <v>-</v>
      </c>
      <c r="BY26" s="73" t="str">
        <f>IF(NSi.TS[[#This Row],[TJ.1]]=1,100,IF(NSi.TS[[#This Row],[TJ.1]]=2,89,IF(NSi.TS[[#This Row],[TJ.1]]=3,79,IF(NSi.TS[[#This Row],[TJ.1]]=4,69,IF(NSi.TS[[#This Row],[TJ.1]]=5,0,"-")))))</f>
        <v>-</v>
      </c>
      <c r="BZ26" s="73" t="str">
        <f>IF(NSi.TS[[#This Row],[Ker.1]]=1,100,IF(NSi.TS[[#This Row],[Ker.1]]=2,89,IF(NSi.TS[[#This Row],[Ker.1]]=3,79,IF(NSi.TS[[#This Row],[Ker.1]]=4,69,IF(NSi.TS[[#This Row],[Ker.1]]=5,0,"-")))))</f>
        <v>-</v>
      </c>
      <c r="CA26" s="73" t="str">
        <f>IF(NSi.TS[[#This Row],[Ped.1]]=1,100,IF(NSi.TS[[#This Row],[Ped.1]]=2,89,IF(NSi.TS[[#This Row],[Ped.1]]=3,79,IF(NSi.TS[[#This Row],[Ped.1]]=4,69,IF(NSi.TS[[#This Row],[Ped.1]]=5,0,"-")))))</f>
        <v>-</v>
      </c>
      <c r="CB26" s="73" t="str">
        <f>IF(NSi.TS[[#This Row],[Pro-A.1]]=1,100,IF(NSi.TS[[#This Row],[Pro-A.1]]=2,89,IF(NSi.TS[[#This Row],[Pro-A.1]]=3,79,IF(NSi.TS[[#This Row],[Pro-A.1]]=4,69,IF(NSi.TS[[#This Row],[Pro-A.1]]=5,0,"-")))))</f>
        <v>-</v>
      </c>
      <c r="CC26" s="73" t="str">
        <f>IF(NSi.TS[[#This Row],[KU.2]]="A",100,IF(NSi.TS[[#This Row],[KU.2]]="B",89,IF(NSi.TS[[#This Row],[KU.2]]="C",79,IF(NSi.TS[[#This Row],[KU.2]]="D",69,IF(NSi.TS[[#This Row],[KU.2]]="E",0,"-")))))</f>
        <v>-</v>
      </c>
      <c r="CD26" s="73" t="str">
        <f>IF(NSi.TS[[#This Row],[TJ.2]]=1,100,IF(NSi.TS[[#This Row],[TJ.2]]=2,89,IF(NSi.TS[[#This Row],[TJ.2]]=3,79,IF(NSi.TS[[#This Row],[TJ.2]]=4,69,IF(NSi.TS[[#This Row],[TJ.2]]=5,0,"-")))))</f>
        <v>-</v>
      </c>
      <c r="CE26" s="73" t="str">
        <f>IF(NSi.TS[[#This Row],[Ker.2]]=1,100,IF(NSi.TS[[#This Row],[Ker.2]]=2,89,IF(NSi.TS[[#This Row],[Ker.2]]=3,79,IF(NSi.TS[[#This Row],[Ker.2]]=4,69,IF(NSi.TS[[#This Row],[Ker.2]]=5,0,"-")))))</f>
        <v>-</v>
      </c>
      <c r="CF26" s="73" t="str">
        <f>IF(NSi.TS[[#This Row],[Ped.2]]=1,100,IF(NSi.TS[[#This Row],[Ped.2]]=2,89,IF(NSi.TS[[#This Row],[Ped.2]]=3,79,IF(NSi.TS[[#This Row],[Ped.2]]=4,69,IF(NSi.TS[[#This Row],[Ped.2]]=5,0,"-")))))</f>
        <v>-</v>
      </c>
      <c r="CG26" s="73" t="str">
        <f>IF(NSi.TS[[#This Row],[Pro-A.2]]=1,100,IF(NSi.TS[[#This Row],[Pro-A.2]]=2,89,IF(NSi.TS[[#This Row],[Pro-A.2]]=3,79,IF(NSi.TS[[#This Row],[Pro-A.2]]=4,69,IF(NSi.TS[[#This Row],[Pro-A.2]]=5,0,"-")))))</f>
        <v>-</v>
      </c>
      <c r="CH26" s="74" t="str">
        <f>IF(NSi.TS[[#This Row],[KU.3]]="A",100,IF(NSi.TS[[#This Row],[KU.3]]="B",89,IF(NSi.TS[[#This Row],[KU.3]]="C",79,IF(NSi.TS[[#This Row],[KU.3]]="D",69,IF(NSi.TS[[#This Row],[KU.3]]="E",0,"-")))))</f>
        <v>-</v>
      </c>
      <c r="CI26" s="73" t="str">
        <f>IF(NSi.TS[[#This Row],[TJ.3]]=1,100,IF(NSi.TS[[#This Row],[TJ.3]]=2,89,IF(NSi.TS[[#This Row],[TJ.3]]=3,79,IF(NSi.TS[[#This Row],[TJ.3]]=4,69,IF(NSi.TS[[#This Row],[TJ.3]]=5,0,"-")))))</f>
        <v>-</v>
      </c>
      <c r="CJ26" s="73" t="str">
        <f>IF(NSi.TS[[#This Row],[Ker.3]]=1,100,IF(NSi.TS[[#This Row],[Ker.3]]=2,89,IF(NSi.TS[[#This Row],[Ker.3]]=3,79,IF(NSi.TS[[#This Row],[Ker.3]]=4,69,IF(NSi.TS[[#This Row],[Ker.3]]=5,0,"-")))))</f>
        <v>-</v>
      </c>
      <c r="CK26" s="73" t="str">
        <f>IF(NSi.TS[[#This Row],[Ped.3]]=1,100,IF(NSi.TS[[#This Row],[Ped.3]]=2,89,IF(NSi.TS[[#This Row],[Ped.3]]=3,79,IF(NSi.TS[[#This Row],[Ped.3]]=4,69,IF(NSi.TS[[#This Row],[Ped.3]]=5,0,"-")))))</f>
        <v>-</v>
      </c>
      <c r="CL26" s="73" t="str">
        <f>IF(NSi.TS[[#This Row],[Pro-A.3]]=1,100,IF(NSi.TS[[#This Row],[Pro-A.3]]=2,89,IF(NSi.TS[[#This Row],[Pro-A.3]]=3,79,IF(NSi.TS[[#This Row],[Pro-A.3]]=4,69,IF(NSi.TS[[#This Row],[Pro-A.3]]=5,0,"-")))))</f>
        <v>-</v>
      </c>
      <c r="CM26" s="74" t="str">
        <f>IF(NSi.TS[[#This Row],[KU.4]]="A",100,IF(NSi.TS[[#This Row],[KU.4]]="B",89,IF(NSi.TS[[#This Row],[KU.4]]="C",79,IF(NSi.TS[[#This Row],[KU.4]]="D",69,IF(NSi.TS[[#This Row],[KU.4]]="E",0,"-")))))</f>
        <v>-</v>
      </c>
      <c r="CN26" s="73" t="str">
        <f>IF(NSi.TS[[#This Row],[TJ.4]]=1,100,IF(NSi.TS[[#This Row],[TJ.4]]=2,89,IF(NSi.TS[[#This Row],[TJ.4]]=3,79,IF(NSi.TS[[#This Row],[TJ.4]]=4,69,IF(NSi.TS[[#This Row],[TJ.4]]=5,0,"-")))))</f>
        <v>-</v>
      </c>
      <c r="CO26" s="73" t="str">
        <f>IF(NSi.TS[[#This Row],[Ker.4]]=1,100,IF(NSi.TS[[#This Row],[Ker.4]]=2,89,IF(NSi.TS[[#This Row],[Ker.4]]=3,79,IF(NSi.TS[[#This Row],[Ker.4]]=4,69,IF(NSi.TS[[#This Row],[Ker.4]]=5,0,"-")))))</f>
        <v>-</v>
      </c>
      <c r="CP26" s="73" t="str">
        <f>IF(NSi.TS[[#This Row],[Ped.4]]=1,100,IF(NSi.TS[[#This Row],[Ped.4]]=2,89,IF(NSi.TS[[#This Row],[Ped.4]]=3,79,IF(NSi.TS[[#This Row],[Ped.4]]=4,69,IF(NSi.TS[[#This Row],[Ped.4]]=5,0,"-")))))</f>
        <v>-</v>
      </c>
      <c r="CQ26" s="73" t="str">
        <f>IF(NSi.TS[[#This Row],[Pro-A.4]]=1,100,IF(NSi.TS[[#This Row],[Pro-A.4]]=2,89,IF(NSi.TS[[#This Row],[Pro-A.4]]=3,79,IF(NSi.TS[[#This Row],[Pro-A.4]]=4,69,IF(NSi.TS[[#This Row],[Pro-A.4]]=5,0,"-")))))</f>
        <v>-</v>
      </c>
      <c r="CR26" s="74" t="str">
        <f>IF(NSi.TS[[#This Row],[KU.5]]="A",100,IF(NSi.TS[[#This Row],[KU.5]]="B",89,IF(NSi.TS[[#This Row],[KU.5]]="C",79,IF(NSi.TS[[#This Row],[KU.5]]="D",69,IF(NSi.TS[[#This Row],[KU.5]]="E",0,"-")))))</f>
        <v>-</v>
      </c>
      <c r="CS26" s="73" t="str">
        <f>IF(NSi.TS[[#This Row],[TJ.5]]=1,100,IF(NSi.TS[[#This Row],[TJ.5]]=2,89,IF(NSi.TS[[#This Row],[TJ.5]]=3,79,IF(NSi.TS[[#This Row],[TJ.5]]=4,69,IF(NSi.TS[[#This Row],[TJ.5]]=5,0,"-")))))</f>
        <v>-</v>
      </c>
      <c r="CT26" s="73" t="str">
        <f>IF(NSi.TS[[#This Row],[Ker.5]]=1,100,IF(NSi.TS[[#This Row],[Ker.5]]=2,89,IF(NSi.TS[[#This Row],[Ker.5]]=3,79,IF(NSi.TS[[#This Row],[Ker.5]]=4,69,IF(NSi.TS[[#This Row],[Ker.5]]=5,0,"-")))))</f>
        <v>-</v>
      </c>
      <c r="CU26" s="73" t="str">
        <f>IF(NSi.TS[[#This Row],[Ped.5]]=1,100,IF(NSi.TS[[#This Row],[Ped.5]]=2,89,IF(NSi.TS[[#This Row],[Ped.5]]=3,79,IF(NSi.TS[[#This Row],[Ped.5]]=4,69,IF(NSi.TS[[#This Row],[Ped.5]]=5,0,"-")))))</f>
        <v>-</v>
      </c>
      <c r="CV26" s="73" t="str">
        <f>IF(NSi.TS[[#This Row],[Pro-A.5]]=1,100,IF(NSi.TS[[#This Row],[Pro-A.5]]=2,89,IF(NSi.TS[[#This Row],[Pro-A.5]]=3,79,IF(NSi.TS[[#This Row],[Pro-A.5]]=4,69,IF(NSi.TS[[#This Row],[Pro-A.5]]=5,0,"-")))))</f>
        <v>-</v>
      </c>
      <c r="CW26" s="74" t="str">
        <f>IF(NSi.TS[[#This Row],[KU.6]]="A",100,IF(NSi.TS[[#This Row],[KU.6]]="B",89,IF(NSi.TS[[#This Row],[KU.6]]="C",79,IF(NSi.TS[[#This Row],[KU.6]]="D",69,IF(NSi.TS[[#This Row],[KU.6]]="E",0,"-")))))</f>
        <v>-</v>
      </c>
      <c r="CX26" s="73" t="str">
        <f>IF(NSi.TS[[#This Row],[TJ.6]]=1,100,IF(NSi.TS[[#This Row],[TJ.6]]=2,89,IF(NSi.TS[[#This Row],[TJ.6]]=3,79,IF(NSi.TS[[#This Row],[TJ.6]]=4,69,IF(NSi.TS[[#This Row],[TJ.6]]=5,0,"-")))))</f>
        <v>-</v>
      </c>
      <c r="CY26" s="73" t="str">
        <f>IF(NSi.TS[[#This Row],[Ker.6]]=1,100,IF(NSi.TS[[#This Row],[Ker.6]]=2,89,IF(NSi.TS[[#This Row],[Ker.6]]=3,79,IF(NSi.TS[[#This Row],[Ker.6]]=4,69,IF(NSi.TS[[#This Row],[Ker.6]]=5,0,"-")))))</f>
        <v>-</v>
      </c>
      <c r="CZ26" s="73" t="str">
        <f>IF(NSi.TS[[#This Row],[Ped.6]]=1,100,IF(NSi.TS[[#This Row],[Ped.6]]=2,89,IF(NSi.TS[[#This Row],[Ped.6]]=3,79,IF(NSi.TS[[#This Row],[Ped.6]]=4,69,IF(NSi.TS[[#This Row],[Ped.6]]=5,0,"-")))))</f>
        <v>-</v>
      </c>
      <c r="DA26" s="73" t="str">
        <f>IF(NSi.TS[[#This Row],[Pro-A.6]]=1,100,IF(NSi.TS[[#This Row],[Pro-A.6]]=2,89,IF(NSi.TS[[#This Row],[Pro-A.6]]=3,79,IF(NSi.TS[[#This Row],[Pro-A.6]]=4,69,IF(NSi.TS[[#This Row],[Pro-A.6]]=5,0,"-")))))</f>
        <v>-</v>
      </c>
      <c r="DB26" s="74" t="str">
        <f>IF(NSi.TS[[#This Row],[KU.7]]="A",100,IF(NSi.TS[[#This Row],[KU.7]]="B",89,IF(NSi.TS[[#This Row],[KU.7]]="C",79,IF(NSi.TS[[#This Row],[KU.7]]="D",69,IF(NSi.TS[[#This Row],[KU.7]]="E",0,"-")))))</f>
        <v>-</v>
      </c>
      <c r="DC26" s="73" t="str">
        <f>IF(NSi.TS[[#This Row],[TJ.7]]=1,100,IF(NSi.TS[[#This Row],[TJ.7]]=2,89,IF(NSi.TS[[#This Row],[TJ.7]]=3,79,IF(NSi.TS[[#This Row],[TJ.7]]=4,69,IF(NSi.TS[[#This Row],[TJ.7]]=5,0,"-")))))</f>
        <v>-</v>
      </c>
      <c r="DD26" s="73" t="str">
        <f>IF(NSi.TS[[#This Row],[Ker.7]]=1,100,IF(NSi.TS[[#This Row],[Ker.7]]=2,89,IF(NSi.TS[[#This Row],[Ker.7]]=3,79,IF(NSi.TS[[#This Row],[Ker.7]]=4,69,IF(NSi.TS[[#This Row],[Ker.7]]=5,0,"-")))))</f>
        <v>-</v>
      </c>
      <c r="DE26" s="73" t="str">
        <f>IF(NSi.TS[[#This Row],[Ped.7]]=1,100,IF(NSi.TS[[#This Row],[Ped.7]]=2,89,IF(NSi.TS[[#This Row],[Ped.7]]=3,79,IF(NSi.TS[[#This Row],[Ped.7]]=4,69,IF(NSi.TS[[#This Row],[Ped.7]]=5,0,"-")))))</f>
        <v>-</v>
      </c>
      <c r="DF26" s="73" t="str">
        <f>IF(NSi.TS[[#This Row],[Pro-A.7]]=1,100,IF(NSi.TS[[#This Row],[Pro-A.7]]=2,89,IF(NSi.TS[[#This Row],[Pro-A.7]]=3,79,IF(NSi.TS[[#This Row],[Pro-A.7]]=4,69,IF(NSi.TS[[#This Row],[Pro-A.7]]=5,0,"-")))))</f>
        <v>-</v>
      </c>
      <c r="DG26" s="74" t="str">
        <f>IF(NSi.TS[[#This Row],[KU.8]]="A",100,IF(NSi.TS[[#This Row],[KU.8]]="B",89,IF(NSi.TS[[#This Row],[KU.8]]="C",79,IF(NSi.TS[[#This Row],[KU.8]]="D",69,IF(NSi.TS[[#This Row],[KU.8]]="E",0,"-")))))</f>
        <v>-</v>
      </c>
      <c r="DH26" s="73" t="str">
        <f>IF(NSi.TS[[#This Row],[TJ.8]]=1,100,IF(NSi.TS[[#This Row],[TJ.8]]=2,89,IF(NSi.TS[[#This Row],[TJ.8]]=3,79,IF(NSi.TS[[#This Row],[TJ.8]]=4,69,IF(NSi.TS[[#This Row],[TJ.8]]=5,0,"-")))))</f>
        <v>-</v>
      </c>
      <c r="DI26" s="73" t="str">
        <f>IF(NSi.TS[[#This Row],[Ker.8]]=1,100,IF(NSi.TS[[#This Row],[Ker.8]]=2,89,IF(NSi.TS[[#This Row],[Ker.8]]=3,79,IF(NSi.TS[[#This Row],[Ker.8]]=4,69,IF(NSi.TS[[#This Row],[Ker.8]]=5,0,"-")))))</f>
        <v>-</v>
      </c>
      <c r="DJ26" s="73" t="str">
        <f>IF(NSi.TS[[#This Row],[Ped.8]]=1,100,IF(NSi.TS[[#This Row],[Ped.8]]=2,89,IF(NSi.TS[[#This Row],[Ped.8]]=3,79,IF(NSi.TS[[#This Row],[Ped.8]]=4,69,IF(NSi.TS[[#This Row],[Ped.8]]=5,0,"-")))))</f>
        <v>-</v>
      </c>
      <c r="DK26" s="73" t="str">
        <f>IF(NSi.TS[[#This Row],[Pro-A.8]]=1,100,IF(NSi.TS[[#This Row],[Pro-A.8]]=2,89,IF(NSi.TS[[#This Row],[Pro-A.8]]=3,79,IF(NSi.TS[[#This Row],[Pro-A.8]]=4,69,IF(NSi.TS[[#This Row],[Pro-A.8]]=5,0,"-")))))</f>
        <v>-</v>
      </c>
      <c r="DL26" s="74" t="str">
        <f>IF(NSi.TS[[#This Row],[KU.9]]="A",100,IF(NSi.TS[[#This Row],[KU.9]]="B",89,IF(NSi.TS[[#This Row],[KU.9]]="C",79,IF(NSi.TS[[#This Row],[KU.9]]="D",69,IF(NSi.TS[[#This Row],[KU.9]]="E",0,"-")))))</f>
        <v>-</v>
      </c>
      <c r="DM26" s="73" t="str">
        <f>IF(NSi.TS[[#This Row],[TJ.9]]=1,100,IF(NSi.TS[[#This Row],[TJ.9]]=2,89,IF(NSi.TS[[#This Row],[TJ.9]]=3,79,IF(NSi.TS[[#This Row],[TJ.9]]=4,69,IF(NSi.TS[[#This Row],[TJ.9]]=5,0,"-")))))</f>
        <v>-</v>
      </c>
      <c r="DN26" s="73" t="str">
        <f>IF(NSi.TS[[#This Row],[Ker.9]]=1,100,IF(NSi.TS[[#This Row],[Ker.9]]=2,89,IF(NSi.TS[[#This Row],[Ker.9]]=3,79,IF(NSi.TS[[#This Row],[Ker.9]]=4,69,IF(NSi.TS[[#This Row],[Ker.9]]=5,0,"-")))))</f>
        <v>-</v>
      </c>
      <c r="DO26" s="73" t="str">
        <f>IF(NSi.TS[[#This Row],[Ped.9]]=1,100,IF(NSi.TS[[#This Row],[Ped.9]]=2,89,IF(NSi.TS[[#This Row],[Ped.9]]=3,79,IF(NSi.TS[[#This Row],[Ped.9]]=4,69,IF(NSi.TS[[#This Row],[Ped.9]]=5,0,"-")))))</f>
        <v>-</v>
      </c>
      <c r="DP26" s="73" t="str">
        <f>IF(NSi.TS[[#This Row],[Pro-A.9]]=1,100,IF(NSi.TS[[#This Row],[Pro-A.9]]=2,89,IF(NSi.TS[[#This Row],[Pro-A.9]]=3,79,IF(NSi.TS[[#This Row],[Pro-A.9]]=4,69,IF(NSi.TS[[#This Row],[Pro-A.9]]=5,0,"-")))))</f>
        <v>-</v>
      </c>
    </row>
    <row r="27" spans="1:120" ht="50.1" customHeight="1" x14ac:dyDescent="0.3">
      <c r="A27" s="85"/>
      <c r="B27" s="83"/>
      <c r="C27" s="84"/>
      <c r="D27" s="84"/>
      <c r="E27" s="84"/>
      <c r="F27" s="39" t="str">
        <f>IFERROR(ROUND(AVERAGE(CSCR[#This Row]),0),"")</f>
        <v/>
      </c>
      <c r="G27" s="41" t="s">
        <v>102</v>
      </c>
      <c r="H27" s="45" t="s">
        <v>102</v>
      </c>
      <c r="I27" s="45" t="s">
        <v>102</v>
      </c>
      <c r="J27" s="45" t="s">
        <v>102</v>
      </c>
      <c r="K27" s="45" t="s">
        <v>102</v>
      </c>
      <c r="L27" s="41" t="s">
        <v>102</v>
      </c>
      <c r="M27" s="45" t="s">
        <v>102</v>
      </c>
      <c r="N27" s="45" t="s">
        <v>102</v>
      </c>
      <c r="O27" s="45" t="s">
        <v>102</v>
      </c>
      <c r="P27" s="45" t="s">
        <v>102</v>
      </c>
      <c r="Q27" s="41" t="s">
        <v>102</v>
      </c>
      <c r="R27" s="45" t="s">
        <v>102</v>
      </c>
      <c r="S27" s="45" t="s">
        <v>102</v>
      </c>
      <c r="T27" s="45" t="s">
        <v>102</v>
      </c>
      <c r="U27" s="45" t="s">
        <v>102</v>
      </c>
      <c r="V27" s="41" t="s">
        <v>102</v>
      </c>
      <c r="W27" s="45" t="s">
        <v>102</v>
      </c>
      <c r="X27" s="45" t="s">
        <v>102</v>
      </c>
      <c r="Y27" s="45" t="s">
        <v>102</v>
      </c>
      <c r="Z27" s="45" t="s">
        <v>102</v>
      </c>
      <c r="AA27" s="41" t="s">
        <v>102</v>
      </c>
      <c r="AB27" s="45" t="s">
        <v>102</v>
      </c>
      <c r="AC27" s="45" t="s">
        <v>102</v>
      </c>
      <c r="AD27" s="45" t="s">
        <v>102</v>
      </c>
      <c r="AE27" s="45" t="s">
        <v>102</v>
      </c>
      <c r="AF27" s="41" t="s">
        <v>102</v>
      </c>
      <c r="AG27" s="45" t="s">
        <v>102</v>
      </c>
      <c r="AH27" s="45" t="s">
        <v>102</v>
      </c>
      <c r="AI27" s="45" t="s">
        <v>102</v>
      </c>
      <c r="AJ27" s="45" t="s">
        <v>102</v>
      </c>
      <c r="AK27" s="41" t="s">
        <v>102</v>
      </c>
      <c r="AL27" s="45" t="s">
        <v>102</v>
      </c>
      <c r="AM27" s="45" t="s">
        <v>102</v>
      </c>
      <c r="AN27" s="45" t="s">
        <v>102</v>
      </c>
      <c r="AO27" s="45" t="s">
        <v>102</v>
      </c>
      <c r="AP27" s="41" t="s">
        <v>102</v>
      </c>
      <c r="AQ27" s="45" t="s">
        <v>102</v>
      </c>
      <c r="AR27" s="45" t="s">
        <v>102</v>
      </c>
      <c r="AS27" s="45" t="s">
        <v>102</v>
      </c>
      <c r="AT27" s="45" t="s">
        <v>102</v>
      </c>
      <c r="AU27" s="41" t="s">
        <v>102</v>
      </c>
      <c r="AV27" s="45" t="s">
        <v>102</v>
      </c>
      <c r="AW27" s="45" t="s">
        <v>102</v>
      </c>
      <c r="AX27" s="45" t="s">
        <v>102</v>
      </c>
      <c r="AY27" s="45" t="s">
        <v>102</v>
      </c>
      <c r="BA27" s="10" t="str">
        <f>CONCATENATE(NSi.TS[[#This Row],[KU.1]],(IF(A.LoE[[#This Row],[LE.1]]="-","-",IF(A.LoE[[#This Row],[LE.1]]&gt;=90,1,IF(A.LoE[[#This Row],[LE.1]]&gt;=80,2,IF(A.LoE[[#This Row],[LE.1]]&gt;=70,3,IF(A.LoE[[#This Row],[LE.1]]&gt;=1,4,5)))))))</f>
        <v>--</v>
      </c>
      <c r="BB27" s="46" t="str">
        <f>CONCATENATE(NSi.TS[[#This Row],[KU.2]],(IF(A.LoE[[#This Row],[LE.2]]="-","-",IF(A.LoE[[#This Row],[LE.2]]&gt;=90,1,IF(A.LoE[[#This Row],[LE.2]]&gt;=80,2,IF(A.LoE[[#This Row],[LE.2]]&gt;=70,3,IF(A.LoE[[#This Row],[LE.2]]&gt;=1,4,5)))))))</f>
        <v>--</v>
      </c>
      <c r="BC27" s="46" t="str">
        <f>CONCATENATE(NSi.TS[[#This Row],[KU.3]],(IF(A.LoE[[#This Row],[LE.3]]="-","-",IF(A.LoE[[#This Row],[LE.3]]&gt;=90,1,IF(A.LoE[[#This Row],[LE.3]]&gt;=80,2,IF(A.LoE[[#This Row],[LE.3]]&gt;=70,3,IF(A.LoE[[#This Row],[LE.3]]&gt;=1,4,5)))))))</f>
        <v>--</v>
      </c>
      <c r="BD27" s="46" t="str">
        <f>CONCATENATE(NSi.TS[[#This Row],[KU.4]],(IF(A.LoE[[#This Row],[LE.4]]="-","-",IF(A.LoE[[#This Row],[LE.4]]&gt;=90,1,IF(A.LoE[[#This Row],[LE.4]]&gt;=80,2,IF(A.LoE[[#This Row],[LE.4]]&gt;=70,3,IF(A.LoE[[#This Row],[LE.4]]&gt;=1,4,5)))))))</f>
        <v>--</v>
      </c>
      <c r="BE27" s="46" t="str">
        <f>CONCATENATE(NSi.TS[[#This Row],[KU.5]],(IF(A.LoE[[#This Row],[LE.5]]="-","-",IF(A.LoE[[#This Row],[LE.5]]&gt;=90,1,IF(A.LoE[[#This Row],[LE.5]]&gt;=80,2,IF(A.LoE[[#This Row],[LE.5]]&gt;=70,3,IF(A.LoE[[#This Row],[LE.5]]&gt;=1,4,5)))))))</f>
        <v>--</v>
      </c>
      <c r="BF27" s="46" t="str">
        <f>CONCATENATE(NSi.TS[[#This Row],[KU.6]],(IF(A.LoE[[#This Row],[LE.6]]="-","-",IF(A.LoE[[#This Row],[LE.6]]&gt;=90,1,IF(A.LoE[[#This Row],[LE.6]]&gt;=80,2,IF(A.LoE[[#This Row],[LE.6]]&gt;=70,3,IF(A.LoE[[#This Row],[LE.6]]&gt;=1,4,5)))))))</f>
        <v>--</v>
      </c>
      <c r="BG27" s="46" t="str">
        <f>CONCATENATE(NSi.TS[[#This Row],[KU.7]],(IF(A.LoE[[#This Row],[LE.7]]="-","-",IF(A.LoE[[#This Row],[LE.7]]&gt;=90,1,IF(A.LoE[[#This Row],[LE.7]]&gt;=80,2,IF(A.LoE[[#This Row],[LE.7]]&gt;=70,3,IF(A.LoE[[#This Row],[LE.7]]&gt;=1,4,5)))))))</f>
        <v>--</v>
      </c>
      <c r="BH27" s="46" t="str">
        <f>CONCATENATE(NSi.TS[[#This Row],[KU.8]],(IF(A.LoE[[#This Row],[LE.8]]="-","-",IF(A.LoE[[#This Row],[LE.8]]&gt;=90,1,IF(A.LoE[[#This Row],[LE.8]]&gt;=80,2,IF(A.LoE[[#This Row],[LE.8]]&gt;=70,3,IF(A.LoE[[#This Row],[LE.8]]&gt;=1,4,5)))))))</f>
        <v>--</v>
      </c>
      <c r="BI27" s="38" t="str">
        <f>CONCATENATE(NSi.TS[[#This Row],[KU.9]],(IF(A.LoE[[#This Row],[LE.9]]="-","-",IF(A.LoE[[#This Row],[LE.9]]&gt;=90,1,IF(A.LoE[[#This Row],[LE.9]]&gt;=80,2,IF(A.LoE[[#This Row],[LE.9]]&gt;=70,3,IF(A.LoE[[#This Row],[LE.9]]&gt;=1,4,5)))))))</f>
        <v>--</v>
      </c>
      <c r="BK27" s="35" t="str">
        <f>IFERROR(ROUND(AVERAGE(Con.Sk[[#This Row],[TJ.1]:[Pro-A.1]]),0),"-")</f>
        <v>-</v>
      </c>
      <c r="BL27" s="24" t="str">
        <f>IFERROR(ROUND(AVERAGE(Con.Sk[[#This Row],[TJ.2]:[Pro-A.2]]),0),"-")</f>
        <v>-</v>
      </c>
      <c r="BM27" s="24" t="str">
        <f>IFERROR(ROUND(AVERAGE(Con.Sk[[#This Row],[TJ.3]:[Pro-A.3]]),0),"-")</f>
        <v>-</v>
      </c>
      <c r="BN27" s="24" t="str">
        <f>IFERROR(ROUND(AVERAGE(Con.Sk[[#This Row],[TJ.4]:[Pro-A.4]]),0),"-")</f>
        <v>-</v>
      </c>
      <c r="BO27" s="24" t="str">
        <f>IFERROR(ROUND(AVERAGE(Con.Sk[[#This Row],[TJ.5]:[Pro-A.5]]),0),"-")</f>
        <v>-</v>
      </c>
      <c r="BP27" s="24" t="str">
        <f>IFERROR(ROUND(AVERAGE(Con.Sk[[#This Row],[TJ.6]:[Pro-A.6]]),0),"-")</f>
        <v>-</v>
      </c>
      <c r="BQ27" s="24" t="str">
        <f>IFERROR(ROUND(AVERAGE(Con.Sk[[#This Row],[TJ.7]:[Pro-A.7]]),0),"-")</f>
        <v>-</v>
      </c>
      <c r="BR27" s="24" t="str">
        <f>IFERROR(ROUND(AVERAGE(Con.Sk[[#This Row],[TJ.8]:[Pro-A.8]]),0),"-")</f>
        <v>-</v>
      </c>
      <c r="BS27" s="25" t="str">
        <f>IFERROR(ROUND(AVERAGE(Con.Sk[[#This Row],[TJ.9]:[Pro-A.9]]),0),"-")</f>
        <v>-</v>
      </c>
      <c r="BU27" s="35" t="str">
        <f>IFERROR(ROUND(AVERAGE(Con.Sk[[#This Row],[KU.1]],Con.Sk[[#This Row],[KU.2]],Con.Sk[[#This Row],[KU.3]],Con.Sk[[#This Row],[KU.4]],Con.Sk[[#This Row],[KU.5]],Con.Sk[[#This Row],[KU.6]],Con.Sk[[#This Row],[KU.7]],Con.Sk[[#This Row],[KU.8]],Con.Sk[[#This Row],[KU.9]]),0),"")</f>
        <v/>
      </c>
      <c r="BV27" s="25" t="str">
        <f>IFERROR(ROUND(AVERAGE(Con.Sk[[#This Row],[TJ.1]:[Pro-A.1]],Con.Sk[[#This Row],[TJ.2]:[Pro-A.2]],Con.Sk[[#This Row],[TJ.3]:[Pro-A.3]],Con.Sk[[#This Row],[TJ.4]:[Pro-A.4]],Con.Sk[[#This Row],[TJ.5]:[Pro-A.5]],Con.Sk[[#This Row],[TJ.6]:[Pro-A.6]],Con.Sk[[#This Row],[TJ.7]:[Pro-A.7]],Con.Sk[[#This Row],[TJ.8]:[Pro-A.8]],Con.Sk[[#This Row],[TJ.9]:[Pro-A.9]]),0),"")</f>
        <v/>
      </c>
      <c r="BW27" s="3"/>
      <c r="BX27" s="75" t="str">
        <f>IF(NSi.TS[[#This Row],[KU.1]]="A",100,IF(NSi.TS[[#This Row],[KU.1]]="B",89,IF(NSi.TS[[#This Row],[KU.1]]="C",79,IF(NSi.TS[[#This Row],[KU.1]]="D",69,IF(NSi.TS[[#This Row],[KU.1]]="E",0,"-")))))</f>
        <v>-</v>
      </c>
      <c r="BY27" s="73" t="str">
        <f>IF(NSi.TS[[#This Row],[TJ.1]]=1,100,IF(NSi.TS[[#This Row],[TJ.1]]=2,89,IF(NSi.TS[[#This Row],[TJ.1]]=3,79,IF(NSi.TS[[#This Row],[TJ.1]]=4,69,IF(NSi.TS[[#This Row],[TJ.1]]=5,0,"-")))))</f>
        <v>-</v>
      </c>
      <c r="BZ27" s="73" t="str">
        <f>IF(NSi.TS[[#This Row],[Ker.1]]=1,100,IF(NSi.TS[[#This Row],[Ker.1]]=2,89,IF(NSi.TS[[#This Row],[Ker.1]]=3,79,IF(NSi.TS[[#This Row],[Ker.1]]=4,69,IF(NSi.TS[[#This Row],[Ker.1]]=5,0,"-")))))</f>
        <v>-</v>
      </c>
      <c r="CA27" s="73" t="str">
        <f>IF(NSi.TS[[#This Row],[Ped.1]]=1,100,IF(NSi.TS[[#This Row],[Ped.1]]=2,89,IF(NSi.TS[[#This Row],[Ped.1]]=3,79,IF(NSi.TS[[#This Row],[Ped.1]]=4,69,IF(NSi.TS[[#This Row],[Ped.1]]=5,0,"-")))))</f>
        <v>-</v>
      </c>
      <c r="CB27" s="73" t="str">
        <f>IF(NSi.TS[[#This Row],[Pro-A.1]]=1,100,IF(NSi.TS[[#This Row],[Pro-A.1]]=2,89,IF(NSi.TS[[#This Row],[Pro-A.1]]=3,79,IF(NSi.TS[[#This Row],[Pro-A.1]]=4,69,IF(NSi.TS[[#This Row],[Pro-A.1]]=5,0,"-")))))</f>
        <v>-</v>
      </c>
      <c r="CC27" s="73" t="str">
        <f>IF(NSi.TS[[#This Row],[KU.2]]="A",100,IF(NSi.TS[[#This Row],[KU.2]]="B",89,IF(NSi.TS[[#This Row],[KU.2]]="C",79,IF(NSi.TS[[#This Row],[KU.2]]="D",69,IF(NSi.TS[[#This Row],[KU.2]]="E",0,"-")))))</f>
        <v>-</v>
      </c>
      <c r="CD27" s="73" t="str">
        <f>IF(NSi.TS[[#This Row],[TJ.2]]=1,100,IF(NSi.TS[[#This Row],[TJ.2]]=2,89,IF(NSi.TS[[#This Row],[TJ.2]]=3,79,IF(NSi.TS[[#This Row],[TJ.2]]=4,69,IF(NSi.TS[[#This Row],[TJ.2]]=5,0,"-")))))</f>
        <v>-</v>
      </c>
      <c r="CE27" s="73" t="str">
        <f>IF(NSi.TS[[#This Row],[Ker.2]]=1,100,IF(NSi.TS[[#This Row],[Ker.2]]=2,89,IF(NSi.TS[[#This Row],[Ker.2]]=3,79,IF(NSi.TS[[#This Row],[Ker.2]]=4,69,IF(NSi.TS[[#This Row],[Ker.2]]=5,0,"-")))))</f>
        <v>-</v>
      </c>
      <c r="CF27" s="73" t="str">
        <f>IF(NSi.TS[[#This Row],[Ped.2]]=1,100,IF(NSi.TS[[#This Row],[Ped.2]]=2,89,IF(NSi.TS[[#This Row],[Ped.2]]=3,79,IF(NSi.TS[[#This Row],[Ped.2]]=4,69,IF(NSi.TS[[#This Row],[Ped.2]]=5,0,"-")))))</f>
        <v>-</v>
      </c>
      <c r="CG27" s="73" t="str">
        <f>IF(NSi.TS[[#This Row],[Pro-A.2]]=1,100,IF(NSi.TS[[#This Row],[Pro-A.2]]=2,89,IF(NSi.TS[[#This Row],[Pro-A.2]]=3,79,IF(NSi.TS[[#This Row],[Pro-A.2]]=4,69,IF(NSi.TS[[#This Row],[Pro-A.2]]=5,0,"-")))))</f>
        <v>-</v>
      </c>
      <c r="CH27" s="76" t="str">
        <f>IF(NSi.TS[[#This Row],[KU.3]]="A",100,IF(NSi.TS[[#This Row],[KU.3]]="B",89,IF(NSi.TS[[#This Row],[KU.3]]="C",79,IF(NSi.TS[[#This Row],[KU.3]]="D",69,IF(NSi.TS[[#This Row],[KU.3]]="E",0,"-")))))</f>
        <v>-</v>
      </c>
      <c r="CI27" s="73" t="str">
        <f>IF(NSi.TS[[#This Row],[TJ.3]]=1,100,IF(NSi.TS[[#This Row],[TJ.3]]=2,89,IF(NSi.TS[[#This Row],[TJ.3]]=3,79,IF(NSi.TS[[#This Row],[TJ.3]]=4,69,IF(NSi.TS[[#This Row],[TJ.3]]=5,0,"-")))))</f>
        <v>-</v>
      </c>
      <c r="CJ27" s="73" t="str">
        <f>IF(NSi.TS[[#This Row],[Ker.3]]=1,100,IF(NSi.TS[[#This Row],[Ker.3]]=2,89,IF(NSi.TS[[#This Row],[Ker.3]]=3,79,IF(NSi.TS[[#This Row],[Ker.3]]=4,69,IF(NSi.TS[[#This Row],[Ker.3]]=5,0,"-")))))</f>
        <v>-</v>
      </c>
      <c r="CK27" s="73" t="str">
        <f>IF(NSi.TS[[#This Row],[Ped.3]]=1,100,IF(NSi.TS[[#This Row],[Ped.3]]=2,89,IF(NSi.TS[[#This Row],[Ped.3]]=3,79,IF(NSi.TS[[#This Row],[Ped.3]]=4,69,IF(NSi.TS[[#This Row],[Ped.3]]=5,0,"-")))))</f>
        <v>-</v>
      </c>
      <c r="CL27" s="73" t="str">
        <f>IF(NSi.TS[[#This Row],[Pro-A.3]]=1,100,IF(NSi.TS[[#This Row],[Pro-A.3]]=2,89,IF(NSi.TS[[#This Row],[Pro-A.3]]=3,79,IF(NSi.TS[[#This Row],[Pro-A.3]]=4,69,IF(NSi.TS[[#This Row],[Pro-A.3]]=5,0,"-")))))</f>
        <v>-</v>
      </c>
      <c r="CM27" s="76" t="str">
        <f>IF(NSi.TS[[#This Row],[KU.4]]="A",100,IF(NSi.TS[[#This Row],[KU.4]]="B",89,IF(NSi.TS[[#This Row],[KU.4]]="C",79,IF(NSi.TS[[#This Row],[KU.4]]="D",69,IF(NSi.TS[[#This Row],[KU.4]]="E",0,"-")))))</f>
        <v>-</v>
      </c>
      <c r="CN27" s="73" t="str">
        <f>IF(NSi.TS[[#This Row],[TJ.4]]=1,100,IF(NSi.TS[[#This Row],[TJ.4]]=2,89,IF(NSi.TS[[#This Row],[TJ.4]]=3,79,IF(NSi.TS[[#This Row],[TJ.4]]=4,69,IF(NSi.TS[[#This Row],[TJ.4]]=5,0,"-")))))</f>
        <v>-</v>
      </c>
      <c r="CO27" s="73" t="str">
        <f>IF(NSi.TS[[#This Row],[Ker.4]]=1,100,IF(NSi.TS[[#This Row],[Ker.4]]=2,89,IF(NSi.TS[[#This Row],[Ker.4]]=3,79,IF(NSi.TS[[#This Row],[Ker.4]]=4,69,IF(NSi.TS[[#This Row],[Ker.4]]=5,0,"-")))))</f>
        <v>-</v>
      </c>
      <c r="CP27" s="73" t="str">
        <f>IF(NSi.TS[[#This Row],[Ped.4]]=1,100,IF(NSi.TS[[#This Row],[Ped.4]]=2,89,IF(NSi.TS[[#This Row],[Ped.4]]=3,79,IF(NSi.TS[[#This Row],[Ped.4]]=4,69,IF(NSi.TS[[#This Row],[Ped.4]]=5,0,"-")))))</f>
        <v>-</v>
      </c>
      <c r="CQ27" s="73" t="str">
        <f>IF(NSi.TS[[#This Row],[Pro-A.4]]=1,100,IF(NSi.TS[[#This Row],[Pro-A.4]]=2,89,IF(NSi.TS[[#This Row],[Pro-A.4]]=3,79,IF(NSi.TS[[#This Row],[Pro-A.4]]=4,69,IF(NSi.TS[[#This Row],[Pro-A.4]]=5,0,"-")))))</f>
        <v>-</v>
      </c>
      <c r="CR27" s="76" t="str">
        <f>IF(NSi.TS[[#This Row],[KU.5]]="A",100,IF(NSi.TS[[#This Row],[KU.5]]="B",89,IF(NSi.TS[[#This Row],[KU.5]]="C",79,IF(NSi.TS[[#This Row],[KU.5]]="D",69,IF(NSi.TS[[#This Row],[KU.5]]="E",0,"-")))))</f>
        <v>-</v>
      </c>
      <c r="CS27" s="73" t="str">
        <f>IF(NSi.TS[[#This Row],[TJ.5]]=1,100,IF(NSi.TS[[#This Row],[TJ.5]]=2,89,IF(NSi.TS[[#This Row],[TJ.5]]=3,79,IF(NSi.TS[[#This Row],[TJ.5]]=4,69,IF(NSi.TS[[#This Row],[TJ.5]]=5,0,"-")))))</f>
        <v>-</v>
      </c>
      <c r="CT27" s="73" t="str">
        <f>IF(NSi.TS[[#This Row],[Ker.5]]=1,100,IF(NSi.TS[[#This Row],[Ker.5]]=2,89,IF(NSi.TS[[#This Row],[Ker.5]]=3,79,IF(NSi.TS[[#This Row],[Ker.5]]=4,69,IF(NSi.TS[[#This Row],[Ker.5]]=5,0,"-")))))</f>
        <v>-</v>
      </c>
      <c r="CU27" s="73" t="str">
        <f>IF(NSi.TS[[#This Row],[Ped.5]]=1,100,IF(NSi.TS[[#This Row],[Ped.5]]=2,89,IF(NSi.TS[[#This Row],[Ped.5]]=3,79,IF(NSi.TS[[#This Row],[Ped.5]]=4,69,IF(NSi.TS[[#This Row],[Ped.5]]=5,0,"-")))))</f>
        <v>-</v>
      </c>
      <c r="CV27" s="73" t="str">
        <f>IF(NSi.TS[[#This Row],[Pro-A.5]]=1,100,IF(NSi.TS[[#This Row],[Pro-A.5]]=2,89,IF(NSi.TS[[#This Row],[Pro-A.5]]=3,79,IF(NSi.TS[[#This Row],[Pro-A.5]]=4,69,IF(NSi.TS[[#This Row],[Pro-A.5]]=5,0,"-")))))</f>
        <v>-</v>
      </c>
      <c r="CW27" s="76" t="str">
        <f>IF(NSi.TS[[#This Row],[KU.6]]="A",100,IF(NSi.TS[[#This Row],[KU.6]]="B",89,IF(NSi.TS[[#This Row],[KU.6]]="C",79,IF(NSi.TS[[#This Row],[KU.6]]="D",69,IF(NSi.TS[[#This Row],[KU.6]]="E",0,"-")))))</f>
        <v>-</v>
      </c>
      <c r="CX27" s="73" t="str">
        <f>IF(NSi.TS[[#This Row],[TJ.6]]=1,100,IF(NSi.TS[[#This Row],[TJ.6]]=2,89,IF(NSi.TS[[#This Row],[TJ.6]]=3,79,IF(NSi.TS[[#This Row],[TJ.6]]=4,69,IF(NSi.TS[[#This Row],[TJ.6]]=5,0,"-")))))</f>
        <v>-</v>
      </c>
      <c r="CY27" s="73" t="str">
        <f>IF(NSi.TS[[#This Row],[Ker.6]]=1,100,IF(NSi.TS[[#This Row],[Ker.6]]=2,89,IF(NSi.TS[[#This Row],[Ker.6]]=3,79,IF(NSi.TS[[#This Row],[Ker.6]]=4,69,IF(NSi.TS[[#This Row],[Ker.6]]=5,0,"-")))))</f>
        <v>-</v>
      </c>
      <c r="CZ27" s="73" t="str">
        <f>IF(NSi.TS[[#This Row],[Ped.6]]=1,100,IF(NSi.TS[[#This Row],[Ped.6]]=2,89,IF(NSi.TS[[#This Row],[Ped.6]]=3,79,IF(NSi.TS[[#This Row],[Ped.6]]=4,69,IF(NSi.TS[[#This Row],[Ped.6]]=5,0,"-")))))</f>
        <v>-</v>
      </c>
      <c r="DA27" s="73" t="str">
        <f>IF(NSi.TS[[#This Row],[Pro-A.6]]=1,100,IF(NSi.TS[[#This Row],[Pro-A.6]]=2,89,IF(NSi.TS[[#This Row],[Pro-A.6]]=3,79,IF(NSi.TS[[#This Row],[Pro-A.6]]=4,69,IF(NSi.TS[[#This Row],[Pro-A.6]]=5,0,"-")))))</f>
        <v>-</v>
      </c>
      <c r="DB27" s="76" t="str">
        <f>IF(NSi.TS[[#This Row],[KU.7]]="A",100,IF(NSi.TS[[#This Row],[KU.7]]="B",89,IF(NSi.TS[[#This Row],[KU.7]]="C",79,IF(NSi.TS[[#This Row],[KU.7]]="D",69,IF(NSi.TS[[#This Row],[KU.7]]="E",0,"-")))))</f>
        <v>-</v>
      </c>
      <c r="DC27" s="73" t="str">
        <f>IF(NSi.TS[[#This Row],[TJ.7]]=1,100,IF(NSi.TS[[#This Row],[TJ.7]]=2,89,IF(NSi.TS[[#This Row],[TJ.7]]=3,79,IF(NSi.TS[[#This Row],[TJ.7]]=4,69,IF(NSi.TS[[#This Row],[TJ.7]]=5,0,"-")))))</f>
        <v>-</v>
      </c>
      <c r="DD27" s="73" t="str">
        <f>IF(NSi.TS[[#This Row],[Ker.7]]=1,100,IF(NSi.TS[[#This Row],[Ker.7]]=2,89,IF(NSi.TS[[#This Row],[Ker.7]]=3,79,IF(NSi.TS[[#This Row],[Ker.7]]=4,69,IF(NSi.TS[[#This Row],[Ker.7]]=5,0,"-")))))</f>
        <v>-</v>
      </c>
      <c r="DE27" s="73" t="str">
        <f>IF(NSi.TS[[#This Row],[Ped.7]]=1,100,IF(NSi.TS[[#This Row],[Ped.7]]=2,89,IF(NSi.TS[[#This Row],[Ped.7]]=3,79,IF(NSi.TS[[#This Row],[Ped.7]]=4,69,IF(NSi.TS[[#This Row],[Ped.7]]=5,0,"-")))))</f>
        <v>-</v>
      </c>
      <c r="DF27" s="73" t="str">
        <f>IF(NSi.TS[[#This Row],[Pro-A.7]]=1,100,IF(NSi.TS[[#This Row],[Pro-A.7]]=2,89,IF(NSi.TS[[#This Row],[Pro-A.7]]=3,79,IF(NSi.TS[[#This Row],[Pro-A.7]]=4,69,IF(NSi.TS[[#This Row],[Pro-A.7]]=5,0,"-")))))</f>
        <v>-</v>
      </c>
      <c r="DG27" s="76" t="str">
        <f>IF(NSi.TS[[#This Row],[KU.8]]="A",100,IF(NSi.TS[[#This Row],[KU.8]]="B",89,IF(NSi.TS[[#This Row],[KU.8]]="C",79,IF(NSi.TS[[#This Row],[KU.8]]="D",69,IF(NSi.TS[[#This Row],[KU.8]]="E",0,"-")))))</f>
        <v>-</v>
      </c>
      <c r="DH27" s="73" t="str">
        <f>IF(NSi.TS[[#This Row],[TJ.8]]=1,100,IF(NSi.TS[[#This Row],[TJ.8]]=2,89,IF(NSi.TS[[#This Row],[TJ.8]]=3,79,IF(NSi.TS[[#This Row],[TJ.8]]=4,69,IF(NSi.TS[[#This Row],[TJ.8]]=5,0,"-")))))</f>
        <v>-</v>
      </c>
      <c r="DI27" s="73" t="str">
        <f>IF(NSi.TS[[#This Row],[Ker.8]]=1,100,IF(NSi.TS[[#This Row],[Ker.8]]=2,89,IF(NSi.TS[[#This Row],[Ker.8]]=3,79,IF(NSi.TS[[#This Row],[Ker.8]]=4,69,IF(NSi.TS[[#This Row],[Ker.8]]=5,0,"-")))))</f>
        <v>-</v>
      </c>
      <c r="DJ27" s="73" t="str">
        <f>IF(NSi.TS[[#This Row],[Ped.8]]=1,100,IF(NSi.TS[[#This Row],[Ped.8]]=2,89,IF(NSi.TS[[#This Row],[Ped.8]]=3,79,IF(NSi.TS[[#This Row],[Ped.8]]=4,69,IF(NSi.TS[[#This Row],[Ped.8]]=5,0,"-")))))</f>
        <v>-</v>
      </c>
      <c r="DK27" s="73" t="str">
        <f>IF(NSi.TS[[#This Row],[Pro-A.8]]=1,100,IF(NSi.TS[[#This Row],[Pro-A.8]]=2,89,IF(NSi.TS[[#This Row],[Pro-A.8]]=3,79,IF(NSi.TS[[#This Row],[Pro-A.8]]=4,69,IF(NSi.TS[[#This Row],[Pro-A.8]]=5,0,"-")))))</f>
        <v>-</v>
      </c>
      <c r="DL27" s="76" t="str">
        <f>IF(NSi.TS[[#This Row],[KU.9]]="A",100,IF(NSi.TS[[#This Row],[KU.9]]="B",89,IF(NSi.TS[[#This Row],[KU.9]]="C",79,IF(NSi.TS[[#This Row],[KU.9]]="D",69,IF(NSi.TS[[#This Row],[KU.9]]="E",0,"-")))))</f>
        <v>-</v>
      </c>
      <c r="DM27" s="73" t="str">
        <f>IF(NSi.TS[[#This Row],[TJ.9]]=1,100,IF(NSi.TS[[#This Row],[TJ.9]]=2,89,IF(NSi.TS[[#This Row],[TJ.9]]=3,79,IF(NSi.TS[[#This Row],[TJ.9]]=4,69,IF(NSi.TS[[#This Row],[TJ.9]]=5,0,"-")))))</f>
        <v>-</v>
      </c>
      <c r="DN27" s="73" t="str">
        <f>IF(NSi.TS[[#This Row],[Ker.9]]=1,100,IF(NSi.TS[[#This Row],[Ker.9]]=2,89,IF(NSi.TS[[#This Row],[Ker.9]]=3,79,IF(NSi.TS[[#This Row],[Ker.9]]=4,69,IF(NSi.TS[[#This Row],[Ker.9]]=5,0,"-")))))</f>
        <v>-</v>
      </c>
      <c r="DO27" s="73" t="str">
        <f>IF(NSi.TS[[#This Row],[Ped.9]]=1,100,IF(NSi.TS[[#This Row],[Ped.9]]=2,89,IF(NSi.TS[[#This Row],[Ped.9]]=3,79,IF(NSi.TS[[#This Row],[Ped.9]]=4,69,IF(NSi.TS[[#This Row],[Ped.9]]=5,0,"-")))))</f>
        <v>-</v>
      </c>
      <c r="DP27" s="73" t="str">
        <f>IF(NSi.TS[[#This Row],[Pro-A.9]]=1,100,IF(NSi.TS[[#This Row],[Pro-A.9]]=2,89,IF(NSi.TS[[#This Row],[Pro-A.9]]=3,79,IF(NSi.TS[[#This Row],[Pro-A.9]]=4,69,IF(NSi.TS[[#This Row],[Pro-A.9]]=5,0,"-")))))</f>
        <v>-</v>
      </c>
    </row>
  </sheetData>
  <sheetProtection selectLockedCells="1"/>
  <dataConsolidate/>
  <mergeCells count="10">
    <mergeCell ref="AG1:AJ1"/>
    <mergeCell ref="AL1:AO1"/>
    <mergeCell ref="AQ1:AT1"/>
    <mergeCell ref="AV1:AY1"/>
    <mergeCell ref="A1:F1"/>
    <mergeCell ref="H1:K1"/>
    <mergeCell ref="M1:P1"/>
    <mergeCell ref="R1:U1"/>
    <mergeCell ref="W1:Z1"/>
    <mergeCell ref="AB1:AE1"/>
  </mergeCells>
  <conditionalFormatting sqref="E3:E12">
    <cfRule type="containsText" dxfId="404" priority="1" operator="containsText" text="IPS">
      <formula>NOT(ISERROR(SEARCH("IPS",E3)))</formula>
    </cfRule>
    <cfRule type="containsText" dxfId="403" priority="2" operator="containsText" text="IPA">
      <formula>NOT(ISERROR(SEARCH("IPA",E3)))</formula>
    </cfRule>
  </conditionalFormatting>
  <dataValidations count="9">
    <dataValidation allowBlank="1" showInputMessage="1" showErrorMessage="1" prompt="Isilah dengan tanggal pengisian" sqref="H1:K1 M1:P1 R1:U1 W1:Z1 AB1:AE1 AG1:AJ1 AL1:AO1 AQ1:AT1 AV1:AY1" xr:uid="{7BD69251-75A4-42C6-8A71-CD7EA8E91EC9}"/>
    <dataValidation type="list" showInputMessage="1" showErrorMessage="1" promptTitle="Knowledge &amp; Understanding" prompt="A = Excellent_x000a_B = Good_x000a_C = Satisfactory_x000a_D = Poor_x000a_E = No Understanding" sqref="L3:L27 Q3:Q27 V3:V27 AA3:AA27 AF3:AF27 AK3:AK27 AP3:AP27 AU3:AU27 G3:G27" xr:uid="{4F310341-C904-4714-8FA2-ECE7CF2AE0E4}">
      <formula1>"-, A, B, C, D, E"</formula1>
    </dataValidation>
    <dataValidation allowBlank="1" showInputMessage="1" showErrorMessage="1" prompt="Nilai Sikap Tengah Semester" sqref="F3:F27" xr:uid="{2540D90D-7E19-4EA6-86EC-B17E0061A4B5}"/>
    <dataValidation allowBlank="1" showInputMessage="1" showErrorMessage="1" prompt="Nilai Weekly Report Cambridge untuk Mid Semester" sqref="BA3:BI27" xr:uid="{F14C688E-899C-4777-946B-202081995AAF}"/>
    <dataValidation type="list" showInputMessage="1" showErrorMessage="1" promptTitle="Level of Effort (Pro-Aktif)" prompt="1 = Excellent Effort_x000a_2 = Good Effort_x000a_3 = Satisfactory Effort_x000a_4 = Poor Effort_x000a_5 = No Effort" sqref="K3:K27 P3:P27 U3:U27 Z3:Z27 AE3:AE27 AJ3:AJ27 AO3:AO27 AT3:AT27 AY3:AY27" xr:uid="{C6ED2806-CCFF-4963-A1F3-AACBD85EA8C8}">
      <formula1>"-, 1, 2, 3, 4, 5"</formula1>
    </dataValidation>
    <dataValidation type="list" showInputMessage="1" showErrorMessage="1" promptTitle="Level of Effort (Peduli)" prompt="1 = Excellent Effort_x000a_2 = Good Effort_x000a_3 = Satisfactory Effort_x000a_4 = Poor Effort_x000a_5 = No Effort" sqref="J3:J27 O3:O27 T3:T27 Y3:Y27 AD3:AD27 AI3:AI27 AN3:AN27 AS3:AS27 AX3:AX27" xr:uid="{5390413C-A5AD-4076-A286-FB39D54D665A}">
      <formula1>"-, 1, 2, 3, 4, 5"</formula1>
    </dataValidation>
    <dataValidation type="list" showInputMessage="1" showErrorMessage="1" promptTitle="Level of Effort (Kerjasama)" prompt="1 = Excellent Effort_x000a_2 = Good Effort_x000a_3 = Satisfactory Effort_x000a_4 = Poor Effort_x000a_5 = No Effort" sqref="I3:I27 N3:N27 S3:S27 X3:X27 AC3:AC27 AH3:AH27 AM3:AM27 AR3:AR27 AW3:AW27" xr:uid="{147BE478-F1A6-41CA-AF1E-9BACF6674DA6}">
      <formula1>"-, 1, 2, 3, 4, 5"</formula1>
    </dataValidation>
    <dataValidation type="list" showInputMessage="1" showErrorMessage="1" promptTitle="Level of Effort (Tanggung Jawab)" prompt="1 = Excellent Effort_x000a_2 = Good Effort_x000a_3 = Satisfactory Effort_x000a_4 = Poor Effort_x000a_5 = No Effort" sqref="H3:H27 M3:M27 R3:R27 W3:W27 AB3:AB27 AG3:AG27 AL3:AL27 AQ3:AQ27 AV3:AV27" xr:uid="{693BDFA3-1259-4271-854F-858B9C05F225}">
      <formula1>"-, 1, 2, 3, 4, 5"</formula1>
    </dataValidation>
    <dataValidation allowBlank="1" showInputMessage="1" showErrorMessage="1" prompt="Diisi dengan mata pelajaran" sqref="A1:F1" xr:uid="{43B26625-AB38-4DB0-9341-1B6F5E26DA12}"/>
  </dataValidations>
  <pageMargins left="0.7" right="0.7" top="0.75" bottom="0.75" header="0.3" footer="0.3"/>
  <pageSetup orientation="portrait" horizontalDpi="360" verticalDpi="360" r:id="rId1"/>
  <tableParts count="5">
    <tablePart r:id="rId2"/>
    <tablePart r:id="rId3"/>
    <tablePart r:id="rId4"/>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6299A-454E-4DBB-A414-F6B728865413}">
  <sheetPr>
    <tabColor theme="7" tint="0.59999389629810485"/>
  </sheetPr>
  <dimension ref="A1:Y28"/>
  <sheetViews>
    <sheetView showGridLines="0" topLeftCell="D9" zoomScale="85" zoomScaleNormal="85" workbookViewId="0">
      <selection activeCell="P13" sqref="P4:P13"/>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21" width="12.21875" style="3" bestFit="1" customWidth="1"/>
    <col min="22" max="22" width="13.44140625" style="3" bestFit="1" customWidth="1"/>
    <col min="23" max="23" width="9" style="3" bestFit="1" customWidth="1"/>
    <col min="24" max="24" width="12.77734375" style="3" bestFit="1" customWidth="1"/>
    <col min="25" max="25" width="14.21875" style="3" bestFit="1" customWidth="1"/>
    <col min="26" max="16384" width="9.21875" style="3"/>
  </cols>
  <sheetData>
    <row r="1" spans="1:25" x14ac:dyDescent="0.3">
      <c r="A1" s="79"/>
      <c r="B1" s="79"/>
      <c r="C1" s="79"/>
      <c r="D1" s="79"/>
      <c r="E1" s="79"/>
      <c r="P1" s="100" t="s">
        <v>103</v>
      </c>
      <c r="Q1" s="100"/>
      <c r="R1" s="100"/>
      <c r="S1" s="100"/>
      <c r="T1" s="100"/>
      <c r="U1" s="100"/>
    </row>
    <row r="2" spans="1:25" x14ac:dyDescent="0.3">
      <c r="A2" s="79"/>
      <c r="B2" s="79"/>
      <c r="C2" s="79"/>
      <c r="D2" s="79"/>
      <c r="E2" s="79"/>
      <c r="F2" s="99" t="s">
        <v>104</v>
      </c>
      <c r="G2" s="99"/>
      <c r="H2" s="99"/>
      <c r="I2" s="99"/>
      <c r="J2" s="99"/>
      <c r="K2" s="99"/>
      <c r="L2" s="99"/>
      <c r="M2" s="99"/>
      <c r="N2" s="99"/>
      <c r="O2" s="99"/>
      <c r="P2" s="17">
        <v>100</v>
      </c>
      <c r="Q2" s="17">
        <v>0</v>
      </c>
      <c r="R2" s="17">
        <v>0</v>
      </c>
      <c r="S2" s="18">
        <v>1</v>
      </c>
      <c r="T2" s="18">
        <v>0</v>
      </c>
      <c r="U2" s="18">
        <v>0</v>
      </c>
      <c r="V2" s="99" t="s">
        <v>105</v>
      </c>
      <c r="W2" s="99"/>
      <c r="X2" s="99"/>
      <c r="Y2" s="99"/>
    </row>
    <row r="3" spans="1:25" x14ac:dyDescent="0.3">
      <c r="A3" s="1" t="s">
        <v>31</v>
      </c>
      <c r="B3" s="2" t="s">
        <v>32</v>
      </c>
      <c r="C3" s="2" t="s">
        <v>33</v>
      </c>
      <c r="D3" s="2" t="s">
        <v>34</v>
      </c>
      <c r="E3" s="2" t="s">
        <v>35</v>
      </c>
      <c r="F3" s="4" t="s">
        <v>106</v>
      </c>
      <c r="G3" s="4" t="s">
        <v>107</v>
      </c>
      <c r="H3" s="4" t="s">
        <v>108</v>
      </c>
      <c r="I3" s="4" t="s">
        <v>109</v>
      </c>
      <c r="J3" s="4" t="s">
        <v>110</v>
      </c>
      <c r="K3" s="4" t="s">
        <v>111</v>
      </c>
      <c r="L3" s="4" t="s">
        <v>112</v>
      </c>
      <c r="M3" s="4" t="s">
        <v>113</v>
      </c>
      <c r="N3" s="4" t="s">
        <v>114</v>
      </c>
      <c r="O3" s="4" t="s">
        <v>115</v>
      </c>
      <c r="P3" s="6" t="s">
        <v>116</v>
      </c>
      <c r="Q3" s="6" t="s">
        <v>117</v>
      </c>
      <c r="R3" s="6" t="s">
        <v>118</v>
      </c>
      <c r="S3" s="5" t="s">
        <v>119</v>
      </c>
      <c r="T3" s="5" t="s">
        <v>120</v>
      </c>
      <c r="U3" s="5" t="s">
        <v>121</v>
      </c>
      <c r="V3" s="4" t="s">
        <v>122</v>
      </c>
      <c r="W3" s="12" t="s">
        <v>123</v>
      </c>
      <c r="X3" s="13" t="s">
        <v>124</v>
      </c>
      <c r="Y3" s="7" t="s">
        <v>125</v>
      </c>
    </row>
    <row r="4" spans="1:25"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15">
        <f ca="1">RANDBETWEEN(75, 100)</f>
        <v>98</v>
      </c>
      <c r="G4" s="15">
        <f t="shared" ref="G4:P13" ca="1" si="0">RANDBETWEEN(75, 100)</f>
        <v>93</v>
      </c>
      <c r="H4" s="15">
        <f t="shared" ca="1" si="0"/>
        <v>93</v>
      </c>
      <c r="I4" s="15">
        <f t="shared" ca="1" si="0"/>
        <v>98</v>
      </c>
      <c r="J4" s="15">
        <f t="shared" ca="1" si="0"/>
        <v>80</v>
      </c>
      <c r="K4" s="15">
        <f t="shared" ca="1" si="0"/>
        <v>83</v>
      </c>
      <c r="L4" s="15">
        <f t="shared" ca="1" si="0"/>
        <v>76</v>
      </c>
      <c r="M4" s="15">
        <f t="shared" ca="1" si="0"/>
        <v>99</v>
      </c>
      <c r="N4" s="15">
        <f t="shared" ca="1" si="0"/>
        <v>80</v>
      </c>
      <c r="O4" s="15">
        <f t="shared" ca="1" si="0"/>
        <v>95</v>
      </c>
      <c r="P4" s="16">
        <f t="shared" ca="1" si="0"/>
        <v>98</v>
      </c>
      <c r="Q4" s="16"/>
      <c r="R4" s="16"/>
      <c r="S4" s="9">
        <f ca="1">IFERROR(ROUND((Mid.S[[#This Row],[Paper 1]]/$P$2*100)*$S$2,0),"")</f>
        <v>98</v>
      </c>
      <c r="T4" s="9"/>
      <c r="U4" s="9"/>
      <c r="V4" s="8">
        <f ca="1">IFERROR(ROUND(AVERAGE(Mid.S[[#This Row],[NP 1]:[NP 10]]),0),"")</f>
        <v>90</v>
      </c>
      <c r="W4" s="9">
        <f ca="1">IFERROR(IF(SUM(Mid.S[[#This Row],[Nilai P1]:[Nilai P3]])=0,"",SUM(Mid.S[[#This Row],[Nilai P1]:[Nilai P3]])),"")</f>
        <v>98</v>
      </c>
      <c r="X4" s="14">
        <f ca="1">IFERROR(ROUND(((Mid.S[[#This Row],[NTS]]*2)+(Mid.S[[#This Row],[Rata2 NP]]*3))/5,0),"")</f>
        <v>93</v>
      </c>
      <c r="Y4" s="11" t="str">
        <f ca="1">IF(Mid.S[[#This Row],[NRap.TS]]="","Belum Terukur",IF(Mid.S[[#This Row],[NRap.TS]]&gt;=92,"A",IF(Mid.S[[#This Row],[NRap.TS]]&gt;=83,"B",IF(Mid.S[[#This Row],[NRap.TS]]&gt;=75,"C","D"))))</f>
        <v>A</v>
      </c>
    </row>
    <row r="5" spans="1:25"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15">
        <f t="shared" ref="F5:F13" ca="1" si="1">RANDBETWEEN(75, 100)</f>
        <v>81</v>
      </c>
      <c r="G5" s="15">
        <f t="shared" ca="1" si="0"/>
        <v>81</v>
      </c>
      <c r="H5" s="15">
        <f t="shared" ca="1" si="0"/>
        <v>94</v>
      </c>
      <c r="I5" s="15">
        <f t="shared" ca="1" si="0"/>
        <v>82</v>
      </c>
      <c r="J5" s="15">
        <f t="shared" ca="1" si="0"/>
        <v>98</v>
      </c>
      <c r="K5" s="15">
        <f t="shared" ca="1" si="0"/>
        <v>76</v>
      </c>
      <c r="L5" s="15">
        <f t="shared" ca="1" si="0"/>
        <v>99</v>
      </c>
      <c r="M5" s="15">
        <f t="shared" ca="1" si="0"/>
        <v>77</v>
      </c>
      <c r="N5" s="15">
        <f t="shared" ca="1" si="0"/>
        <v>82</v>
      </c>
      <c r="O5" s="15">
        <f t="shared" ca="1" si="0"/>
        <v>94</v>
      </c>
      <c r="P5" s="16">
        <f t="shared" ca="1" si="0"/>
        <v>98</v>
      </c>
      <c r="Q5" s="16"/>
      <c r="R5" s="16"/>
      <c r="S5" s="9">
        <f ca="1">IFERROR(ROUND((Mid.S[[#This Row],[Paper 1]]/$P$2*100)*$S$2,0),"")</f>
        <v>98</v>
      </c>
      <c r="T5" s="9"/>
      <c r="U5" s="9"/>
      <c r="V5" s="8">
        <f ca="1">IFERROR(ROUND(AVERAGE(Mid.S[[#This Row],[NP 1]:[NP 10]]),0),"")</f>
        <v>86</v>
      </c>
      <c r="W5" s="9">
        <f ca="1">IFERROR(IF(SUM(Mid.S[[#This Row],[Nilai P1]:[Nilai P3]])=0,"",SUM(Mid.S[[#This Row],[Nilai P1]:[Nilai P3]])),"")</f>
        <v>98</v>
      </c>
      <c r="X5" s="14">
        <f ca="1">IFERROR(ROUND(((Mid.S[[#This Row],[NTS]]*2)+(Mid.S[[#This Row],[Rata2 NP]]*3))/5,0),"")</f>
        <v>91</v>
      </c>
      <c r="Y5" s="11" t="str">
        <f ca="1">IF(Mid.S[[#This Row],[NRap.TS]]="","Belum Terukur",IF(Mid.S[[#This Row],[NRap.TS]]&gt;=92,"A",IF(Mid.S[[#This Row],[NRap.TS]]&gt;=83,"B",IF(Mid.S[[#This Row],[NRap.TS]]&gt;=75,"C","D"))))</f>
        <v>B</v>
      </c>
    </row>
    <row r="6" spans="1:25"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15">
        <f t="shared" ca="1" si="1"/>
        <v>83</v>
      </c>
      <c r="G6" s="15">
        <f t="shared" ca="1" si="0"/>
        <v>77</v>
      </c>
      <c r="H6" s="15">
        <f t="shared" ca="1" si="0"/>
        <v>91</v>
      </c>
      <c r="I6" s="15">
        <f t="shared" ca="1" si="0"/>
        <v>76</v>
      </c>
      <c r="J6" s="15">
        <f t="shared" ca="1" si="0"/>
        <v>85</v>
      </c>
      <c r="K6" s="15">
        <f t="shared" ca="1" si="0"/>
        <v>95</v>
      </c>
      <c r="L6" s="15">
        <f t="shared" ca="1" si="0"/>
        <v>79</v>
      </c>
      <c r="M6" s="15">
        <f t="shared" ca="1" si="0"/>
        <v>96</v>
      </c>
      <c r="N6" s="15">
        <f t="shared" ca="1" si="0"/>
        <v>87</v>
      </c>
      <c r="O6" s="15">
        <f t="shared" ca="1" si="0"/>
        <v>87</v>
      </c>
      <c r="P6" s="16">
        <f t="shared" ca="1" si="0"/>
        <v>92</v>
      </c>
      <c r="Q6" s="16"/>
      <c r="R6" s="16"/>
      <c r="S6" s="9">
        <f ca="1">IFERROR(ROUND((Mid.S[[#This Row],[Paper 1]]/$P$2*100)*$S$2,0),"")</f>
        <v>92</v>
      </c>
      <c r="T6" s="9"/>
      <c r="U6" s="9"/>
      <c r="V6" s="8">
        <f ca="1">IFERROR(ROUND(AVERAGE(Mid.S[[#This Row],[NP 1]:[NP 10]]),0),"")</f>
        <v>86</v>
      </c>
      <c r="W6" s="9">
        <f ca="1">IFERROR(IF(SUM(Mid.S[[#This Row],[Nilai P1]:[Nilai P3]])=0,"",SUM(Mid.S[[#This Row],[Nilai P1]:[Nilai P3]])),"")</f>
        <v>92</v>
      </c>
      <c r="X6" s="14">
        <f ca="1">IFERROR(ROUND(((Mid.S[[#This Row],[NTS]]*2)+(Mid.S[[#This Row],[Rata2 NP]]*3))/5,0),"")</f>
        <v>88</v>
      </c>
      <c r="Y6" s="11" t="str">
        <f ca="1">IF(Mid.S[[#This Row],[NRap.TS]]="","Belum Terukur",IF(Mid.S[[#This Row],[NRap.TS]]&gt;=92,"A",IF(Mid.S[[#This Row],[NRap.TS]]&gt;=83,"B",IF(Mid.S[[#This Row],[NRap.TS]]&gt;=75,"C","D"))))</f>
        <v>B</v>
      </c>
    </row>
    <row r="7" spans="1:25"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15">
        <f t="shared" ca="1" si="1"/>
        <v>76</v>
      </c>
      <c r="G7" s="15">
        <f t="shared" ca="1" si="0"/>
        <v>98</v>
      </c>
      <c r="H7" s="15">
        <f t="shared" ca="1" si="0"/>
        <v>80</v>
      </c>
      <c r="I7" s="15">
        <f t="shared" ca="1" si="0"/>
        <v>81</v>
      </c>
      <c r="J7" s="15">
        <f t="shared" ca="1" si="0"/>
        <v>92</v>
      </c>
      <c r="K7" s="15">
        <f t="shared" ca="1" si="0"/>
        <v>80</v>
      </c>
      <c r="L7" s="15">
        <f t="shared" ca="1" si="0"/>
        <v>82</v>
      </c>
      <c r="M7" s="15">
        <f t="shared" ca="1" si="0"/>
        <v>96</v>
      </c>
      <c r="N7" s="15">
        <f t="shared" ca="1" si="0"/>
        <v>81</v>
      </c>
      <c r="O7" s="15">
        <f t="shared" ca="1" si="0"/>
        <v>83</v>
      </c>
      <c r="P7" s="16">
        <f t="shared" ca="1" si="0"/>
        <v>93</v>
      </c>
      <c r="Q7" s="16"/>
      <c r="R7" s="16"/>
      <c r="S7" s="9">
        <f ca="1">IFERROR(ROUND((Mid.S[[#This Row],[Paper 1]]/$P$2*100)*$S$2,0),"")</f>
        <v>93</v>
      </c>
      <c r="T7" s="9"/>
      <c r="U7" s="9"/>
      <c r="V7" s="8">
        <f ca="1">IFERROR(ROUND(AVERAGE(Mid.S[[#This Row],[NP 1]:[NP 10]]),0),"")</f>
        <v>85</v>
      </c>
      <c r="W7" s="9">
        <f ca="1">IFERROR(IF(SUM(Mid.S[[#This Row],[Nilai P1]:[Nilai P3]])=0,"",SUM(Mid.S[[#This Row],[Nilai P1]:[Nilai P3]])),"")</f>
        <v>93</v>
      </c>
      <c r="X7" s="14">
        <f ca="1">IFERROR(ROUND(((Mid.S[[#This Row],[NTS]]*2)+(Mid.S[[#This Row],[Rata2 NP]]*3))/5,0),"")</f>
        <v>88</v>
      </c>
      <c r="Y7" s="11" t="str">
        <f ca="1">IF(Mid.S[[#This Row],[NRap.TS]]="","Belum Terukur",IF(Mid.S[[#This Row],[NRap.TS]]&gt;=92,"A",IF(Mid.S[[#This Row],[NRap.TS]]&gt;=83,"B",IF(Mid.S[[#This Row],[NRap.TS]]&gt;=75,"C","D"))))</f>
        <v>B</v>
      </c>
    </row>
    <row r="8" spans="1:25"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15">
        <f t="shared" ca="1" si="1"/>
        <v>85</v>
      </c>
      <c r="G8" s="15">
        <f t="shared" ca="1" si="0"/>
        <v>77</v>
      </c>
      <c r="H8" s="15">
        <f t="shared" ca="1" si="0"/>
        <v>92</v>
      </c>
      <c r="I8" s="15">
        <f t="shared" ca="1" si="0"/>
        <v>90</v>
      </c>
      <c r="J8" s="15">
        <f t="shared" ca="1" si="0"/>
        <v>100</v>
      </c>
      <c r="K8" s="15">
        <f t="shared" ca="1" si="0"/>
        <v>95</v>
      </c>
      <c r="L8" s="15">
        <f t="shared" ca="1" si="0"/>
        <v>77</v>
      </c>
      <c r="M8" s="15">
        <f t="shared" ca="1" si="0"/>
        <v>90</v>
      </c>
      <c r="N8" s="15">
        <f t="shared" ca="1" si="0"/>
        <v>98</v>
      </c>
      <c r="O8" s="15">
        <f t="shared" ca="1" si="0"/>
        <v>99</v>
      </c>
      <c r="P8" s="16">
        <f t="shared" ca="1" si="0"/>
        <v>96</v>
      </c>
      <c r="Q8" s="16"/>
      <c r="R8" s="16"/>
      <c r="S8" s="9">
        <f ca="1">IFERROR(ROUND((Mid.S[[#This Row],[Paper 1]]/$P$2*100)*$S$2,0),"")</f>
        <v>96</v>
      </c>
      <c r="T8" s="9"/>
      <c r="U8" s="9"/>
      <c r="V8" s="8">
        <f ca="1">IFERROR(ROUND(AVERAGE(Mid.S[[#This Row],[NP 1]:[NP 10]]),0),"")</f>
        <v>90</v>
      </c>
      <c r="W8" s="9">
        <f ca="1">IFERROR(IF(SUM(Mid.S[[#This Row],[Nilai P1]:[Nilai P3]])=0,"",SUM(Mid.S[[#This Row],[Nilai P1]:[Nilai P3]])),"")</f>
        <v>96</v>
      </c>
      <c r="X8" s="14">
        <f ca="1">IFERROR(ROUND(((Mid.S[[#This Row],[NTS]]*2)+(Mid.S[[#This Row],[Rata2 NP]]*3))/5,0),"")</f>
        <v>92</v>
      </c>
      <c r="Y8" s="11" t="str">
        <f ca="1">IF(Mid.S[[#This Row],[NRap.TS]]="","Belum Terukur",IF(Mid.S[[#This Row],[NRap.TS]]&gt;=92,"A",IF(Mid.S[[#This Row],[NRap.TS]]&gt;=83,"B",IF(Mid.S[[#This Row],[NRap.TS]]&gt;=75,"C","D"))))</f>
        <v>A</v>
      </c>
    </row>
    <row r="9" spans="1:25"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15">
        <f t="shared" ca="1" si="1"/>
        <v>76</v>
      </c>
      <c r="G9" s="15">
        <f t="shared" ca="1" si="0"/>
        <v>76</v>
      </c>
      <c r="H9" s="15">
        <f t="shared" ca="1" si="0"/>
        <v>91</v>
      </c>
      <c r="I9" s="15">
        <f t="shared" ca="1" si="0"/>
        <v>80</v>
      </c>
      <c r="J9" s="15">
        <f t="shared" ca="1" si="0"/>
        <v>76</v>
      </c>
      <c r="K9" s="15">
        <f t="shared" ca="1" si="0"/>
        <v>79</v>
      </c>
      <c r="L9" s="15">
        <f t="shared" ca="1" si="0"/>
        <v>85</v>
      </c>
      <c r="M9" s="15">
        <f t="shared" ca="1" si="0"/>
        <v>75</v>
      </c>
      <c r="N9" s="15">
        <f t="shared" ca="1" si="0"/>
        <v>88</v>
      </c>
      <c r="O9" s="15">
        <f t="shared" ca="1" si="0"/>
        <v>88</v>
      </c>
      <c r="P9" s="16">
        <f t="shared" ca="1" si="0"/>
        <v>100</v>
      </c>
      <c r="Q9" s="16"/>
      <c r="R9" s="16"/>
      <c r="S9" s="9">
        <f ca="1">IFERROR(ROUND((Mid.S[[#This Row],[Paper 1]]/$P$2*100)*$S$2,0),"")</f>
        <v>100</v>
      </c>
      <c r="T9" s="9"/>
      <c r="U9" s="9"/>
      <c r="V9" s="8">
        <f ca="1">IFERROR(ROUND(AVERAGE(Mid.S[[#This Row],[NP 1]:[NP 10]]),0),"")</f>
        <v>81</v>
      </c>
      <c r="W9" s="9">
        <f ca="1">IFERROR(IF(SUM(Mid.S[[#This Row],[Nilai P1]:[Nilai P3]])=0,"",SUM(Mid.S[[#This Row],[Nilai P1]:[Nilai P3]])),"")</f>
        <v>100</v>
      </c>
      <c r="X9" s="14">
        <f ca="1">IFERROR(ROUND(((Mid.S[[#This Row],[NTS]]*2)+(Mid.S[[#This Row],[Rata2 NP]]*3))/5,0),"")</f>
        <v>89</v>
      </c>
      <c r="Y9" s="11" t="str">
        <f ca="1">IF(Mid.S[[#This Row],[NRap.TS]]="","Belum Terukur",IF(Mid.S[[#This Row],[NRap.TS]]&gt;=92,"A",IF(Mid.S[[#This Row],[NRap.TS]]&gt;=83,"B",IF(Mid.S[[#This Row],[NRap.TS]]&gt;=75,"C","D"))))</f>
        <v>B</v>
      </c>
    </row>
    <row r="10" spans="1:25"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15">
        <f t="shared" ca="1" si="1"/>
        <v>90</v>
      </c>
      <c r="G10" s="15">
        <f t="shared" ca="1" si="0"/>
        <v>97</v>
      </c>
      <c r="H10" s="15">
        <f t="shared" ca="1" si="0"/>
        <v>87</v>
      </c>
      <c r="I10" s="15">
        <f t="shared" ca="1" si="0"/>
        <v>95</v>
      </c>
      <c r="J10" s="15">
        <f t="shared" ca="1" si="0"/>
        <v>76</v>
      </c>
      <c r="K10" s="15">
        <f t="shared" ca="1" si="0"/>
        <v>100</v>
      </c>
      <c r="L10" s="15">
        <f t="shared" ca="1" si="0"/>
        <v>82</v>
      </c>
      <c r="M10" s="15">
        <f t="shared" ca="1" si="0"/>
        <v>84</v>
      </c>
      <c r="N10" s="15">
        <f t="shared" ca="1" si="0"/>
        <v>90</v>
      </c>
      <c r="O10" s="15">
        <f t="shared" ca="1" si="0"/>
        <v>96</v>
      </c>
      <c r="P10" s="16">
        <f t="shared" ca="1" si="0"/>
        <v>89</v>
      </c>
      <c r="Q10" s="16"/>
      <c r="R10" s="16"/>
      <c r="S10" s="9">
        <f ca="1">IFERROR(ROUND((Mid.S[[#This Row],[Paper 1]]/$P$2*100)*$S$2,0),"")</f>
        <v>89</v>
      </c>
      <c r="T10" s="9"/>
      <c r="U10" s="9"/>
      <c r="V10" s="8">
        <f ca="1">IFERROR(ROUND(AVERAGE(Mid.S[[#This Row],[NP 1]:[NP 10]]),0),"")</f>
        <v>90</v>
      </c>
      <c r="W10" s="9">
        <f ca="1">IFERROR(IF(SUM(Mid.S[[#This Row],[Nilai P1]:[Nilai P3]])=0,"",SUM(Mid.S[[#This Row],[Nilai P1]:[Nilai P3]])),"")</f>
        <v>89</v>
      </c>
      <c r="X10" s="14">
        <f ca="1">IFERROR(ROUND(((Mid.S[[#This Row],[NTS]]*2)+(Mid.S[[#This Row],[Rata2 NP]]*3))/5,0),"")</f>
        <v>90</v>
      </c>
      <c r="Y10" s="11" t="str">
        <f ca="1">IF(Mid.S[[#This Row],[NRap.TS]]="","Belum Terukur",IF(Mid.S[[#This Row],[NRap.TS]]&gt;=92,"A",IF(Mid.S[[#This Row],[NRap.TS]]&gt;=83,"B",IF(Mid.S[[#This Row],[NRap.TS]]&gt;=75,"C","D"))))</f>
        <v>B</v>
      </c>
    </row>
    <row r="11" spans="1:25"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15">
        <f t="shared" ca="1" si="1"/>
        <v>80</v>
      </c>
      <c r="G11" s="15">
        <f t="shared" ca="1" si="0"/>
        <v>82</v>
      </c>
      <c r="H11" s="15">
        <f t="shared" ca="1" si="0"/>
        <v>94</v>
      </c>
      <c r="I11" s="15">
        <f t="shared" ca="1" si="0"/>
        <v>76</v>
      </c>
      <c r="J11" s="15">
        <f t="shared" ca="1" si="0"/>
        <v>81</v>
      </c>
      <c r="K11" s="15">
        <f t="shared" ca="1" si="0"/>
        <v>93</v>
      </c>
      <c r="L11" s="15">
        <f t="shared" ca="1" si="0"/>
        <v>87</v>
      </c>
      <c r="M11" s="15">
        <f t="shared" ca="1" si="0"/>
        <v>90</v>
      </c>
      <c r="N11" s="15">
        <f t="shared" ca="1" si="0"/>
        <v>89</v>
      </c>
      <c r="O11" s="15">
        <f t="shared" ca="1" si="0"/>
        <v>95</v>
      </c>
      <c r="P11" s="16">
        <f t="shared" ca="1" si="0"/>
        <v>85</v>
      </c>
      <c r="Q11" s="16"/>
      <c r="R11" s="16"/>
      <c r="S11" s="9">
        <f ca="1">IFERROR(ROUND((Mid.S[[#This Row],[Paper 1]]/$P$2*100)*$S$2,0),"")</f>
        <v>85</v>
      </c>
      <c r="T11" s="9"/>
      <c r="U11" s="9"/>
      <c r="V11" s="8">
        <f ca="1">IFERROR(ROUND(AVERAGE(Mid.S[[#This Row],[NP 1]:[NP 10]]),0),"")</f>
        <v>87</v>
      </c>
      <c r="W11" s="9">
        <f ca="1">IFERROR(IF(SUM(Mid.S[[#This Row],[Nilai P1]:[Nilai P3]])=0,"",SUM(Mid.S[[#This Row],[Nilai P1]:[Nilai P3]])),"")</f>
        <v>85</v>
      </c>
      <c r="X11" s="14">
        <f ca="1">IFERROR(ROUND(((Mid.S[[#This Row],[NTS]]*2)+(Mid.S[[#This Row],[Rata2 NP]]*3))/5,0),"")</f>
        <v>86</v>
      </c>
      <c r="Y11" s="11" t="str">
        <f ca="1">IF(Mid.S[[#This Row],[NRap.TS]]="","Belum Terukur",IF(Mid.S[[#This Row],[NRap.TS]]&gt;=92,"A",IF(Mid.S[[#This Row],[NRap.TS]]&gt;=83,"B",IF(Mid.S[[#This Row],[NRap.TS]]&gt;=75,"C","D"))))</f>
        <v>B</v>
      </c>
    </row>
    <row r="12" spans="1:25"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15">
        <f t="shared" ca="1" si="1"/>
        <v>84</v>
      </c>
      <c r="G12" s="15">
        <f t="shared" ca="1" si="0"/>
        <v>94</v>
      </c>
      <c r="H12" s="15">
        <f t="shared" ca="1" si="0"/>
        <v>78</v>
      </c>
      <c r="I12" s="15">
        <f t="shared" ca="1" si="0"/>
        <v>99</v>
      </c>
      <c r="J12" s="15">
        <f t="shared" ca="1" si="0"/>
        <v>84</v>
      </c>
      <c r="K12" s="15">
        <f t="shared" ca="1" si="0"/>
        <v>91</v>
      </c>
      <c r="L12" s="15">
        <f t="shared" ca="1" si="0"/>
        <v>94</v>
      </c>
      <c r="M12" s="15">
        <f t="shared" ca="1" si="0"/>
        <v>84</v>
      </c>
      <c r="N12" s="15">
        <f t="shared" ca="1" si="0"/>
        <v>93</v>
      </c>
      <c r="O12" s="15">
        <f t="shared" ca="1" si="0"/>
        <v>75</v>
      </c>
      <c r="P12" s="16">
        <f t="shared" ca="1" si="0"/>
        <v>99</v>
      </c>
      <c r="Q12" s="16"/>
      <c r="R12" s="16"/>
      <c r="S12" s="9">
        <f ca="1">IFERROR(ROUND((Mid.S[[#This Row],[Paper 1]]/$P$2*100)*$S$2,0),"")</f>
        <v>99</v>
      </c>
      <c r="T12" s="9"/>
      <c r="U12" s="9"/>
      <c r="V12" s="8">
        <f ca="1">IFERROR(ROUND(AVERAGE(Mid.S[[#This Row],[NP 1]:[NP 10]]),0),"")</f>
        <v>88</v>
      </c>
      <c r="W12" s="9">
        <f ca="1">IFERROR(IF(SUM(Mid.S[[#This Row],[Nilai P1]:[Nilai P3]])=0,"",SUM(Mid.S[[#This Row],[Nilai P1]:[Nilai P3]])),"")</f>
        <v>99</v>
      </c>
      <c r="X12" s="14">
        <f ca="1">IFERROR(ROUND(((Mid.S[[#This Row],[NTS]]*2)+(Mid.S[[#This Row],[Rata2 NP]]*3))/5,0),"")</f>
        <v>92</v>
      </c>
      <c r="Y12" s="11" t="str">
        <f ca="1">IF(Mid.S[[#This Row],[NRap.TS]]="","Belum Terukur",IF(Mid.S[[#This Row],[NRap.TS]]&gt;=92,"A",IF(Mid.S[[#This Row],[NRap.TS]]&gt;=83,"B",IF(Mid.S[[#This Row],[NRap.TS]]&gt;=75,"C","D"))))</f>
        <v>A</v>
      </c>
    </row>
    <row r="13" spans="1:25"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15">
        <f t="shared" ca="1" si="1"/>
        <v>86</v>
      </c>
      <c r="G13" s="15">
        <f t="shared" ca="1" si="0"/>
        <v>84</v>
      </c>
      <c r="H13" s="15">
        <f t="shared" ca="1" si="0"/>
        <v>95</v>
      </c>
      <c r="I13" s="15">
        <f t="shared" ca="1" si="0"/>
        <v>90</v>
      </c>
      <c r="J13" s="15">
        <f t="shared" ca="1" si="0"/>
        <v>86</v>
      </c>
      <c r="K13" s="15">
        <f t="shared" ca="1" si="0"/>
        <v>81</v>
      </c>
      <c r="L13" s="15">
        <f t="shared" ca="1" si="0"/>
        <v>88</v>
      </c>
      <c r="M13" s="15">
        <f t="shared" ca="1" si="0"/>
        <v>91</v>
      </c>
      <c r="N13" s="15">
        <f t="shared" ca="1" si="0"/>
        <v>90</v>
      </c>
      <c r="O13" s="15">
        <f t="shared" ca="1" si="0"/>
        <v>81</v>
      </c>
      <c r="P13" s="16">
        <f t="shared" ca="1" si="0"/>
        <v>78</v>
      </c>
      <c r="Q13" s="16"/>
      <c r="R13" s="16"/>
      <c r="S13" s="9">
        <f ca="1">IFERROR(ROUND((Mid.S[[#This Row],[Paper 1]]/$P$2*100)*$S$2,0),"")</f>
        <v>78</v>
      </c>
      <c r="T13" s="9"/>
      <c r="U13" s="9"/>
      <c r="V13" s="8">
        <f ca="1">IFERROR(ROUND(AVERAGE(Mid.S[[#This Row],[NP 1]:[NP 10]]),0),"")</f>
        <v>87</v>
      </c>
      <c r="W13" s="9">
        <f ca="1">IFERROR(IF(SUM(Mid.S[[#This Row],[Nilai P1]:[Nilai P3]])=0,"",SUM(Mid.S[[#This Row],[Nilai P1]:[Nilai P3]])),"")</f>
        <v>78</v>
      </c>
      <c r="X13" s="14">
        <f ca="1">IFERROR(ROUND(((Mid.S[[#This Row],[NTS]]*2)+(Mid.S[[#This Row],[Rata2 NP]]*3))/5,0),"")</f>
        <v>83</v>
      </c>
      <c r="Y13" s="11" t="str">
        <f ca="1">IF(Mid.S[[#This Row],[NRap.TS]]="","Belum Terukur",IF(Mid.S[[#This Row],[NRap.TS]]&gt;=92,"A",IF(Mid.S[[#This Row],[NRap.TS]]&gt;=83,"B",IF(Mid.S[[#This Row],[NRap.TS]]&gt;=75,"C","D"))))</f>
        <v>B</v>
      </c>
    </row>
    <row r="14" spans="1:25" ht="50.1" customHeight="1" x14ac:dyDescent="0.3">
      <c r="A14" s="69" t="str">
        <f>IF('NS (Mid.S)'!A13=0,"",'NS (Mid.S)'!A13)</f>
        <v/>
      </c>
      <c r="B14" s="70" t="str">
        <f>IF('NS (Mid.S)'!B13=0,"",'NS (Mid.S)'!B13)</f>
        <v/>
      </c>
      <c r="C14" s="69" t="str">
        <f>IF('NS (Mid.S)'!C13=0,"",'NS (Mid.S)'!C13)</f>
        <v/>
      </c>
      <c r="D14" s="69" t="str">
        <f>IF('NS (Mid.S)'!D13=0,"",'NS (Mid.S)'!D13)</f>
        <v/>
      </c>
      <c r="E14" s="69" t="str">
        <f>IF('NS (Mid.S)'!E13=0,"",'NS (Mid.S)'!E13)</f>
        <v/>
      </c>
      <c r="F14" s="15"/>
      <c r="G14" s="15"/>
      <c r="H14" s="15"/>
      <c r="I14" s="15"/>
      <c r="J14" s="15"/>
      <c r="K14" s="15"/>
      <c r="L14" s="15"/>
      <c r="M14" s="15"/>
      <c r="N14" s="15"/>
      <c r="O14" s="15"/>
      <c r="P14" s="16"/>
      <c r="Q14" s="16"/>
      <c r="R14" s="16"/>
      <c r="S14" s="9">
        <f>IFERROR(ROUND((Mid.S[[#This Row],[Paper 1]]/$P$2*100)*$S$2,0),"")</f>
        <v>0</v>
      </c>
      <c r="T14" s="9"/>
      <c r="U14" s="9"/>
      <c r="V14" s="8" t="str">
        <f>IFERROR(ROUND(AVERAGE(Mid.S[[#This Row],[NP 1]:[NP 10]]),0),"")</f>
        <v/>
      </c>
      <c r="W14" s="9" t="str">
        <f>IFERROR(IF(SUM(Mid.S[[#This Row],[Nilai P1]:[Nilai P3]])=0,"",SUM(Mid.S[[#This Row],[Nilai P1]:[Nilai P3]])),"")</f>
        <v/>
      </c>
      <c r="X14" s="14" t="str">
        <f>IFERROR(ROUND(((Mid.S[[#This Row],[NTS]]*2)+(Mid.S[[#This Row],[Rata2 NP]]*3))/5,0),"")</f>
        <v/>
      </c>
      <c r="Y14" s="11" t="str">
        <f>IF(Mid.S[[#This Row],[NRap.TS]]="","Belum Terukur",IF(Mid.S[[#This Row],[NRap.TS]]&gt;=92,"A",IF(Mid.S[[#This Row],[NRap.TS]]&gt;=83,"B",IF(Mid.S[[#This Row],[NRap.TS]]&gt;=75,"C","D"))))</f>
        <v>Belum Terukur</v>
      </c>
    </row>
    <row r="15" spans="1:25" ht="50.1" customHeight="1" x14ac:dyDescent="0.3">
      <c r="A15" s="69" t="str">
        <f>IF('NS (Mid.S)'!A14=0,"",'NS (Mid.S)'!A14)</f>
        <v/>
      </c>
      <c r="B15" s="70" t="str">
        <f>IF('NS (Mid.S)'!B14=0,"",'NS (Mid.S)'!B14)</f>
        <v/>
      </c>
      <c r="C15" s="69" t="str">
        <f>IF('NS (Mid.S)'!C14=0,"",'NS (Mid.S)'!C14)</f>
        <v/>
      </c>
      <c r="D15" s="69" t="str">
        <f>IF('NS (Mid.S)'!D14=0,"",'NS (Mid.S)'!D14)</f>
        <v/>
      </c>
      <c r="E15" s="69" t="str">
        <f>IF('NS (Mid.S)'!E14=0,"",'NS (Mid.S)'!E14)</f>
        <v/>
      </c>
      <c r="F15" s="15"/>
      <c r="G15" s="15"/>
      <c r="H15" s="15"/>
      <c r="I15" s="15"/>
      <c r="J15" s="15"/>
      <c r="K15" s="15"/>
      <c r="L15" s="15"/>
      <c r="M15" s="15"/>
      <c r="N15" s="15"/>
      <c r="O15" s="15"/>
      <c r="P15" s="16"/>
      <c r="Q15" s="16"/>
      <c r="R15" s="16"/>
      <c r="S15" s="9">
        <f>IFERROR(ROUND((Mid.S[[#This Row],[Paper 1]]/$P$2*100)*$S$2,0),"")</f>
        <v>0</v>
      </c>
      <c r="T15" s="9"/>
      <c r="U15" s="9"/>
      <c r="V15" s="8" t="str">
        <f>IFERROR(ROUND(AVERAGE(Mid.S[[#This Row],[NP 1]:[NP 10]]),0),"")</f>
        <v/>
      </c>
      <c r="W15" s="9" t="str">
        <f>IFERROR(IF(SUM(Mid.S[[#This Row],[Nilai P1]:[Nilai P3]])=0,"",SUM(Mid.S[[#This Row],[Nilai P1]:[Nilai P3]])),"")</f>
        <v/>
      </c>
      <c r="X15" s="14" t="str">
        <f>IFERROR(ROUND(((Mid.S[[#This Row],[NTS]]*2)+(Mid.S[[#This Row],[Rata2 NP]]*3))/5,0),"")</f>
        <v/>
      </c>
      <c r="Y15" s="11" t="str">
        <f>IF(Mid.S[[#This Row],[NRap.TS]]="","Belum Terukur",IF(Mid.S[[#This Row],[NRap.TS]]&gt;=92,"A",IF(Mid.S[[#This Row],[NRap.TS]]&gt;=83,"B",IF(Mid.S[[#This Row],[NRap.TS]]&gt;=75,"C","D"))))</f>
        <v>Belum Terukur</v>
      </c>
    </row>
    <row r="16" spans="1:25" ht="50.1" customHeight="1" x14ac:dyDescent="0.3">
      <c r="A16" s="69" t="str">
        <f>IF('NS (Mid.S)'!A15=0,"",'NS (Mid.S)'!A15)</f>
        <v/>
      </c>
      <c r="B16" s="70" t="str">
        <f>IF('NS (Mid.S)'!B15=0,"",'NS (Mid.S)'!B15)</f>
        <v/>
      </c>
      <c r="C16" s="69" t="str">
        <f>IF('NS (Mid.S)'!C15=0,"",'NS (Mid.S)'!C15)</f>
        <v/>
      </c>
      <c r="D16" s="69" t="str">
        <f>IF('NS (Mid.S)'!D15=0,"",'NS (Mid.S)'!D15)</f>
        <v/>
      </c>
      <c r="E16" s="69" t="str">
        <f>IF('NS (Mid.S)'!E15=0,"",'NS (Mid.S)'!E15)</f>
        <v/>
      </c>
      <c r="F16" s="15"/>
      <c r="G16" s="15"/>
      <c r="H16" s="15"/>
      <c r="I16" s="15"/>
      <c r="J16" s="15"/>
      <c r="K16" s="15"/>
      <c r="L16" s="15"/>
      <c r="M16" s="15"/>
      <c r="N16" s="15"/>
      <c r="O16" s="15"/>
      <c r="P16" s="16"/>
      <c r="Q16" s="16"/>
      <c r="R16" s="16"/>
      <c r="S16" s="9">
        <f>IFERROR(ROUND((Mid.S[[#This Row],[Paper 1]]/$P$2*100)*$S$2,0),"")</f>
        <v>0</v>
      </c>
      <c r="T16" s="9"/>
      <c r="U16" s="9"/>
      <c r="V16" s="8" t="str">
        <f>IFERROR(ROUND(AVERAGE(Mid.S[[#This Row],[NP 1]:[NP 10]]),0),"")</f>
        <v/>
      </c>
      <c r="W16" s="9" t="str">
        <f>IFERROR(IF(SUM(Mid.S[[#This Row],[Nilai P1]:[Nilai P3]])=0,"",SUM(Mid.S[[#This Row],[Nilai P1]:[Nilai P3]])),"")</f>
        <v/>
      </c>
      <c r="X16" s="14" t="str">
        <f>IFERROR(ROUND(((Mid.S[[#This Row],[NTS]]*2)+(Mid.S[[#This Row],[Rata2 NP]]*3))/5,0),"")</f>
        <v/>
      </c>
      <c r="Y16" s="11" t="str">
        <f>IF(Mid.S[[#This Row],[NRap.TS]]="","Belum Terukur",IF(Mid.S[[#This Row],[NRap.TS]]&gt;=92,"A",IF(Mid.S[[#This Row],[NRap.TS]]&gt;=83,"B",IF(Mid.S[[#This Row],[NRap.TS]]&gt;=75,"C","D"))))</f>
        <v>Belum Terukur</v>
      </c>
    </row>
    <row r="17" spans="1:25" ht="50.1" customHeight="1" x14ac:dyDescent="0.3">
      <c r="A17" s="69" t="str">
        <f>IF('NS (Mid.S)'!A16=0,"",'NS (Mid.S)'!A16)</f>
        <v/>
      </c>
      <c r="B17" s="70" t="str">
        <f>IF('NS (Mid.S)'!B16=0,"",'NS (Mid.S)'!B16)</f>
        <v/>
      </c>
      <c r="C17" s="69" t="str">
        <f>IF('NS (Mid.S)'!C16=0,"",'NS (Mid.S)'!C16)</f>
        <v/>
      </c>
      <c r="D17" s="69" t="str">
        <f>IF('NS (Mid.S)'!D16=0,"",'NS (Mid.S)'!D16)</f>
        <v/>
      </c>
      <c r="E17" s="69" t="str">
        <f>IF('NS (Mid.S)'!E16=0,"",'NS (Mid.S)'!E16)</f>
        <v/>
      </c>
      <c r="F17" s="15"/>
      <c r="G17" s="15"/>
      <c r="H17" s="15"/>
      <c r="I17" s="15"/>
      <c r="J17" s="15"/>
      <c r="K17" s="15"/>
      <c r="L17" s="15"/>
      <c r="M17" s="15"/>
      <c r="N17" s="15"/>
      <c r="O17" s="15"/>
      <c r="P17" s="16"/>
      <c r="Q17" s="16"/>
      <c r="R17" s="16"/>
      <c r="S17" s="9">
        <f>IFERROR(ROUND((Mid.S[[#This Row],[Paper 1]]/$P$2*100)*$S$2,0),"")</f>
        <v>0</v>
      </c>
      <c r="T17" s="9"/>
      <c r="U17" s="9"/>
      <c r="V17" s="8" t="str">
        <f>IFERROR(ROUND(AVERAGE(Mid.S[[#This Row],[NP 1]:[NP 10]]),0),"")</f>
        <v/>
      </c>
      <c r="W17" s="9" t="str">
        <f>IFERROR(IF(SUM(Mid.S[[#This Row],[Nilai P1]:[Nilai P3]])=0,"",SUM(Mid.S[[#This Row],[Nilai P1]:[Nilai P3]])),"")</f>
        <v/>
      </c>
      <c r="X17" s="14" t="str">
        <f>IFERROR(ROUND(((Mid.S[[#This Row],[NTS]]*2)+(Mid.S[[#This Row],[Rata2 NP]]*3))/5,0),"")</f>
        <v/>
      </c>
      <c r="Y17" s="11" t="str">
        <f>IF(Mid.S[[#This Row],[NRap.TS]]="","Belum Terukur",IF(Mid.S[[#This Row],[NRap.TS]]&gt;=92,"A",IF(Mid.S[[#This Row],[NRap.TS]]&gt;=83,"B",IF(Mid.S[[#This Row],[NRap.TS]]&gt;=75,"C","D"))))</f>
        <v>Belum Terukur</v>
      </c>
    </row>
    <row r="18" spans="1:25" ht="50.1" customHeight="1" x14ac:dyDescent="0.3">
      <c r="A18" s="69" t="str">
        <f>IF('NS (Mid.S)'!A17=0,"",'NS (Mid.S)'!A17)</f>
        <v/>
      </c>
      <c r="B18" s="70" t="str">
        <f>IF('NS (Mid.S)'!B17=0,"",'NS (Mid.S)'!B17)</f>
        <v/>
      </c>
      <c r="C18" s="69" t="str">
        <f>IF('NS (Mid.S)'!C17=0,"",'NS (Mid.S)'!C17)</f>
        <v/>
      </c>
      <c r="D18" s="69" t="str">
        <f>IF('NS (Mid.S)'!D17=0,"",'NS (Mid.S)'!D17)</f>
        <v/>
      </c>
      <c r="E18" s="69" t="str">
        <f>IF('NS (Mid.S)'!E17=0,"",'NS (Mid.S)'!E17)</f>
        <v/>
      </c>
      <c r="F18" s="15"/>
      <c r="G18" s="15"/>
      <c r="H18" s="15"/>
      <c r="I18" s="15"/>
      <c r="J18" s="15"/>
      <c r="K18" s="15"/>
      <c r="L18" s="15"/>
      <c r="M18" s="15"/>
      <c r="N18" s="15"/>
      <c r="O18" s="15"/>
      <c r="P18" s="16"/>
      <c r="Q18" s="16"/>
      <c r="R18" s="16"/>
      <c r="S18" s="9">
        <f>IFERROR(ROUND((Mid.S[[#This Row],[Paper 1]]/$P$2*100)*$S$2,0),"")</f>
        <v>0</v>
      </c>
      <c r="T18" s="9"/>
      <c r="U18" s="9"/>
      <c r="V18" s="8" t="str">
        <f>IFERROR(ROUND(AVERAGE(Mid.S[[#This Row],[NP 1]:[NP 10]]),0),"")</f>
        <v/>
      </c>
      <c r="W18" s="9" t="str">
        <f>IFERROR(IF(SUM(Mid.S[[#This Row],[Nilai P1]:[Nilai P3]])=0,"",SUM(Mid.S[[#This Row],[Nilai P1]:[Nilai P3]])),"")</f>
        <v/>
      </c>
      <c r="X18" s="14" t="str">
        <f>IFERROR(ROUND(((Mid.S[[#This Row],[NTS]]*2)+(Mid.S[[#This Row],[Rata2 NP]]*3))/5,0),"")</f>
        <v/>
      </c>
      <c r="Y18" s="11" t="str">
        <f>IF(Mid.S[[#This Row],[NRap.TS]]="","Belum Terukur",IF(Mid.S[[#This Row],[NRap.TS]]&gt;=92,"A",IF(Mid.S[[#This Row],[NRap.TS]]&gt;=83,"B",IF(Mid.S[[#This Row],[NRap.TS]]&gt;=75,"C","D"))))</f>
        <v>Belum Terukur</v>
      </c>
    </row>
    <row r="19" spans="1:25" ht="50.1" customHeight="1" x14ac:dyDescent="0.3">
      <c r="A19" s="69" t="str">
        <f>IF('NS (Mid.S)'!A18=0,"",'NS (Mid.S)'!A18)</f>
        <v/>
      </c>
      <c r="B19" s="70" t="str">
        <f>IF('NS (Mid.S)'!B18=0,"",'NS (Mid.S)'!B18)</f>
        <v/>
      </c>
      <c r="C19" s="69" t="str">
        <f>IF('NS (Mid.S)'!C18=0,"",'NS (Mid.S)'!C18)</f>
        <v/>
      </c>
      <c r="D19" s="69" t="str">
        <f>IF('NS (Mid.S)'!D18=0,"",'NS (Mid.S)'!D18)</f>
        <v/>
      </c>
      <c r="E19" s="69" t="str">
        <f>IF('NS (Mid.S)'!E18=0,"",'NS (Mid.S)'!E18)</f>
        <v/>
      </c>
      <c r="F19" s="15"/>
      <c r="G19" s="15"/>
      <c r="H19" s="15"/>
      <c r="I19" s="15"/>
      <c r="J19" s="15"/>
      <c r="K19" s="15"/>
      <c r="L19" s="15"/>
      <c r="M19" s="15"/>
      <c r="N19" s="15"/>
      <c r="O19" s="15"/>
      <c r="P19" s="16"/>
      <c r="Q19" s="16"/>
      <c r="R19" s="16"/>
      <c r="S19" s="9">
        <f>IFERROR(ROUND((Mid.S[[#This Row],[Paper 1]]/$P$2*100)*$S$2,0),"")</f>
        <v>0</v>
      </c>
      <c r="T19" s="9"/>
      <c r="U19" s="9"/>
      <c r="V19" s="8" t="str">
        <f>IFERROR(ROUND(AVERAGE(Mid.S[[#This Row],[NP 1]:[NP 10]]),0),"")</f>
        <v/>
      </c>
      <c r="W19" s="9" t="str">
        <f>IFERROR(IF(SUM(Mid.S[[#This Row],[Nilai P1]:[Nilai P3]])=0,"",SUM(Mid.S[[#This Row],[Nilai P1]:[Nilai P3]])),"")</f>
        <v/>
      </c>
      <c r="X19" s="14" t="str">
        <f>IFERROR(ROUND(((Mid.S[[#This Row],[NTS]]*2)+(Mid.S[[#This Row],[Rata2 NP]]*3))/5,0),"")</f>
        <v/>
      </c>
      <c r="Y19" s="11" t="str">
        <f>IF(Mid.S[[#This Row],[NRap.TS]]="","Belum Terukur",IF(Mid.S[[#This Row],[NRap.TS]]&gt;=92,"A",IF(Mid.S[[#This Row],[NRap.TS]]&gt;=83,"B",IF(Mid.S[[#This Row],[NRap.TS]]&gt;=75,"C","D"))))</f>
        <v>Belum Terukur</v>
      </c>
    </row>
    <row r="20" spans="1:25" ht="50.1" customHeight="1" x14ac:dyDescent="0.3">
      <c r="A20" s="69" t="str">
        <f>IF('NS (Mid.S)'!A19=0,"",'NS (Mid.S)'!A19)</f>
        <v/>
      </c>
      <c r="B20" s="70" t="str">
        <f>IF('NS (Mid.S)'!B19=0,"",'NS (Mid.S)'!B19)</f>
        <v/>
      </c>
      <c r="C20" s="69" t="str">
        <f>IF('NS (Mid.S)'!C19=0,"",'NS (Mid.S)'!C19)</f>
        <v/>
      </c>
      <c r="D20" s="69" t="str">
        <f>IF('NS (Mid.S)'!D19=0,"",'NS (Mid.S)'!D19)</f>
        <v/>
      </c>
      <c r="E20" s="69" t="str">
        <f>IF('NS (Mid.S)'!E19=0,"",'NS (Mid.S)'!E19)</f>
        <v/>
      </c>
      <c r="F20" s="15"/>
      <c r="G20" s="15"/>
      <c r="H20" s="15"/>
      <c r="I20" s="15"/>
      <c r="J20" s="15"/>
      <c r="K20" s="15"/>
      <c r="L20" s="15"/>
      <c r="M20" s="15"/>
      <c r="N20" s="15"/>
      <c r="O20" s="15"/>
      <c r="P20" s="16"/>
      <c r="Q20" s="16"/>
      <c r="R20" s="16"/>
      <c r="S20" s="9">
        <f>IFERROR(ROUND((Mid.S[[#This Row],[Paper 1]]/$P$2*100)*$S$2,0),"")</f>
        <v>0</v>
      </c>
      <c r="T20" s="9"/>
      <c r="U20" s="9"/>
      <c r="V20" s="8" t="str">
        <f>IFERROR(ROUND(AVERAGE(Mid.S[[#This Row],[NP 1]:[NP 10]]),0),"")</f>
        <v/>
      </c>
      <c r="W20" s="9" t="str">
        <f>IFERROR(IF(SUM(Mid.S[[#This Row],[Nilai P1]:[Nilai P3]])=0,"",SUM(Mid.S[[#This Row],[Nilai P1]:[Nilai P3]])),"")</f>
        <v/>
      </c>
      <c r="X20" s="14" t="str">
        <f>IFERROR(ROUND(((Mid.S[[#This Row],[NTS]]*2)+(Mid.S[[#This Row],[Rata2 NP]]*3))/5,0),"")</f>
        <v/>
      </c>
      <c r="Y20" s="11" t="str">
        <f>IF(Mid.S[[#This Row],[NRap.TS]]="","Belum Terukur",IF(Mid.S[[#This Row],[NRap.TS]]&gt;=92,"A",IF(Mid.S[[#This Row],[NRap.TS]]&gt;=83,"B",IF(Mid.S[[#This Row],[NRap.TS]]&gt;=75,"C","D"))))</f>
        <v>Belum Terukur</v>
      </c>
    </row>
    <row r="21" spans="1:25" ht="50.1" customHeight="1" x14ac:dyDescent="0.3">
      <c r="A21" s="69" t="str">
        <f>IF('NS (Mid.S)'!A20=0,"",'NS (Mid.S)'!A20)</f>
        <v/>
      </c>
      <c r="B21" s="70" t="str">
        <f>IF('NS (Mid.S)'!B20=0,"",'NS (Mid.S)'!B20)</f>
        <v/>
      </c>
      <c r="C21" s="69" t="str">
        <f>IF('NS (Mid.S)'!C20=0,"",'NS (Mid.S)'!C20)</f>
        <v/>
      </c>
      <c r="D21" s="69" t="str">
        <f>IF('NS (Mid.S)'!D20=0,"",'NS (Mid.S)'!D20)</f>
        <v/>
      </c>
      <c r="E21" s="69" t="str">
        <f>IF('NS (Mid.S)'!E20=0,"",'NS (Mid.S)'!E20)</f>
        <v/>
      </c>
      <c r="F21" s="15"/>
      <c r="G21" s="15"/>
      <c r="H21" s="15"/>
      <c r="I21" s="15"/>
      <c r="J21" s="15"/>
      <c r="K21" s="15"/>
      <c r="L21" s="15"/>
      <c r="M21" s="15"/>
      <c r="N21" s="15"/>
      <c r="O21" s="15"/>
      <c r="P21" s="16"/>
      <c r="Q21" s="16"/>
      <c r="R21" s="16"/>
      <c r="S21" s="9">
        <f>IFERROR(ROUND((Mid.S[[#This Row],[Paper 1]]/$P$2*100)*$S$2,0),"")</f>
        <v>0</v>
      </c>
      <c r="T21" s="9"/>
      <c r="U21" s="9"/>
      <c r="V21" s="8" t="str">
        <f>IFERROR(ROUND(AVERAGE(Mid.S[[#This Row],[NP 1]:[NP 10]]),0),"")</f>
        <v/>
      </c>
      <c r="W21" s="9" t="str">
        <f>IFERROR(IF(SUM(Mid.S[[#This Row],[Nilai P1]:[Nilai P3]])=0,"",SUM(Mid.S[[#This Row],[Nilai P1]:[Nilai P3]])),"")</f>
        <v/>
      </c>
      <c r="X21" s="14" t="str">
        <f>IFERROR(ROUND(((Mid.S[[#This Row],[NTS]]*2)+(Mid.S[[#This Row],[Rata2 NP]]*3))/5,0),"")</f>
        <v/>
      </c>
      <c r="Y21" s="11" t="str">
        <f>IF(Mid.S[[#This Row],[NRap.TS]]="","Belum Terukur",IF(Mid.S[[#This Row],[NRap.TS]]&gt;=92,"A",IF(Mid.S[[#This Row],[NRap.TS]]&gt;=83,"B",IF(Mid.S[[#This Row],[NRap.TS]]&gt;=75,"C","D"))))</f>
        <v>Belum Terukur</v>
      </c>
    </row>
    <row r="22" spans="1:25" ht="50.1" customHeight="1" x14ac:dyDescent="0.3">
      <c r="A22" s="69" t="str">
        <f>IF('NS (Mid.S)'!A21=0,"",'NS (Mid.S)'!A21)</f>
        <v/>
      </c>
      <c r="B22" s="70" t="str">
        <f>IF('NS (Mid.S)'!B21=0,"",'NS (Mid.S)'!B21)</f>
        <v/>
      </c>
      <c r="C22" s="69" t="str">
        <f>IF('NS (Mid.S)'!C21=0,"",'NS (Mid.S)'!C21)</f>
        <v/>
      </c>
      <c r="D22" s="69" t="str">
        <f>IF('NS (Mid.S)'!D21=0,"",'NS (Mid.S)'!D21)</f>
        <v/>
      </c>
      <c r="E22" s="69" t="str">
        <f>IF('NS (Mid.S)'!E21=0,"",'NS (Mid.S)'!E21)</f>
        <v/>
      </c>
      <c r="F22" s="15"/>
      <c r="G22" s="15"/>
      <c r="H22" s="15"/>
      <c r="I22" s="15"/>
      <c r="J22" s="15"/>
      <c r="K22" s="15"/>
      <c r="L22" s="15"/>
      <c r="M22" s="15"/>
      <c r="N22" s="15"/>
      <c r="O22" s="15"/>
      <c r="P22" s="16"/>
      <c r="Q22" s="16"/>
      <c r="R22" s="16"/>
      <c r="S22" s="9">
        <f>IFERROR(ROUND((Mid.S[[#This Row],[Paper 1]]/$P$2*100)*$S$2,0),"")</f>
        <v>0</v>
      </c>
      <c r="T22" s="9"/>
      <c r="U22" s="9"/>
      <c r="V22" s="8" t="str">
        <f>IFERROR(ROUND(AVERAGE(Mid.S[[#This Row],[NP 1]:[NP 10]]),0),"")</f>
        <v/>
      </c>
      <c r="W22" s="9" t="str">
        <f>IFERROR(IF(SUM(Mid.S[[#This Row],[Nilai P1]:[Nilai P3]])=0,"",SUM(Mid.S[[#This Row],[Nilai P1]:[Nilai P3]])),"")</f>
        <v/>
      </c>
      <c r="X22" s="14" t="str">
        <f>IFERROR(ROUND(((Mid.S[[#This Row],[NTS]]*2)+(Mid.S[[#This Row],[Rata2 NP]]*3))/5,0),"")</f>
        <v/>
      </c>
      <c r="Y22" s="11" t="str">
        <f>IF(Mid.S[[#This Row],[NRap.TS]]="","Belum Terukur",IF(Mid.S[[#This Row],[NRap.TS]]&gt;=92,"A",IF(Mid.S[[#This Row],[NRap.TS]]&gt;=83,"B",IF(Mid.S[[#This Row],[NRap.TS]]&gt;=75,"C","D"))))</f>
        <v>Belum Terukur</v>
      </c>
    </row>
    <row r="23" spans="1:25" ht="50.1" customHeight="1" x14ac:dyDescent="0.3">
      <c r="A23" s="69" t="str">
        <f>IF('NS (Mid.S)'!A22=0,"",'NS (Mid.S)'!A22)</f>
        <v/>
      </c>
      <c r="B23" s="70" t="str">
        <f>IF('NS (Mid.S)'!B22=0,"",'NS (Mid.S)'!B22)</f>
        <v/>
      </c>
      <c r="C23" s="69" t="str">
        <f>IF('NS (Mid.S)'!C22=0,"",'NS (Mid.S)'!C22)</f>
        <v/>
      </c>
      <c r="D23" s="69" t="str">
        <f>IF('NS (Mid.S)'!D22=0,"",'NS (Mid.S)'!D22)</f>
        <v/>
      </c>
      <c r="E23" s="69" t="str">
        <f>IF('NS (Mid.S)'!E22=0,"",'NS (Mid.S)'!E22)</f>
        <v/>
      </c>
      <c r="F23" s="15"/>
      <c r="G23" s="15"/>
      <c r="H23" s="15"/>
      <c r="I23" s="15"/>
      <c r="J23" s="15"/>
      <c r="K23" s="15"/>
      <c r="L23" s="15"/>
      <c r="M23" s="15"/>
      <c r="N23" s="15"/>
      <c r="O23" s="15"/>
      <c r="P23" s="16"/>
      <c r="Q23" s="16"/>
      <c r="R23" s="16"/>
      <c r="S23" s="9">
        <f>IFERROR(ROUND((Mid.S[[#This Row],[Paper 1]]/$P$2*100)*$S$2,0),"")</f>
        <v>0</v>
      </c>
      <c r="T23" s="9"/>
      <c r="U23" s="9"/>
      <c r="V23" s="8" t="str">
        <f>IFERROR(ROUND(AVERAGE(Mid.S[[#This Row],[NP 1]:[NP 10]]),0),"")</f>
        <v/>
      </c>
      <c r="W23" s="9" t="str">
        <f>IFERROR(IF(SUM(Mid.S[[#This Row],[Nilai P1]:[Nilai P3]])=0,"",SUM(Mid.S[[#This Row],[Nilai P1]:[Nilai P3]])),"")</f>
        <v/>
      </c>
      <c r="X23" s="14" t="str">
        <f>IFERROR(ROUND(((Mid.S[[#This Row],[NTS]]*2)+(Mid.S[[#This Row],[Rata2 NP]]*3))/5,0),"")</f>
        <v/>
      </c>
      <c r="Y23" s="11" t="str">
        <f>IF(Mid.S[[#This Row],[NRap.TS]]="","Belum Terukur",IF(Mid.S[[#This Row],[NRap.TS]]&gt;=92,"A",IF(Mid.S[[#This Row],[NRap.TS]]&gt;=83,"B",IF(Mid.S[[#This Row],[NRap.TS]]&gt;=75,"C","D"))))</f>
        <v>Belum Terukur</v>
      </c>
    </row>
    <row r="24" spans="1:25" ht="50.1" customHeight="1" x14ac:dyDescent="0.3">
      <c r="A24" s="69" t="str">
        <f>IF('NS (Mid.S)'!A23=0,"",'NS (Mid.S)'!A23)</f>
        <v/>
      </c>
      <c r="B24" s="70" t="str">
        <f>IF('NS (Mid.S)'!B23=0,"",'NS (Mid.S)'!B23)</f>
        <v/>
      </c>
      <c r="C24" s="69" t="str">
        <f>IF('NS (Mid.S)'!C23=0,"",'NS (Mid.S)'!C23)</f>
        <v/>
      </c>
      <c r="D24" s="69" t="str">
        <f>IF('NS (Mid.S)'!D23=0,"",'NS (Mid.S)'!D23)</f>
        <v/>
      </c>
      <c r="E24" s="69" t="str">
        <f>IF('NS (Mid.S)'!E23=0,"",'NS (Mid.S)'!E23)</f>
        <v/>
      </c>
      <c r="F24" s="15"/>
      <c r="G24" s="15"/>
      <c r="H24" s="15"/>
      <c r="I24" s="15"/>
      <c r="J24" s="15"/>
      <c r="K24" s="15"/>
      <c r="L24" s="15"/>
      <c r="M24" s="15"/>
      <c r="N24" s="15"/>
      <c r="O24" s="15"/>
      <c r="P24" s="16"/>
      <c r="Q24" s="16"/>
      <c r="R24" s="16"/>
      <c r="S24" s="9">
        <f>IFERROR(ROUND((Mid.S[[#This Row],[Paper 1]]/$P$2*100)*$S$2,0),"")</f>
        <v>0</v>
      </c>
      <c r="T24" s="9"/>
      <c r="U24" s="9"/>
      <c r="V24" s="8" t="str">
        <f>IFERROR(ROUND(AVERAGE(Mid.S[[#This Row],[NP 1]:[NP 10]]),0),"")</f>
        <v/>
      </c>
      <c r="W24" s="9" t="str">
        <f>IFERROR(IF(SUM(Mid.S[[#This Row],[Nilai P1]:[Nilai P3]])=0,"",SUM(Mid.S[[#This Row],[Nilai P1]:[Nilai P3]])),"")</f>
        <v/>
      </c>
      <c r="X24" s="14" t="str">
        <f>IFERROR(ROUND(((Mid.S[[#This Row],[NTS]]*2)+(Mid.S[[#This Row],[Rata2 NP]]*3))/5,0),"")</f>
        <v/>
      </c>
      <c r="Y24" s="11" t="str">
        <f>IF(Mid.S[[#This Row],[NRap.TS]]="","Belum Terukur",IF(Mid.S[[#This Row],[NRap.TS]]&gt;=92,"A",IF(Mid.S[[#This Row],[NRap.TS]]&gt;=83,"B",IF(Mid.S[[#This Row],[NRap.TS]]&gt;=75,"C","D"))))</f>
        <v>Belum Terukur</v>
      </c>
    </row>
    <row r="25" spans="1:25" ht="50.1" customHeight="1" x14ac:dyDescent="0.3">
      <c r="A25" s="69" t="str">
        <f>IF('NS (Mid.S)'!A24=0,"",'NS (Mid.S)'!A24)</f>
        <v/>
      </c>
      <c r="B25" s="70" t="str">
        <f>IF('NS (Mid.S)'!B24=0,"",'NS (Mid.S)'!B24)</f>
        <v/>
      </c>
      <c r="C25" s="69" t="str">
        <f>IF('NS (Mid.S)'!C24=0,"",'NS (Mid.S)'!C24)</f>
        <v/>
      </c>
      <c r="D25" s="69" t="str">
        <f>IF('NS (Mid.S)'!D24=0,"",'NS (Mid.S)'!D24)</f>
        <v/>
      </c>
      <c r="E25" s="69" t="str">
        <f>IF('NS (Mid.S)'!E24=0,"",'NS (Mid.S)'!E24)</f>
        <v/>
      </c>
      <c r="F25" s="15"/>
      <c r="G25" s="15"/>
      <c r="H25" s="15"/>
      <c r="I25" s="15"/>
      <c r="J25" s="15"/>
      <c r="K25" s="15"/>
      <c r="L25" s="15"/>
      <c r="M25" s="15"/>
      <c r="N25" s="15"/>
      <c r="O25" s="15"/>
      <c r="P25" s="16"/>
      <c r="Q25" s="16"/>
      <c r="R25" s="16"/>
      <c r="S25" s="9">
        <f>IFERROR(ROUND((Mid.S[[#This Row],[Paper 1]]/$P$2*100)*$S$2,0),"")</f>
        <v>0</v>
      </c>
      <c r="T25" s="9"/>
      <c r="U25" s="9"/>
      <c r="V25" s="8" t="str">
        <f>IFERROR(ROUND(AVERAGE(Mid.S[[#This Row],[NP 1]:[NP 10]]),0),"")</f>
        <v/>
      </c>
      <c r="W25" s="9" t="str">
        <f>IFERROR(IF(SUM(Mid.S[[#This Row],[Nilai P1]:[Nilai P3]])=0,"",SUM(Mid.S[[#This Row],[Nilai P1]:[Nilai P3]])),"")</f>
        <v/>
      </c>
      <c r="X25" s="14" t="str">
        <f>IFERROR(ROUND(((Mid.S[[#This Row],[NTS]]*2)+(Mid.S[[#This Row],[Rata2 NP]]*3))/5,0),"")</f>
        <v/>
      </c>
      <c r="Y25" s="11" t="str">
        <f>IF(Mid.S[[#This Row],[NRap.TS]]="","Belum Terukur",IF(Mid.S[[#This Row],[NRap.TS]]&gt;=92,"A",IF(Mid.S[[#This Row],[NRap.TS]]&gt;=83,"B",IF(Mid.S[[#This Row],[NRap.TS]]&gt;=75,"C","D"))))</f>
        <v>Belum Terukur</v>
      </c>
    </row>
    <row r="26" spans="1:25" ht="50.1" customHeight="1" x14ac:dyDescent="0.3">
      <c r="A26" s="69" t="str">
        <f>IF('NS (Mid.S)'!A25=0,"",'NS (Mid.S)'!A25)</f>
        <v/>
      </c>
      <c r="B26" s="70" t="str">
        <f>IF('NS (Mid.S)'!B25=0,"",'NS (Mid.S)'!B25)</f>
        <v/>
      </c>
      <c r="C26" s="69" t="str">
        <f>IF('NS (Mid.S)'!C25=0,"",'NS (Mid.S)'!C25)</f>
        <v/>
      </c>
      <c r="D26" s="69" t="str">
        <f>IF('NS (Mid.S)'!D25=0,"",'NS (Mid.S)'!D25)</f>
        <v/>
      </c>
      <c r="E26" s="69" t="str">
        <f>IF('NS (Mid.S)'!E25=0,"",'NS (Mid.S)'!E25)</f>
        <v/>
      </c>
      <c r="F26" s="15"/>
      <c r="G26" s="15"/>
      <c r="H26" s="15"/>
      <c r="I26" s="15"/>
      <c r="J26" s="15"/>
      <c r="K26" s="15"/>
      <c r="L26" s="15"/>
      <c r="M26" s="15"/>
      <c r="N26" s="15"/>
      <c r="O26" s="15"/>
      <c r="P26" s="16"/>
      <c r="Q26" s="16"/>
      <c r="R26" s="16"/>
      <c r="S26" s="9">
        <f>IFERROR(ROUND((Mid.S[[#This Row],[Paper 1]]/$P$2*100)*$S$2,0),"")</f>
        <v>0</v>
      </c>
      <c r="T26" s="9"/>
      <c r="U26" s="9"/>
      <c r="V26" s="8" t="str">
        <f>IFERROR(ROUND(AVERAGE(Mid.S[[#This Row],[NP 1]:[NP 10]]),0),"")</f>
        <v/>
      </c>
      <c r="W26" s="9" t="str">
        <f>IFERROR(IF(SUM(Mid.S[[#This Row],[Nilai P1]:[Nilai P3]])=0,"",SUM(Mid.S[[#This Row],[Nilai P1]:[Nilai P3]])),"")</f>
        <v/>
      </c>
      <c r="X26" s="14" t="str">
        <f>IFERROR(ROUND(((Mid.S[[#This Row],[NTS]]*2)+(Mid.S[[#This Row],[Rata2 NP]]*3))/5,0),"")</f>
        <v/>
      </c>
      <c r="Y26" s="11" t="str">
        <f>IF(Mid.S[[#This Row],[NRap.TS]]="","Belum Terukur",IF(Mid.S[[#This Row],[NRap.TS]]&gt;=92,"A",IF(Mid.S[[#This Row],[NRap.TS]]&gt;=83,"B",IF(Mid.S[[#This Row],[NRap.TS]]&gt;=75,"C","D"))))</f>
        <v>Belum Terukur</v>
      </c>
    </row>
    <row r="27" spans="1:25" ht="50.1" customHeight="1" x14ac:dyDescent="0.3">
      <c r="A27" s="69" t="str">
        <f>IF('NS (Mid.S)'!A26=0,"",'NS (Mid.S)'!A26)</f>
        <v/>
      </c>
      <c r="B27" s="70" t="str">
        <f>IF('NS (Mid.S)'!B26=0,"",'NS (Mid.S)'!B26)</f>
        <v/>
      </c>
      <c r="C27" s="69" t="str">
        <f>IF('NS (Mid.S)'!C26=0,"",'NS (Mid.S)'!C26)</f>
        <v/>
      </c>
      <c r="D27" s="69" t="str">
        <f>IF('NS (Mid.S)'!D26=0,"",'NS (Mid.S)'!D26)</f>
        <v/>
      </c>
      <c r="E27" s="69" t="str">
        <f>IF('NS (Mid.S)'!E26=0,"",'NS (Mid.S)'!E26)</f>
        <v/>
      </c>
      <c r="F27" s="15"/>
      <c r="G27" s="15"/>
      <c r="H27" s="15"/>
      <c r="I27" s="15"/>
      <c r="J27" s="15"/>
      <c r="K27" s="15"/>
      <c r="L27" s="15"/>
      <c r="M27" s="15"/>
      <c r="N27" s="15"/>
      <c r="O27" s="15"/>
      <c r="P27" s="16"/>
      <c r="Q27" s="16"/>
      <c r="R27" s="16"/>
      <c r="S27" s="9">
        <f>IFERROR(ROUND((Mid.S[[#This Row],[Paper 1]]/$P$2*100)*$S$2,0),"")</f>
        <v>0</v>
      </c>
      <c r="T27" s="9"/>
      <c r="U27" s="9"/>
      <c r="V27" s="8" t="str">
        <f>IFERROR(ROUND(AVERAGE(Mid.S[[#This Row],[NP 1]:[NP 10]]),0),"")</f>
        <v/>
      </c>
      <c r="W27" s="9" t="str">
        <f>IFERROR(IF(SUM(Mid.S[[#This Row],[Nilai P1]:[Nilai P3]])=0,"",SUM(Mid.S[[#This Row],[Nilai P1]:[Nilai P3]])),"")</f>
        <v/>
      </c>
      <c r="X27" s="14" t="str">
        <f>IFERROR(ROUND(((Mid.S[[#This Row],[NTS]]*2)+(Mid.S[[#This Row],[Rata2 NP]]*3))/5,0),"")</f>
        <v/>
      </c>
      <c r="Y27" s="11" t="str">
        <f>IF(Mid.S[[#This Row],[NRap.TS]]="","Belum Terukur",IF(Mid.S[[#This Row],[NRap.TS]]&gt;=92,"A",IF(Mid.S[[#This Row],[NRap.TS]]&gt;=83,"B",IF(Mid.S[[#This Row],[NRap.TS]]&gt;=75,"C","D"))))</f>
        <v>Belum Terukur</v>
      </c>
    </row>
    <row r="28" spans="1:25" ht="50.1" customHeight="1" x14ac:dyDescent="0.3">
      <c r="A28" s="69" t="str">
        <f>IF('NS (Mid.S)'!A27=0,"",'NS (Mid.S)'!A27)</f>
        <v/>
      </c>
      <c r="B28" s="70" t="str">
        <f>IF('NS (Mid.S)'!B27=0,"",'NS (Mid.S)'!B27)</f>
        <v/>
      </c>
      <c r="C28" s="69" t="str">
        <f>IF('NS (Mid.S)'!C27=0,"",'NS (Mid.S)'!C27)</f>
        <v/>
      </c>
      <c r="D28" s="69" t="str">
        <f>IF('NS (Mid.S)'!D27=0,"",'NS (Mid.S)'!D27)</f>
        <v/>
      </c>
      <c r="E28" s="69" t="str">
        <f>IF('NS (Mid.S)'!E27=0,"",'NS (Mid.S)'!E27)</f>
        <v/>
      </c>
      <c r="F28" s="15"/>
      <c r="G28" s="15"/>
      <c r="H28" s="15"/>
      <c r="I28" s="15"/>
      <c r="J28" s="15"/>
      <c r="K28" s="15"/>
      <c r="L28" s="15"/>
      <c r="M28" s="15"/>
      <c r="N28" s="15"/>
      <c r="O28" s="15"/>
      <c r="P28" s="16"/>
      <c r="Q28" s="16"/>
      <c r="R28" s="16"/>
      <c r="S28" s="9">
        <f>IFERROR(ROUND((Mid.S[[#This Row],[Paper 1]]/$P$2*100)*$S$2,0),"")</f>
        <v>0</v>
      </c>
      <c r="T28" s="9"/>
      <c r="U28" s="9"/>
      <c r="V28" s="8" t="str">
        <f>IFERROR(ROUND(AVERAGE(Mid.S[[#This Row],[NP 1]:[NP 10]]),0),"")</f>
        <v/>
      </c>
      <c r="W28" s="9" t="str">
        <f>IFERROR(IF(SUM(Mid.S[[#This Row],[Nilai P1]:[Nilai P3]])=0,"",SUM(Mid.S[[#This Row],[Nilai P1]:[Nilai P3]])),"")</f>
        <v/>
      </c>
      <c r="X28" s="14" t="str">
        <f>IFERROR(ROUND(((Mid.S[[#This Row],[NTS]]*2)+(Mid.S[[#This Row],[Rata2 NP]]*3))/5,0),"")</f>
        <v/>
      </c>
      <c r="Y28" s="11" t="str">
        <f>IF(Mid.S[[#This Row],[NRap.TS]]="","Belum Terukur",IF(Mid.S[[#This Row],[NRap.TS]]&gt;=92,"A",IF(Mid.S[[#This Row],[NRap.TS]]&gt;=83,"B",IF(Mid.S[[#This Row],[NRap.TS]]&gt;=75,"C","D"))))</f>
        <v>Belum Terukur</v>
      </c>
    </row>
  </sheetData>
  <sheetProtection selectLockedCells="1"/>
  <mergeCells count="3">
    <mergeCell ref="F2:O2"/>
    <mergeCell ref="P1:U1"/>
    <mergeCell ref="V2:Y2"/>
  </mergeCells>
  <phoneticPr fontId="5" type="noConversion"/>
  <conditionalFormatting sqref="A4:E28">
    <cfRule type="notContainsBlanks" dxfId="262" priority="1">
      <formula>LEN(TRIM(A4))&gt;0</formula>
    </cfRule>
  </conditionalFormatting>
  <conditionalFormatting sqref="F4:X28">
    <cfRule type="iconSet" priority="9">
      <iconSet>
        <cfvo type="percent" val="0"/>
        <cfvo type="num" val="50"/>
        <cfvo type="num" val="70"/>
      </iconSet>
    </cfRule>
  </conditionalFormatting>
  <dataValidations count="6">
    <dataValidation type="whole" operator="lessThanOrEqual" allowBlank="1" showInputMessage="1" showErrorMessage="1" sqref="P14:P28" xr:uid="{807F170B-5A46-4C0A-A5DE-E07384469500}">
      <formula1>$P$2</formula1>
    </dataValidation>
    <dataValidation type="whole" operator="lessThanOrEqual" allowBlank="1" showInputMessage="1" showErrorMessage="1" sqref="Q4:Q28" xr:uid="{7232C687-DF29-4279-AE6C-A932A40FC96C}">
      <formula1>$Q$2</formula1>
    </dataValidation>
    <dataValidation type="whole" operator="lessThanOrEqual" allowBlank="1" showInputMessage="1" showErrorMessage="1" sqref="R4:R28" xr:uid="{EC982F70-EE5E-43C9-A233-DD68C0C26D5F}">
      <formula1>$R$2</formula1>
    </dataValidation>
    <dataValidation allowBlank="1" showInputMessage="1" showErrorMessage="1" prompt="Rata-Rata Nilai Pengetahuan" sqref="V4:V28" xr:uid="{13BA572B-5EC2-41A7-B9AF-A2742B7CAD2A}"/>
    <dataValidation allowBlank="1" showInputMessage="1" showErrorMessage="1" prompt="Nilai Tengah Semester dari Ujian Paper 1, Paper 2, dan Paper 3" sqref="W4:W28" xr:uid="{B0D4A534-CE92-4820-A08C-40985C5702F6}"/>
    <dataValidation allowBlank="1" showInputMessage="1" showErrorMessage="1" prompt="Nilai Pengetahuan untuk Raport Tengah/Mid Semester" sqref="X4:Y28" xr:uid="{FD910673-6C7A-4095-9564-F4F7CB0B48F8}"/>
  </dataValidations>
  <pageMargins left="0.7" right="0.7" top="0.75" bottom="0.75" header="0.3" footer="0.3"/>
  <pageSetup orientation="portrait" horizontalDpi="360" verticalDpi="36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859605-61B9-40C6-937F-3187EEBB89C8}">
  <sheetPr>
    <tabColor theme="3" tint="0.39997558519241921"/>
  </sheetPr>
  <dimension ref="A1:Q27"/>
  <sheetViews>
    <sheetView showGridLines="0" topLeftCell="B1" zoomScale="85" zoomScaleNormal="85" workbookViewId="0">
      <selection activeCell="F3" sqref="F3:O12"/>
    </sheetView>
  </sheetViews>
  <sheetFormatPr defaultColWidth="9.21875" defaultRowHeight="14.4" x14ac:dyDescent="0.3"/>
  <cols>
    <col min="1" max="1" width="8.21875" style="3" bestFit="1" customWidth="1"/>
    <col min="2" max="2" width="50.77734375" style="3" customWidth="1"/>
    <col min="3" max="5" width="20.77734375" style="3" customWidth="1"/>
    <col min="6" max="14" width="9.5546875" style="3" bestFit="1" customWidth="1"/>
    <col min="15" max="15" width="10.5546875" style="3" bestFit="1" customWidth="1"/>
    <col min="16" max="17" width="17.44140625" style="3" customWidth="1"/>
    <col min="18" max="16384" width="9.21875" style="3"/>
  </cols>
  <sheetData>
    <row r="1" spans="1:17" x14ac:dyDescent="0.3">
      <c r="A1" s="79"/>
      <c r="B1" s="79"/>
      <c r="C1" s="79"/>
      <c r="D1" s="79"/>
      <c r="E1" s="79"/>
      <c r="F1" s="99" t="s">
        <v>126</v>
      </c>
      <c r="G1" s="99"/>
      <c r="H1" s="99"/>
      <c r="I1" s="99"/>
      <c r="J1" s="99"/>
      <c r="K1" s="99"/>
      <c r="L1" s="99"/>
      <c r="M1" s="99"/>
      <c r="N1" s="99"/>
      <c r="O1" s="99"/>
      <c r="P1" s="99" t="s">
        <v>105</v>
      </c>
      <c r="Q1" s="99"/>
    </row>
    <row r="2" spans="1:17" x14ac:dyDescent="0.3">
      <c r="A2" s="1" t="s">
        <v>31</v>
      </c>
      <c r="B2" s="2" t="s">
        <v>32</v>
      </c>
      <c r="C2" s="2" t="s">
        <v>33</v>
      </c>
      <c r="D2" s="2" t="s">
        <v>34</v>
      </c>
      <c r="E2" s="80" t="s">
        <v>35</v>
      </c>
      <c r="F2" s="4" t="s">
        <v>127</v>
      </c>
      <c r="G2" s="4" t="s">
        <v>128</v>
      </c>
      <c r="H2" s="4" t="s">
        <v>129</v>
      </c>
      <c r="I2" s="4" t="s">
        <v>130</v>
      </c>
      <c r="J2" s="4" t="s">
        <v>131</v>
      </c>
      <c r="K2" s="4" t="s">
        <v>132</v>
      </c>
      <c r="L2" s="4" t="s">
        <v>133</v>
      </c>
      <c r="M2" s="4" t="s">
        <v>134</v>
      </c>
      <c r="N2" s="4" t="s">
        <v>135</v>
      </c>
      <c r="O2" s="4" t="s">
        <v>136</v>
      </c>
      <c r="P2" s="42" t="s">
        <v>137</v>
      </c>
      <c r="Q2" s="7" t="s">
        <v>125</v>
      </c>
    </row>
    <row r="3" spans="1:17" ht="50.1" customHeight="1" x14ac:dyDescent="0.3">
      <c r="A3" s="69">
        <f>IF(NSi.TS[[#This Row],[No]]=0,"",NSi.TS[[#This Row],[No]])</f>
        <v>1</v>
      </c>
      <c r="B3" s="70" t="str">
        <f>IF(NSi.TS[[#This Row],[Nama Siswa]]=0,"",NSi.TS[[#This Row],[Nama Siswa]])</f>
        <v>Aditya Krisna</v>
      </c>
      <c r="C3" s="69" t="str">
        <f>IF(NSi.TS[[#This Row],[Nomor Induk]]=0,"",NSi.TS[[#This Row],[Nomor Induk]])</f>
        <v>1/HBICSHIGH/20</v>
      </c>
      <c r="D3" s="69">
        <f>IF(NSi.TS[[#This Row],[NISN]]=0,"",NSi.TS[[#This Row],[NISN]])</f>
        <v>16863262</v>
      </c>
      <c r="E3" s="69" t="str">
        <f>IF(NSi.TS[[#This Row],[Jurusan]]=0,"",NSi.TS[[#This Row],[Jurusan]])</f>
        <v>IPA</v>
      </c>
      <c r="F3" s="15">
        <f ca="1">RANDBETWEEN(75, 100)</f>
        <v>99</v>
      </c>
      <c r="G3" s="15">
        <f t="shared" ref="G3:O12" ca="1" si="0">RANDBETWEEN(75, 100)</f>
        <v>97</v>
      </c>
      <c r="H3" s="15">
        <f t="shared" ca="1" si="0"/>
        <v>92</v>
      </c>
      <c r="I3" s="15">
        <f t="shared" ca="1" si="0"/>
        <v>83</v>
      </c>
      <c r="J3" s="15">
        <f t="shared" ca="1" si="0"/>
        <v>88</v>
      </c>
      <c r="K3" s="15">
        <f t="shared" ca="1" si="0"/>
        <v>89</v>
      </c>
      <c r="L3" s="15">
        <f t="shared" ca="1" si="0"/>
        <v>77</v>
      </c>
      <c r="M3" s="15">
        <f t="shared" ca="1" si="0"/>
        <v>79</v>
      </c>
      <c r="N3" s="15">
        <f t="shared" ca="1" si="0"/>
        <v>93</v>
      </c>
      <c r="O3" s="15">
        <f t="shared" ca="1" si="0"/>
        <v>90</v>
      </c>
      <c r="P3" s="20">
        <f ca="1">IFERROR(ROUND(AVERAGE(K.Mid.S[[#This Row],[NK 1]:[NK 10]]),0),"")</f>
        <v>89</v>
      </c>
      <c r="Q3" s="11" t="str">
        <f ca="1">IF(K.Mid.S[[#This Row],[Rata2 NK]]="","Belum Terukur",IF(K.Mid.S[[#This Row],[Rata2 NK]]&gt;=92,"A",IF(K.Mid.S[[#This Row],[Rata2 NK]]&gt;=83,"B",IF(K.Mid.S[[#This Row],[Rata2 NK]]&gt;=75,"C","D"))))</f>
        <v>B</v>
      </c>
    </row>
    <row r="4" spans="1:17" ht="50.1" customHeight="1" x14ac:dyDescent="0.3">
      <c r="A4" s="69">
        <f>IF(NSi.TS[[#This Row],[No]]=0,"",NSi.TS[[#This Row],[No]])</f>
        <v>2</v>
      </c>
      <c r="B4" s="70" t="str">
        <f>IF(NSi.TS[[#This Row],[Nama Siswa]]=0,"",NSi.TS[[#This Row],[Nama Siswa]])</f>
        <v>Anwar Setiawan</v>
      </c>
      <c r="C4" s="69" t="str">
        <f>IF(NSi.TS[[#This Row],[Nomor Induk]]=0,"",NSi.TS[[#This Row],[Nomor Induk]])</f>
        <v>2/HBICSHIGH/20</v>
      </c>
      <c r="D4" s="69">
        <f>IF(NSi.TS[[#This Row],[NISN]]=0,"",NSi.TS[[#This Row],[NISN]])</f>
        <v>24306262</v>
      </c>
      <c r="E4" s="69" t="str">
        <f>IF(NSi.TS[[#This Row],[Jurusan]]=0,"",NSi.TS[[#This Row],[Jurusan]])</f>
        <v>IPS</v>
      </c>
      <c r="F4" s="15">
        <f t="shared" ref="F4:F12" ca="1" si="1">RANDBETWEEN(75, 100)</f>
        <v>88</v>
      </c>
      <c r="G4" s="15">
        <f t="shared" ca="1" si="0"/>
        <v>77</v>
      </c>
      <c r="H4" s="15">
        <f t="shared" ca="1" si="0"/>
        <v>85</v>
      </c>
      <c r="I4" s="15">
        <f t="shared" ca="1" si="0"/>
        <v>83</v>
      </c>
      <c r="J4" s="15">
        <f t="shared" ca="1" si="0"/>
        <v>91</v>
      </c>
      <c r="K4" s="15">
        <f t="shared" ca="1" si="0"/>
        <v>96</v>
      </c>
      <c r="L4" s="15">
        <f t="shared" ca="1" si="0"/>
        <v>81</v>
      </c>
      <c r="M4" s="15">
        <f t="shared" ca="1" si="0"/>
        <v>95</v>
      </c>
      <c r="N4" s="15">
        <f t="shared" ca="1" si="0"/>
        <v>99</v>
      </c>
      <c r="O4" s="15">
        <f t="shared" ca="1" si="0"/>
        <v>89</v>
      </c>
      <c r="P4" s="20">
        <f ca="1">IFERROR(ROUND(AVERAGE(K.Mid.S[[#This Row],[NK 1]:[NK 10]]),0),"")</f>
        <v>88</v>
      </c>
      <c r="Q4" s="11" t="str">
        <f ca="1">IF(K.Mid.S[[#This Row],[Rata2 NK]]="","Belum Terukur",IF(K.Mid.S[[#This Row],[Rata2 NK]]&gt;=92,"A",IF(K.Mid.S[[#This Row],[Rata2 NK]]&gt;=83,"B",IF(K.Mid.S[[#This Row],[Rata2 NK]]&gt;=75,"C","D"))))</f>
        <v>B</v>
      </c>
    </row>
    <row r="5" spans="1:17" ht="50.1" customHeight="1" x14ac:dyDescent="0.3">
      <c r="A5" s="69">
        <f>IF(NSi.TS[[#This Row],[No]]=0,"",NSi.TS[[#This Row],[No]])</f>
        <v>3</v>
      </c>
      <c r="B5" s="70" t="str">
        <f>IF(NSi.TS[[#This Row],[Nama Siswa]]=0,"",NSi.TS[[#This Row],[Nama Siswa]])</f>
        <v>Bima Citra</v>
      </c>
      <c r="C5" s="69" t="str">
        <f>IF(NSi.TS[[#This Row],[Nomor Induk]]=0,"",NSi.TS[[#This Row],[Nomor Induk]])</f>
        <v>3/HBICSHIGH/20</v>
      </c>
      <c r="D5" s="69">
        <f>IF(NSi.TS[[#This Row],[NISN]]=0,"",NSi.TS[[#This Row],[NISN]])</f>
        <v>16863262</v>
      </c>
      <c r="E5" s="69" t="str">
        <f>IF(NSi.TS[[#This Row],[Jurusan]]=0,"",NSi.TS[[#This Row],[Jurusan]])</f>
        <v>IPS</v>
      </c>
      <c r="F5" s="15">
        <f t="shared" ca="1" si="1"/>
        <v>98</v>
      </c>
      <c r="G5" s="15">
        <f t="shared" ca="1" si="0"/>
        <v>75</v>
      </c>
      <c r="H5" s="15">
        <f t="shared" ca="1" si="0"/>
        <v>90</v>
      </c>
      <c r="I5" s="15">
        <f t="shared" ca="1" si="0"/>
        <v>96</v>
      </c>
      <c r="J5" s="15">
        <f t="shared" ca="1" si="0"/>
        <v>76</v>
      </c>
      <c r="K5" s="15">
        <f t="shared" ca="1" si="0"/>
        <v>75</v>
      </c>
      <c r="L5" s="15">
        <f t="shared" ca="1" si="0"/>
        <v>89</v>
      </c>
      <c r="M5" s="15">
        <f t="shared" ca="1" si="0"/>
        <v>80</v>
      </c>
      <c r="N5" s="15">
        <f t="shared" ca="1" si="0"/>
        <v>86</v>
      </c>
      <c r="O5" s="15">
        <f t="shared" ca="1" si="0"/>
        <v>91</v>
      </c>
      <c r="P5" s="20">
        <f ca="1">IFERROR(ROUND(AVERAGE(K.Mid.S[[#This Row],[NK 1]:[NK 10]]),0),"")</f>
        <v>86</v>
      </c>
      <c r="Q5" s="11" t="str">
        <f ca="1">IF(K.Mid.S[[#This Row],[Rata2 NK]]="","Belum Terukur",IF(K.Mid.S[[#This Row],[Rata2 NK]]&gt;=92,"A",IF(K.Mid.S[[#This Row],[Rata2 NK]]&gt;=83,"B",IF(K.Mid.S[[#This Row],[Rata2 NK]]&gt;=75,"C","D"))))</f>
        <v>B</v>
      </c>
    </row>
    <row r="6" spans="1:17" ht="50.1" customHeight="1" x14ac:dyDescent="0.3">
      <c r="A6" s="69">
        <f>IF(NSi.TS[[#This Row],[No]]=0,"",NSi.TS[[#This Row],[No]])</f>
        <v>4</v>
      </c>
      <c r="B6" s="70" t="str">
        <f>IF(NSi.TS[[#This Row],[Nama Siswa]]=0,"",NSi.TS[[#This Row],[Nama Siswa]])</f>
        <v>Hadijah Tirta</v>
      </c>
      <c r="C6" s="69" t="str">
        <f>IF(NSi.TS[[#This Row],[Nomor Induk]]=0,"",NSi.TS[[#This Row],[Nomor Induk]])</f>
        <v>4/HBICSHIGH/20</v>
      </c>
      <c r="D6" s="69">
        <f>IF(NSi.TS[[#This Row],[NISN]]=0,"",NSi.TS[[#This Row],[NISN]])</f>
        <v>5033631</v>
      </c>
      <c r="E6" s="69" t="str">
        <f>IF(NSi.TS[[#This Row],[Jurusan]]=0,"",NSi.TS[[#This Row],[Jurusan]])</f>
        <v>IPA</v>
      </c>
      <c r="F6" s="15">
        <f t="shared" ca="1" si="1"/>
        <v>78</v>
      </c>
      <c r="G6" s="15">
        <f t="shared" ca="1" si="0"/>
        <v>93</v>
      </c>
      <c r="H6" s="15">
        <f t="shared" ca="1" si="0"/>
        <v>94</v>
      </c>
      <c r="I6" s="15">
        <f t="shared" ca="1" si="0"/>
        <v>79</v>
      </c>
      <c r="J6" s="15">
        <f t="shared" ca="1" si="0"/>
        <v>80</v>
      </c>
      <c r="K6" s="15">
        <f t="shared" ca="1" si="0"/>
        <v>97</v>
      </c>
      <c r="L6" s="15">
        <f t="shared" ca="1" si="0"/>
        <v>89</v>
      </c>
      <c r="M6" s="15">
        <f t="shared" ca="1" si="0"/>
        <v>76</v>
      </c>
      <c r="N6" s="15">
        <f t="shared" ca="1" si="0"/>
        <v>94</v>
      </c>
      <c r="O6" s="15">
        <f t="shared" ca="1" si="0"/>
        <v>100</v>
      </c>
      <c r="P6" s="20">
        <f ca="1">IFERROR(ROUND(AVERAGE(K.Mid.S[[#This Row],[NK 1]:[NK 10]]),0),"")</f>
        <v>88</v>
      </c>
      <c r="Q6" s="11" t="str">
        <f ca="1">IF(K.Mid.S[[#This Row],[Rata2 NK]]="","Belum Terukur",IF(K.Mid.S[[#This Row],[Rata2 NK]]&gt;=92,"A",IF(K.Mid.S[[#This Row],[Rata2 NK]]&gt;=83,"B",IF(K.Mid.S[[#This Row],[Rata2 NK]]&gt;=75,"C","D"))))</f>
        <v>B</v>
      </c>
    </row>
    <row r="7" spans="1:17" ht="50.1" customHeight="1" x14ac:dyDescent="0.3">
      <c r="A7" s="69">
        <f>IF(NSi.TS[[#This Row],[No]]=0,"",NSi.TS[[#This Row],[No]])</f>
        <v>5</v>
      </c>
      <c r="B7" s="70" t="str">
        <f>IF(NSi.TS[[#This Row],[Nama Siswa]]=0,"",NSi.TS[[#This Row],[Nama Siswa]])</f>
        <v>Harun Amir</v>
      </c>
      <c r="C7" s="69" t="str">
        <f>IF(NSi.TS[[#This Row],[Nomor Induk]]=0,"",NSi.TS[[#This Row],[Nomor Induk]])</f>
        <v>5/HBICSHIGH/20</v>
      </c>
      <c r="D7" s="69">
        <f>IF(NSi.TS[[#This Row],[NISN]]=0,"",NSi.TS[[#This Row],[NISN]])</f>
        <v>25175565</v>
      </c>
      <c r="E7" s="69" t="str">
        <f>IF(NSi.TS[[#This Row],[Jurusan]]=0,"",NSi.TS[[#This Row],[Jurusan]])</f>
        <v>IPA</v>
      </c>
      <c r="F7" s="15">
        <f t="shared" ca="1" si="1"/>
        <v>77</v>
      </c>
      <c r="G7" s="15">
        <f t="shared" ca="1" si="0"/>
        <v>80</v>
      </c>
      <c r="H7" s="15">
        <f t="shared" ca="1" si="0"/>
        <v>85</v>
      </c>
      <c r="I7" s="15">
        <f t="shared" ca="1" si="0"/>
        <v>95</v>
      </c>
      <c r="J7" s="15">
        <f t="shared" ca="1" si="0"/>
        <v>100</v>
      </c>
      <c r="K7" s="15">
        <f t="shared" ca="1" si="0"/>
        <v>87</v>
      </c>
      <c r="L7" s="15">
        <f t="shared" ca="1" si="0"/>
        <v>95</v>
      </c>
      <c r="M7" s="15">
        <f t="shared" ca="1" si="0"/>
        <v>85</v>
      </c>
      <c r="N7" s="15">
        <f t="shared" ca="1" si="0"/>
        <v>86</v>
      </c>
      <c r="O7" s="15">
        <f t="shared" ca="1" si="0"/>
        <v>88</v>
      </c>
      <c r="P7" s="20">
        <f ca="1">IFERROR(ROUND(AVERAGE(K.Mid.S[[#This Row],[NK 1]:[NK 10]]),0),"")</f>
        <v>88</v>
      </c>
      <c r="Q7" s="11" t="str">
        <f ca="1">IF(K.Mid.S[[#This Row],[Rata2 NK]]="","Belum Terukur",IF(K.Mid.S[[#This Row],[Rata2 NK]]&gt;=92,"A",IF(K.Mid.S[[#This Row],[Rata2 NK]]&gt;=83,"B",IF(K.Mid.S[[#This Row],[Rata2 NK]]&gt;=75,"C","D"))))</f>
        <v>B</v>
      </c>
    </row>
    <row r="8" spans="1:17" ht="50.1" customHeight="1" x14ac:dyDescent="0.3">
      <c r="A8" s="69">
        <f>IF(NSi.TS[[#This Row],[No]]=0,"",NSi.TS[[#This Row],[No]])</f>
        <v>6</v>
      </c>
      <c r="B8" s="70" t="str">
        <f>IF(NSi.TS[[#This Row],[Nama Siswa]]=0,"",NSi.TS[[#This Row],[Nama Siswa]])</f>
        <v>Harun Budi</v>
      </c>
      <c r="C8" s="69" t="str">
        <f>IF(NSi.TS[[#This Row],[Nomor Induk]]=0,"",NSi.TS[[#This Row],[Nomor Induk]])</f>
        <v>6/HBICSHIGH/20</v>
      </c>
      <c r="D8" s="69">
        <f>IF(NSi.TS[[#This Row],[NISN]]=0,"",NSi.TS[[#This Row],[NISN]])</f>
        <v>25175567</v>
      </c>
      <c r="E8" s="69" t="str">
        <f>IF(NSi.TS[[#This Row],[Jurusan]]=0,"",NSi.TS[[#This Row],[Jurusan]])</f>
        <v>IPS</v>
      </c>
      <c r="F8" s="15">
        <f t="shared" ca="1" si="1"/>
        <v>92</v>
      </c>
      <c r="G8" s="15">
        <f t="shared" ca="1" si="0"/>
        <v>92</v>
      </c>
      <c r="H8" s="15">
        <f t="shared" ca="1" si="0"/>
        <v>92</v>
      </c>
      <c r="I8" s="15">
        <f t="shared" ca="1" si="0"/>
        <v>93</v>
      </c>
      <c r="J8" s="15">
        <f t="shared" ca="1" si="0"/>
        <v>77</v>
      </c>
      <c r="K8" s="15">
        <f t="shared" ca="1" si="0"/>
        <v>100</v>
      </c>
      <c r="L8" s="15">
        <f t="shared" ca="1" si="0"/>
        <v>88</v>
      </c>
      <c r="M8" s="15">
        <f t="shared" ca="1" si="0"/>
        <v>87</v>
      </c>
      <c r="N8" s="15">
        <f t="shared" ca="1" si="0"/>
        <v>78</v>
      </c>
      <c r="O8" s="15">
        <f t="shared" ca="1" si="0"/>
        <v>98</v>
      </c>
      <c r="P8" s="20">
        <f ca="1">IFERROR(ROUND(AVERAGE(K.Mid.S[[#This Row],[NK 1]:[NK 10]]),0),"")</f>
        <v>90</v>
      </c>
      <c r="Q8" s="11" t="str">
        <f ca="1">IF(K.Mid.S[[#This Row],[Rata2 NK]]="","Belum Terukur",IF(K.Mid.S[[#This Row],[Rata2 NK]]&gt;=92,"A",IF(K.Mid.S[[#This Row],[Rata2 NK]]&gt;=83,"B",IF(K.Mid.S[[#This Row],[Rata2 NK]]&gt;=75,"C","D"))))</f>
        <v>B</v>
      </c>
    </row>
    <row r="9" spans="1:17" ht="50.1" customHeight="1" x14ac:dyDescent="0.3">
      <c r="A9" s="69">
        <f>IF(NSi.TS[[#This Row],[No]]=0,"",NSi.TS[[#This Row],[No]])</f>
        <v>7</v>
      </c>
      <c r="B9" s="70" t="str">
        <f>IF(NSi.TS[[#This Row],[Nama Siswa]]=0,"",NSi.TS[[#This Row],[Nama Siswa]])</f>
        <v>Lutfi Dian</v>
      </c>
      <c r="C9" s="69" t="str">
        <f>IF(NSi.TS[[#This Row],[Nomor Induk]]=0,"",NSi.TS[[#This Row],[Nomor Induk]])</f>
        <v>7/HBICSHIGH/20</v>
      </c>
      <c r="D9" s="69">
        <f>IF(NSi.TS[[#This Row],[NISN]]=0,"",NSi.TS[[#This Row],[NISN]])</f>
        <v>23756408</v>
      </c>
      <c r="E9" s="69" t="str">
        <f>IF(NSi.TS[[#This Row],[Jurusan]]=0,"",NSi.TS[[#This Row],[Jurusan]])</f>
        <v>IPA</v>
      </c>
      <c r="F9" s="15">
        <f t="shared" ca="1" si="1"/>
        <v>80</v>
      </c>
      <c r="G9" s="15">
        <f t="shared" ca="1" si="0"/>
        <v>97</v>
      </c>
      <c r="H9" s="15">
        <f t="shared" ca="1" si="0"/>
        <v>78</v>
      </c>
      <c r="I9" s="15">
        <f t="shared" ca="1" si="0"/>
        <v>89</v>
      </c>
      <c r="J9" s="15">
        <f t="shared" ca="1" si="0"/>
        <v>94</v>
      </c>
      <c r="K9" s="15">
        <f t="shared" ca="1" si="0"/>
        <v>81</v>
      </c>
      <c r="L9" s="15">
        <f t="shared" ca="1" si="0"/>
        <v>96</v>
      </c>
      <c r="M9" s="15">
        <f t="shared" ca="1" si="0"/>
        <v>81</v>
      </c>
      <c r="N9" s="15">
        <f t="shared" ca="1" si="0"/>
        <v>90</v>
      </c>
      <c r="O9" s="15">
        <f t="shared" ca="1" si="0"/>
        <v>89</v>
      </c>
      <c r="P9" s="20">
        <f ca="1">IFERROR(ROUND(AVERAGE(K.Mid.S[[#This Row],[NK 1]:[NK 10]]),0),"")</f>
        <v>88</v>
      </c>
      <c r="Q9" s="11" t="str">
        <f ca="1">IF(K.Mid.S[[#This Row],[Rata2 NK]]="","Belum Terukur",IF(K.Mid.S[[#This Row],[Rata2 NK]]&gt;=92,"A",IF(K.Mid.S[[#This Row],[Rata2 NK]]&gt;=83,"B",IF(K.Mid.S[[#This Row],[Rata2 NK]]&gt;=75,"C","D"))))</f>
        <v>B</v>
      </c>
    </row>
    <row r="10" spans="1:17" ht="50.1" customHeight="1" x14ac:dyDescent="0.3">
      <c r="A10" s="69">
        <f>IF(NSi.TS[[#This Row],[No]]=0,"",NSi.TS[[#This Row],[No]])</f>
        <v>8</v>
      </c>
      <c r="B10" s="70" t="str">
        <f>IF(NSi.TS[[#This Row],[Nama Siswa]]=0,"",NSi.TS[[#This Row],[Nama Siswa]])</f>
        <v>Tirto Mohamad</v>
      </c>
      <c r="C10" s="69" t="str">
        <f>IF(NSi.TS[[#This Row],[Nomor Induk]]=0,"",NSi.TS[[#This Row],[Nomor Induk]])</f>
        <v>8/HBICSHIGH/20</v>
      </c>
      <c r="D10" s="69">
        <f>IF(NSi.TS[[#This Row],[NISN]]=0,"",NSi.TS[[#This Row],[NISN]])</f>
        <v>21962089</v>
      </c>
      <c r="E10" s="69" t="str">
        <f>IF(NSi.TS[[#This Row],[Jurusan]]=0,"",NSi.TS[[#This Row],[Jurusan]])</f>
        <v>IPS</v>
      </c>
      <c r="F10" s="15">
        <f t="shared" ca="1" si="1"/>
        <v>96</v>
      </c>
      <c r="G10" s="15">
        <f t="shared" ca="1" si="0"/>
        <v>90</v>
      </c>
      <c r="H10" s="15">
        <f t="shared" ca="1" si="0"/>
        <v>95</v>
      </c>
      <c r="I10" s="15">
        <f t="shared" ca="1" si="0"/>
        <v>81</v>
      </c>
      <c r="J10" s="15">
        <f t="shared" ca="1" si="0"/>
        <v>82</v>
      </c>
      <c r="K10" s="15">
        <f t="shared" ca="1" si="0"/>
        <v>79</v>
      </c>
      <c r="L10" s="15">
        <f t="shared" ca="1" si="0"/>
        <v>93</v>
      </c>
      <c r="M10" s="15">
        <f t="shared" ca="1" si="0"/>
        <v>94</v>
      </c>
      <c r="N10" s="15">
        <f t="shared" ca="1" si="0"/>
        <v>84</v>
      </c>
      <c r="O10" s="15">
        <f t="shared" ca="1" si="0"/>
        <v>98</v>
      </c>
      <c r="P10" s="20">
        <f ca="1">IFERROR(ROUND(AVERAGE(K.Mid.S[[#This Row],[NK 1]:[NK 10]]),0),"")</f>
        <v>89</v>
      </c>
      <c r="Q10" s="11" t="str">
        <f ca="1">IF(K.Mid.S[[#This Row],[Rata2 NK]]="","Belum Terukur",IF(K.Mid.S[[#This Row],[Rata2 NK]]&gt;=92,"A",IF(K.Mid.S[[#This Row],[Rata2 NK]]&gt;=83,"B",IF(K.Mid.S[[#This Row],[Rata2 NK]]&gt;=75,"C","D"))))</f>
        <v>B</v>
      </c>
    </row>
    <row r="11" spans="1:17" ht="50.1" customHeight="1" x14ac:dyDescent="0.3">
      <c r="A11" s="69">
        <f>IF(NSi.TS[[#This Row],[No]]=0,"",NSi.TS[[#This Row],[No]])</f>
        <v>9</v>
      </c>
      <c r="B11" s="70" t="str">
        <f>IF(NSi.TS[[#This Row],[Nama Siswa]]=0,"",NSi.TS[[#This Row],[Nama Siswa]])</f>
        <v>Wangi Aminah</v>
      </c>
      <c r="C11" s="69" t="str">
        <f>IF(NSi.TS[[#This Row],[Nomor Induk]]=0,"",NSi.TS[[#This Row],[Nomor Induk]])</f>
        <v>9/HBICSHIGH/20</v>
      </c>
      <c r="D11" s="69">
        <f>IF(NSi.TS[[#This Row],[NISN]]=0,"",NSi.TS[[#This Row],[NISN]])</f>
        <v>16221604</v>
      </c>
      <c r="E11" s="69" t="str">
        <f>IF(NSi.TS[[#This Row],[Jurusan]]=0,"",NSi.TS[[#This Row],[Jurusan]])</f>
        <v>IPA</v>
      </c>
      <c r="F11" s="15">
        <f t="shared" ca="1" si="1"/>
        <v>85</v>
      </c>
      <c r="G11" s="15">
        <f t="shared" ca="1" si="0"/>
        <v>89</v>
      </c>
      <c r="H11" s="15">
        <f t="shared" ca="1" si="0"/>
        <v>79</v>
      </c>
      <c r="I11" s="15">
        <f t="shared" ca="1" si="0"/>
        <v>96</v>
      </c>
      <c r="J11" s="15">
        <f t="shared" ca="1" si="0"/>
        <v>96</v>
      </c>
      <c r="K11" s="15">
        <f t="shared" ca="1" si="0"/>
        <v>78</v>
      </c>
      <c r="L11" s="15">
        <f t="shared" ca="1" si="0"/>
        <v>77</v>
      </c>
      <c r="M11" s="15">
        <f t="shared" ca="1" si="0"/>
        <v>97</v>
      </c>
      <c r="N11" s="15">
        <f t="shared" ca="1" si="0"/>
        <v>93</v>
      </c>
      <c r="O11" s="15">
        <f t="shared" ca="1" si="0"/>
        <v>85</v>
      </c>
      <c r="P11" s="20">
        <f ca="1">IFERROR(ROUND(AVERAGE(K.Mid.S[[#This Row],[NK 1]:[NK 10]]),0),"")</f>
        <v>88</v>
      </c>
      <c r="Q11" s="11" t="str">
        <f ca="1">IF(K.Mid.S[[#This Row],[Rata2 NK]]="","Belum Terukur",IF(K.Mid.S[[#This Row],[Rata2 NK]]&gt;=92,"A",IF(K.Mid.S[[#This Row],[Rata2 NK]]&gt;=83,"B",IF(K.Mid.S[[#This Row],[Rata2 NK]]&gt;=75,"C","D"))))</f>
        <v>B</v>
      </c>
    </row>
    <row r="12" spans="1:17" ht="50.1" customHeight="1" x14ac:dyDescent="0.3">
      <c r="A12" s="69">
        <f>IF(NSi.TS[[#This Row],[No]]=0,"",NSi.TS[[#This Row],[No]])</f>
        <v>10</v>
      </c>
      <c r="B12" s="70" t="str">
        <f>IF(NSi.TS[[#This Row],[Nama Siswa]]=0,"",NSi.TS[[#This Row],[Nama Siswa]])</f>
        <v>Wangi Daud</v>
      </c>
      <c r="C12" s="69" t="str">
        <f>IF(NSi.TS[[#This Row],[Nomor Induk]]=0,"",NSi.TS[[#This Row],[Nomor Induk]])</f>
        <v>10/HBICSHIGH/20</v>
      </c>
      <c r="D12" s="69">
        <f>IF(NSi.TS[[#This Row],[NISN]]=0,"",NSi.TS[[#This Row],[NISN]])</f>
        <v>23768787</v>
      </c>
      <c r="E12" s="69" t="str">
        <f>IF(NSi.TS[[#This Row],[Jurusan]]=0,"",NSi.TS[[#This Row],[Jurusan]])</f>
        <v>IPS</v>
      </c>
      <c r="F12" s="15">
        <f t="shared" ca="1" si="1"/>
        <v>75</v>
      </c>
      <c r="G12" s="15">
        <f t="shared" ca="1" si="0"/>
        <v>99</v>
      </c>
      <c r="H12" s="15">
        <f t="shared" ca="1" si="0"/>
        <v>89</v>
      </c>
      <c r="I12" s="15">
        <f t="shared" ca="1" si="0"/>
        <v>98</v>
      </c>
      <c r="J12" s="15">
        <f t="shared" ca="1" si="0"/>
        <v>83</v>
      </c>
      <c r="K12" s="15">
        <f t="shared" ca="1" si="0"/>
        <v>81</v>
      </c>
      <c r="L12" s="15">
        <f t="shared" ca="1" si="0"/>
        <v>88</v>
      </c>
      <c r="M12" s="15">
        <f t="shared" ca="1" si="0"/>
        <v>80</v>
      </c>
      <c r="N12" s="15">
        <f t="shared" ca="1" si="0"/>
        <v>96</v>
      </c>
      <c r="O12" s="15">
        <f t="shared" ca="1" si="0"/>
        <v>89</v>
      </c>
      <c r="P12" s="20">
        <f ca="1">IFERROR(ROUND(AVERAGE(K.Mid.S[[#This Row],[NK 1]:[NK 10]]),0),"")</f>
        <v>88</v>
      </c>
      <c r="Q12" s="11" t="str">
        <f ca="1">IF(K.Mid.S[[#This Row],[Rata2 NK]]="","Belum Terukur",IF(K.Mid.S[[#This Row],[Rata2 NK]]&gt;=92,"A",IF(K.Mid.S[[#This Row],[Rata2 NK]]&gt;=83,"B",IF(K.Mid.S[[#This Row],[Rata2 NK]]&gt;=75,"C","D"))))</f>
        <v>B</v>
      </c>
    </row>
    <row r="13" spans="1:17" ht="50.1" customHeight="1" x14ac:dyDescent="0.3">
      <c r="A13" s="69" t="str">
        <f>IF(NSi.TS[[#This Row],[No]]=0,"",NSi.TS[[#This Row],[No]])</f>
        <v/>
      </c>
      <c r="B13" s="70" t="str">
        <f>IF(NSi.TS[[#This Row],[Nama Siswa]]=0,"",NSi.TS[[#This Row],[Nama Siswa]])</f>
        <v/>
      </c>
      <c r="C13" s="69" t="str">
        <f>IF(NSi.TS[[#This Row],[Nomor Induk]]=0,"",NSi.TS[[#This Row],[Nomor Induk]])</f>
        <v/>
      </c>
      <c r="D13" s="69" t="str">
        <f>IF(NSi.TS[[#This Row],[NISN]]=0,"",NSi.TS[[#This Row],[NISN]])</f>
        <v/>
      </c>
      <c r="E13" s="69" t="str">
        <f>IF(NSi.TS[[#This Row],[Jurusan]]=0,"",NSi.TS[[#This Row],[Jurusan]])</f>
        <v/>
      </c>
      <c r="F13" s="15"/>
      <c r="G13" s="15"/>
      <c r="H13" s="15"/>
      <c r="I13" s="15"/>
      <c r="J13" s="15"/>
      <c r="K13" s="15"/>
      <c r="L13" s="15"/>
      <c r="M13" s="15"/>
      <c r="N13" s="15"/>
      <c r="O13" s="15"/>
      <c r="P13" s="20" t="str">
        <f>IFERROR(ROUND(AVERAGE(K.Mid.S[[#This Row],[NK 1]:[NK 10]]),0),"")</f>
        <v/>
      </c>
      <c r="Q13" s="11" t="str">
        <f>IF(K.Mid.S[[#This Row],[Rata2 NK]]="","Belum Terukur",IF(K.Mid.S[[#This Row],[Rata2 NK]]&gt;=92,"A",IF(K.Mid.S[[#This Row],[Rata2 NK]]&gt;=83,"B",IF(K.Mid.S[[#This Row],[Rata2 NK]]&gt;=75,"C","D"))))</f>
        <v>Belum Terukur</v>
      </c>
    </row>
    <row r="14" spans="1:17" ht="50.1" customHeight="1" x14ac:dyDescent="0.3">
      <c r="A14" s="69" t="str">
        <f>IF(NSi.TS[[#This Row],[No]]=0,"",NSi.TS[[#This Row],[No]])</f>
        <v/>
      </c>
      <c r="B14" s="70" t="str">
        <f>IF(NSi.TS[[#This Row],[Nama Siswa]]=0,"",NSi.TS[[#This Row],[Nama Siswa]])</f>
        <v/>
      </c>
      <c r="C14" s="69" t="str">
        <f>IF(NSi.TS[[#This Row],[Nomor Induk]]=0,"",NSi.TS[[#This Row],[Nomor Induk]])</f>
        <v/>
      </c>
      <c r="D14" s="69" t="str">
        <f>IF(NSi.TS[[#This Row],[NISN]]=0,"",NSi.TS[[#This Row],[NISN]])</f>
        <v/>
      </c>
      <c r="E14" s="69" t="str">
        <f>IF(NSi.TS[[#This Row],[Jurusan]]=0,"",NSi.TS[[#This Row],[Jurusan]])</f>
        <v/>
      </c>
      <c r="F14" s="15"/>
      <c r="G14" s="15"/>
      <c r="H14" s="15"/>
      <c r="I14" s="15"/>
      <c r="J14" s="15"/>
      <c r="K14" s="15"/>
      <c r="L14" s="15"/>
      <c r="M14" s="15"/>
      <c r="N14" s="15"/>
      <c r="O14" s="15"/>
      <c r="P14" s="20" t="str">
        <f>IFERROR(ROUND(AVERAGE(K.Mid.S[[#This Row],[NK 1]:[NK 10]]),0),"")</f>
        <v/>
      </c>
      <c r="Q14" s="11" t="str">
        <f>IF(K.Mid.S[[#This Row],[Rata2 NK]]="","Belum Terukur",IF(K.Mid.S[[#This Row],[Rata2 NK]]&gt;=92,"A",IF(K.Mid.S[[#This Row],[Rata2 NK]]&gt;=83,"B",IF(K.Mid.S[[#This Row],[Rata2 NK]]&gt;=75,"C","D"))))</f>
        <v>Belum Terukur</v>
      </c>
    </row>
    <row r="15" spans="1:17" ht="50.1" customHeight="1" x14ac:dyDescent="0.3">
      <c r="A15" s="69" t="str">
        <f>IF(NSi.TS[[#This Row],[No]]=0,"",NSi.TS[[#This Row],[No]])</f>
        <v/>
      </c>
      <c r="B15" s="70" t="str">
        <f>IF(NSi.TS[[#This Row],[Nama Siswa]]=0,"",NSi.TS[[#This Row],[Nama Siswa]])</f>
        <v/>
      </c>
      <c r="C15" s="69" t="str">
        <f>IF(NSi.TS[[#This Row],[Nomor Induk]]=0,"",NSi.TS[[#This Row],[Nomor Induk]])</f>
        <v/>
      </c>
      <c r="D15" s="69" t="str">
        <f>IF(NSi.TS[[#This Row],[NISN]]=0,"",NSi.TS[[#This Row],[NISN]])</f>
        <v/>
      </c>
      <c r="E15" s="69" t="str">
        <f>IF(NSi.TS[[#This Row],[Jurusan]]=0,"",NSi.TS[[#This Row],[Jurusan]])</f>
        <v/>
      </c>
      <c r="F15" s="15"/>
      <c r="G15" s="15"/>
      <c r="H15" s="15"/>
      <c r="I15" s="15"/>
      <c r="J15" s="15"/>
      <c r="K15" s="15"/>
      <c r="L15" s="15"/>
      <c r="M15" s="15"/>
      <c r="N15" s="15"/>
      <c r="O15" s="15"/>
      <c r="P15" s="20" t="str">
        <f>IFERROR(ROUND(AVERAGE(K.Mid.S[[#This Row],[NK 1]:[NK 10]]),0),"")</f>
        <v/>
      </c>
      <c r="Q15" s="11" t="str">
        <f>IF(K.Mid.S[[#This Row],[Rata2 NK]]="","Belum Terukur",IF(K.Mid.S[[#This Row],[Rata2 NK]]&gt;=92,"A",IF(K.Mid.S[[#This Row],[Rata2 NK]]&gt;=83,"B",IF(K.Mid.S[[#This Row],[Rata2 NK]]&gt;=75,"C","D"))))</f>
        <v>Belum Terukur</v>
      </c>
    </row>
    <row r="16" spans="1:17" ht="50.1" customHeight="1" x14ac:dyDescent="0.3">
      <c r="A16" s="69" t="str">
        <f>IF(NSi.TS[[#This Row],[No]]=0,"",NSi.TS[[#This Row],[No]])</f>
        <v/>
      </c>
      <c r="B16" s="70" t="str">
        <f>IF(NSi.TS[[#This Row],[Nama Siswa]]=0,"",NSi.TS[[#This Row],[Nama Siswa]])</f>
        <v/>
      </c>
      <c r="C16" s="69" t="str">
        <f>IF(NSi.TS[[#This Row],[Nomor Induk]]=0,"",NSi.TS[[#This Row],[Nomor Induk]])</f>
        <v/>
      </c>
      <c r="D16" s="69" t="str">
        <f>IF(NSi.TS[[#This Row],[NISN]]=0,"",NSi.TS[[#This Row],[NISN]])</f>
        <v/>
      </c>
      <c r="E16" s="69" t="str">
        <f>IF(NSi.TS[[#This Row],[Jurusan]]=0,"",NSi.TS[[#This Row],[Jurusan]])</f>
        <v/>
      </c>
      <c r="F16" s="15"/>
      <c r="G16" s="15"/>
      <c r="H16" s="15"/>
      <c r="I16" s="15"/>
      <c r="J16" s="15"/>
      <c r="K16" s="15"/>
      <c r="L16" s="15"/>
      <c r="M16" s="15"/>
      <c r="N16" s="15"/>
      <c r="O16" s="15"/>
      <c r="P16" s="20" t="str">
        <f>IFERROR(ROUND(AVERAGE(K.Mid.S[[#This Row],[NK 1]:[NK 10]]),0),"")</f>
        <v/>
      </c>
      <c r="Q16" s="11" t="str">
        <f>IF(K.Mid.S[[#This Row],[Rata2 NK]]="","Belum Terukur",IF(K.Mid.S[[#This Row],[Rata2 NK]]&gt;=92,"A",IF(K.Mid.S[[#This Row],[Rata2 NK]]&gt;=83,"B",IF(K.Mid.S[[#This Row],[Rata2 NK]]&gt;=75,"C","D"))))</f>
        <v>Belum Terukur</v>
      </c>
    </row>
    <row r="17" spans="1:17" ht="50.1" customHeight="1" x14ac:dyDescent="0.3">
      <c r="A17" s="69" t="str">
        <f>IF(NSi.TS[[#This Row],[No]]=0,"",NSi.TS[[#This Row],[No]])</f>
        <v/>
      </c>
      <c r="B17" s="70" t="str">
        <f>IF(NSi.TS[[#This Row],[Nama Siswa]]=0,"",NSi.TS[[#This Row],[Nama Siswa]])</f>
        <v/>
      </c>
      <c r="C17" s="69" t="str">
        <f>IF(NSi.TS[[#This Row],[Nomor Induk]]=0,"",NSi.TS[[#This Row],[Nomor Induk]])</f>
        <v/>
      </c>
      <c r="D17" s="69" t="str">
        <f>IF(NSi.TS[[#This Row],[NISN]]=0,"",NSi.TS[[#This Row],[NISN]])</f>
        <v/>
      </c>
      <c r="E17" s="69" t="str">
        <f>IF(NSi.TS[[#This Row],[Jurusan]]=0,"",NSi.TS[[#This Row],[Jurusan]])</f>
        <v/>
      </c>
      <c r="F17" s="15"/>
      <c r="G17" s="15"/>
      <c r="H17" s="15"/>
      <c r="I17" s="15"/>
      <c r="J17" s="15"/>
      <c r="K17" s="15"/>
      <c r="L17" s="15"/>
      <c r="M17" s="15"/>
      <c r="N17" s="15"/>
      <c r="O17" s="15"/>
      <c r="P17" s="20" t="str">
        <f>IFERROR(ROUND(AVERAGE(K.Mid.S[[#This Row],[NK 1]:[NK 10]]),0),"")</f>
        <v/>
      </c>
      <c r="Q17" s="11" t="str">
        <f>IF(K.Mid.S[[#This Row],[Rata2 NK]]="","Belum Terukur",IF(K.Mid.S[[#This Row],[Rata2 NK]]&gt;=92,"A",IF(K.Mid.S[[#This Row],[Rata2 NK]]&gt;=83,"B",IF(K.Mid.S[[#This Row],[Rata2 NK]]&gt;=75,"C","D"))))</f>
        <v>Belum Terukur</v>
      </c>
    </row>
    <row r="18" spans="1:17" ht="50.1" customHeight="1" x14ac:dyDescent="0.3">
      <c r="A18" s="69" t="str">
        <f>IF(NSi.TS[[#This Row],[No]]=0,"",NSi.TS[[#This Row],[No]])</f>
        <v/>
      </c>
      <c r="B18" s="70" t="str">
        <f>IF(NSi.TS[[#This Row],[Nama Siswa]]=0,"",NSi.TS[[#This Row],[Nama Siswa]])</f>
        <v/>
      </c>
      <c r="C18" s="69" t="str">
        <f>IF(NSi.TS[[#This Row],[Nomor Induk]]=0,"",NSi.TS[[#This Row],[Nomor Induk]])</f>
        <v/>
      </c>
      <c r="D18" s="69" t="str">
        <f>IF(NSi.TS[[#This Row],[NISN]]=0,"",NSi.TS[[#This Row],[NISN]])</f>
        <v/>
      </c>
      <c r="E18" s="69" t="str">
        <f>IF(NSi.TS[[#This Row],[Jurusan]]=0,"",NSi.TS[[#This Row],[Jurusan]])</f>
        <v/>
      </c>
      <c r="F18" s="15"/>
      <c r="G18" s="15"/>
      <c r="H18" s="15"/>
      <c r="I18" s="15"/>
      <c r="J18" s="15"/>
      <c r="K18" s="15"/>
      <c r="L18" s="15"/>
      <c r="M18" s="15"/>
      <c r="N18" s="15"/>
      <c r="O18" s="15"/>
      <c r="P18" s="20" t="str">
        <f>IFERROR(ROUND(AVERAGE(K.Mid.S[[#This Row],[NK 1]:[NK 10]]),0),"")</f>
        <v/>
      </c>
      <c r="Q18" s="11" t="str">
        <f>IF(K.Mid.S[[#This Row],[Rata2 NK]]="","Belum Terukur",IF(K.Mid.S[[#This Row],[Rata2 NK]]&gt;=92,"A",IF(K.Mid.S[[#This Row],[Rata2 NK]]&gt;=83,"B",IF(K.Mid.S[[#This Row],[Rata2 NK]]&gt;=75,"C","D"))))</f>
        <v>Belum Terukur</v>
      </c>
    </row>
    <row r="19" spans="1:17" ht="50.1" customHeight="1" x14ac:dyDescent="0.3">
      <c r="A19" s="69" t="str">
        <f>IF(NSi.TS[[#This Row],[No]]=0,"",NSi.TS[[#This Row],[No]])</f>
        <v/>
      </c>
      <c r="B19" s="70" t="str">
        <f>IF(NSi.TS[[#This Row],[Nama Siswa]]=0,"",NSi.TS[[#This Row],[Nama Siswa]])</f>
        <v/>
      </c>
      <c r="C19" s="69" t="str">
        <f>IF(NSi.TS[[#This Row],[Nomor Induk]]=0,"",NSi.TS[[#This Row],[Nomor Induk]])</f>
        <v/>
      </c>
      <c r="D19" s="69" t="str">
        <f>IF(NSi.TS[[#This Row],[NISN]]=0,"",NSi.TS[[#This Row],[NISN]])</f>
        <v/>
      </c>
      <c r="E19" s="69" t="str">
        <f>IF(NSi.TS[[#This Row],[Jurusan]]=0,"",NSi.TS[[#This Row],[Jurusan]])</f>
        <v/>
      </c>
      <c r="F19" s="15"/>
      <c r="G19" s="15"/>
      <c r="H19" s="15"/>
      <c r="I19" s="15"/>
      <c r="J19" s="15"/>
      <c r="K19" s="15"/>
      <c r="L19" s="15"/>
      <c r="M19" s="15"/>
      <c r="N19" s="15"/>
      <c r="O19" s="15"/>
      <c r="P19" s="20" t="str">
        <f>IFERROR(ROUND(AVERAGE(K.Mid.S[[#This Row],[NK 1]:[NK 10]]),0),"")</f>
        <v/>
      </c>
      <c r="Q19" s="11" t="str">
        <f>IF(K.Mid.S[[#This Row],[Rata2 NK]]="","Belum Terukur",IF(K.Mid.S[[#This Row],[Rata2 NK]]&gt;=92,"A",IF(K.Mid.S[[#This Row],[Rata2 NK]]&gt;=83,"B",IF(K.Mid.S[[#This Row],[Rata2 NK]]&gt;=75,"C","D"))))</f>
        <v>Belum Terukur</v>
      </c>
    </row>
    <row r="20" spans="1:17" ht="50.1" customHeight="1" x14ac:dyDescent="0.3">
      <c r="A20" s="69" t="str">
        <f>IF(NSi.TS[[#This Row],[No]]=0,"",NSi.TS[[#This Row],[No]])</f>
        <v/>
      </c>
      <c r="B20" s="70" t="str">
        <f>IF(NSi.TS[[#This Row],[Nama Siswa]]=0,"",NSi.TS[[#This Row],[Nama Siswa]])</f>
        <v/>
      </c>
      <c r="C20" s="69" t="str">
        <f>IF(NSi.TS[[#This Row],[Nomor Induk]]=0,"",NSi.TS[[#This Row],[Nomor Induk]])</f>
        <v/>
      </c>
      <c r="D20" s="69" t="str">
        <f>IF(NSi.TS[[#This Row],[NISN]]=0,"",NSi.TS[[#This Row],[NISN]])</f>
        <v/>
      </c>
      <c r="E20" s="69" t="str">
        <f>IF(NSi.TS[[#This Row],[Jurusan]]=0,"",NSi.TS[[#This Row],[Jurusan]])</f>
        <v/>
      </c>
      <c r="F20" s="15"/>
      <c r="G20" s="15"/>
      <c r="H20" s="15"/>
      <c r="I20" s="15"/>
      <c r="J20" s="15"/>
      <c r="K20" s="15"/>
      <c r="L20" s="15"/>
      <c r="M20" s="15"/>
      <c r="N20" s="15"/>
      <c r="O20" s="15"/>
      <c r="P20" s="20" t="str">
        <f>IFERROR(ROUND(AVERAGE(K.Mid.S[[#This Row],[NK 1]:[NK 10]]),0),"")</f>
        <v/>
      </c>
      <c r="Q20" s="11" t="str">
        <f>IF(K.Mid.S[[#This Row],[Rata2 NK]]="","Belum Terukur",IF(K.Mid.S[[#This Row],[Rata2 NK]]&gt;=92,"A",IF(K.Mid.S[[#This Row],[Rata2 NK]]&gt;=83,"B",IF(K.Mid.S[[#This Row],[Rata2 NK]]&gt;=75,"C","D"))))</f>
        <v>Belum Terukur</v>
      </c>
    </row>
    <row r="21" spans="1:17" ht="50.1" customHeight="1" x14ac:dyDescent="0.3">
      <c r="A21" s="69" t="str">
        <f>IF(NSi.TS[[#This Row],[No]]=0,"",NSi.TS[[#This Row],[No]])</f>
        <v/>
      </c>
      <c r="B21" s="70" t="str">
        <f>IF(NSi.TS[[#This Row],[Nama Siswa]]=0,"",NSi.TS[[#This Row],[Nama Siswa]])</f>
        <v/>
      </c>
      <c r="C21" s="69" t="str">
        <f>IF(NSi.TS[[#This Row],[Nomor Induk]]=0,"",NSi.TS[[#This Row],[Nomor Induk]])</f>
        <v/>
      </c>
      <c r="D21" s="69" t="str">
        <f>IF(NSi.TS[[#This Row],[NISN]]=0,"",NSi.TS[[#This Row],[NISN]])</f>
        <v/>
      </c>
      <c r="E21" s="69" t="str">
        <f>IF(NSi.TS[[#This Row],[Jurusan]]=0,"",NSi.TS[[#This Row],[Jurusan]])</f>
        <v/>
      </c>
      <c r="F21" s="15"/>
      <c r="G21" s="15"/>
      <c r="H21" s="15"/>
      <c r="I21" s="15"/>
      <c r="J21" s="15"/>
      <c r="K21" s="15"/>
      <c r="L21" s="15"/>
      <c r="M21" s="15"/>
      <c r="N21" s="15"/>
      <c r="O21" s="15"/>
      <c r="P21" s="20" t="str">
        <f>IFERROR(ROUND(AVERAGE(K.Mid.S[[#This Row],[NK 1]:[NK 10]]),0),"")</f>
        <v/>
      </c>
      <c r="Q21" s="11" t="str">
        <f>IF(K.Mid.S[[#This Row],[Rata2 NK]]="","Belum Terukur",IF(K.Mid.S[[#This Row],[Rata2 NK]]&gt;=92,"A",IF(K.Mid.S[[#This Row],[Rata2 NK]]&gt;=83,"B",IF(K.Mid.S[[#This Row],[Rata2 NK]]&gt;=75,"C","D"))))</f>
        <v>Belum Terukur</v>
      </c>
    </row>
    <row r="22" spans="1:17" ht="50.1" customHeight="1" x14ac:dyDescent="0.3">
      <c r="A22" s="69" t="str">
        <f>IF(NSi.TS[[#This Row],[No]]=0,"",NSi.TS[[#This Row],[No]])</f>
        <v/>
      </c>
      <c r="B22" s="70" t="str">
        <f>IF(NSi.TS[[#This Row],[Nama Siswa]]=0,"",NSi.TS[[#This Row],[Nama Siswa]])</f>
        <v/>
      </c>
      <c r="C22" s="69" t="str">
        <f>IF(NSi.TS[[#This Row],[Nomor Induk]]=0,"",NSi.TS[[#This Row],[Nomor Induk]])</f>
        <v/>
      </c>
      <c r="D22" s="69" t="str">
        <f>IF(NSi.TS[[#This Row],[NISN]]=0,"",NSi.TS[[#This Row],[NISN]])</f>
        <v/>
      </c>
      <c r="E22" s="69" t="str">
        <f>IF(NSi.TS[[#This Row],[Jurusan]]=0,"",NSi.TS[[#This Row],[Jurusan]])</f>
        <v/>
      </c>
      <c r="F22" s="15"/>
      <c r="G22" s="15"/>
      <c r="H22" s="15"/>
      <c r="I22" s="15"/>
      <c r="J22" s="15"/>
      <c r="K22" s="15"/>
      <c r="L22" s="15"/>
      <c r="M22" s="15"/>
      <c r="N22" s="15"/>
      <c r="O22" s="15"/>
      <c r="P22" s="20" t="str">
        <f>IFERROR(ROUND(AVERAGE(K.Mid.S[[#This Row],[NK 1]:[NK 10]]),0),"")</f>
        <v/>
      </c>
      <c r="Q22" s="11" t="str">
        <f>IF(K.Mid.S[[#This Row],[Rata2 NK]]="","Belum Terukur",IF(K.Mid.S[[#This Row],[Rata2 NK]]&gt;=92,"A",IF(K.Mid.S[[#This Row],[Rata2 NK]]&gt;=83,"B",IF(K.Mid.S[[#This Row],[Rata2 NK]]&gt;=75,"C","D"))))</f>
        <v>Belum Terukur</v>
      </c>
    </row>
    <row r="23" spans="1:17" ht="50.1" customHeight="1" x14ac:dyDescent="0.3">
      <c r="A23" s="69" t="str">
        <f>IF(NSi.TS[[#This Row],[No]]=0,"",NSi.TS[[#This Row],[No]])</f>
        <v/>
      </c>
      <c r="B23" s="70" t="str">
        <f>IF(NSi.TS[[#This Row],[Nama Siswa]]=0,"",NSi.TS[[#This Row],[Nama Siswa]])</f>
        <v/>
      </c>
      <c r="C23" s="69" t="str">
        <f>IF(NSi.TS[[#This Row],[Nomor Induk]]=0,"",NSi.TS[[#This Row],[Nomor Induk]])</f>
        <v/>
      </c>
      <c r="D23" s="69" t="str">
        <f>IF(NSi.TS[[#This Row],[NISN]]=0,"",NSi.TS[[#This Row],[NISN]])</f>
        <v/>
      </c>
      <c r="E23" s="69" t="str">
        <f>IF(NSi.TS[[#This Row],[Jurusan]]=0,"",NSi.TS[[#This Row],[Jurusan]])</f>
        <v/>
      </c>
      <c r="F23" s="15"/>
      <c r="G23" s="15"/>
      <c r="H23" s="15"/>
      <c r="I23" s="15"/>
      <c r="J23" s="15"/>
      <c r="K23" s="15"/>
      <c r="L23" s="15"/>
      <c r="M23" s="15"/>
      <c r="N23" s="15"/>
      <c r="O23" s="15"/>
      <c r="P23" s="20" t="str">
        <f>IFERROR(ROUND(AVERAGE(K.Mid.S[[#This Row],[NK 1]:[NK 10]]),0),"")</f>
        <v/>
      </c>
      <c r="Q23" s="11" t="str">
        <f>IF(K.Mid.S[[#This Row],[Rata2 NK]]="","Belum Terukur",IF(K.Mid.S[[#This Row],[Rata2 NK]]&gt;=92,"A",IF(K.Mid.S[[#This Row],[Rata2 NK]]&gt;=83,"B",IF(K.Mid.S[[#This Row],[Rata2 NK]]&gt;=75,"C","D"))))</f>
        <v>Belum Terukur</v>
      </c>
    </row>
    <row r="24" spans="1:17" ht="50.1" customHeight="1" x14ac:dyDescent="0.3">
      <c r="A24" s="69" t="str">
        <f>IF(NSi.TS[[#This Row],[No]]=0,"",NSi.TS[[#This Row],[No]])</f>
        <v/>
      </c>
      <c r="B24" s="70" t="str">
        <f>IF(NSi.TS[[#This Row],[Nama Siswa]]=0,"",NSi.TS[[#This Row],[Nama Siswa]])</f>
        <v/>
      </c>
      <c r="C24" s="69" t="str">
        <f>IF(NSi.TS[[#This Row],[Nomor Induk]]=0,"",NSi.TS[[#This Row],[Nomor Induk]])</f>
        <v/>
      </c>
      <c r="D24" s="69" t="str">
        <f>IF(NSi.TS[[#This Row],[NISN]]=0,"",NSi.TS[[#This Row],[NISN]])</f>
        <v/>
      </c>
      <c r="E24" s="69" t="str">
        <f>IF(NSi.TS[[#This Row],[Jurusan]]=0,"",NSi.TS[[#This Row],[Jurusan]])</f>
        <v/>
      </c>
      <c r="F24" s="15"/>
      <c r="G24" s="15"/>
      <c r="H24" s="15"/>
      <c r="I24" s="15"/>
      <c r="J24" s="15"/>
      <c r="K24" s="15"/>
      <c r="L24" s="15"/>
      <c r="M24" s="15"/>
      <c r="N24" s="15"/>
      <c r="O24" s="15"/>
      <c r="P24" s="20" t="str">
        <f>IFERROR(ROUND(AVERAGE(K.Mid.S[[#This Row],[NK 1]:[NK 10]]),0),"")</f>
        <v/>
      </c>
      <c r="Q24" s="11" t="str">
        <f>IF(K.Mid.S[[#This Row],[Rata2 NK]]="","Belum Terukur",IF(K.Mid.S[[#This Row],[Rata2 NK]]&gt;=92,"A",IF(K.Mid.S[[#This Row],[Rata2 NK]]&gt;=83,"B",IF(K.Mid.S[[#This Row],[Rata2 NK]]&gt;=75,"C","D"))))</f>
        <v>Belum Terukur</v>
      </c>
    </row>
    <row r="25" spans="1:17" ht="50.1" customHeight="1" x14ac:dyDescent="0.3">
      <c r="A25" s="69" t="str">
        <f>IF(NSi.TS[[#This Row],[No]]=0,"",NSi.TS[[#This Row],[No]])</f>
        <v/>
      </c>
      <c r="B25" s="70" t="str">
        <f>IF(NSi.TS[[#This Row],[Nama Siswa]]=0,"",NSi.TS[[#This Row],[Nama Siswa]])</f>
        <v/>
      </c>
      <c r="C25" s="69" t="str">
        <f>IF(NSi.TS[[#This Row],[Nomor Induk]]=0,"",NSi.TS[[#This Row],[Nomor Induk]])</f>
        <v/>
      </c>
      <c r="D25" s="69" t="str">
        <f>IF(NSi.TS[[#This Row],[NISN]]=0,"",NSi.TS[[#This Row],[NISN]])</f>
        <v/>
      </c>
      <c r="E25" s="69" t="str">
        <f>IF(NSi.TS[[#This Row],[Jurusan]]=0,"",NSi.TS[[#This Row],[Jurusan]])</f>
        <v/>
      </c>
      <c r="F25" s="15"/>
      <c r="G25" s="15"/>
      <c r="H25" s="15"/>
      <c r="I25" s="15"/>
      <c r="J25" s="15"/>
      <c r="K25" s="15"/>
      <c r="L25" s="15"/>
      <c r="M25" s="15"/>
      <c r="N25" s="15"/>
      <c r="O25" s="15"/>
      <c r="P25" s="20" t="str">
        <f>IFERROR(ROUND(AVERAGE(K.Mid.S[[#This Row],[NK 1]:[NK 10]]),0),"")</f>
        <v/>
      </c>
      <c r="Q25" s="11" t="str">
        <f>IF(K.Mid.S[[#This Row],[Rata2 NK]]="","Belum Terukur",IF(K.Mid.S[[#This Row],[Rata2 NK]]&gt;=92,"A",IF(K.Mid.S[[#This Row],[Rata2 NK]]&gt;=83,"B",IF(K.Mid.S[[#This Row],[Rata2 NK]]&gt;=75,"C","D"))))</f>
        <v>Belum Terukur</v>
      </c>
    </row>
    <row r="26" spans="1:17" ht="50.1" customHeight="1" x14ac:dyDescent="0.3">
      <c r="A26" s="69" t="str">
        <f>IF(NSi.TS[[#This Row],[No]]=0,"",NSi.TS[[#This Row],[No]])</f>
        <v/>
      </c>
      <c r="B26" s="70" t="str">
        <f>IF(NSi.TS[[#This Row],[Nama Siswa]]=0,"",NSi.TS[[#This Row],[Nama Siswa]])</f>
        <v/>
      </c>
      <c r="C26" s="69" t="str">
        <f>IF(NSi.TS[[#This Row],[Nomor Induk]]=0,"",NSi.TS[[#This Row],[Nomor Induk]])</f>
        <v/>
      </c>
      <c r="D26" s="69" t="str">
        <f>IF(NSi.TS[[#This Row],[NISN]]=0,"",NSi.TS[[#This Row],[NISN]])</f>
        <v/>
      </c>
      <c r="E26" s="69" t="str">
        <f>IF(NSi.TS[[#This Row],[Jurusan]]=0,"",NSi.TS[[#This Row],[Jurusan]])</f>
        <v/>
      </c>
      <c r="F26" s="15"/>
      <c r="G26" s="15"/>
      <c r="H26" s="15"/>
      <c r="I26" s="15"/>
      <c r="J26" s="15"/>
      <c r="K26" s="15"/>
      <c r="L26" s="15"/>
      <c r="M26" s="15"/>
      <c r="N26" s="15"/>
      <c r="O26" s="15"/>
      <c r="P26" s="20" t="str">
        <f>IFERROR(ROUND(AVERAGE(K.Mid.S[[#This Row],[NK 1]:[NK 10]]),0),"")</f>
        <v/>
      </c>
      <c r="Q26" s="11" t="str">
        <f>IF(K.Mid.S[[#This Row],[Rata2 NK]]="","Belum Terukur",IF(K.Mid.S[[#This Row],[Rata2 NK]]&gt;=92,"A",IF(K.Mid.S[[#This Row],[Rata2 NK]]&gt;=83,"B",IF(K.Mid.S[[#This Row],[Rata2 NK]]&gt;=75,"C","D"))))</f>
        <v>Belum Terukur</v>
      </c>
    </row>
    <row r="27" spans="1:17" ht="50.1" customHeight="1" x14ac:dyDescent="0.3">
      <c r="A27" s="69" t="str">
        <f>IF(NSi.TS[[#This Row],[No]]=0,"",NSi.TS[[#This Row],[No]])</f>
        <v/>
      </c>
      <c r="B27" s="70" t="str">
        <f>IF(NSi.TS[[#This Row],[Nama Siswa]]=0,"",NSi.TS[[#This Row],[Nama Siswa]])</f>
        <v/>
      </c>
      <c r="C27" s="69" t="str">
        <f>IF(NSi.TS[[#This Row],[Nomor Induk]]=0,"",NSi.TS[[#This Row],[Nomor Induk]])</f>
        <v/>
      </c>
      <c r="D27" s="69" t="str">
        <f>IF(NSi.TS[[#This Row],[NISN]]=0,"",NSi.TS[[#This Row],[NISN]])</f>
        <v/>
      </c>
      <c r="E27" s="69" t="str">
        <f>IF(NSi.TS[[#This Row],[Jurusan]]=0,"",NSi.TS[[#This Row],[Jurusan]])</f>
        <v/>
      </c>
      <c r="F27" s="15"/>
      <c r="G27" s="15"/>
      <c r="H27" s="15"/>
      <c r="I27" s="15"/>
      <c r="J27" s="15"/>
      <c r="K27" s="15"/>
      <c r="L27" s="15"/>
      <c r="M27" s="15"/>
      <c r="N27" s="15"/>
      <c r="O27" s="15"/>
      <c r="P27" s="20" t="str">
        <f>IFERROR(ROUND(AVERAGE(K.Mid.S[[#This Row],[NK 1]:[NK 10]]),0),"")</f>
        <v/>
      </c>
      <c r="Q27" s="11" t="str">
        <f>IF(K.Mid.S[[#This Row],[Rata2 NK]]="","Belum Terukur",IF(K.Mid.S[[#This Row],[Rata2 NK]]&gt;=92,"A",IF(K.Mid.S[[#This Row],[Rata2 NK]]&gt;=83,"B",IF(K.Mid.S[[#This Row],[Rata2 NK]]&gt;=75,"C","D"))))</f>
        <v>Belum Terukur</v>
      </c>
    </row>
  </sheetData>
  <sheetProtection selectLockedCells="1"/>
  <mergeCells count="2">
    <mergeCell ref="F1:O1"/>
    <mergeCell ref="P1:Q1"/>
  </mergeCells>
  <phoneticPr fontId="5" type="noConversion"/>
  <conditionalFormatting sqref="A3:E27">
    <cfRule type="notContainsBlanks" dxfId="231" priority="1">
      <formula>LEN(TRIM(A3))&gt;0</formula>
    </cfRule>
  </conditionalFormatting>
  <conditionalFormatting sqref="F3:P27">
    <cfRule type="iconSet" priority="12">
      <iconSet>
        <cfvo type="percent" val="0"/>
        <cfvo type="num" val="50"/>
        <cfvo type="num" val="70"/>
      </iconSet>
    </cfRule>
  </conditionalFormatting>
  <dataValidations count="1">
    <dataValidation allowBlank="1" showInputMessage="1" showErrorMessage="1" prompt="Rata-Rata Nilai Tengah Semester untuk Nilai Keterampilan" sqref="P3:P27" xr:uid="{3071E602-D479-4E86-989E-3F081E27AB48}"/>
  </dataValidations>
  <pageMargins left="0.7" right="0.7" top="0.75" bottom="0.75" header="0.3" footer="0.3"/>
  <pageSetup orientation="portrait" horizontalDpi="360" verticalDpi="36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AD3F-D37A-4D79-ACA0-EDD2BB332AE8}">
  <sheetPr>
    <tabColor theme="9" tint="0.39997558519241921"/>
  </sheetPr>
  <dimension ref="A1:DT27"/>
  <sheetViews>
    <sheetView showGridLines="0" zoomScale="70" zoomScaleNormal="70" workbookViewId="0">
      <selection activeCell="DV4" sqref="DV4"/>
    </sheetView>
  </sheetViews>
  <sheetFormatPr defaultColWidth="9.21875" defaultRowHeight="14.4" x14ac:dyDescent="0.3"/>
  <cols>
    <col min="1" max="1" width="9.21875" style="23"/>
    <col min="2" max="2" width="50.77734375" style="23" customWidth="1"/>
    <col min="3" max="5" width="20.77734375" style="23" customWidth="1"/>
    <col min="6" max="6" width="11" style="23" bestFit="1" customWidth="1"/>
    <col min="7" max="8" width="11" style="23" customWidth="1"/>
    <col min="9" max="9" width="9.77734375" style="23" bestFit="1" customWidth="1"/>
    <col min="10" max="10" width="8.77734375" style="23" bestFit="1" customWidth="1"/>
    <col min="11" max="11" width="10.21875" style="23" bestFit="1" customWidth="1"/>
    <col min="12" max="12" width="10.5546875" style="23" bestFit="1" customWidth="1"/>
    <col min="13" max="13" width="12.21875" style="23" bestFit="1" customWidth="1"/>
    <col min="14" max="14" width="9.77734375" style="23" bestFit="1" customWidth="1"/>
    <col min="15" max="15" width="8.77734375" style="23" bestFit="1" customWidth="1"/>
    <col min="16" max="16" width="10.21875" style="23" bestFit="1" customWidth="1"/>
    <col min="17" max="17" width="10.5546875" style="23" bestFit="1" customWidth="1"/>
    <col min="18" max="18" width="12.21875" style="23" bestFit="1" customWidth="1"/>
    <col min="19" max="19" width="9.77734375" style="23" bestFit="1" customWidth="1"/>
    <col min="20" max="20" width="8.77734375" style="23" bestFit="1" customWidth="1"/>
    <col min="21" max="21" width="10.21875" style="23" bestFit="1" customWidth="1"/>
    <col min="22" max="22" width="10.5546875" style="23" bestFit="1" customWidth="1"/>
    <col min="23" max="23" width="12.21875" style="23" bestFit="1" customWidth="1"/>
    <col min="24" max="24" width="9.77734375" style="23" bestFit="1" customWidth="1"/>
    <col min="25" max="25" width="8.77734375" style="23" bestFit="1" customWidth="1"/>
    <col min="26" max="26" width="10.21875" style="23" bestFit="1" customWidth="1"/>
    <col min="27" max="27" width="10.5546875" style="23" bestFit="1" customWidth="1"/>
    <col min="28" max="28" width="12.21875" style="23" bestFit="1" customWidth="1"/>
    <col min="29" max="29" width="9.77734375" style="23" bestFit="1" customWidth="1"/>
    <col min="30" max="30" width="8.77734375" style="23" bestFit="1" customWidth="1"/>
    <col min="31" max="31" width="10.21875" style="23" bestFit="1" customWidth="1"/>
    <col min="32" max="32" width="10.5546875" style="23" bestFit="1" customWidth="1"/>
    <col min="33" max="33" width="12.21875" style="23" bestFit="1" customWidth="1"/>
    <col min="34" max="34" width="9.77734375" style="23" bestFit="1" customWidth="1"/>
    <col min="35" max="35" width="8.77734375" style="23" bestFit="1" customWidth="1"/>
    <col min="36" max="36" width="10.21875" style="23" bestFit="1" customWidth="1"/>
    <col min="37" max="37" width="10.5546875" style="23" bestFit="1" customWidth="1"/>
    <col min="38" max="38" width="12.21875" style="23" bestFit="1" customWidth="1"/>
    <col min="39" max="39" width="9.77734375" style="23" bestFit="1" customWidth="1"/>
    <col min="40" max="40" width="8.77734375" style="23" bestFit="1" customWidth="1"/>
    <col min="41" max="41" width="10.21875" style="23" bestFit="1" customWidth="1"/>
    <col min="42" max="42" width="10.5546875" style="23" bestFit="1" customWidth="1"/>
    <col min="43" max="43" width="12.21875" style="23" bestFit="1" customWidth="1"/>
    <col min="44" max="44" width="9.77734375" style="23" bestFit="1" customWidth="1"/>
    <col min="45" max="45" width="8.77734375" style="23" bestFit="1" customWidth="1"/>
    <col min="46" max="46" width="10.21875" style="23" bestFit="1" customWidth="1"/>
    <col min="47" max="47" width="10.5546875" style="23" bestFit="1" customWidth="1"/>
    <col min="48" max="48" width="12.21875" style="23" bestFit="1" customWidth="1"/>
    <col min="49" max="49" width="9.77734375" style="23" bestFit="1" customWidth="1"/>
    <col min="50" max="50" width="8.77734375" style="23" bestFit="1" customWidth="1"/>
    <col min="51" max="51" width="10.21875" style="23" bestFit="1" customWidth="1"/>
    <col min="52" max="52" width="10.5546875" style="23" bestFit="1" customWidth="1"/>
    <col min="53" max="53" width="12.21875" style="23" bestFit="1" customWidth="1"/>
    <col min="54" max="54" width="9.21875" style="23"/>
    <col min="55" max="55" width="12.21875" style="23" bestFit="1" customWidth="1"/>
    <col min="56" max="63" width="12.21875" style="23" customWidth="1"/>
    <col min="64" max="64" width="9.21875" style="23"/>
    <col min="65" max="74" width="0" style="23" hidden="1" customWidth="1"/>
    <col min="75" max="75" width="16.5546875" style="23" hidden="1" customWidth="1"/>
    <col min="76" max="76" width="18.21875" style="23" hidden="1" customWidth="1"/>
    <col min="77" max="77" width="12.77734375" style="23" hidden="1" customWidth="1"/>
    <col min="78" max="81" width="0" style="23" hidden="1" customWidth="1"/>
    <col min="82" max="82" width="9.21875" style="23" hidden="1" customWidth="1"/>
    <col min="83" max="86" width="0" style="23" hidden="1" customWidth="1"/>
    <col min="87" max="87" width="9.21875" style="23" hidden="1" customWidth="1"/>
    <col min="88" max="91" width="0" style="23" hidden="1" customWidth="1"/>
    <col min="92" max="92" width="9.21875" style="23" hidden="1" customWidth="1"/>
    <col min="93" max="96" width="0" style="23" hidden="1" customWidth="1"/>
    <col min="97" max="97" width="9.21875" style="23" hidden="1" customWidth="1"/>
    <col min="98" max="101" width="0" style="23" hidden="1" customWidth="1"/>
    <col min="102" max="102" width="9.21875" style="23" hidden="1" customWidth="1"/>
    <col min="103" max="103" width="10.5546875" style="23" hidden="1" customWidth="1"/>
    <col min="104" max="104" width="9.77734375" style="23" hidden="1" customWidth="1"/>
    <col min="105" max="105" width="10.77734375" style="23" hidden="1" customWidth="1"/>
    <col min="106" max="106" width="11" style="23" hidden="1" customWidth="1"/>
    <col min="107" max="107" width="12.5546875" style="23" hidden="1" customWidth="1"/>
    <col min="108" max="111" width="0" style="23" hidden="1" customWidth="1"/>
    <col min="112" max="112" width="9.21875" style="23" hidden="1" customWidth="1"/>
    <col min="113" max="116" width="0" style="23" hidden="1" customWidth="1"/>
    <col min="117" max="117" width="9.21875" style="23" hidden="1" customWidth="1"/>
    <col min="118" max="121" width="0" style="23" hidden="1" customWidth="1"/>
    <col min="122" max="122" width="9.21875" style="23" hidden="1" customWidth="1"/>
    <col min="123" max="123" width="0" style="23" hidden="1" customWidth="1"/>
    <col min="124" max="124" width="78" style="23" customWidth="1"/>
    <col min="125" max="125" width="11.21875" style="23" bestFit="1" customWidth="1"/>
    <col min="126" max="126" width="13.21875" style="23" bestFit="1" customWidth="1"/>
    <col min="127" max="16384" width="9.21875" style="23"/>
  </cols>
  <sheetData>
    <row r="1" spans="1:124" x14ac:dyDescent="0.3">
      <c r="A1" s="101" t="str">
        <f>IF('NS (Mid.S)'!A1:F1=0,"",'NS (Mid.S)'!A1:F1)</f>
        <v/>
      </c>
      <c r="B1" s="101"/>
      <c r="C1" s="101"/>
      <c r="D1" s="101"/>
      <c r="E1" s="101"/>
      <c r="F1" s="101"/>
      <c r="G1" s="101"/>
      <c r="H1" s="102"/>
      <c r="I1" s="71" t="s">
        <v>19</v>
      </c>
      <c r="J1" s="96"/>
      <c r="K1" s="96"/>
      <c r="L1" s="96"/>
      <c r="M1" s="96"/>
      <c r="N1" s="71" t="s">
        <v>20</v>
      </c>
      <c r="O1" s="96"/>
      <c r="P1" s="96"/>
      <c r="Q1" s="96"/>
      <c r="R1" s="96"/>
      <c r="S1" s="71" t="s">
        <v>21</v>
      </c>
      <c r="T1" s="96"/>
      <c r="U1" s="96"/>
      <c r="V1" s="96"/>
      <c r="W1" s="96"/>
      <c r="X1" s="71" t="s">
        <v>22</v>
      </c>
      <c r="Y1" s="96"/>
      <c r="Z1" s="96"/>
      <c r="AA1" s="96"/>
      <c r="AB1" s="96"/>
      <c r="AC1" s="71" t="s">
        <v>23</v>
      </c>
      <c r="AD1" s="96"/>
      <c r="AE1" s="96"/>
      <c r="AF1" s="96"/>
      <c r="AG1" s="96"/>
      <c r="AH1" s="71" t="s">
        <v>24</v>
      </c>
      <c r="AI1" s="96"/>
      <c r="AJ1" s="96"/>
      <c r="AK1" s="96"/>
      <c r="AL1" s="96"/>
      <c r="AM1" s="71" t="s">
        <v>25</v>
      </c>
      <c r="AN1" s="96"/>
      <c r="AO1" s="96"/>
      <c r="AP1" s="96"/>
      <c r="AQ1" s="96"/>
      <c r="AR1" s="71" t="s">
        <v>26</v>
      </c>
      <c r="AS1" s="96"/>
      <c r="AT1" s="96"/>
      <c r="AU1" s="96"/>
      <c r="AV1" s="96"/>
      <c r="AW1" s="71" t="s">
        <v>27</v>
      </c>
      <c r="AX1" s="96"/>
      <c r="AY1" s="96"/>
      <c r="AZ1" s="96"/>
      <c r="BA1" s="96"/>
      <c r="BC1" s="31" t="s">
        <v>28</v>
      </c>
      <c r="BM1" s="31" t="s">
        <v>29</v>
      </c>
      <c r="BW1" s="23" t="s">
        <v>30</v>
      </c>
      <c r="DT1" s="31" t="s">
        <v>138</v>
      </c>
    </row>
    <row r="2" spans="1:124" x14ac:dyDescent="0.3">
      <c r="A2" s="26" t="s">
        <v>31</v>
      </c>
      <c r="B2" s="27" t="s">
        <v>32</v>
      </c>
      <c r="C2" s="27" t="s">
        <v>33</v>
      </c>
      <c r="D2" s="27" t="s">
        <v>34</v>
      </c>
      <c r="E2" s="81" t="s">
        <v>35</v>
      </c>
      <c r="F2" s="40" t="s">
        <v>36</v>
      </c>
      <c r="G2" s="40" t="s">
        <v>139</v>
      </c>
      <c r="H2" s="40" t="s">
        <v>140</v>
      </c>
      <c r="I2" s="28" t="s">
        <v>37</v>
      </c>
      <c r="J2" s="29" t="s">
        <v>38</v>
      </c>
      <c r="K2" s="29" t="s">
        <v>39</v>
      </c>
      <c r="L2" s="29" t="s">
        <v>40</v>
      </c>
      <c r="M2" s="29" t="s">
        <v>41</v>
      </c>
      <c r="N2" s="28" t="s">
        <v>42</v>
      </c>
      <c r="O2" s="29" t="s">
        <v>43</v>
      </c>
      <c r="P2" s="29" t="s">
        <v>44</v>
      </c>
      <c r="Q2" s="29" t="s">
        <v>45</v>
      </c>
      <c r="R2" s="29" t="s">
        <v>46</v>
      </c>
      <c r="S2" s="28" t="s">
        <v>47</v>
      </c>
      <c r="T2" s="29" t="s">
        <v>48</v>
      </c>
      <c r="U2" s="29" t="s">
        <v>49</v>
      </c>
      <c r="V2" s="29" t="s">
        <v>50</v>
      </c>
      <c r="W2" s="29" t="s">
        <v>51</v>
      </c>
      <c r="X2" s="28" t="s">
        <v>52</v>
      </c>
      <c r="Y2" s="29" t="s">
        <v>53</v>
      </c>
      <c r="Z2" s="29" t="s">
        <v>54</v>
      </c>
      <c r="AA2" s="29" t="s">
        <v>55</v>
      </c>
      <c r="AB2" s="29" t="s">
        <v>56</v>
      </c>
      <c r="AC2" s="28" t="s">
        <v>57</v>
      </c>
      <c r="AD2" s="29" t="s">
        <v>58</v>
      </c>
      <c r="AE2" s="29" t="s">
        <v>59</v>
      </c>
      <c r="AF2" s="29" t="s">
        <v>60</v>
      </c>
      <c r="AG2" s="29" t="s">
        <v>61</v>
      </c>
      <c r="AH2" s="28" t="s">
        <v>62</v>
      </c>
      <c r="AI2" s="29" t="s">
        <v>63</v>
      </c>
      <c r="AJ2" s="29" t="s">
        <v>64</v>
      </c>
      <c r="AK2" s="29" t="s">
        <v>65</v>
      </c>
      <c r="AL2" s="29" t="s">
        <v>66</v>
      </c>
      <c r="AM2" s="28" t="s">
        <v>67</v>
      </c>
      <c r="AN2" s="29" t="s">
        <v>68</v>
      </c>
      <c r="AO2" s="29" t="s">
        <v>69</v>
      </c>
      <c r="AP2" s="29" t="s">
        <v>70</v>
      </c>
      <c r="AQ2" s="29" t="s">
        <v>71</v>
      </c>
      <c r="AR2" s="28" t="s">
        <v>72</v>
      </c>
      <c r="AS2" s="29" t="s">
        <v>73</v>
      </c>
      <c r="AT2" s="29" t="s">
        <v>74</v>
      </c>
      <c r="AU2" s="29" t="s">
        <v>75</v>
      </c>
      <c r="AV2" s="29" t="s">
        <v>76</v>
      </c>
      <c r="AW2" s="28" t="s">
        <v>77</v>
      </c>
      <c r="AX2" s="29" t="s">
        <v>78</v>
      </c>
      <c r="AY2" s="29" t="s">
        <v>79</v>
      </c>
      <c r="AZ2" s="29" t="s">
        <v>80</v>
      </c>
      <c r="BA2" s="30" t="s">
        <v>81</v>
      </c>
      <c r="BC2" s="1" t="s">
        <v>82</v>
      </c>
      <c r="BD2" s="2" t="s">
        <v>83</v>
      </c>
      <c r="BE2" s="2" t="s">
        <v>84</v>
      </c>
      <c r="BF2" s="2" t="s">
        <v>85</v>
      </c>
      <c r="BG2" s="2" t="s">
        <v>86</v>
      </c>
      <c r="BH2" s="2" t="s">
        <v>87</v>
      </c>
      <c r="BI2" s="2" t="s">
        <v>88</v>
      </c>
      <c r="BJ2" s="2" t="s">
        <v>89</v>
      </c>
      <c r="BK2" s="36" t="s">
        <v>90</v>
      </c>
      <c r="BM2" s="32" t="s">
        <v>91</v>
      </c>
      <c r="BN2" s="33" t="s">
        <v>92</v>
      </c>
      <c r="BO2" s="33" t="s">
        <v>93</v>
      </c>
      <c r="BP2" s="33" t="s">
        <v>94</v>
      </c>
      <c r="BQ2" s="33" t="s">
        <v>95</v>
      </c>
      <c r="BR2" s="33" t="s">
        <v>96</v>
      </c>
      <c r="BS2" s="33" t="s">
        <v>97</v>
      </c>
      <c r="BT2" s="33" t="s">
        <v>98</v>
      </c>
      <c r="BU2" s="34" t="s">
        <v>99</v>
      </c>
      <c r="BW2" s="32" t="s">
        <v>100</v>
      </c>
      <c r="BX2" s="34" t="s">
        <v>101</v>
      </c>
      <c r="BY2" s="3"/>
      <c r="BZ2" s="72" t="s">
        <v>37</v>
      </c>
      <c r="CA2" s="29" t="s">
        <v>38</v>
      </c>
      <c r="CB2" s="29" t="s">
        <v>39</v>
      </c>
      <c r="CC2" s="29" t="s">
        <v>40</v>
      </c>
      <c r="CD2" s="29" t="s">
        <v>41</v>
      </c>
      <c r="CE2" s="28" t="s">
        <v>42</v>
      </c>
      <c r="CF2" s="29" t="s">
        <v>43</v>
      </c>
      <c r="CG2" s="29" t="s">
        <v>44</v>
      </c>
      <c r="CH2" s="29" t="s">
        <v>45</v>
      </c>
      <c r="CI2" s="29" t="s">
        <v>46</v>
      </c>
      <c r="CJ2" s="28" t="s">
        <v>47</v>
      </c>
      <c r="CK2" s="29" t="s">
        <v>48</v>
      </c>
      <c r="CL2" s="29" t="s">
        <v>49</v>
      </c>
      <c r="CM2" s="29" t="s">
        <v>50</v>
      </c>
      <c r="CN2" s="29" t="s">
        <v>51</v>
      </c>
      <c r="CO2" s="28" t="s">
        <v>52</v>
      </c>
      <c r="CP2" s="29" t="s">
        <v>53</v>
      </c>
      <c r="CQ2" s="29" t="s">
        <v>54</v>
      </c>
      <c r="CR2" s="29" t="s">
        <v>55</v>
      </c>
      <c r="CS2" s="29" t="s">
        <v>56</v>
      </c>
      <c r="CT2" s="28" t="s">
        <v>57</v>
      </c>
      <c r="CU2" s="29" t="s">
        <v>58</v>
      </c>
      <c r="CV2" s="29" t="s">
        <v>59</v>
      </c>
      <c r="CW2" s="29" t="s">
        <v>60</v>
      </c>
      <c r="CX2" s="29" t="s">
        <v>61</v>
      </c>
      <c r="CY2" s="28" t="s">
        <v>62</v>
      </c>
      <c r="CZ2" s="29" t="s">
        <v>63</v>
      </c>
      <c r="DA2" s="29" t="s">
        <v>64</v>
      </c>
      <c r="DB2" s="29" t="s">
        <v>65</v>
      </c>
      <c r="DC2" s="29" t="s">
        <v>66</v>
      </c>
      <c r="DD2" s="28" t="s">
        <v>67</v>
      </c>
      <c r="DE2" s="29" t="s">
        <v>68</v>
      </c>
      <c r="DF2" s="29" t="s">
        <v>69</v>
      </c>
      <c r="DG2" s="29" t="s">
        <v>70</v>
      </c>
      <c r="DH2" s="29" t="s">
        <v>71</v>
      </c>
      <c r="DI2" s="28" t="s">
        <v>72</v>
      </c>
      <c r="DJ2" s="29" t="s">
        <v>73</v>
      </c>
      <c r="DK2" s="29" t="s">
        <v>74</v>
      </c>
      <c r="DL2" s="29" t="s">
        <v>75</v>
      </c>
      <c r="DM2" s="29" t="s">
        <v>76</v>
      </c>
      <c r="DN2" s="28" t="s">
        <v>77</v>
      </c>
      <c r="DO2" s="29" t="s">
        <v>78</v>
      </c>
      <c r="DP2" s="29" t="s">
        <v>79</v>
      </c>
      <c r="DQ2" s="29" t="s">
        <v>80</v>
      </c>
      <c r="DR2" s="30" t="s">
        <v>81</v>
      </c>
      <c r="DT2" s="62" t="s">
        <v>141</v>
      </c>
    </row>
    <row r="3" spans="1:124" ht="50.1" customHeight="1" x14ac:dyDescent="0.3">
      <c r="A3" s="63">
        <f>IF(NSi.TS[[#This Row],[No]]=0,"",NSi.TS[[#This Row],[No]])</f>
        <v>1</v>
      </c>
      <c r="B3" s="64" t="str">
        <f>IF(NSi.TS[[#This Row],[Nama Siswa]]=0,"",NSi.TS[[#This Row],[Nama Siswa]])</f>
        <v>Aditya Krisna</v>
      </c>
      <c r="C3" s="65" t="str">
        <f>IF(NSi.TS[[#This Row],[Nomor Induk]]=0,"",NSi.TS[[#This Row],[Nomor Induk]])</f>
        <v>1/HBICSHIGH/20</v>
      </c>
      <c r="D3" s="65">
        <f>IF(NSi.TS[[#This Row],[NISN]]=0,"",NSi.TS[[#This Row],[NISN]])</f>
        <v>16863262</v>
      </c>
      <c r="E3" s="65" t="str">
        <f>IF(NSi.TS[[#This Row],[Jurusan]]=0,"",NSi.TS[[#This Row],[Jurusan]])</f>
        <v>IPA</v>
      </c>
      <c r="F3" s="39" t="str">
        <f>NSi.TS[[#This Row],[Nsi.TS]]</f>
        <v/>
      </c>
      <c r="G3" s="39" t="str">
        <f>IFERROR(ROUND(AVERAGE(CSCR.S[#This Row]),0),"")</f>
        <v/>
      </c>
      <c r="H3" s="39" t="str">
        <f>IFERROR(ROUND(AVERAGE(NSi.SE[[#This Row],[Nsi.TS]:[NS.iS]]),0),"")</f>
        <v/>
      </c>
      <c r="I3" s="41" t="s">
        <v>102</v>
      </c>
      <c r="J3" s="45" t="s">
        <v>102</v>
      </c>
      <c r="K3" s="45" t="s">
        <v>102</v>
      </c>
      <c r="L3" s="45" t="s">
        <v>102</v>
      </c>
      <c r="M3" s="45" t="s">
        <v>102</v>
      </c>
      <c r="N3" s="41" t="s">
        <v>102</v>
      </c>
      <c r="O3" s="45" t="s">
        <v>102</v>
      </c>
      <c r="P3" s="45" t="s">
        <v>102</v>
      </c>
      <c r="Q3" s="45" t="s">
        <v>102</v>
      </c>
      <c r="R3" s="45" t="s">
        <v>102</v>
      </c>
      <c r="S3" s="41" t="s">
        <v>102</v>
      </c>
      <c r="T3" s="45" t="s">
        <v>102</v>
      </c>
      <c r="U3" s="45" t="s">
        <v>102</v>
      </c>
      <c r="V3" s="45" t="s">
        <v>102</v>
      </c>
      <c r="W3" s="45" t="s">
        <v>102</v>
      </c>
      <c r="X3" s="41" t="s">
        <v>102</v>
      </c>
      <c r="Y3" s="45" t="s">
        <v>102</v>
      </c>
      <c r="Z3" s="45" t="s">
        <v>102</v>
      </c>
      <c r="AA3" s="45" t="s">
        <v>102</v>
      </c>
      <c r="AB3" s="45" t="s">
        <v>102</v>
      </c>
      <c r="AC3" s="41" t="s">
        <v>102</v>
      </c>
      <c r="AD3" s="45" t="s">
        <v>102</v>
      </c>
      <c r="AE3" s="45" t="s">
        <v>102</v>
      </c>
      <c r="AF3" s="45" t="s">
        <v>102</v>
      </c>
      <c r="AG3" s="45" t="s">
        <v>102</v>
      </c>
      <c r="AH3" s="41" t="s">
        <v>102</v>
      </c>
      <c r="AI3" s="45" t="s">
        <v>102</v>
      </c>
      <c r="AJ3" s="45" t="s">
        <v>102</v>
      </c>
      <c r="AK3" s="45" t="s">
        <v>102</v>
      </c>
      <c r="AL3" s="45" t="s">
        <v>102</v>
      </c>
      <c r="AM3" s="41" t="s">
        <v>102</v>
      </c>
      <c r="AN3" s="45" t="s">
        <v>102</v>
      </c>
      <c r="AO3" s="45" t="s">
        <v>102</v>
      </c>
      <c r="AP3" s="45" t="s">
        <v>102</v>
      </c>
      <c r="AQ3" s="45" t="s">
        <v>102</v>
      </c>
      <c r="AR3" s="41" t="s">
        <v>102</v>
      </c>
      <c r="AS3" s="45" t="s">
        <v>102</v>
      </c>
      <c r="AT3" s="45" t="s">
        <v>102</v>
      </c>
      <c r="AU3" s="45" t="s">
        <v>102</v>
      </c>
      <c r="AV3" s="45" t="s">
        <v>102</v>
      </c>
      <c r="AW3" s="41" t="s">
        <v>102</v>
      </c>
      <c r="AX3" s="45" t="s">
        <v>102</v>
      </c>
      <c r="AY3" s="45" t="s">
        <v>102</v>
      </c>
      <c r="AZ3" s="45" t="s">
        <v>102</v>
      </c>
      <c r="BA3" s="45" t="s">
        <v>102</v>
      </c>
      <c r="BC3" s="37" t="str">
        <f>CONCATENATE(NSi.SE[[#This Row],[KU.1]],(IF(A.LoE.S[[#This Row],[LE.1]]="-","-",IF(A.LoE.S[[#This Row],[LE.1]]&gt;=90,1,IF(A.LoE.S[[#This Row],[LE.1]]&gt;=80,2,IF(A.LoE.S[[#This Row],[LE.1]]&gt;=70,3,IF(A.LoE.S[[#This Row],[LE.1]]&gt;=1,4,5)))))))</f>
        <v>--</v>
      </c>
      <c r="BD3" s="37" t="str">
        <f>CONCATENATE(NSi.SE[[#This Row],[KU.2]],(IF(A.LoE.S[[#This Row],[LE.2]]="-","-",IF(A.LoE.S[[#This Row],[LE.2]]&gt;=90,1,IF(A.LoE.S[[#This Row],[LE.2]]&gt;=80,2,IF(A.LoE.S[[#This Row],[LE.2]]&gt;=70,3,IF(A.LoE.S[[#This Row],[LE.2]]&gt;=1,4,5)))))))</f>
        <v>--</v>
      </c>
      <c r="BE3" s="37" t="str">
        <f>CONCATENATE(NSi.SE[[#This Row],[KU.3]],(IF(A.LoE.S[[#This Row],[LE.3]]="-","-",IF(A.LoE.S[[#This Row],[LE.3]]&gt;=90,1,IF(A.LoE.S[[#This Row],[LE.3]]&gt;=80,2,IF(A.LoE.S[[#This Row],[LE.3]]&gt;=70,3,IF(A.LoE.S[[#This Row],[LE.3]]&gt;=1,4,5)))))))</f>
        <v>--</v>
      </c>
      <c r="BF3" s="37" t="str">
        <f>CONCATENATE(NSi.SE[[#This Row],[KU.4]],(IF(A.LoE.S[[#This Row],[LE.4]]="-","-",IF(A.LoE.S[[#This Row],[LE.4]]&gt;=90,1,IF(A.LoE.S[[#This Row],[LE.4]]&gt;=80,2,IF(A.LoE.S[[#This Row],[LE.4]]&gt;=70,3,IF(A.LoE.S[[#This Row],[LE.4]]&gt;=1,4,5)))))))</f>
        <v>--</v>
      </c>
      <c r="BG3" s="37" t="str">
        <f>CONCATENATE(NSi.SE[[#This Row],[KU.5]],(IF(A.LoE.S[[#This Row],[LE.5]]="-","-",IF(A.LoE.S[[#This Row],[LE.5]]&gt;=90,1,IF(A.LoE.S[[#This Row],[LE.5]]&gt;=80,2,IF(A.LoE.S[[#This Row],[LE.5]]&gt;=70,3,IF(A.LoE.S[[#This Row],[LE.5]]&gt;=1,4,5)))))))</f>
        <v>--</v>
      </c>
      <c r="BH3" s="37" t="str">
        <f>CONCATENATE(NSi.SE[[#This Row],[KU.6]],(IF(A.LoE.S[[#This Row],[LE.6]]="-","-",IF(A.LoE.S[[#This Row],[LE.6]]&gt;=90,1,IF(A.LoE.S[[#This Row],[LE.6]]&gt;=80,2,IF(A.LoE.S[[#This Row],[LE.6]]&gt;=70,3,IF(A.LoE.S[[#This Row],[LE.6]]&gt;=1,4,5)))))))</f>
        <v>--</v>
      </c>
      <c r="BI3" s="37" t="str">
        <f>CONCATENATE(NSi.SE[[#This Row],[KU.7]],(IF(A.LoE.S[[#This Row],[LE.7]]="-","-",IF(A.LoE.S[[#This Row],[LE.7]]&gt;=90,1,IF(A.LoE.S[[#This Row],[LE.7]]&gt;=80,2,IF(A.LoE.S[[#This Row],[LE.7]]&gt;=70,3,IF(A.LoE.S[[#This Row],[LE.7]]&gt;=1,4,5)))))))</f>
        <v>--</v>
      </c>
      <c r="BJ3" s="37" t="str">
        <f>CONCATENATE(NSi.SE[[#This Row],[KU.8]],(IF(A.LoE.S[[#This Row],[LE.8]]="-","-",IF(A.LoE.S[[#This Row],[LE.8]]&gt;=90,1,IF(A.LoE.S[[#This Row],[LE.8]]&gt;=80,2,IF(A.LoE.S[[#This Row],[LE.8]]&gt;=70,3,IF(A.LoE.S[[#This Row],[LE.8]]&gt;=1,4,5)))))))</f>
        <v>--</v>
      </c>
      <c r="BK3" s="37" t="str">
        <f>CONCATENATE(NSi.SE[[#This Row],[KU.9]],(IF(A.LoE.S[[#This Row],[LE.9]]="-","-",IF(A.LoE.S[[#This Row],[LE.9]]&gt;=90,1,IF(A.LoE.S[[#This Row],[LE.9]]&gt;=80,2,IF(A.LoE.S[[#This Row],[LE.9]]&gt;=70,3,IF(A.LoE.S[[#This Row],[LE.9]]&gt;=1,4,5)))))))</f>
        <v>--</v>
      </c>
      <c r="BM3" s="35" t="str">
        <f>IFERROR(ROUND(AVERAGE(Con.Sk.S[[#This Row],[TJ.1]:[Pro-A.1]]),0),"-")</f>
        <v>-</v>
      </c>
      <c r="BN3" s="24" t="str">
        <f>IFERROR(ROUND(AVERAGE(Con.Sk.S[[#This Row],[TJ.2]:[Pro-A.2]]),0),"-")</f>
        <v>-</v>
      </c>
      <c r="BO3" s="24" t="str">
        <f>IFERROR(ROUND(AVERAGE(Con.Sk.S[[#This Row],[TJ.3]:[Pro-A.3]]),0),"-")</f>
        <v>-</v>
      </c>
      <c r="BP3" s="24" t="str">
        <f>IFERROR(ROUND(AVERAGE(Con.Sk.S[[#This Row],[TJ.4]:[Pro-A.4]]),0),"-")</f>
        <v>-</v>
      </c>
      <c r="BQ3" s="24" t="str">
        <f>IFERROR(ROUND(AVERAGE(Con.Sk.S[[#This Row],[TJ.5]:[Pro-A.5]]),0),"-")</f>
        <v>-</v>
      </c>
      <c r="BR3" s="24" t="str">
        <f>IFERROR(ROUND(AVERAGE(Con.Sk.S[[#This Row],[TJ.6]:[Pro-A.6]]),0),"-")</f>
        <v>-</v>
      </c>
      <c r="BS3" s="24" t="str">
        <f>IFERROR(ROUND(AVERAGE(Con.Sk.S[[#This Row],[TJ.7]:[Pro-A.7]]),0),"-")</f>
        <v>-</v>
      </c>
      <c r="BT3" s="24" t="str">
        <f>IFERROR(ROUND(AVERAGE(Con.Sk.S[[#This Row],[TJ.8]:[Pro-A.8]]),0),"-")</f>
        <v>-</v>
      </c>
      <c r="BU3" s="25" t="str">
        <f>IFERROR(ROUND(AVERAGE(Con.Sk.S[[#This Row],[TJ.9]:[Pro-A.9]]),0),"-")</f>
        <v>-</v>
      </c>
      <c r="BW3" s="47" t="str">
        <f>IFERROR(ROUND(AVERAGE(Con.Sk.S[[#This Row],[KU.1]],Con.Sk.S[[#This Row],[KU.2]],Con.Sk.S[[#This Row],[KU.3]],Con.Sk.S[[#This Row],[KU.4]],Con.Sk.S[[#This Row],[KU.5]],Con.Sk.S[[#This Row],[KU.6]],Con.Sk.S[[#This Row],[KU.7]],Con.Sk.S[[#This Row],[KU.8]],Con.Sk.S[[#This Row],[KU.9]]),0),"")</f>
        <v/>
      </c>
      <c r="BX3" s="48" t="str">
        <f>IFERROR(ROUND(AVERAGE(Con.Sk.S[[#This Row],[TJ.1]:[Pro-A.1]],Con.Sk.S[[#This Row],[TJ.2]:[Pro-A.2]],Con.Sk.S[[#This Row],[TJ.3]:[Pro-A.3]],Con.Sk.S[[#This Row],[TJ.4]:[Pro-A.4]],Con.Sk.S[[#This Row],[TJ.5]:[Pro-A.5]],Con.Sk.S[[#This Row],[TJ.6]:[Pro-A.6]],Con.Sk.S[[#This Row],[TJ.7]:[Pro-A.7]],Con.Sk.S[[#This Row],[TJ.8]:[Pro-A.8]],Con.Sk.S[[#This Row],[TJ.9]:[Pro-A.9]]),0),"")</f>
        <v/>
      </c>
      <c r="BY3" s="3"/>
      <c r="BZ3" s="73" t="str">
        <f>IF(NSi.SE[[#This Row],[KU.1]]="A",100,IF(NSi.SE[[#This Row],[KU.1]]="B",89,IF(NSi.SE[[#This Row],[KU.1]]="C",79,IF(NSi.SE[[#This Row],[KU.1]]="D",69,IF(NSi.SE[[#This Row],[KU.1]]="E",0,"-")))))</f>
        <v>-</v>
      </c>
      <c r="CA3" s="73" t="str">
        <f>IF(NSi.SE[[#This Row],[TJ.1]]=1,100,IF(NSi.SE[[#This Row],[TJ.1]]=2,89,IF(NSi.SE[[#This Row],[TJ.1]]=3,79,IF(NSi.SE[[#This Row],[TJ.1]]=4,69,IF(NSi.SE[[#This Row],[TJ.1]]=5,0,"-")))))</f>
        <v>-</v>
      </c>
      <c r="CB3" s="73" t="str">
        <f>IF(NSi.SE[[#This Row],[Ker.1]]=1,100,IF(NSi.SE[[#This Row],[Ker.1]]=2,89,IF(NSi.SE[[#This Row],[Ker.1]]=3,79,IF(NSi.SE[[#This Row],[Ker.1]]=4,69,IF(NSi.SE[[#This Row],[Ker.1]]=5,0,"-")))))</f>
        <v>-</v>
      </c>
      <c r="CC3" s="73" t="str">
        <f>IF(NSi.SE[[#This Row],[Ped.1]]=1,100,IF(NSi.SE[[#This Row],[Ped.1]]=2,89,IF(NSi.SE[[#This Row],[Ped.1]]=3,79,IF(NSi.SE[[#This Row],[Ped.1]]=4,69,IF(NSi.SE[[#This Row],[Ped.1]]=5,0,"-")))))</f>
        <v>-</v>
      </c>
      <c r="CD3" s="73" t="str">
        <f>IF(NSi.SE[[#This Row],[Pro-A.1]]=1,100,IF(NSi.SE[[#This Row],[Pro-A.1]]=2,89,IF(NSi.SE[[#This Row],[Pro-A.1]]=3,79,IF(NSi.SE[[#This Row],[Pro-A.1]]=4,69,IF(NSi.SE[[#This Row],[Pro-A.1]]=5,0,"-")))))</f>
        <v>-</v>
      </c>
      <c r="CE3" s="73" t="str">
        <f>IF(NSi.SE[[#This Row],[KU.2]]="A",100,IF(NSi.SE[[#This Row],[KU.2]]="B",89,IF(NSi.SE[[#This Row],[KU.2]]="C",79,IF(NSi.SE[[#This Row],[KU.2]]="D",69,IF(NSi.SE[[#This Row],[KU.2]]="E",0,"-")))))</f>
        <v>-</v>
      </c>
      <c r="CF3" s="73" t="str">
        <f>IF(NSi.SE[[#This Row],[TJ.2]]=1,100,IF(NSi.SE[[#This Row],[TJ.2]]=2,89,IF(NSi.SE[[#This Row],[TJ.2]]=3,79,IF(NSi.SE[[#This Row],[TJ.2]]=4,69,IF(NSi.SE[[#This Row],[TJ.2]]=5,0,"-")))))</f>
        <v>-</v>
      </c>
      <c r="CG3" s="73" t="str">
        <f>IF(NSi.SE[[#This Row],[Ker.2]]=1,100,IF(NSi.SE[[#This Row],[Ker.2]]=2,89,IF(NSi.SE[[#This Row],[Ker.2]]=3,79,IF(NSi.SE[[#This Row],[Ker.2]]=4,69,IF(NSi.SE[[#This Row],[Ker.2]]=5,0,"-")))))</f>
        <v>-</v>
      </c>
      <c r="CH3" s="73" t="str">
        <f>IF(NSi.SE[[#This Row],[Ped.2]]=1,100,IF(NSi.SE[[#This Row],[Ped.2]]=2,89,IF(NSi.SE[[#This Row],[Ped.2]]=3,79,IF(NSi.SE[[#This Row],[Ped.2]]=4,69,IF(NSi.SE[[#This Row],[Ped.2]]=5,0,"-")))))</f>
        <v>-</v>
      </c>
      <c r="CI3" s="73" t="str">
        <f>IF(NSi.SE[[#This Row],[Pro-A.2]]=1,100,IF(NSi.SE[[#This Row],[Pro-A.2]]=2,89,IF(NSi.SE[[#This Row],[Pro-A.2]]=3,79,IF(NSi.SE[[#This Row],[Pro-A.2]]=4,69,IF(NSi.SE[[#This Row],[Pro-A.2]]=5,0,"-")))))</f>
        <v>-</v>
      </c>
      <c r="CJ3" s="73" t="str">
        <f>IF(NSi.SE[[#This Row],[KU.3]]="A",100,IF(NSi.SE[[#This Row],[KU.3]]="B",89,IF(NSi.SE[[#This Row],[KU.3]]="C",79,IF(NSi.SE[[#This Row],[KU.3]]="D",69,IF(NSi.SE[[#This Row],[KU.3]]="E",0,"-")))))</f>
        <v>-</v>
      </c>
      <c r="CK3" s="73" t="str">
        <f>IF(NSi.SE[[#This Row],[TJ.3]]=1,100,IF(NSi.SE[[#This Row],[TJ.3]]=2,89,IF(NSi.SE[[#This Row],[TJ.3]]=3,79,IF(NSi.SE[[#This Row],[TJ.3]]=4,69,IF(NSi.SE[[#This Row],[TJ.3]]=5,0,"-")))))</f>
        <v>-</v>
      </c>
      <c r="CL3" s="73" t="str">
        <f>IF(NSi.SE[[#This Row],[Ker.3]]=1,100,IF(NSi.SE[[#This Row],[Ker.3]]=2,89,IF(NSi.SE[[#This Row],[Ker.3]]=3,79,IF(NSi.SE[[#This Row],[Ker.3]]=4,69,IF(NSi.SE[[#This Row],[Ker.3]]=5,0,"-")))))</f>
        <v>-</v>
      </c>
      <c r="CM3" s="73" t="str">
        <f>IF(NSi.SE[[#This Row],[Ped.3]]=1,100,IF(NSi.SE[[#This Row],[Ped.3]]=2,89,IF(NSi.SE[[#This Row],[Ped.3]]=3,79,IF(NSi.SE[[#This Row],[Ped.3]]=4,69,IF(NSi.SE[[#This Row],[Ped.3]]=5,0,"-")))))</f>
        <v>-</v>
      </c>
      <c r="CN3" s="73" t="str">
        <f>IF(NSi.SE[[#This Row],[Pro-A.3]]=1,100,IF(NSi.SE[[#This Row],[Pro-A.3]]=2,89,IF(NSi.SE[[#This Row],[Pro-A.3]]=3,79,IF(NSi.SE[[#This Row],[Pro-A.3]]=4,69,IF(NSi.SE[[#This Row],[Pro-A.3]]=5,0,"-")))))</f>
        <v>-</v>
      </c>
      <c r="CO3" s="73" t="str">
        <f>IF(NSi.SE[[#This Row],[KU.4]]="A",100,IF(NSi.SE[[#This Row],[KU.4]]="B",89,IF(NSi.SE[[#This Row],[KU.4]]="C",79,IF(NSi.SE[[#This Row],[KU.4]]="D",69,IF(NSi.SE[[#This Row],[KU.4]]="E",0,"-")))))</f>
        <v>-</v>
      </c>
      <c r="CP3" s="73" t="str">
        <f>IF(NSi.SE[[#This Row],[TJ.4]]=1,100,IF(NSi.SE[[#This Row],[TJ.4]]=2,89,IF(NSi.SE[[#This Row],[TJ.4]]=3,79,IF(NSi.SE[[#This Row],[TJ.4]]=4,69,IF(NSi.SE[[#This Row],[TJ.4]]=5,0,"-")))))</f>
        <v>-</v>
      </c>
      <c r="CQ3" s="73" t="str">
        <f>IF(NSi.SE[[#This Row],[Ker.4]]=1,100,IF(NSi.SE[[#This Row],[Ker.4]]=2,89,IF(NSi.SE[[#This Row],[Ker.4]]=3,79,IF(NSi.SE[[#This Row],[Ker.4]]=4,69,IF(NSi.SE[[#This Row],[Ker.4]]=5,0,"-")))))</f>
        <v>-</v>
      </c>
      <c r="CR3" s="73" t="str">
        <f>IF(NSi.SE[[#This Row],[Ped.4]]=1,100,IF(NSi.SE[[#This Row],[Ped.4]]=2,89,IF(NSi.SE[[#This Row],[Ped.4]]=3,79,IF(NSi.SE[[#This Row],[Ped.4]]=4,69,IF(NSi.SE[[#This Row],[Ped.4]]=5,0,"-")))))</f>
        <v>-</v>
      </c>
      <c r="CS3" s="73" t="str">
        <f>IF(NSi.SE[[#This Row],[Pro-A.4]]=1,100,IF(NSi.SE[[#This Row],[Pro-A.4]]=2,89,IF(NSi.SE[[#This Row],[Pro-A.4]]=3,79,IF(NSi.SE[[#This Row],[Pro-A.4]]=4,69,IF(NSi.SE[[#This Row],[Pro-A.4]]=5,0,"-")))))</f>
        <v>-</v>
      </c>
      <c r="CT3" s="73" t="str">
        <f>IF(NSi.SE[[#This Row],[KU.5]]="A",100,IF(NSi.SE[[#This Row],[KU.5]]="B",89,IF(NSi.SE[[#This Row],[KU.5]]="C",79,IF(NSi.SE[[#This Row],[KU.5]]="D",69,IF(NSi.SE[[#This Row],[KU.5]]="E",0,"-")))))</f>
        <v>-</v>
      </c>
      <c r="CU3" s="73" t="str">
        <f>IF(NSi.SE[[#This Row],[TJ.5]]=1,100,IF(NSi.SE[[#This Row],[TJ.5]]=2,89,IF(NSi.SE[[#This Row],[TJ.5]]=3,79,IF(NSi.SE[[#This Row],[TJ.5]]=4,69,IF(NSi.SE[[#This Row],[TJ.5]]=5,0,"-")))))</f>
        <v>-</v>
      </c>
      <c r="CV3" s="73" t="str">
        <f>IF(NSi.SE[[#This Row],[Ker.5]]=1,100,IF(NSi.SE[[#This Row],[Ker.5]]=2,89,IF(NSi.SE[[#This Row],[Ker.5]]=3,79,IF(NSi.SE[[#This Row],[Ker.5]]=4,69,IF(NSi.SE[[#This Row],[Ker.5]]=5,0,"-")))))</f>
        <v>-</v>
      </c>
      <c r="CW3" s="73" t="str">
        <f>IF(NSi.SE[[#This Row],[Ped.5]]=1,100,IF(NSi.SE[[#This Row],[Ped.5]]=2,89,IF(NSi.SE[[#This Row],[Ped.5]]=3,79,IF(NSi.SE[[#This Row],[Ped.5]]=4,69,IF(NSi.SE[[#This Row],[Ped.5]]=5,0,"-")))))</f>
        <v>-</v>
      </c>
      <c r="CX3" s="73" t="str">
        <f>IF(NSi.SE[[#This Row],[Pro-A.5]]=1,100,IF(NSi.SE[[#This Row],[Pro-A.5]]=2,89,IF(NSi.SE[[#This Row],[Pro-A.5]]=3,79,IF(NSi.SE[[#This Row],[Pro-A.5]]=4,69,IF(NSi.SE[[#This Row],[Pro-A.5]]=5,0,"-")))))</f>
        <v>-</v>
      </c>
      <c r="CY3" s="73" t="str">
        <f>IF(NSi.SE[[#This Row],[KU.6]]="A",100,IF(NSi.SE[[#This Row],[KU.6]]="B",89,IF(NSi.SE[[#This Row],[KU.6]]="C",79,IF(NSi.SE[[#This Row],[KU.6]]="D",69,IF(NSi.SE[[#This Row],[KU.6]]="E",0,"-")))))</f>
        <v>-</v>
      </c>
      <c r="CZ3" s="73" t="str">
        <f>IF(NSi.SE[[#This Row],[TJ.6]]=1,100,IF(NSi.SE[[#This Row],[TJ.6]]=2,89,IF(NSi.SE[[#This Row],[TJ.6]]=3,79,IF(NSi.SE[[#This Row],[TJ.6]]=4,69,IF(NSi.SE[[#This Row],[TJ.6]]=5,0,"-")))))</f>
        <v>-</v>
      </c>
      <c r="DA3" s="73" t="str">
        <f>IF(NSi.SE[[#This Row],[Ker.6]]=1,100,IF(NSi.SE[[#This Row],[Ker.6]]=2,89,IF(NSi.SE[[#This Row],[Ker.6]]=3,79,IF(NSi.SE[[#This Row],[Ker.6]]=4,69,IF(NSi.SE[[#This Row],[Ker.6]]=5,0,"-")))))</f>
        <v>-</v>
      </c>
      <c r="DB3" s="73" t="str">
        <f>IF(NSi.SE[[#This Row],[Ped.6]]=1,100,IF(NSi.SE[[#This Row],[Ped.6]]=2,89,IF(NSi.SE[[#This Row],[Ped.6]]=3,79,IF(NSi.SE[[#This Row],[Ped.6]]=4,69,IF(NSi.SE[[#This Row],[Ped.6]]=5,0,"-")))))</f>
        <v>-</v>
      </c>
      <c r="DC3" s="73" t="str">
        <f>IF(NSi.SE[[#This Row],[Pro-A.6]]=1,100,IF(NSi.SE[[#This Row],[Pro-A.6]]=2,89,IF(NSi.SE[[#This Row],[Pro-A.6]]=3,79,IF(NSi.SE[[#This Row],[Pro-A.6]]=4,69,IF(NSi.SE[[#This Row],[Pro-A.6]]=5,0,"-")))))</f>
        <v>-</v>
      </c>
      <c r="DD3" s="73" t="str">
        <f>IF(NSi.SE[[#This Row],[KU.7]]="A",100,IF(NSi.SE[[#This Row],[KU.7]]="B",89,IF(NSi.SE[[#This Row],[KU.7]]="C",79,IF(NSi.SE[[#This Row],[KU.7]]="D",69,IF(NSi.SE[[#This Row],[KU.7]]="E",0,"-")))))</f>
        <v>-</v>
      </c>
      <c r="DE3" s="73" t="str">
        <f>IF(NSi.SE[[#This Row],[TJ.7]]=1,100,IF(NSi.SE[[#This Row],[TJ.7]]=2,89,IF(NSi.SE[[#This Row],[TJ.7]]=3,79,IF(NSi.SE[[#This Row],[TJ.7]]=4,69,IF(NSi.SE[[#This Row],[TJ.7]]=5,0,"-")))))</f>
        <v>-</v>
      </c>
      <c r="DF3" s="73" t="str">
        <f>IF(NSi.SE[[#This Row],[Ker.7]]=1,100,IF(NSi.SE[[#This Row],[Ker.7]]=2,89,IF(NSi.SE[[#This Row],[Ker.7]]=3,79,IF(NSi.SE[[#This Row],[Ker.7]]=4,69,IF(NSi.SE[[#This Row],[Ker.7]]=5,0,"-")))))</f>
        <v>-</v>
      </c>
      <c r="DG3" s="73" t="str">
        <f>IF(NSi.SE[[#This Row],[Ped.7]]=1,100,IF(NSi.SE[[#This Row],[Ped.7]]=2,89,IF(NSi.SE[[#This Row],[Ped.7]]=3,79,IF(NSi.SE[[#This Row],[Ped.7]]=4,69,IF(NSi.SE[[#This Row],[Ped.7]]=5,0,"-")))))</f>
        <v>-</v>
      </c>
      <c r="DH3" s="73" t="str">
        <f>IF(NSi.SE[[#This Row],[Pro-A.7]]=1,100,IF(NSi.SE[[#This Row],[Pro-A.7]]=2,89,IF(NSi.SE[[#This Row],[Pro-A.7]]=3,79,IF(NSi.SE[[#This Row],[Pro-A.7]]=4,69,IF(NSi.SE[[#This Row],[Pro-A.7]]=5,0,"-")))))</f>
        <v>-</v>
      </c>
      <c r="DI3" s="73" t="str">
        <f>IF(NSi.SE[[#This Row],[KU.8]]="A",100,IF(NSi.SE[[#This Row],[KU.8]]="B",89,IF(NSi.SE[[#This Row],[KU.8]]="C",79,IF(NSi.SE[[#This Row],[KU.8]]="D",69,IF(NSi.SE[[#This Row],[KU.8]]="E",0,"-")))))</f>
        <v>-</v>
      </c>
      <c r="DJ3" s="73" t="str">
        <f>IF(NSi.SE[[#This Row],[TJ.8]]=1,100,IF(NSi.SE[[#This Row],[TJ.8]]=2,89,IF(NSi.SE[[#This Row],[TJ.8]]=3,79,IF(NSi.SE[[#This Row],[TJ.8]]=4,69,IF(NSi.SE[[#This Row],[TJ.8]]=5,0,"-")))))</f>
        <v>-</v>
      </c>
      <c r="DK3" s="73" t="str">
        <f>IF(NSi.SE[[#This Row],[Ker.8]]=1,100,IF(NSi.SE[[#This Row],[Ker.8]]=2,89,IF(NSi.SE[[#This Row],[Ker.8]]=3,79,IF(NSi.SE[[#This Row],[Ker.8]]=4,69,IF(NSi.SE[[#This Row],[Ker.8]]=5,0,"-")))))</f>
        <v>-</v>
      </c>
      <c r="DL3" s="73" t="str">
        <f>IF(NSi.SE[[#This Row],[Ped.8]]=1,100,IF(NSi.SE[[#This Row],[Ped.8]]=2,89,IF(NSi.SE[[#This Row],[Ped.8]]=3,79,IF(NSi.SE[[#This Row],[Ped.8]]=4,69,IF(NSi.SE[[#This Row],[Ped.8]]=5,0,"-")))))</f>
        <v>-</v>
      </c>
      <c r="DM3" s="73" t="str">
        <f>IF(NSi.SE[[#This Row],[Pro-A.8]]=1,100,IF(NSi.SE[[#This Row],[Pro-A.8]]=2,89,IF(NSi.SE[[#This Row],[Pro-A.8]]=3,79,IF(NSi.SE[[#This Row],[Pro-A.8]]=4,69,IF(NSi.SE[[#This Row],[Pro-A.8]]=5,0,"-")))))</f>
        <v>-</v>
      </c>
      <c r="DN3" s="73" t="str">
        <f>IF(NSi.SE[[#This Row],[KU.9]]="A",100,IF(NSi.SE[[#This Row],[KU.9]]="B",89,IF(NSi.SE[[#This Row],[KU.9]]="C",79,IF(NSi.SE[[#This Row],[KU.9]]="D",69,IF(NSi.SE[[#This Row],[KU.9]]="E",0,"-")))))</f>
        <v>-</v>
      </c>
      <c r="DO3" s="73" t="str">
        <f>IF(NSi.SE[[#This Row],[TJ.9]]=1,100,IF(NSi.SE[[#This Row],[TJ.9]]=2,89,IF(NSi.SE[[#This Row],[TJ.9]]=3,79,IF(NSi.SE[[#This Row],[TJ.9]]=4,69,IF(NSi.SE[[#This Row],[TJ.9]]=5,0,"-")))))</f>
        <v>-</v>
      </c>
      <c r="DP3" s="73" t="str">
        <f>IF(NSi.SE[[#This Row],[Ker.9]]=1,100,IF(NSi.SE[[#This Row],[Ker.9]]=2,89,IF(NSi.SE[[#This Row],[Ker.9]]=3,79,IF(NSi.SE[[#This Row],[Ker.9]]=4,69,IF(NSi.SE[[#This Row],[Ker.9]]=5,0,"-")))))</f>
        <v>-</v>
      </c>
      <c r="DQ3" s="73" t="str">
        <f>IF(NSi.SE[[#This Row],[Ped.9]]=1,100,IF(NSi.SE[[#This Row],[Ped.9]]=2,89,IF(NSi.SE[[#This Row],[Ped.9]]=3,79,IF(NSi.SE[[#This Row],[Ped.9]]=4,69,IF(NSi.SE[[#This Row],[Ped.9]]=5,0,"-")))))</f>
        <v>-</v>
      </c>
      <c r="DR3" s="73" t="str">
        <f>IF(NSi.SE[[#This Row],[Pro-A.9]]=1,100,IF(NSi.SE[[#This Row],[Pro-A.9]]=2,89,IF(NSi.SE[[#This Row],[Pro-A.9]]=3,79,IF(NSi.SE[[#This Row],[Pro-A.9]]=4,69,IF(NSi.SE[[#This Row],[Pro-A.9]]=5,0,"-")))))</f>
        <v>-</v>
      </c>
      <c r="DT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4" spans="1:124" ht="50.1" customHeight="1" x14ac:dyDescent="0.3">
      <c r="A4" s="66">
        <f>IF(NSi.TS[[#This Row],[No]]=0,"",NSi.TS[[#This Row],[No]])</f>
        <v>2</v>
      </c>
      <c r="B4" s="67" t="str">
        <f>IF(NSi.TS[[#This Row],[Nama Siswa]]=0,"",NSi.TS[[#This Row],[Nama Siswa]])</f>
        <v>Anwar Setiawan</v>
      </c>
      <c r="C4" s="68" t="str">
        <f>IF(NSi.TS[[#This Row],[Nomor Induk]]=0,"",NSi.TS[[#This Row],[Nomor Induk]])</f>
        <v>2/HBICSHIGH/20</v>
      </c>
      <c r="D4" s="68">
        <f>IF(NSi.TS[[#This Row],[NISN]]=0,"",NSi.TS[[#This Row],[NISN]])</f>
        <v>24306262</v>
      </c>
      <c r="E4" s="68" t="str">
        <f>IF(NSi.TS[[#This Row],[Jurusan]]=0,"",NSi.TS[[#This Row],[Jurusan]])</f>
        <v>IPS</v>
      </c>
      <c r="F4" s="39" t="str">
        <f>NSi.TS[[#This Row],[Nsi.TS]]</f>
        <v/>
      </c>
      <c r="G4" s="39" t="str">
        <f>IFERROR(ROUND(AVERAGE(CSCR.S[#This Row]),0),"")</f>
        <v/>
      </c>
      <c r="H4" s="39" t="str">
        <f>IFERROR(ROUND(AVERAGE(NSi.SE[[#This Row],[Nsi.TS]:[NS.iS]]),0),"")</f>
        <v/>
      </c>
      <c r="I4" s="41" t="s">
        <v>102</v>
      </c>
      <c r="J4" s="45" t="s">
        <v>102</v>
      </c>
      <c r="K4" s="45" t="s">
        <v>102</v>
      </c>
      <c r="L4" s="45" t="s">
        <v>102</v>
      </c>
      <c r="M4" s="45" t="s">
        <v>102</v>
      </c>
      <c r="N4" s="41" t="s">
        <v>102</v>
      </c>
      <c r="O4" s="45" t="s">
        <v>102</v>
      </c>
      <c r="P4" s="45" t="s">
        <v>102</v>
      </c>
      <c r="Q4" s="45" t="s">
        <v>102</v>
      </c>
      <c r="R4" s="45" t="s">
        <v>102</v>
      </c>
      <c r="S4" s="41" t="s">
        <v>102</v>
      </c>
      <c r="T4" s="45" t="s">
        <v>102</v>
      </c>
      <c r="U4" s="45" t="s">
        <v>102</v>
      </c>
      <c r="V4" s="45" t="s">
        <v>102</v>
      </c>
      <c r="W4" s="45" t="s">
        <v>102</v>
      </c>
      <c r="X4" s="41" t="s">
        <v>102</v>
      </c>
      <c r="Y4" s="45" t="s">
        <v>102</v>
      </c>
      <c r="Z4" s="45" t="s">
        <v>102</v>
      </c>
      <c r="AA4" s="45" t="s">
        <v>102</v>
      </c>
      <c r="AB4" s="45" t="s">
        <v>102</v>
      </c>
      <c r="AC4" s="41" t="s">
        <v>102</v>
      </c>
      <c r="AD4" s="45" t="s">
        <v>102</v>
      </c>
      <c r="AE4" s="45" t="s">
        <v>102</v>
      </c>
      <c r="AF4" s="45" t="s">
        <v>102</v>
      </c>
      <c r="AG4" s="45" t="s">
        <v>102</v>
      </c>
      <c r="AH4" s="41" t="s">
        <v>102</v>
      </c>
      <c r="AI4" s="45" t="s">
        <v>102</v>
      </c>
      <c r="AJ4" s="45" t="s">
        <v>102</v>
      </c>
      <c r="AK4" s="45" t="s">
        <v>102</v>
      </c>
      <c r="AL4" s="45" t="s">
        <v>102</v>
      </c>
      <c r="AM4" s="41" t="s">
        <v>102</v>
      </c>
      <c r="AN4" s="45" t="s">
        <v>102</v>
      </c>
      <c r="AO4" s="45" t="s">
        <v>102</v>
      </c>
      <c r="AP4" s="45" t="s">
        <v>102</v>
      </c>
      <c r="AQ4" s="45" t="s">
        <v>102</v>
      </c>
      <c r="AR4" s="41" t="s">
        <v>102</v>
      </c>
      <c r="AS4" s="45" t="s">
        <v>102</v>
      </c>
      <c r="AT4" s="45" t="s">
        <v>102</v>
      </c>
      <c r="AU4" s="45" t="s">
        <v>102</v>
      </c>
      <c r="AV4" s="45" t="s">
        <v>102</v>
      </c>
      <c r="AW4" s="41" t="s">
        <v>102</v>
      </c>
      <c r="AX4" s="45" t="s">
        <v>102</v>
      </c>
      <c r="AY4" s="45" t="s">
        <v>102</v>
      </c>
      <c r="AZ4" s="45" t="s">
        <v>102</v>
      </c>
      <c r="BA4" s="45" t="s">
        <v>102</v>
      </c>
      <c r="BC4" s="10" t="str">
        <f>CONCATENATE(NSi.SE[[#This Row],[KU.1]],(IF(A.LoE.S[[#This Row],[LE.1]]="-","-",IF(A.LoE.S[[#This Row],[LE.1]]&gt;=90,1,IF(A.LoE.S[[#This Row],[LE.1]]&gt;=80,2,IF(A.LoE.S[[#This Row],[LE.1]]&gt;=70,3,IF(A.LoE.S[[#This Row],[LE.1]]&gt;=1,4,5)))))))</f>
        <v>--</v>
      </c>
      <c r="BD4" s="46" t="str">
        <f>CONCATENATE(NSi.SE[[#This Row],[KU.2]],(IF(A.LoE.S[[#This Row],[LE.2]]="-","-",IF(A.LoE.S[[#This Row],[LE.2]]&gt;=90,1,IF(A.LoE.S[[#This Row],[LE.2]]&gt;=80,2,IF(A.LoE.S[[#This Row],[LE.2]]&gt;=70,3,IF(A.LoE.S[[#This Row],[LE.2]]&gt;=1,4,5)))))))</f>
        <v>--</v>
      </c>
      <c r="BE4" s="46" t="str">
        <f>CONCATENATE(NSi.SE[[#This Row],[KU.3]],(IF(A.LoE.S[[#This Row],[LE.3]]="-","-",IF(A.LoE.S[[#This Row],[LE.3]]&gt;=90,1,IF(A.LoE.S[[#This Row],[LE.3]]&gt;=80,2,IF(A.LoE.S[[#This Row],[LE.3]]&gt;=70,3,IF(A.LoE.S[[#This Row],[LE.3]]&gt;=1,4,5)))))))</f>
        <v>--</v>
      </c>
      <c r="BF4" s="46" t="str">
        <f>CONCATENATE(NSi.SE[[#This Row],[KU.4]],(IF(A.LoE.S[[#This Row],[LE.4]]="-","-",IF(A.LoE.S[[#This Row],[LE.4]]&gt;=90,1,IF(A.LoE.S[[#This Row],[LE.4]]&gt;=80,2,IF(A.LoE.S[[#This Row],[LE.4]]&gt;=70,3,IF(A.LoE.S[[#This Row],[LE.4]]&gt;=1,4,5)))))))</f>
        <v>--</v>
      </c>
      <c r="BG4" s="46" t="str">
        <f>CONCATENATE(NSi.SE[[#This Row],[KU.5]],(IF(A.LoE.S[[#This Row],[LE.5]]="-","-",IF(A.LoE.S[[#This Row],[LE.5]]&gt;=90,1,IF(A.LoE.S[[#This Row],[LE.5]]&gt;=80,2,IF(A.LoE.S[[#This Row],[LE.5]]&gt;=70,3,IF(A.LoE.S[[#This Row],[LE.5]]&gt;=1,4,5)))))))</f>
        <v>--</v>
      </c>
      <c r="BH4" s="46" t="str">
        <f>CONCATENATE(NSi.SE[[#This Row],[KU.6]],(IF(A.LoE.S[[#This Row],[LE.6]]="-","-",IF(A.LoE.S[[#This Row],[LE.6]]&gt;=90,1,IF(A.LoE.S[[#This Row],[LE.6]]&gt;=80,2,IF(A.LoE.S[[#This Row],[LE.6]]&gt;=70,3,IF(A.LoE.S[[#This Row],[LE.6]]&gt;=1,4,5)))))))</f>
        <v>--</v>
      </c>
      <c r="BI4" s="46" t="str">
        <f>CONCATENATE(NSi.SE[[#This Row],[KU.7]],(IF(A.LoE.S[[#This Row],[LE.7]]="-","-",IF(A.LoE.S[[#This Row],[LE.7]]&gt;=90,1,IF(A.LoE.S[[#This Row],[LE.7]]&gt;=80,2,IF(A.LoE.S[[#This Row],[LE.7]]&gt;=70,3,IF(A.LoE.S[[#This Row],[LE.7]]&gt;=1,4,5)))))))</f>
        <v>--</v>
      </c>
      <c r="BJ4" s="46" t="str">
        <f>CONCATENATE(NSi.SE[[#This Row],[KU.8]],(IF(A.LoE.S[[#This Row],[LE.8]]="-","-",IF(A.LoE.S[[#This Row],[LE.8]]&gt;=90,1,IF(A.LoE.S[[#This Row],[LE.8]]&gt;=80,2,IF(A.LoE.S[[#This Row],[LE.8]]&gt;=70,3,IF(A.LoE.S[[#This Row],[LE.8]]&gt;=1,4,5)))))))</f>
        <v>--</v>
      </c>
      <c r="BK4" s="38" t="str">
        <f>CONCATENATE(NSi.SE[[#This Row],[KU.9]],(IF(A.LoE.S[[#This Row],[LE.9]]="-","-",IF(A.LoE.S[[#This Row],[LE.9]]&gt;=90,1,IF(A.LoE.S[[#This Row],[LE.9]]&gt;=80,2,IF(A.LoE.S[[#This Row],[LE.9]]&gt;=70,3,IF(A.LoE.S[[#This Row],[LE.9]]&gt;=1,4,5)))))))</f>
        <v>--</v>
      </c>
      <c r="BM4" s="35" t="str">
        <f>IFERROR(ROUND(AVERAGE(Con.Sk.S[[#This Row],[TJ.1]:[Pro-A.1]]),0),"-")</f>
        <v>-</v>
      </c>
      <c r="BN4" s="24" t="str">
        <f>IFERROR(ROUND(AVERAGE(Con.Sk.S[[#This Row],[TJ.2]:[Pro-A.2]]),0),"-")</f>
        <v>-</v>
      </c>
      <c r="BO4" s="24" t="str">
        <f>IFERROR(ROUND(AVERAGE(Con.Sk.S[[#This Row],[TJ.3]:[Pro-A.3]]),0),"-")</f>
        <v>-</v>
      </c>
      <c r="BP4" s="24" t="str">
        <f>IFERROR(ROUND(AVERAGE(Con.Sk.S[[#This Row],[TJ.4]:[Pro-A.4]]),0),"-")</f>
        <v>-</v>
      </c>
      <c r="BQ4" s="24" t="str">
        <f>IFERROR(ROUND(AVERAGE(Con.Sk.S[[#This Row],[TJ.5]:[Pro-A.5]]),0),"-")</f>
        <v>-</v>
      </c>
      <c r="BR4" s="24" t="str">
        <f>IFERROR(ROUND(AVERAGE(Con.Sk.S[[#This Row],[TJ.6]:[Pro-A.6]]),0),"-")</f>
        <v>-</v>
      </c>
      <c r="BS4" s="24" t="str">
        <f>IFERROR(ROUND(AVERAGE(Con.Sk.S[[#This Row],[TJ.7]:[Pro-A.7]]),0),"-")</f>
        <v>-</v>
      </c>
      <c r="BT4" s="24" t="str">
        <f>IFERROR(ROUND(AVERAGE(Con.Sk.S[[#This Row],[TJ.8]:[Pro-A.8]]),0),"-")</f>
        <v>-</v>
      </c>
      <c r="BU4" s="25" t="str">
        <f>IFERROR(ROUND(AVERAGE(Con.Sk.S[[#This Row],[TJ.9]:[Pro-A.9]]),0),"-")</f>
        <v>-</v>
      </c>
      <c r="BW4" s="47" t="str">
        <f>IFERROR(ROUND(AVERAGE(Con.Sk.S[[#This Row],[KU.1]],Con.Sk.S[[#This Row],[KU.2]],Con.Sk.S[[#This Row],[KU.3]],Con.Sk.S[[#This Row],[KU.4]],Con.Sk.S[[#This Row],[KU.5]],Con.Sk.S[[#This Row],[KU.6]],Con.Sk.S[[#This Row],[KU.7]],Con.Sk.S[[#This Row],[KU.8]],Con.Sk.S[[#This Row],[KU.9]]),0),"")</f>
        <v/>
      </c>
      <c r="BX4" s="48" t="str">
        <f>IFERROR(ROUND(AVERAGE(Con.Sk.S[[#This Row],[TJ.1]:[Pro-A.1]],Con.Sk.S[[#This Row],[TJ.2]:[Pro-A.2]],Con.Sk.S[[#This Row],[TJ.3]:[Pro-A.3]],Con.Sk.S[[#This Row],[TJ.4]:[Pro-A.4]],Con.Sk.S[[#This Row],[TJ.5]:[Pro-A.5]],Con.Sk.S[[#This Row],[TJ.6]:[Pro-A.6]],Con.Sk.S[[#This Row],[TJ.7]:[Pro-A.7]],Con.Sk.S[[#This Row],[TJ.8]:[Pro-A.8]],Con.Sk.S[[#This Row],[TJ.9]:[Pro-A.9]]),0),"")</f>
        <v/>
      </c>
      <c r="BY4" s="3"/>
      <c r="BZ4" s="73" t="str">
        <f>IF(NSi.SE[[#This Row],[KU.1]]="A",100,IF(NSi.SE[[#This Row],[KU.1]]="B",89,IF(NSi.SE[[#This Row],[KU.1]]="C",79,IF(NSi.SE[[#This Row],[KU.1]]="D",69,IF(NSi.SE[[#This Row],[KU.1]]="E",0,"-")))))</f>
        <v>-</v>
      </c>
      <c r="CA4" s="73" t="str">
        <f>IF(NSi.SE[[#This Row],[TJ.1]]=1,100,IF(NSi.SE[[#This Row],[TJ.1]]=2,89,IF(NSi.SE[[#This Row],[TJ.1]]=3,79,IF(NSi.SE[[#This Row],[TJ.1]]=4,69,IF(NSi.SE[[#This Row],[TJ.1]]=5,0,"-")))))</f>
        <v>-</v>
      </c>
      <c r="CB4" s="73" t="str">
        <f>IF(NSi.SE[[#This Row],[Ker.1]]=1,100,IF(NSi.SE[[#This Row],[Ker.1]]=2,89,IF(NSi.SE[[#This Row],[Ker.1]]=3,79,IF(NSi.SE[[#This Row],[Ker.1]]=4,69,IF(NSi.SE[[#This Row],[Ker.1]]=5,0,"-")))))</f>
        <v>-</v>
      </c>
      <c r="CC4" s="73" t="str">
        <f>IF(NSi.SE[[#This Row],[Ped.1]]=1,100,IF(NSi.SE[[#This Row],[Ped.1]]=2,89,IF(NSi.SE[[#This Row],[Ped.1]]=3,79,IF(NSi.SE[[#This Row],[Ped.1]]=4,69,IF(NSi.SE[[#This Row],[Ped.1]]=5,0,"-")))))</f>
        <v>-</v>
      </c>
      <c r="CD4" s="73" t="str">
        <f>IF(NSi.SE[[#This Row],[Pro-A.1]]=1,100,IF(NSi.SE[[#This Row],[Pro-A.1]]=2,89,IF(NSi.SE[[#This Row],[Pro-A.1]]=3,79,IF(NSi.SE[[#This Row],[Pro-A.1]]=4,69,IF(NSi.SE[[#This Row],[Pro-A.1]]=5,0,"-")))))</f>
        <v>-</v>
      </c>
      <c r="CE4" s="73" t="str">
        <f>IF(NSi.SE[[#This Row],[KU.2]]="A",100,IF(NSi.SE[[#This Row],[KU.2]]="B",89,IF(NSi.SE[[#This Row],[KU.2]]="C",79,IF(NSi.SE[[#This Row],[KU.2]]="D",69,IF(NSi.SE[[#This Row],[KU.2]]="E",0,"-")))))</f>
        <v>-</v>
      </c>
      <c r="CF4" s="73" t="str">
        <f>IF(NSi.SE[[#This Row],[TJ.2]]=1,100,IF(NSi.SE[[#This Row],[TJ.2]]=2,89,IF(NSi.SE[[#This Row],[TJ.2]]=3,79,IF(NSi.SE[[#This Row],[TJ.2]]=4,69,IF(NSi.SE[[#This Row],[TJ.2]]=5,0,"-")))))</f>
        <v>-</v>
      </c>
      <c r="CG4" s="73" t="str">
        <f>IF(NSi.SE[[#This Row],[Ker.2]]=1,100,IF(NSi.SE[[#This Row],[Ker.2]]=2,89,IF(NSi.SE[[#This Row],[Ker.2]]=3,79,IF(NSi.SE[[#This Row],[Ker.2]]=4,69,IF(NSi.SE[[#This Row],[Ker.2]]=5,0,"-")))))</f>
        <v>-</v>
      </c>
      <c r="CH4" s="73" t="str">
        <f>IF(NSi.SE[[#This Row],[Ped.2]]=1,100,IF(NSi.SE[[#This Row],[Ped.2]]=2,89,IF(NSi.SE[[#This Row],[Ped.2]]=3,79,IF(NSi.SE[[#This Row],[Ped.2]]=4,69,IF(NSi.SE[[#This Row],[Ped.2]]=5,0,"-")))))</f>
        <v>-</v>
      </c>
      <c r="CI4" s="73" t="str">
        <f>IF(NSi.SE[[#This Row],[Pro-A.2]]=1,100,IF(NSi.SE[[#This Row],[Pro-A.2]]=2,89,IF(NSi.SE[[#This Row],[Pro-A.2]]=3,79,IF(NSi.SE[[#This Row],[Pro-A.2]]=4,69,IF(NSi.SE[[#This Row],[Pro-A.2]]=5,0,"-")))))</f>
        <v>-</v>
      </c>
      <c r="CJ4" s="74" t="str">
        <f>IF(NSi.SE[[#This Row],[KU.3]]="A",100,IF(NSi.SE[[#This Row],[KU.3]]="B",89,IF(NSi.SE[[#This Row],[KU.3]]="C",79,IF(NSi.SE[[#This Row],[KU.3]]="D",69,IF(NSi.SE[[#This Row],[KU.3]]="E",0,"-")))))</f>
        <v>-</v>
      </c>
      <c r="CK4" s="73" t="str">
        <f>IF(NSi.SE[[#This Row],[TJ.3]]=1,100,IF(NSi.SE[[#This Row],[TJ.3]]=2,89,IF(NSi.SE[[#This Row],[TJ.3]]=3,79,IF(NSi.SE[[#This Row],[TJ.3]]=4,69,IF(NSi.SE[[#This Row],[TJ.3]]=5,0,"-")))))</f>
        <v>-</v>
      </c>
      <c r="CL4" s="73" t="str">
        <f>IF(NSi.SE[[#This Row],[Ker.3]]=1,100,IF(NSi.SE[[#This Row],[Ker.3]]=2,89,IF(NSi.SE[[#This Row],[Ker.3]]=3,79,IF(NSi.SE[[#This Row],[Ker.3]]=4,69,IF(NSi.SE[[#This Row],[Ker.3]]=5,0,"-")))))</f>
        <v>-</v>
      </c>
      <c r="CM4" s="73" t="str">
        <f>IF(NSi.SE[[#This Row],[Ped.3]]=1,100,IF(NSi.SE[[#This Row],[Ped.3]]=2,89,IF(NSi.SE[[#This Row],[Ped.3]]=3,79,IF(NSi.SE[[#This Row],[Ped.3]]=4,69,IF(NSi.SE[[#This Row],[Ped.3]]=5,0,"-")))))</f>
        <v>-</v>
      </c>
      <c r="CN4" s="73" t="str">
        <f>IF(NSi.SE[[#This Row],[Pro-A.3]]=1,100,IF(NSi.SE[[#This Row],[Pro-A.3]]=2,89,IF(NSi.SE[[#This Row],[Pro-A.3]]=3,79,IF(NSi.SE[[#This Row],[Pro-A.3]]=4,69,IF(NSi.SE[[#This Row],[Pro-A.3]]=5,0,"-")))))</f>
        <v>-</v>
      </c>
      <c r="CO4" s="74" t="str">
        <f>IF(NSi.SE[[#This Row],[KU.4]]="A",100,IF(NSi.SE[[#This Row],[KU.4]]="B",89,IF(NSi.SE[[#This Row],[KU.4]]="C",79,IF(NSi.SE[[#This Row],[KU.4]]="D",69,IF(NSi.SE[[#This Row],[KU.4]]="E",0,"-")))))</f>
        <v>-</v>
      </c>
      <c r="CP4" s="73" t="str">
        <f>IF(NSi.SE[[#This Row],[TJ.4]]=1,100,IF(NSi.SE[[#This Row],[TJ.4]]=2,89,IF(NSi.SE[[#This Row],[TJ.4]]=3,79,IF(NSi.SE[[#This Row],[TJ.4]]=4,69,IF(NSi.SE[[#This Row],[TJ.4]]=5,0,"-")))))</f>
        <v>-</v>
      </c>
      <c r="CQ4" s="73" t="str">
        <f>IF(NSi.SE[[#This Row],[Ker.4]]=1,100,IF(NSi.SE[[#This Row],[Ker.4]]=2,89,IF(NSi.SE[[#This Row],[Ker.4]]=3,79,IF(NSi.SE[[#This Row],[Ker.4]]=4,69,IF(NSi.SE[[#This Row],[Ker.4]]=5,0,"-")))))</f>
        <v>-</v>
      </c>
      <c r="CR4" s="73" t="str">
        <f>IF(NSi.SE[[#This Row],[Ped.4]]=1,100,IF(NSi.SE[[#This Row],[Ped.4]]=2,89,IF(NSi.SE[[#This Row],[Ped.4]]=3,79,IF(NSi.SE[[#This Row],[Ped.4]]=4,69,IF(NSi.SE[[#This Row],[Ped.4]]=5,0,"-")))))</f>
        <v>-</v>
      </c>
      <c r="CS4" s="73" t="str">
        <f>IF(NSi.SE[[#This Row],[Pro-A.4]]=1,100,IF(NSi.SE[[#This Row],[Pro-A.4]]=2,89,IF(NSi.SE[[#This Row],[Pro-A.4]]=3,79,IF(NSi.SE[[#This Row],[Pro-A.4]]=4,69,IF(NSi.SE[[#This Row],[Pro-A.4]]=5,0,"-")))))</f>
        <v>-</v>
      </c>
      <c r="CT4" s="74" t="str">
        <f>IF(NSi.SE[[#This Row],[KU.5]]="A",100,IF(NSi.SE[[#This Row],[KU.5]]="B",89,IF(NSi.SE[[#This Row],[KU.5]]="C",79,IF(NSi.SE[[#This Row],[KU.5]]="D",69,IF(NSi.SE[[#This Row],[KU.5]]="E",0,"-")))))</f>
        <v>-</v>
      </c>
      <c r="CU4" s="73" t="str">
        <f>IF(NSi.SE[[#This Row],[TJ.5]]=1,100,IF(NSi.SE[[#This Row],[TJ.5]]=2,89,IF(NSi.SE[[#This Row],[TJ.5]]=3,79,IF(NSi.SE[[#This Row],[TJ.5]]=4,69,IF(NSi.SE[[#This Row],[TJ.5]]=5,0,"-")))))</f>
        <v>-</v>
      </c>
      <c r="CV4" s="73" t="str">
        <f>IF(NSi.SE[[#This Row],[Ker.5]]=1,100,IF(NSi.SE[[#This Row],[Ker.5]]=2,89,IF(NSi.SE[[#This Row],[Ker.5]]=3,79,IF(NSi.SE[[#This Row],[Ker.5]]=4,69,IF(NSi.SE[[#This Row],[Ker.5]]=5,0,"-")))))</f>
        <v>-</v>
      </c>
      <c r="CW4" s="73" t="str">
        <f>IF(NSi.SE[[#This Row],[Ped.5]]=1,100,IF(NSi.SE[[#This Row],[Ped.5]]=2,89,IF(NSi.SE[[#This Row],[Ped.5]]=3,79,IF(NSi.SE[[#This Row],[Ped.5]]=4,69,IF(NSi.SE[[#This Row],[Ped.5]]=5,0,"-")))))</f>
        <v>-</v>
      </c>
      <c r="CX4" s="73" t="str">
        <f>IF(NSi.SE[[#This Row],[Pro-A.5]]=1,100,IF(NSi.SE[[#This Row],[Pro-A.5]]=2,89,IF(NSi.SE[[#This Row],[Pro-A.5]]=3,79,IF(NSi.SE[[#This Row],[Pro-A.5]]=4,69,IF(NSi.SE[[#This Row],[Pro-A.5]]=5,0,"-")))))</f>
        <v>-</v>
      </c>
      <c r="CY4" s="74" t="str">
        <f>IF(NSi.SE[[#This Row],[KU.6]]="A",100,IF(NSi.SE[[#This Row],[KU.6]]="B",89,IF(NSi.SE[[#This Row],[KU.6]]="C",79,IF(NSi.SE[[#This Row],[KU.6]]="D",69,IF(NSi.SE[[#This Row],[KU.6]]="E",0,"-")))))</f>
        <v>-</v>
      </c>
      <c r="CZ4" s="73" t="str">
        <f>IF(NSi.SE[[#This Row],[TJ.6]]=1,100,IF(NSi.SE[[#This Row],[TJ.6]]=2,89,IF(NSi.SE[[#This Row],[TJ.6]]=3,79,IF(NSi.SE[[#This Row],[TJ.6]]=4,69,IF(NSi.SE[[#This Row],[TJ.6]]=5,0,"-")))))</f>
        <v>-</v>
      </c>
      <c r="DA4" s="73" t="str">
        <f>IF(NSi.SE[[#This Row],[Ker.6]]=1,100,IF(NSi.SE[[#This Row],[Ker.6]]=2,89,IF(NSi.SE[[#This Row],[Ker.6]]=3,79,IF(NSi.SE[[#This Row],[Ker.6]]=4,69,IF(NSi.SE[[#This Row],[Ker.6]]=5,0,"-")))))</f>
        <v>-</v>
      </c>
      <c r="DB4" s="73" t="str">
        <f>IF(NSi.SE[[#This Row],[Ped.6]]=1,100,IF(NSi.SE[[#This Row],[Ped.6]]=2,89,IF(NSi.SE[[#This Row],[Ped.6]]=3,79,IF(NSi.SE[[#This Row],[Ped.6]]=4,69,IF(NSi.SE[[#This Row],[Ped.6]]=5,0,"-")))))</f>
        <v>-</v>
      </c>
      <c r="DC4" s="73" t="str">
        <f>IF(NSi.SE[[#This Row],[Pro-A.6]]=1,100,IF(NSi.SE[[#This Row],[Pro-A.6]]=2,89,IF(NSi.SE[[#This Row],[Pro-A.6]]=3,79,IF(NSi.SE[[#This Row],[Pro-A.6]]=4,69,IF(NSi.SE[[#This Row],[Pro-A.6]]=5,0,"-")))))</f>
        <v>-</v>
      </c>
      <c r="DD4" s="74" t="str">
        <f>IF(NSi.SE[[#This Row],[KU.7]]="A",100,IF(NSi.SE[[#This Row],[KU.7]]="B",89,IF(NSi.SE[[#This Row],[KU.7]]="C",79,IF(NSi.SE[[#This Row],[KU.7]]="D",69,IF(NSi.SE[[#This Row],[KU.7]]="E",0,"-")))))</f>
        <v>-</v>
      </c>
      <c r="DE4" s="73" t="str">
        <f>IF(NSi.SE[[#This Row],[TJ.7]]=1,100,IF(NSi.SE[[#This Row],[TJ.7]]=2,89,IF(NSi.SE[[#This Row],[TJ.7]]=3,79,IF(NSi.SE[[#This Row],[TJ.7]]=4,69,IF(NSi.SE[[#This Row],[TJ.7]]=5,0,"-")))))</f>
        <v>-</v>
      </c>
      <c r="DF4" s="73" t="str">
        <f>IF(NSi.SE[[#This Row],[Ker.7]]=1,100,IF(NSi.SE[[#This Row],[Ker.7]]=2,89,IF(NSi.SE[[#This Row],[Ker.7]]=3,79,IF(NSi.SE[[#This Row],[Ker.7]]=4,69,IF(NSi.SE[[#This Row],[Ker.7]]=5,0,"-")))))</f>
        <v>-</v>
      </c>
      <c r="DG4" s="73" t="str">
        <f>IF(NSi.SE[[#This Row],[Ped.7]]=1,100,IF(NSi.SE[[#This Row],[Ped.7]]=2,89,IF(NSi.SE[[#This Row],[Ped.7]]=3,79,IF(NSi.SE[[#This Row],[Ped.7]]=4,69,IF(NSi.SE[[#This Row],[Ped.7]]=5,0,"-")))))</f>
        <v>-</v>
      </c>
      <c r="DH4" s="73" t="str">
        <f>IF(NSi.SE[[#This Row],[Pro-A.7]]=1,100,IF(NSi.SE[[#This Row],[Pro-A.7]]=2,89,IF(NSi.SE[[#This Row],[Pro-A.7]]=3,79,IF(NSi.SE[[#This Row],[Pro-A.7]]=4,69,IF(NSi.SE[[#This Row],[Pro-A.7]]=5,0,"-")))))</f>
        <v>-</v>
      </c>
      <c r="DI4" s="74" t="str">
        <f>IF(NSi.SE[[#This Row],[KU.8]]="A",100,IF(NSi.SE[[#This Row],[KU.8]]="B",89,IF(NSi.SE[[#This Row],[KU.8]]="C",79,IF(NSi.SE[[#This Row],[KU.8]]="D",69,IF(NSi.SE[[#This Row],[KU.8]]="E",0,"-")))))</f>
        <v>-</v>
      </c>
      <c r="DJ4" s="73" t="str">
        <f>IF(NSi.SE[[#This Row],[TJ.8]]=1,100,IF(NSi.SE[[#This Row],[TJ.8]]=2,89,IF(NSi.SE[[#This Row],[TJ.8]]=3,79,IF(NSi.SE[[#This Row],[TJ.8]]=4,69,IF(NSi.SE[[#This Row],[TJ.8]]=5,0,"-")))))</f>
        <v>-</v>
      </c>
      <c r="DK4" s="73" t="str">
        <f>IF(NSi.SE[[#This Row],[Ker.8]]=1,100,IF(NSi.SE[[#This Row],[Ker.8]]=2,89,IF(NSi.SE[[#This Row],[Ker.8]]=3,79,IF(NSi.SE[[#This Row],[Ker.8]]=4,69,IF(NSi.SE[[#This Row],[Ker.8]]=5,0,"-")))))</f>
        <v>-</v>
      </c>
      <c r="DL4" s="73" t="str">
        <f>IF(NSi.SE[[#This Row],[Ped.8]]=1,100,IF(NSi.SE[[#This Row],[Ped.8]]=2,89,IF(NSi.SE[[#This Row],[Ped.8]]=3,79,IF(NSi.SE[[#This Row],[Ped.8]]=4,69,IF(NSi.SE[[#This Row],[Ped.8]]=5,0,"-")))))</f>
        <v>-</v>
      </c>
      <c r="DM4" s="73" t="str">
        <f>IF(NSi.SE[[#This Row],[Pro-A.8]]=1,100,IF(NSi.SE[[#This Row],[Pro-A.8]]=2,89,IF(NSi.SE[[#This Row],[Pro-A.8]]=3,79,IF(NSi.SE[[#This Row],[Pro-A.8]]=4,69,IF(NSi.SE[[#This Row],[Pro-A.8]]=5,0,"-")))))</f>
        <v>-</v>
      </c>
      <c r="DN4" s="74" t="str">
        <f>IF(NSi.SE[[#This Row],[KU.9]]="A",100,IF(NSi.SE[[#This Row],[KU.9]]="B",89,IF(NSi.SE[[#This Row],[KU.9]]="C",79,IF(NSi.SE[[#This Row],[KU.9]]="D",69,IF(NSi.SE[[#This Row],[KU.9]]="E",0,"-")))))</f>
        <v>-</v>
      </c>
      <c r="DO4" s="73" t="str">
        <f>IF(NSi.SE[[#This Row],[TJ.9]]=1,100,IF(NSi.SE[[#This Row],[TJ.9]]=2,89,IF(NSi.SE[[#This Row],[TJ.9]]=3,79,IF(NSi.SE[[#This Row],[TJ.9]]=4,69,IF(NSi.SE[[#This Row],[TJ.9]]=5,0,"-")))))</f>
        <v>-</v>
      </c>
      <c r="DP4" s="73" t="str">
        <f>IF(NSi.SE[[#This Row],[Ker.9]]=1,100,IF(NSi.SE[[#This Row],[Ker.9]]=2,89,IF(NSi.SE[[#This Row],[Ker.9]]=3,79,IF(NSi.SE[[#This Row],[Ker.9]]=4,69,IF(NSi.SE[[#This Row],[Ker.9]]=5,0,"-")))))</f>
        <v>-</v>
      </c>
      <c r="DQ4" s="73" t="str">
        <f>IF(NSi.SE[[#This Row],[Ped.9]]=1,100,IF(NSi.SE[[#This Row],[Ped.9]]=2,89,IF(NSi.SE[[#This Row],[Ped.9]]=3,79,IF(NSi.SE[[#This Row],[Ped.9]]=4,69,IF(NSi.SE[[#This Row],[Ped.9]]=5,0,"-")))))</f>
        <v>-</v>
      </c>
      <c r="DR4" s="73" t="str">
        <f>IF(NSi.SE[[#This Row],[Pro-A.9]]=1,100,IF(NSi.SE[[#This Row],[Pro-A.9]]=2,89,IF(NSi.SE[[#This Row],[Pro-A.9]]=3,79,IF(NSi.SE[[#This Row],[Pro-A.9]]=4,69,IF(NSi.SE[[#This Row],[Pro-A.9]]=5,0,"-")))))</f>
        <v>-</v>
      </c>
      <c r="DT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5" spans="1:124" ht="50.1" customHeight="1" x14ac:dyDescent="0.3">
      <c r="A5" s="66">
        <f>IF(NSi.TS[[#This Row],[No]]=0,"",NSi.TS[[#This Row],[No]])</f>
        <v>3</v>
      </c>
      <c r="B5" s="67" t="str">
        <f>IF(NSi.TS[[#This Row],[Nama Siswa]]=0,"",NSi.TS[[#This Row],[Nama Siswa]])</f>
        <v>Bima Citra</v>
      </c>
      <c r="C5" s="68" t="str">
        <f>IF(NSi.TS[[#This Row],[Nomor Induk]]=0,"",NSi.TS[[#This Row],[Nomor Induk]])</f>
        <v>3/HBICSHIGH/20</v>
      </c>
      <c r="D5" s="68">
        <f>IF(NSi.TS[[#This Row],[NISN]]=0,"",NSi.TS[[#This Row],[NISN]])</f>
        <v>16863262</v>
      </c>
      <c r="E5" s="68" t="str">
        <f>IF(NSi.TS[[#This Row],[Jurusan]]=0,"",NSi.TS[[#This Row],[Jurusan]])</f>
        <v>IPS</v>
      </c>
      <c r="F5" s="39" t="str">
        <f>NSi.TS[[#This Row],[Nsi.TS]]</f>
        <v/>
      </c>
      <c r="G5" s="39" t="str">
        <f>IFERROR(ROUND(AVERAGE(CSCR.S[#This Row]),0),"")</f>
        <v/>
      </c>
      <c r="H5" s="39" t="str">
        <f>IFERROR(ROUND(AVERAGE(NSi.SE[[#This Row],[Nsi.TS]:[NS.iS]]),0),"")</f>
        <v/>
      </c>
      <c r="I5" s="41" t="s">
        <v>102</v>
      </c>
      <c r="J5" s="45" t="s">
        <v>102</v>
      </c>
      <c r="K5" s="45" t="s">
        <v>102</v>
      </c>
      <c r="L5" s="45" t="s">
        <v>102</v>
      </c>
      <c r="M5" s="45" t="s">
        <v>102</v>
      </c>
      <c r="N5" s="41" t="s">
        <v>102</v>
      </c>
      <c r="O5" s="45" t="s">
        <v>102</v>
      </c>
      <c r="P5" s="45" t="s">
        <v>102</v>
      </c>
      <c r="Q5" s="45" t="s">
        <v>102</v>
      </c>
      <c r="R5" s="45" t="s">
        <v>102</v>
      </c>
      <c r="S5" s="41" t="s">
        <v>102</v>
      </c>
      <c r="T5" s="45" t="s">
        <v>102</v>
      </c>
      <c r="U5" s="45" t="s">
        <v>102</v>
      </c>
      <c r="V5" s="45" t="s">
        <v>102</v>
      </c>
      <c r="W5" s="45" t="s">
        <v>102</v>
      </c>
      <c r="X5" s="41" t="s">
        <v>102</v>
      </c>
      <c r="Y5" s="45" t="s">
        <v>102</v>
      </c>
      <c r="Z5" s="45" t="s">
        <v>102</v>
      </c>
      <c r="AA5" s="45" t="s">
        <v>102</v>
      </c>
      <c r="AB5" s="45" t="s">
        <v>102</v>
      </c>
      <c r="AC5" s="41" t="s">
        <v>102</v>
      </c>
      <c r="AD5" s="45" t="s">
        <v>102</v>
      </c>
      <c r="AE5" s="45" t="s">
        <v>102</v>
      </c>
      <c r="AF5" s="45" t="s">
        <v>102</v>
      </c>
      <c r="AG5" s="45" t="s">
        <v>102</v>
      </c>
      <c r="AH5" s="41" t="s">
        <v>102</v>
      </c>
      <c r="AI5" s="45" t="s">
        <v>102</v>
      </c>
      <c r="AJ5" s="45" t="s">
        <v>102</v>
      </c>
      <c r="AK5" s="45" t="s">
        <v>102</v>
      </c>
      <c r="AL5" s="45" t="s">
        <v>102</v>
      </c>
      <c r="AM5" s="41" t="s">
        <v>102</v>
      </c>
      <c r="AN5" s="45" t="s">
        <v>102</v>
      </c>
      <c r="AO5" s="45" t="s">
        <v>102</v>
      </c>
      <c r="AP5" s="45" t="s">
        <v>102</v>
      </c>
      <c r="AQ5" s="45" t="s">
        <v>102</v>
      </c>
      <c r="AR5" s="41" t="s">
        <v>102</v>
      </c>
      <c r="AS5" s="45" t="s">
        <v>102</v>
      </c>
      <c r="AT5" s="45" t="s">
        <v>102</v>
      </c>
      <c r="AU5" s="45" t="s">
        <v>102</v>
      </c>
      <c r="AV5" s="45" t="s">
        <v>102</v>
      </c>
      <c r="AW5" s="41" t="s">
        <v>102</v>
      </c>
      <c r="AX5" s="45" t="s">
        <v>102</v>
      </c>
      <c r="AY5" s="45" t="s">
        <v>102</v>
      </c>
      <c r="AZ5" s="45" t="s">
        <v>102</v>
      </c>
      <c r="BA5" s="45" t="s">
        <v>102</v>
      </c>
      <c r="BC5" s="10" t="str">
        <f>CONCATENATE(NSi.SE[[#This Row],[KU.1]],(IF(A.LoE.S[[#This Row],[LE.1]]="-","-",IF(A.LoE.S[[#This Row],[LE.1]]&gt;=90,1,IF(A.LoE.S[[#This Row],[LE.1]]&gt;=80,2,IF(A.LoE.S[[#This Row],[LE.1]]&gt;=70,3,IF(A.LoE.S[[#This Row],[LE.1]]&gt;=1,4,5)))))))</f>
        <v>--</v>
      </c>
      <c r="BD5" s="46" t="str">
        <f>CONCATENATE(NSi.SE[[#This Row],[KU.2]],(IF(A.LoE.S[[#This Row],[LE.2]]="-","-",IF(A.LoE.S[[#This Row],[LE.2]]&gt;=90,1,IF(A.LoE.S[[#This Row],[LE.2]]&gt;=80,2,IF(A.LoE.S[[#This Row],[LE.2]]&gt;=70,3,IF(A.LoE.S[[#This Row],[LE.2]]&gt;=1,4,5)))))))</f>
        <v>--</v>
      </c>
      <c r="BE5" s="46" t="str">
        <f>CONCATENATE(NSi.SE[[#This Row],[KU.3]],(IF(A.LoE.S[[#This Row],[LE.3]]="-","-",IF(A.LoE.S[[#This Row],[LE.3]]&gt;=90,1,IF(A.LoE.S[[#This Row],[LE.3]]&gt;=80,2,IF(A.LoE.S[[#This Row],[LE.3]]&gt;=70,3,IF(A.LoE.S[[#This Row],[LE.3]]&gt;=1,4,5)))))))</f>
        <v>--</v>
      </c>
      <c r="BF5" s="46" t="str">
        <f>CONCATENATE(NSi.SE[[#This Row],[KU.4]],(IF(A.LoE.S[[#This Row],[LE.4]]="-","-",IF(A.LoE.S[[#This Row],[LE.4]]&gt;=90,1,IF(A.LoE.S[[#This Row],[LE.4]]&gt;=80,2,IF(A.LoE.S[[#This Row],[LE.4]]&gt;=70,3,IF(A.LoE.S[[#This Row],[LE.4]]&gt;=1,4,5)))))))</f>
        <v>--</v>
      </c>
      <c r="BG5" s="46" t="str">
        <f>CONCATENATE(NSi.SE[[#This Row],[KU.5]],(IF(A.LoE.S[[#This Row],[LE.5]]="-","-",IF(A.LoE.S[[#This Row],[LE.5]]&gt;=90,1,IF(A.LoE.S[[#This Row],[LE.5]]&gt;=80,2,IF(A.LoE.S[[#This Row],[LE.5]]&gt;=70,3,IF(A.LoE.S[[#This Row],[LE.5]]&gt;=1,4,5)))))))</f>
        <v>--</v>
      </c>
      <c r="BH5" s="46" t="str">
        <f>CONCATENATE(NSi.SE[[#This Row],[KU.6]],(IF(A.LoE.S[[#This Row],[LE.6]]="-","-",IF(A.LoE.S[[#This Row],[LE.6]]&gt;=90,1,IF(A.LoE.S[[#This Row],[LE.6]]&gt;=80,2,IF(A.LoE.S[[#This Row],[LE.6]]&gt;=70,3,IF(A.LoE.S[[#This Row],[LE.6]]&gt;=1,4,5)))))))</f>
        <v>--</v>
      </c>
      <c r="BI5" s="46" t="str">
        <f>CONCATENATE(NSi.SE[[#This Row],[KU.7]],(IF(A.LoE.S[[#This Row],[LE.7]]="-","-",IF(A.LoE.S[[#This Row],[LE.7]]&gt;=90,1,IF(A.LoE.S[[#This Row],[LE.7]]&gt;=80,2,IF(A.LoE.S[[#This Row],[LE.7]]&gt;=70,3,IF(A.LoE.S[[#This Row],[LE.7]]&gt;=1,4,5)))))))</f>
        <v>--</v>
      </c>
      <c r="BJ5" s="46" t="str">
        <f>CONCATENATE(NSi.SE[[#This Row],[KU.8]],(IF(A.LoE.S[[#This Row],[LE.8]]="-","-",IF(A.LoE.S[[#This Row],[LE.8]]&gt;=90,1,IF(A.LoE.S[[#This Row],[LE.8]]&gt;=80,2,IF(A.LoE.S[[#This Row],[LE.8]]&gt;=70,3,IF(A.LoE.S[[#This Row],[LE.8]]&gt;=1,4,5)))))))</f>
        <v>--</v>
      </c>
      <c r="BK5" s="38" t="str">
        <f>CONCATENATE(NSi.SE[[#This Row],[KU.9]],(IF(A.LoE.S[[#This Row],[LE.9]]="-","-",IF(A.LoE.S[[#This Row],[LE.9]]&gt;=90,1,IF(A.LoE.S[[#This Row],[LE.9]]&gt;=80,2,IF(A.LoE.S[[#This Row],[LE.9]]&gt;=70,3,IF(A.LoE.S[[#This Row],[LE.9]]&gt;=1,4,5)))))))</f>
        <v>--</v>
      </c>
      <c r="BM5" s="35" t="str">
        <f>IFERROR(ROUND(AVERAGE(Con.Sk.S[[#This Row],[TJ.1]:[Pro-A.1]]),0),"-")</f>
        <v>-</v>
      </c>
      <c r="BN5" s="24" t="str">
        <f>IFERROR(ROUND(AVERAGE(Con.Sk.S[[#This Row],[TJ.2]:[Pro-A.2]]),0),"-")</f>
        <v>-</v>
      </c>
      <c r="BO5" s="24" t="str">
        <f>IFERROR(ROUND(AVERAGE(Con.Sk.S[[#This Row],[TJ.3]:[Pro-A.3]]),0),"-")</f>
        <v>-</v>
      </c>
      <c r="BP5" s="24" t="str">
        <f>IFERROR(ROUND(AVERAGE(Con.Sk.S[[#This Row],[TJ.4]:[Pro-A.4]]),0),"-")</f>
        <v>-</v>
      </c>
      <c r="BQ5" s="24" t="str">
        <f>IFERROR(ROUND(AVERAGE(Con.Sk.S[[#This Row],[TJ.5]:[Pro-A.5]]),0),"-")</f>
        <v>-</v>
      </c>
      <c r="BR5" s="24" t="str">
        <f>IFERROR(ROUND(AVERAGE(Con.Sk.S[[#This Row],[TJ.6]:[Pro-A.6]]),0),"-")</f>
        <v>-</v>
      </c>
      <c r="BS5" s="24" t="str">
        <f>IFERROR(ROUND(AVERAGE(Con.Sk.S[[#This Row],[TJ.7]:[Pro-A.7]]),0),"-")</f>
        <v>-</v>
      </c>
      <c r="BT5" s="24" t="str">
        <f>IFERROR(ROUND(AVERAGE(Con.Sk.S[[#This Row],[TJ.8]:[Pro-A.8]]),0),"-")</f>
        <v>-</v>
      </c>
      <c r="BU5" s="25" t="str">
        <f>IFERROR(ROUND(AVERAGE(Con.Sk.S[[#This Row],[TJ.9]:[Pro-A.9]]),0),"-")</f>
        <v>-</v>
      </c>
      <c r="BW5" s="47" t="str">
        <f>IFERROR(ROUND(AVERAGE(Con.Sk.S[[#This Row],[KU.1]],Con.Sk.S[[#This Row],[KU.2]],Con.Sk.S[[#This Row],[KU.3]],Con.Sk.S[[#This Row],[KU.4]],Con.Sk.S[[#This Row],[KU.5]],Con.Sk.S[[#This Row],[KU.6]],Con.Sk.S[[#This Row],[KU.7]],Con.Sk.S[[#This Row],[KU.8]],Con.Sk.S[[#This Row],[KU.9]]),0),"")</f>
        <v/>
      </c>
      <c r="BX5" s="48" t="str">
        <f>IFERROR(ROUND(AVERAGE(Con.Sk.S[[#This Row],[TJ.1]:[Pro-A.1]],Con.Sk.S[[#This Row],[TJ.2]:[Pro-A.2]],Con.Sk.S[[#This Row],[TJ.3]:[Pro-A.3]],Con.Sk.S[[#This Row],[TJ.4]:[Pro-A.4]],Con.Sk.S[[#This Row],[TJ.5]:[Pro-A.5]],Con.Sk.S[[#This Row],[TJ.6]:[Pro-A.6]],Con.Sk.S[[#This Row],[TJ.7]:[Pro-A.7]],Con.Sk.S[[#This Row],[TJ.8]:[Pro-A.8]],Con.Sk.S[[#This Row],[TJ.9]:[Pro-A.9]]),0),"")</f>
        <v/>
      </c>
      <c r="BY5" s="3"/>
      <c r="BZ5" s="73" t="str">
        <f>IF(NSi.SE[[#This Row],[KU.1]]="A",100,IF(NSi.SE[[#This Row],[KU.1]]="B",89,IF(NSi.SE[[#This Row],[KU.1]]="C",79,IF(NSi.SE[[#This Row],[KU.1]]="D",69,IF(NSi.SE[[#This Row],[KU.1]]="E",0,"-")))))</f>
        <v>-</v>
      </c>
      <c r="CA5" s="73" t="str">
        <f>IF(NSi.SE[[#This Row],[TJ.1]]=1,100,IF(NSi.SE[[#This Row],[TJ.1]]=2,89,IF(NSi.SE[[#This Row],[TJ.1]]=3,79,IF(NSi.SE[[#This Row],[TJ.1]]=4,69,IF(NSi.SE[[#This Row],[TJ.1]]=5,0,"-")))))</f>
        <v>-</v>
      </c>
      <c r="CB5" s="73" t="str">
        <f>IF(NSi.SE[[#This Row],[Ker.1]]=1,100,IF(NSi.SE[[#This Row],[Ker.1]]=2,89,IF(NSi.SE[[#This Row],[Ker.1]]=3,79,IF(NSi.SE[[#This Row],[Ker.1]]=4,69,IF(NSi.SE[[#This Row],[Ker.1]]=5,0,"-")))))</f>
        <v>-</v>
      </c>
      <c r="CC5" s="73" t="str">
        <f>IF(NSi.SE[[#This Row],[Ped.1]]=1,100,IF(NSi.SE[[#This Row],[Ped.1]]=2,89,IF(NSi.SE[[#This Row],[Ped.1]]=3,79,IF(NSi.SE[[#This Row],[Ped.1]]=4,69,IF(NSi.SE[[#This Row],[Ped.1]]=5,0,"-")))))</f>
        <v>-</v>
      </c>
      <c r="CD5" s="73" t="str">
        <f>IF(NSi.SE[[#This Row],[Pro-A.1]]=1,100,IF(NSi.SE[[#This Row],[Pro-A.1]]=2,89,IF(NSi.SE[[#This Row],[Pro-A.1]]=3,79,IF(NSi.SE[[#This Row],[Pro-A.1]]=4,69,IF(NSi.SE[[#This Row],[Pro-A.1]]=5,0,"-")))))</f>
        <v>-</v>
      </c>
      <c r="CE5" s="73" t="str">
        <f>IF(NSi.SE[[#This Row],[KU.2]]="A",100,IF(NSi.SE[[#This Row],[KU.2]]="B",89,IF(NSi.SE[[#This Row],[KU.2]]="C",79,IF(NSi.SE[[#This Row],[KU.2]]="D",69,IF(NSi.SE[[#This Row],[KU.2]]="E",0,"-")))))</f>
        <v>-</v>
      </c>
      <c r="CF5" s="73" t="str">
        <f>IF(NSi.SE[[#This Row],[TJ.2]]=1,100,IF(NSi.SE[[#This Row],[TJ.2]]=2,89,IF(NSi.SE[[#This Row],[TJ.2]]=3,79,IF(NSi.SE[[#This Row],[TJ.2]]=4,69,IF(NSi.SE[[#This Row],[TJ.2]]=5,0,"-")))))</f>
        <v>-</v>
      </c>
      <c r="CG5" s="73" t="str">
        <f>IF(NSi.SE[[#This Row],[Ker.2]]=1,100,IF(NSi.SE[[#This Row],[Ker.2]]=2,89,IF(NSi.SE[[#This Row],[Ker.2]]=3,79,IF(NSi.SE[[#This Row],[Ker.2]]=4,69,IF(NSi.SE[[#This Row],[Ker.2]]=5,0,"-")))))</f>
        <v>-</v>
      </c>
      <c r="CH5" s="73" t="str">
        <f>IF(NSi.SE[[#This Row],[Ped.2]]=1,100,IF(NSi.SE[[#This Row],[Ped.2]]=2,89,IF(NSi.SE[[#This Row],[Ped.2]]=3,79,IF(NSi.SE[[#This Row],[Ped.2]]=4,69,IF(NSi.SE[[#This Row],[Ped.2]]=5,0,"-")))))</f>
        <v>-</v>
      </c>
      <c r="CI5" s="73" t="str">
        <f>IF(NSi.SE[[#This Row],[Pro-A.2]]=1,100,IF(NSi.SE[[#This Row],[Pro-A.2]]=2,89,IF(NSi.SE[[#This Row],[Pro-A.2]]=3,79,IF(NSi.SE[[#This Row],[Pro-A.2]]=4,69,IF(NSi.SE[[#This Row],[Pro-A.2]]=5,0,"-")))))</f>
        <v>-</v>
      </c>
      <c r="CJ5" s="74" t="str">
        <f>IF(NSi.SE[[#This Row],[KU.3]]="A",100,IF(NSi.SE[[#This Row],[KU.3]]="B",89,IF(NSi.SE[[#This Row],[KU.3]]="C",79,IF(NSi.SE[[#This Row],[KU.3]]="D",69,IF(NSi.SE[[#This Row],[KU.3]]="E",0,"-")))))</f>
        <v>-</v>
      </c>
      <c r="CK5" s="73" t="str">
        <f>IF(NSi.SE[[#This Row],[TJ.3]]=1,100,IF(NSi.SE[[#This Row],[TJ.3]]=2,89,IF(NSi.SE[[#This Row],[TJ.3]]=3,79,IF(NSi.SE[[#This Row],[TJ.3]]=4,69,IF(NSi.SE[[#This Row],[TJ.3]]=5,0,"-")))))</f>
        <v>-</v>
      </c>
      <c r="CL5" s="73" t="str">
        <f>IF(NSi.SE[[#This Row],[Ker.3]]=1,100,IF(NSi.SE[[#This Row],[Ker.3]]=2,89,IF(NSi.SE[[#This Row],[Ker.3]]=3,79,IF(NSi.SE[[#This Row],[Ker.3]]=4,69,IF(NSi.SE[[#This Row],[Ker.3]]=5,0,"-")))))</f>
        <v>-</v>
      </c>
      <c r="CM5" s="73" t="str">
        <f>IF(NSi.SE[[#This Row],[Ped.3]]=1,100,IF(NSi.SE[[#This Row],[Ped.3]]=2,89,IF(NSi.SE[[#This Row],[Ped.3]]=3,79,IF(NSi.SE[[#This Row],[Ped.3]]=4,69,IF(NSi.SE[[#This Row],[Ped.3]]=5,0,"-")))))</f>
        <v>-</v>
      </c>
      <c r="CN5" s="73" t="str">
        <f>IF(NSi.SE[[#This Row],[Pro-A.3]]=1,100,IF(NSi.SE[[#This Row],[Pro-A.3]]=2,89,IF(NSi.SE[[#This Row],[Pro-A.3]]=3,79,IF(NSi.SE[[#This Row],[Pro-A.3]]=4,69,IF(NSi.SE[[#This Row],[Pro-A.3]]=5,0,"-")))))</f>
        <v>-</v>
      </c>
      <c r="CO5" s="74" t="str">
        <f>IF(NSi.SE[[#This Row],[KU.4]]="A",100,IF(NSi.SE[[#This Row],[KU.4]]="B",89,IF(NSi.SE[[#This Row],[KU.4]]="C",79,IF(NSi.SE[[#This Row],[KU.4]]="D",69,IF(NSi.SE[[#This Row],[KU.4]]="E",0,"-")))))</f>
        <v>-</v>
      </c>
      <c r="CP5" s="73" t="str">
        <f>IF(NSi.SE[[#This Row],[TJ.4]]=1,100,IF(NSi.SE[[#This Row],[TJ.4]]=2,89,IF(NSi.SE[[#This Row],[TJ.4]]=3,79,IF(NSi.SE[[#This Row],[TJ.4]]=4,69,IF(NSi.SE[[#This Row],[TJ.4]]=5,0,"-")))))</f>
        <v>-</v>
      </c>
      <c r="CQ5" s="73" t="str">
        <f>IF(NSi.SE[[#This Row],[Ker.4]]=1,100,IF(NSi.SE[[#This Row],[Ker.4]]=2,89,IF(NSi.SE[[#This Row],[Ker.4]]=3,79,IF(NSi.SE[[#This Row],[Ker.4]]=4,69,IF(NSi.SE[[#This Row],[Ker.4]]=5,0,"-")))))</f>
        <v>-</v>
      </c>
      <c r="CR5" s="73" t="str">
        <f>IF(NSi.SE[[#This Row],[Ped.4]]=1,100,IF(NSi.SE[[#This Row],[Ped.4]]=2,89,IF(NSi.SE[[#This Row],[Ped.4]]=3,79,IF(NSi.SE[[#This Row],[Ped.4]]=4,69,IF(NSi.SE[[#This Row],[Ped.4]]=5,0,"-")))))</f>
        <v>-</v>
      </c>
      <c r="CS5" s="73" t="str">
        <f>IF(NSi.SE[[#This Row],[Pro-A.4]]=1,100,IF(NSi.SE[[#This Row],[Pro-A.4]]=2,89,IF(NSi.SE[[#This Row],[Pro-A.4]]=3,79,IF(NSi.SE[[#This Row],[Pro-A.4]]=4,69,IF(NSi.SE[[#This Row],[Pro-A.4]]=5,0,"-")))))</f>
        <v>-</v>
      </c>
      <c r="CT5" s="74" t="str">
        <f>IF(NSi.SE[[#This Row],[KU.5]]="A",100,IF(NSi.SE[[#This Row],[KU.5]]="B",89,IF(NSi.SE[[#This Row],[KU.5]]="C",79,IF(NSi.SE[[#This Row],[KU.5]]="D",69,IF(NSi.SE[[#This Row],[KU.5]]="E",0,"-")))))</f>
        <v>-</v>
      </c>
      <c r="CU5" s="73" t="str">
        <f>IF(NSi.SE[[#This Row],[TJ.5]]=1,100,IF(NSi.SE[[#This Row],[TJ.5]]=2,89,IF(NSi.SE[[#This Row],[TJ.5]]=3,79,IF(NSi.SE[[#This Row],[TJ.5]]=4,69,IF(NSi.SE[[#This Row],[TJ.5]]=5,0,"-")))))</f>
        <v>-</v>
      </c>
      <c r="CV5" s="73" t="str">
        <f>IF(NSi.SE[[#This Row],[Ker.5]]=1,100,IF(NSi.SE[[#This Row],[Ker.5]]=2,89,IF(NSi.SE[[#This Row],[Ker.5]]=3,79,IF(NSi.SE[[#This Row],[Ker.5]]=4,69,IF(NSi.SE[[#This Row],[Ker.5]]=5,0,"-")))))</f>
        <v>-</v>
      </c>
      <c r="CW5" s="73" t="str">
        <f>IF(NSi.SE[[#This Row],[Ped.5]]=1,100,IF(NSi.SE[[#This Row],[Ped.5]]=2,89,IF(NSi.SE[[#This Row],[Ped.5]]=3,79,IF(NSi.SE[[#This Row],[Ped.5]]=4,69,IF(NSi.SE[[#This Row],[Ped.5]]=5,0,"-")))))</f>
        <v>-</v>
      </c>
      <c r="CX5" s="73" t="str">
        <f>IF(NSi.SE[[#This Row],[Pro-A.5]]=1,100,IF(NSi.SE[[#This Row],[Pro-A.5]]=2,89,IF(NSi.SE[[#This Row],[Pro-A.5]]=3,79,IF(NSi.SE[[#This Row],[Pro-A.5]]=4,69,IF(NSi.SE[[#This Row],[Pro-A.5]]=5,0,"-")))))</f>
        <v>-</v>
      </c>
      <c r="CY5" s="74" t="str">
        <f>IF(NSi.SE[[#This Row],[KU.6]]="A",100,IF(NSi.SE[[#This Row],[KU.6]]="B",89,IF(NSi.SE[[#This Row],[KU.6]]="C",79,IF(NSi.SE[[#This Row],[KU.6]]="D",69,IF(NSi.SE[[#This Row],[KU.6]]="E",0,"-")))))</f>
        <v>-</v>
      </c>
      <c r="CZ5" s="73" t="str">
        <f>IF(NSi.SE[[#This Row],[TJ.6]]=1,100,IF(NSi.SE[[#This Row],[TJ.6]]=2,89,IF(NSi.SE[[#This Row],[TJ.6]]=3,79,IF(NSi.SE[[#This Row],[TJ.6]]=4,69,IF(NSi.SE[[#This Row],[TJ.6]]=5,0,"-")))))</f>
        <v>-</v>
      </c>
      <c r="DA5" s="73" t="str">
        <f>IF(NSi.SE[[#This Row],[Ker.6]]=1,100,IF(NSi.SE[[#This Row],[Ker.6]]=2,89,IF(NSi.SE[[#This Row],[Ker.6]]=3,79,IF(NSi.SE[[#This Row],[Ker.6]]=4,69,IF(NSi.SE[[#This Row],[Ker.6]]=5,0,"-")))))</f>
        <v>-</v>
      </c>
      <c r="DB5" s="73" t="str">
        <f>IF(NSi.SE[[#This Row],[Ped.6]]=1,100,IF(NSi.SE[[#This Row],[Ped.6]]=2,89,IF(NSi.SE[[#This Row],[Ped.6]]=3,79,IF(NSi.SE[[#This Row],[Ped.6]]=4,69,IF(NSi.SE[[#This Row],[Ped.6]]=5,0,"-")))))</f>
        <v>-</v>
      </c>
      <c r="DC5" s="73" t="str">
        <f>IF(NSi.SE[[#This Row],[Pro-A.6]]=1,100,IF(NSi.SE[[#This Row],[Pro-A.6]]=2,89,IF(NSi.SE[[#This Row],[Pro-A.6]]=3,79,IF(NSi.SE[[#This Row],[Pro-A.6]]=4,69,IF(NSi.SE[[#This Row],[Pro-A.6]]=5,0,"-")))))</f>
        <v>-</v>
      </c>
      <c r="DD5" s="74" t="str">
        <f>IF(NSi.SE[[#This Row],[KU.7]]="A",100,IF(NSi.SE[[#This Row],[KU.7]]="B",89,IF(NSi.SE[[#This Row],[KU.7]]="C",79,IF(NSi.SE[[#This Row],[KU.7]]="D",69,IF(NSi.SE[[#This Row],[KU.7]]="E",0,"-")))))</f>
        <v>-</v>
      </c>
      <c r="DE5" s="73" t="str">
        <f>IF(NSi.SE[[#This Row],[TJ.7]]=1,100,IF(NSi.SE[[#This Row],[TJ.7]]=2,89,IF(NSi.SE[[#This Row],[TJ.7]]=3,79,IF(NSi.SE[[#This Row],[TJ.7]]=4,69,IF(NSi.SE[[#This Row],[TJ.7]]=5,0,"-")))))</f>
        <v>-</v>
      </c>
      <c r="DF5" s="73" t="str">
        <f>IF(NSi.SE[[#This Row],[Ker.7]]=1,100,IF(NSi.SE[[#This Row],[Ker.7]]=2,89,IF(NSi.SE[[#This Row],[Ker.7]]=3,79,IF(NSi.SE[[#This Row],[Ker.7]]=4,69,IF(NSi.SE[[#This Row],[Ker.7]]=5,0,"-")))))</f>
        <v>-</v>
      </c>
      <c r="DG5" s="73" t="str">
        <f>IF(NSi.SE[[#This Row],[Ped.7]]=1,100,IF(NSi.SE[[#This Row],[Ped.7]]=2,89,IF(NSi.SE[[#This Row],[Ped.7]]=3,79,IF(NSi.SE[[#This Row],[Ped.7]]=4,69,IF(NSi.SE[[#This Row],[Ped.7]]=5,0,"-")))))</f>
        <v>-</v>
      </c>
      <c r="DH5" s="73" t="str">
        <f>IF(NSi.SE[[#This Row],[Pro-A.7]]=1,100,IF(NSi.SE[[#This Row],[Pro-A.7]]=2,89,IF(NSi.SE[[#This Row],[Pro-A.7]]=3,79,IF(NSi.SE[[#This Row],[Pro-A.7]]=4,69,IF(NSi.SE[[#This Row],[Pro-A.7]]=5,0,"-")))))</f>
        <v>-</v>
      </c>
      <c r="DI5" s="74" t="str">
        <f>IF(NSi.SE[[#This Row],[KU.8]]="A",100,IF(NSi.SE[[#This Row],[KU.8]]="B",89,IF(NSi.SE[[#This Row],[KU.8]]="C",79,IF(NSi.SE[[#This Row],[KU.8]]="D",69,IF(NSi.SE[[#This Row],[KU.8]]="E",0,"-")))))</f>
        <v>-</v>
      </c>
      <c r="DJ5" s="73" t="str">
        <f>IF(NSi.SE[[#This Row],[TJ.8]]=1,100,IF(NSi.SE[[#This Row],[TJ.8]]=2,89,IF(NSi.SE[[#This Row],[TJ.8]]=3,79,IF(NSi.SE[[#This Row],[TJ.8]]=4,69,IF(NSi.SE[[#This Row],[TJ.8]]=5,0,"-")))))</f>
        <v>-</v>
      </c>
      <c r="DK5" s="73" t="str">
        <f>IF(NSi.SE[[#This Row],[Ker.8]]=1,100,IF(NSi.SE[[#This Row],[Ker.8]]=2,89,IF(NSi.SE[[#This Row],[Ker.8]]=3,79,IF(NSi.SE[[#This Row],[Ker.8]]=4,69,IF(NSi.SE[[#This Row],[Ker.8]]=5,0,"-")))))</f>
        <v>-</v>
      </c>
      <c r="DL5" s="73" t="str">
        <f>IF(NSi.SE[[#This Row],[Ped.8]]=1,100,IF(NSi.SE[[#This Row],[Ped.8]]=2,89,IF(NSi.SE[[#This Row],[Ped.8]]=3,79,IF(NSi.SE[[#This Row],[Ped.8]]=4,69,IF(NSi.SE[[#This Row],[Ped.8]]=5,0,"-")))))</f>
        <v>-</v>
      </c>
      <c r="DM5" s="73" t="str">
        <f>IF(NSi.SE[[#This Row],[Pro-A.8]]=1,100,IF(NSi.SE[[#This Row],[Pro-A.8]]=2,89,IF(NSi.SE[[#This Row],[Pro-A.8]]=3,79,IF(NSi.SE[[#This Row],[Pro-A.8]]=4,69,IF(NSi.SE[[#This Row],[Pro-A.8]]=5,0,"-")))))</f>
        <v>-</v>
      </c>
      <c r="DN5" s="74" t="str">
        <f>IF(NSi.SE[[#This Row],[KU.9]]="A",100,IF(NSi.SE[[#This Row],[KU.9]]="B",89,IF(NSi.SE[[#This Row],[KU.9]]="C",79,IF(NSi.SE[[#This Row],[KU.9]]="D",69,IF(NSi.SE[[#This Row],[KU.9]]="E",0,"-")))))</f>
        <v>-</v>
      </c>
      <c r="DO5" s="73" t="str">
        <f>IF(NSi.SE[[#This Row],[TJ.9]]=1,100,IF(NSi.SE[[#This Row],[TJ.9]]=2,89,IF(NSi.SE[[#This Row],[TJ.9]]=3,79,IF(NSi.SE[[#This Row],[TJ.9]]=4,69,IF(NSi.SE[[#This Row],[TJ.9]]=5,0,"-")))))</f>
        <v>-</v>
      </c>
      <c r="DP5" s="73" t="str">
        <f>IF(NSi.SE[[#This Row],[Ker.9]]=1,100,IF(NSi.SE[[#This Row],[Ker.9]]=2,89,IF(NSi.SE[[#This Row],[Ker.9]]=3,79,IF(NSi.SE[[#This Row],[Ker.9]]=4,69,IF(NSi.SE[[#This Row],[Ker.9]]=5,0,"-")))))</f>
        <v>-</v>
      </c>
      <c r="DQ5" s="73" t="str">
        <f>IF(NSi.SE[[#This Row],[Ped.9]]=1,100,IF(NSi.SE[[#This Row],[Ped.9]]=2,89,IF(NSi.SE[[#This Row],[Ped.9]]=3,79,IF(NSi.SE[[#This Row],[Ped.9]]=4,69,IF(NSi.SE[[#This Row],[Ped.9]]=5,0,"-")))))</f>
        <v>-</v>
      </c>
      <c r="DR5" s="73" t="str">
        <f>IF(NSi.SE[[#This Row],[Pro-A.9]]=1,100,IF(NSi.SE[[#This Row],[Pro-A.9]]=2,89,IF(NSi.SE[[#This Row],[Pro-A.9]]=3,79,IF(NSi.SE[[#This Row],[Pro-A.9]]=4,69,IF(NSi.SE[[#This Row],[Pro-A.9]]=5,0,"-")))))</f>
        <v>-</v>
      </c>
      <c r="DT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6" spans="1:124" ht="50.1" customHeight="1" x14ac:dyDescent="0.3">
      <c r="A6" s="66">
        <f>IF(NSi.TS[[#This Row],[No]]=0,"",NSi.TS[[#This Row],[No]])</f>
        <v>4</v>
      </c>
      <c r="B6" s="67" t="str">
        <f>IF(NSi.TS[[#This Row],[Nama Siswa]]=0,"",NSi.TS[[#This Row],[Nama Siswa]])</f>
        <v>Hadijah Tirta</v>
      </c>
      <c r="C6" s="68" t="str">
        <f>IF(NSi.TS[[#This Row],[Nomor Induk]]=0,"",NSi.TS[[#This Row],[Nomor Induk]])</f>
        <v>4/HBICSHIGH/20</v>
      </c>
      <c r="D6" s="68">
        <f>IF(NSi.TS[[#This Row],[NISN]]=0,"",NSi.TS[[#This Row],[NISN]])</f>
        <v>5033631</v>
      </c>
      <c r="E6" s="68" t="str">
        <f>IF(NSi.TS[[#This Row],[Jurusan]]=0,"",NSi.TS[[#This Row],[Jurusan]])</f>
        <v>IPA</v>
      </c>
      <c r="F6" s="39" t="str">
        <f>NSi.TS[[#This Row],[Nsi.TS]]</f>
        <v/>
      </c>
      <c r="G6" s="39" t="str">
        <f>IFERROR(ROUND(AVERAGE(CSCR.S[#This Row]),0),"")</f>
        <v/>
      </c>
      <c r="H6" s="39" t="str">
        <f>IFERROR(ROUND(AVERAGE(NSi.SE[[#This Row],[Nsi.TS]:[NS.iS]]),0),"")</f>
        <v/>
      </c>
      <c r="I6" s="41" t="s">
        <v>102</v>
      </c>
      <c r="J6" s="45" t="s">
        <v>102</v>
      </c>
      <c r="K6" s="45" t="s">
        <v>102</v>
      </c>
      <c r="L6" s="45" t="s">
        <v>102</v>
      </c>
      <c r="M6" s="45" t="s">
        <v>102</v>
      </c>
      <c r="N6" s="41" t="s">
        <v>102</v>
      </c>
      <c r="O6" s="45" t="s">
        <v>102</v>
      </c>
      <c r="P6" s="45" t="s">
        <v>102</v>
      </c>
      <c r="Q6" s="45" t="s">
        <v>102</v>
      </c>
      <c r="R6" s="45" t="s">
        <v>102</v>
      </c>
      <c r="S6" s="41" t="s">
        <v>102</v>
      </c>
      <c r="T6" s="45" t="s">
        <v>102</v>
      </c>
      <c r="U6" s="45" t="s">
        <v>102</v>
      </c>
      <c r="V6" s="45" t="s">
        <v>102</v>
      </c>
      <c r="W6" s="45" t="s">
        <v>102</v>
      </c>
      <c r="X6" s="41" t="s">
        <v>102</v>
      </c>
      <c r="Y6" s="45" t="s">
        <v>102</v>
      </c>
      <c r="Z6" s="45" t="s">
        <v>102</v>
      </c>
      <c r="AA6" s="45" t="s">
        <v>102</v>
      </c>
      <c r="AB6" s="45" t="s">
        <v>102</v>
      </c>
      <c r="AC6" s="41" t="s">
        <v>102</v>
      </c>
      <c r="AD6" s="45" t="s">
        <v>102</v>
      </c>
      <c r="AE6" s="45" t="s">
        <v>102</v>
      </c>
      <c r="AF6" s="45" t="s">
        <v>102</v>
      </c>
      <c r="AG6" s="45" t="s">
        <v>102</v>
      </c>
      <c r="AH6" s="41" t="s">
        <v>102</v>
      </c>
      <c r="AI6" s="45" t="s">
        <v>102</v>
      </c>
      <c r="AJ6" s="45" t="s">
        <v>102</v>
      </c>
      <c r="AK6" s="45" t="s">
        <v>102</v>
      </c>
      <c r="AL6" s="45" t="s">
        <v>102</v>
      </c>
      <c r="AM6" s="41" t="s">
        <v>102</v>
      </c>
      <c r="AN6" s="45" t="s">
        <v>102</v>
      </c>
      <c r="AO6" s="45" t="s">
        <v>102</v>
      </c>
      <c r="AP6" s="45" t="s">
        <v>102</v>
      </c>
      <c r="AQ6" s="45" t="s">
        <v>102</v>
      </c>
      <c r="AR6" s="41" t="s">
        <v>102</v>
      </c>
      <c r="AS6" s="45" t="s">
        <v>102</v>
      </c>
      <c r="AT6" s="45" t="s">
        <v>102</v>
      </c>
      <c r="AU6" s="45" t="s">
        <v>102</v>
      </c>
      <c r="AV6" s="45" t="s">
        <v>102</v>
      </c>
      <c r="AW6" s="41" t="s">
        <v>102</v>
      </c>
      <c r="AX6" s="45" t="s">
        <v>102</v>
      </c>
      <c r="AY6" s="45" t="s">
        <v>102</v>
      </c>
      <c r="AZ6" s="45" t="s">
        <v>102</v>
      </c>
      <c r="BA6" s="45" t="s">
        <v>102</v>
      </c>
      <c r="BC6" s="10" t="str">
        <f>CONCATENATE(NSi.SE[[#This Row],[KU.1]],(IF(A.LoE.S[[#This Row],[LE.1]]="-","-",IF(A.LoE.S[[#This Row],[LE.1]]&gt;=90,1,IF(A.LoE.S[[#This Row],[LE.1]]&gt;=80,2,IF(A.LoE.S[[#This Row],[LE.1]]&gt;=70,3,IF(A.LoE.S[[#This Row],[LE.1]]&gt;=1,4,5)))))))</f>
        <v>--</v>
      </c>
      <c r="BD6" s="46" t="str">
        <f>CONCATENATE(NSi.SE[[#This Row],[KU.2]],(IF(A.LoE.S[[#This Row],[LE.2]]="-","-",IF(A.LoE.S[[#This Row],[LE.2]]&gt;=90,1,IF(A.LoE.S[[#This Row],[LE.2]]&gt;=80,2,IF(A.LoE.S[[#This Row],[LE.2]]&gt;=70,3,IF(A.LoE.S[[#This Row],[LE.2]]&gt;=1,4,5)))))))</f>
        <v>--</v>
      </c>
      <c r="BE6" s="46" t="str">
        <f>CONCATENATE(NSi.SE[[#This Row],[KU.3]],(IF(A.LoE.S[[#This Row],[LE.3]]="-","-",IF(A.LoE.S[[#This Row],[LE.3]]&gt;=90,1,IF(A.LoE.S[[#This Row],[LE.3]]&gt;=80,2,IF(A.LoE.S[[#This Row],[LE.3]]&gt;=70,3,IF(A.LoE.S[[#This Row],[LE.3]]&gt;=1,4,5)))))))</f>
        <v>--</v>
      </c>
      <c r="BF6" s="46" t="str">
        <f>CONCATENATE(NSi.SE[[#This Row],[KU.4]],(IF(A.LoE.S[[#This Row],[LE.4]]="-","-",IF(A.LoE.S[[#This Row],[LE.4]]&gt;=90,1,IF(A.LoE.S[[#This Row],[LE.4]]&gt;=80,2,IF(A.LoE.S[[#This Row],[LE.4]]&gt;=70,3,IF(A.LoE.S[[#This Row],[LE.4]]&gt;=1,4,5)))))))</f>
        <v>--</v>
      </c>
      <c r="BG6" s="46" t="str">
        <f>CONCATENATE(NSi.SE[[#This Row],[KU.5]],(IF(A.LoE.S[[#This Row],[LE.5]]="-","-",IF(A.LoE.S[[#This Row],[LE.5]]&gt;=90,1,IF(A.LoE.S[[#This Row],[LE.5]]&gt;=80,2,IF(A.LoE.S[[#This Row],[LE.5]]&gt;=70,3,IF(A.LoE.S[[#This Row],[LE.5]]&gt;=1,4,5)))))))</f>
        <v>--</v>
      </c>
      <c r="BH6" s="46" t="str">
        <f>CONCATENATE(NSi.SE[[#This Row],[KU.6]],(IF(A.LoE.S[[#This Row],[LE.6]]="-","-",IF(A.LoE.S[[#This Row],[LE.6]]&gt;=90,1,IF(A.LoE.S[[#This Row],[LE.6]]&gt;=80,2,IF(A.LoE.S[[#This Row],[LE.6]]&gt;=70,3,IF(A.LoE.S[[#This Row],[LE.6]]&gt;=1,4,5)))))))</f>
        <v>--</v>
      </c>
      <c r="BI6" s="46" t="str">
        <f>CONCATENATE(NSi.SE[[#This Row],[KU.7]],(IF(A.LoE.S[[#This Row],[LE.7]]="-","-",IF(A.LoE.S[[#This Row],[LE.7]]&gt;=90,1,IF(A.LoE.S[[#This Row],[LE.7]]&gt;=80,2,IF(A.LoE.S[[#This Row],[LE.7]]&gt;=70,3,IF(A.LoE.S[[#This Row],[LE.7]]&gt;=1,4,5)))))))</f>
        <v>--</v>
      </c>
      <c r="BJ6" s="46" t="str">
        <f>CONCATENATE(NSi.SE[[#This Row],[KU.8]],(IF(A.LoE.S[[#This Row],[LE.8]]="-","-",IF(A.LoE.S[[#This Row],[LE.8]]&gt;=90,1,IF(A.LoE.S[[#This Row],[LE.8]]&gt;=80,2,IF(A.LoE.S[[#This Row],[LE.8]]&gt;=70,3,IF(A.LoE.S[[#This Row],[LE.8]]&gt;=1,4,5)))))))</f>
        <v>--</v>
      </c>
      <c r="BK6" s="38" t="str">
        <f>CONCATENATE(NSi.SE[[#This Row],[KU.9]],(IF(A.LoE.S[[#This Row],[LE.9]]="-","-",IF(A.LoE.S[[#This Row],[LE.9]]&gt;=90,1,IF(A.LoE.S[[#This Row],[LE.9]]&gt;=80,2,IF(A.LoE.S[[#This Row],[LE.9]]&gt;=70,3,IF(A.LoE.S[[#This Row],[LE.9]]&gt;=1,4,5)))))))</f>
        <v>--</v>
      </c>
      <c r="BM6" s="35" t="str">
        <f>IFERROR(ROUND(AVERAGE(Con.Sk.S[[#This Row],[TJ.1]:[Pro-A.1]]),0),"-")</f>
        <v>-</v>
      </c>
      <c r="BN6" s="24" t="str">
        <f>IFERROR(ROUND(AVERAGE(Con.Sk.S[[#This Row],[TJ.2]:[Pro-A.2]]),0),"-")</f>
        <v>-</v>
      </c>
      <c r="BO6" s="24" t="str">
        <f>IFERROR(ROUND(AVERAGE(Con.Sk.S[[#This Row],[TJ.3]:[Pro-A.3]]),0),"-")</f>
        <v>-</v>
      </c>
      <c r="BP6" s="24" t="str">
        <f>IFERROR(ROUND(AVERAGE(Con.Sk.S[[#This Row],[TJ.4]:[Pro-A.4]]),0),"-")</f>
        <v>-</v>
      </c>
      <c r="BQ6" s="24" t="str">
        <f>IFERROR(ROUND(AVERAGE(Con.Sk.S[[#This Row],[TJ.5]:[Pro-A.5]]),0),"-")</f>
        <v>-</v>
      </c>
      <c r="BR6" s="24" t="str">
        <f>IFERROR(ROUND(AVERAGE(Con.Sk.S[[#This Row],[TJ.6]:[Pro-A.6]]),0),"-")</f>
        <v>-</v>
      </c>
      <c r="BS6" s="24" t="str">
        <f>IFERROR(ROUND(AVERAGE(Con.Sk.S[[#This Row],[TJ.7]:[Pro-A.7]]),0),"-")</f>
        <v>-</v>
      </c>
      <c r="BT6" s="24" t="str">
        <f>IFERROR(ROUND(AVERAGE(Con.Sk.S[[#This Row],[TJ.8]:[Pro-A.8]]),0),"-")</f>
        <v>-</v>
      </c>
      <c r="BU6" s="25" t="str">
        <f>IFERROR(ROUND(AVERAGE(Con.Sk.S[[#This Row],[TJ.9]:[Pro-A.9]]),0),"-")</f>
        <v>-</v>
      </c>
      <c r="BW6" s="47" t="str">
        <f>IFERROR(ROUND(AVERAGE(Con.Sk.S[[#This Row],[KU.1]],Con.Sk.S[[#This Row],[KU.2]],Con.Sk.S[[#This Row],[KU.3]],Con.Sk.S[[#This Row],[KU.4]],Con.Sk.S[[#This Row],[KU.5]],Con.Sk.S[[#This Row],[KU.6]],Con.Sk.S[[#This Row],[KU.7]],Con.Sk.S[[#This Row],[KU.8]],Con.Sk.S[[#This Row],[KU.9]]),0),"")</f>
        <v/>
      </c>
      <c r="BX6" s="48" t="str">
        <f>IFERROR(ROUND(AVERAGE(Con.Sk.S[[#This Row],[TJ.1]:[Pro-A.1]],Con.Sk.S[[#This Row],[TJ.2]:[Pro-A.2]],Con.Sk.S[[#This Row],[TJ.3]:[Pro-A.3]],Con.Sk.S[[#This Row],[TJ.4]:[Pro-A.4]],Con.Sk.S[[#This Row],[TJ.5]:[Pro-A.5]],Con.Sk.S[[#This Row],[TJ.6]:[Pro-A.6]],Con.Sk.S[[#This Row],[TJ.7]:[Pro-A.7]],Con.Sk.S[[#This Row],[TJ.8]:[Pro-A.8]],Con.Sk.S[[#This Row],[TJ.9]:[Pro-A.9]]),0),"")</f>
        <v/>
      </c>
      <c r="BY6" s="3"/>
      <c r="BZ6" s="73" t="str">
        <f>IF(NSi.SE[[#This Row],[KU.1]]="A",100,IF(NSi.SE[[#This Row],[KU.1]]="B",89,IF(NSi.SE[[#This Row],[KU.1]]="C",79,IF(NSi.SE[[#This Row],[KU.1]]="D",69,IF(NSi.SE[[#This Row],[KU.1]]="E",0,"-")))))</f>
        <v>-</v>
      </c>
      <c r="CA6" s="73" t="str">
        <f>IF(NSi.SE[[#This Row],[TJ.1]]=1,100,IF(NSi.SE[[#This Row],[TJ.1]]=2,89,IF(NSi.SE[[#This Row],[TJ.1]]=3,79,IF(NSi.SE[[#This Row],[TJ.1]]=4,69,IF(NSi.SE[[#This Row],[TJ.1]]=5,0,"-")))))</f>
        <v>-</v>
      </c>
      <c r="CB6" s="73" t="str">
        <f>IF(NSi.SE[[#This Row],[Ker.1]]=1,100,IF(NSi.SE[[#This Row],[Ker.1]]=2,89,IF(NSi.SE[[#This Row],[Ker.1]]=3,79,IF(NSi.SE[[#This Row],[Ker.1]]=4,69,IF(NSi.SE[[#This Row],[Ker.1]]=5,0,"-")))))</f>
        <v>-</v>
      </c>
      <c r="CC6" s="73" t="str">
        <f>IF(NSi.SE[[#This Row],[Ped.1]]=1,100,IF(NSi.SE[[#This Row],[Ped.1]]=2,89,IF(NSi.SE[[#This Row],[Ped.1]]=3,79,IF(NSi.SE[[#This Row],[Ped.1]]=4,69,IF(NSi.SE[[#This Row],[Ped.1]]=5,0,"-")))))</f>
        <v>-</v>
      </c>
      <c r="CD6" s="73" t="str">
        <f>IF(NSi.SE[[#This Row],[Pro-A.1]]=1,100,IF(NSi.SE[[#This Row],[Pro-A.1]]=2,89,IF(NSi.SE[[#This Row],[Pro-A.1]]=3,79,IF(NSi.SE[[#This Row],[Pro-A.1]]=4,69,IF(NSi.SE[[#This Row],[Pro-A.1]]=5,0,"-")))))</f>
        <v>-</v>
      </c>
      <c r="CE6" s="73" t="str">
        <f>IF(NSi.SE[[#This Row],[KU.2]]="A",100,IF(NSi.SE[[#This Row],[KU.2]]="B",89,IF(NSi.SE[[#This Row],[KU.2]]="C",79,IF(NSi.SE[[#This Row],[KU.2]]="D",69,IF(NSi.SE[[#This Row],[KU.2]]="E",0,"-")))))</f>
        <v>-</v>
      </c>
      <c r="CF6" s="73" t="str">
        <f>IF(NSi.SE[[#This Row],[TJ.2]]=1,100,IF(NSi.SE[[#This Row],[TJ.2]]=2,89,IF(NSi.SE[[#This Row],[TJ.2]]=3,79,IF(NSi.SE[[#This Row],[TJ.2]]=4,69,IF(NSi.SE[[#This Row],[TJ.2]]=5,0,"-")))))</f>
        <v>-</v>
      </c>
      <c r="CG6" s="73" t="str">
        <f>IF(NSi.SE[[#This Row],[Ker.2]]=1,100,IF(NSi.SE[[#This Row],[Ker.2]]=2,89,IF(NSi.SE[[#This Row],[Ker.2]]=3,79,IF(NSi.SE[[#This Row],[Ker.2]]=4,69,IF(NSi.SE[[#This Row],[Ker.2]]=5,0,"-")))))</f>
        <v>-</v>
      </c>
      <c r="CH6" s="73" t="str">
        <f>IF(NSi.SE[[#This Row],[Ped.2]]=1,100,IF(NSi.SE[[#This Row],[Ped.2]]=2,89,IF(NSi.SE[[#This Row],[Ped.2]]=3,79,IF(NSi.SE[[#This Row],[Ped.2]]=4,69,IF(NSi.SE[[#This Row],[Ped.2]]=5,0,"-")))))</f>
        <v>-</v>
      </c>
      <c r="CI6" s="73" t="str">
        <f>IF(NSi.SE[[#This Row],[Pro-A.2]]=1,100,IF(NSi.SE[[#This Row],[Pro-A.2]]=2,89,IF(NSi.SE[[#This Row],[Pro-A.2]]=3,79,IF(NSi.SE[[#This Row],[Pro-A.2]]=4,69,IF(NSi.SE[[#This Row],[Pro-A.2]]=5,0,"-")))))</f>
        <v>-</v>
      </c>
      <c r="CJ6" s="74" t="str">
        <f>IF(NSi.SE[[#This Row],[KU.3]]="A",100,IF(NSi.SE[[#This Row],[KU.3]]="B",89,IF(NSi.SE[[#This Row],[KU.3]]="C",79,IF(NSi.SE[[#This Row],[KU.3]]="D",69,IF(NSi.SE[[#This Row],[KU.3]]="E",0,"-")))))</f>
        <v>-</v>
      </c>
      <c r="CK6" s="73" t="str">
        <f>IF(NSi.SE[[#This Row],[TJ.3]]=1,100,IF(NSi.SE[[#This Row],[TJ.3]]=2,89,IF(NSi.SE[[#This Row],[TJ.3]]=3,79,IF(NSi.SE[[#This Row],[TJ.3]]=4,69,IF(NSi.SE[[#This Row],[TJ.3]]=5,0,"-")))))</f>
        <v>-</v>
      </c>
      <c r="CL6" s="73" t="str">
        <f>IF(NSi.SE[[#This Row],[Ker.3]]=1,100,IF(NSi.SE[[#This Row],[Ker.3]]=2,89,IF(NSi.SE[[#This Row],[Ker.3]]=3,79,IF(NSi.SE[[#This Row],[Ker.3]]=4,69,IF(NSi.SE[[#This Row],[Ker.3]]=5,0,"-")))))</f>
        <v>-</v>
      </c>
      <c r="CM6" s="73" t="str">
        <f>IF(NSi.SE[[#This Row],[Ped.3]]=1,100,IF(NSi.SE[[#This Row],[Ped.3]]=2,89,IF(NSi.SE[[#This Row],[Ped.3]]=3,79,IF(NSi.SE[[#This Row],[Ped.3]]=4,69,IF(NSi.SE[[#This Row],[Ped.3]]=5,0,"-")))))</f>
        <v>-</v>
      </c>
      <c r="CN6" s="73" t="str">
        <f>IF(NSi.SE[[#This Row],[Pro-A.3]]=1,100,IF(NSi.SE[[#This Row],[Pro-A.3]]=2,89,IF(NSi.SE[[#This Row],[Pro-A.3]]=3,79,IF(NSi.SE[[#This Row],[Pro-A.3]]=4,69,IF(NSi.SE[[#This Row],[Pro-A.3]]=5,0,"-")))))</f>
        <v>-</v>
      </c>
      <c r="CO6" s="74" t="str">
        <f>IF(NSi.SE[[#This Row],[KU.4]]="A",100,IF(NSi.SE[[#This Row],[KU.4]]="B",89,IF(NSi.SE[[#This Row],[KU.4]]="C",79,IF(NSi.SE[[#This Row],[KU.4]]="D",69,IF(NSi.SE[[#This Row],[KU.4]]="E",0,"-")))))</f>
        <v>-</v>
      </c>
      <c r="CP6" s="73" t="str">
        <f>IF(NSi.SE[[#This Row],[TJ.4]]=1,100,IF(NSi.SE[[#This Row],[TJ.4]]=2,89,IF(NSi.SE[[#This Row],[TJ.4]]=3,79,IF(NSi.SE[[#This Row],[TJ.4]]=4,69,IF(NSi.SE[[#This Row],[TJ.4]]=5,0,"-")))))</f>
        <v>-</v>
      </c>
      <c r="CQ6" s="73" t="str">
        <f>IF(NSi.SE[[#This Row],[Ker.4]]=1,100,IF(NSi.SE[[#This Row],[Ker.4]]=2,89,IF(NSi.SE[[#This Row],[Ker.4]]=3,79,IF(NSi.SE[[#This Row],[Ker.4]]=4,69,IF(NSi.SE[[#This Row],[Ker.4]]=5,0,"-")))))</f>
        <v>-</v>
      </c>
      <c r="CR6" s="73" t="str">
        <f>IF(NSi.SE[[#This Row],[Ped.4]]=1,100,IF(NSi.SE[[#This Row],[Ped.4]]=2,89,IF(NSi.SE[[#This Row],[Ped.4]]=3,79,IF(NSi.SE[[#This Row],[Ped.4]]=4,69,IF(NSi.SE[[#This Row],[Ped.4]]=5,0,"-")))))</f>
        <v>-</v>
      </c>
      <c r="CS6" s="73" t="str">
        <f>IF(NSi.SE[[#This Row],[Pro-A.4]]=1,100,IF(NSi.SE[[#This Row],[Pro-A.4]]=2,89,IF(NSi.SE[[#This Row],[Pro-A.4]]=3,79,IF(NSi.SE[[#This Row],[Pro-A.4]]=4,69,IF(NSi.SE[[#This Row],[Pro-A.4]]=5,0,"-")))))</f>
        <v>-</v>
      </c>
      <c r="CT6" s="74" t="str">
        <f>IF(NSi.SE[[#This Row],[KU.5]]="A",100,IF(NSi.SE[[#This Row],[KU.5]]="B",89,IF(NSi.SE[[#This Row],[KU.5]]="C",79,IF(NSi.SE[[#This Row],[KU.5]]="D",69,IF(NSi.SE[[#This Row],[KU.5]]="E",0,"-")))))</f>
        <v>-</v>
      </c>
      <c r="CU6" s="73" t="str">
        <f>IF(NSi.SE[[#This Row],[TJ.5]]=1,100,IF(NSi.SE[[#This Row],[TJ.5]]=2,89,IF(NSi.SE[[#This Row],[TJ.5]]=3,79,IF(NSi.SE[[#This Row],[TJ.5]]=4,69,IF(NSi.SE[[#This Row],[TJ.5]]=5,0,"-")))))</f>
        <v>-</v>
      </c>
      <c r="CV6" s="73" t="str">
        <f>IF(NSi.SE[[#This Row],[Ker.5]]=1,100,IF(NSi.SE[[#This Row],[Ker.5]]=2,89,IF(NSi.SE[[#This Row],[Ker.5]]=3,79,IF(NSi.SE[[#This Row],[Ker.5]]=4,69,IF(NSi.SE[[#This Row],[Ker.5]]=5,0,"-")))))</f>
        <v>-</v>
      </c>
      <c r="CW6" s="73" t="str">
        <f>IF(NSi.SE[[#This Row],[Ped.5]]=1,100,IF(NSi.SE[[#This Row],[Ped.5]]=2,89,IF(NSi.SE[[#This Row],[Ped.5]]=3,79,IF(NSi.SE[[#This Row],[Ped.5]]=4,69,IF(NSi.SE[[#This Row],[Ped.5]]=5,0,"-")))))</f>
        <v>-</v>
      </c>
      <c r="CX6" s="73" t="str">
        <f>IF(NSi.SE[[#This Row],[Pro-A.5]]=1,100,IF(NSi.SE[[#This Row],[Pro-A.5]]=2,89,IF(NSi.SE[[#This Row],[Pro-A.5]]=3,79,IF(NSi.SE[[#This Row],[Pro-A.5]]=4,69,IF(NSi.SE[[#This Row],[Pro-A.5]]=5,0,"-")))))</f>
        <v>-</v>
      </c>
      <c r="CY6" s="74" t="str">
        <f>IF(NSi.SE[[#This Row],[KU.6]]="A",100,IF(NSi.SE[[#This Row],[KU.6]]="B",89,IF(NSi.SE[[#This Row],[KU.6]]="C",79,IF(NSi.SE[[#This Row],[KU.6]]="D",69,IF(NSi.SE[[#This Row],[KU.6]]="E",0,"-")))))</f>
        <v>-</v>
      </c>
      <c r="CZ6" s="73" t="str">
        <f>IF(NSi.SE[[#This Row],[TJ.6]]=1,100,IF(NSi.SE[[#This Row],[TJ.6]]=2,89,IF(NSi.SE[[#This Row],[TJ.6]]=3,79,IF(NSi.SE[[#This Row],[TJ.6]]=4,69,IF(NSi.SE[[#This Row],[TJ.6]]=5,0,"-")))))</f>
        <v>-</v>
      </c>
      <c r="DA6" s="73" t="str">
        <f>IF(NSi.SE[[#This Row],[Ker.6]]=1,100,IF(NSi.SE[[#This Row],[Ker.6]]=2,89,IF(NSi.SE[[#This Row],[Ker.6]]=3,79,IF(NSi.SE[[#This Row],[Ker.6]]=4,69,IF(NSi.SE[[#This Row],[Ker.6]]=5,0,"-")))))</f>
        <v>-</v>
      </c>
      <c r="DB6" s="73" t="str">
        <f>IF(NSi.SE[[#This Row],[Ped.6]]=1,100,IF(NSi.SE[[#This Row],[Ped.6]]=2,89,IF(NSi.SE[[#This Row],[Ped.6]]=3,79,IF(NSi.SE[[#This Row],[Ped.6]]=4,69,IF(NSi.SE[[#This Row],[Ped.6]]=5,0,"-")))))</f>
        <v>-</v>
      </c>
      <c r="DC6" s="73" t="str">
        <f>IF(NSi.SE[[#This Row],[Pro-A.6]]=1,100,IF(NSi.SE[[#This Row],[Pro-A.6]]=2,89,IF(NSi.SE[[#This Row],[Pro-A.6]]=3,79,IF(NSi.SE[[#This Row],[Pro-A.6]]=4,69,IF(NSi.SE[[#This Row],[Pro-A.6]]=5,0,"-")))))</f>
        <v>-</v>
      </c>
      <c r="DD6" s="74" t="str">
        <f>IF(NSi.SE[[#This Row],[KU.7]]="A",100,IF(NSi.SE[[#This Row],[KU.7]]="B",89,IF(NSi.SE[[#This Row],[KU.7]]="C",79,IF(NSi.SE[[#This Row],[KU.7]]="D",69,IF(NSi.SE[[#This Row],[KU.7]]="E",0,"-")))))</f>
        <v>-</v>
      </c>
      <c r="DE6" s="73" t="str">
        <f>IF(NSi.SE[[#This Row],[TJ.7]]=1,100,IF(NSi.SE[[#This Row],[TJ.7]]=2,89,IF(NSi.SE[[#This Row],[TJ.7]]=3,79,IF(NSi.SE[[#This Row],[TJ.7]]=4,69,IF(NSi.SE[[#This Row],[TJ.7]]=5,0,"-")))))</f>
        <v>-</v>
      </c>
      <c r="DF6" s="73" t="str">
        <f>IF(NSi.SE[[#This Row],[Ker.7]]=1,100,IF(NSi.SE[[#This Row],[Ker.7]]=2,89,IF(NSi.SE[[#This Row],[Ker.7]]=3,79,IF(NSi.SE[[#This Row],[Ker.7]]=4,69,IF(NSi.SE[[#This Row],[Ker.7]]=5,0,"-")))))</f>
        <v>-</v>
      </c>
      <c r="DG6" s="73" t="str">
        <f>IF(NSi.SE[[#This Row],[Ped.7]]=1,100,IF(NSi.SE[[#This Row],[Ped.7]]=2,89,IF(NSi.SE[[#This Row],[Ped.7]]=3,79,IF(NSi.SE[[#This Row],[Ped.7]]=4,69,IF(NSi.SE[[#This Row],[Ped.7]]=5,0,"-")))))</f>
        <v>-</v>
      </c>
      <c r="DH6" s="73" t="str">
        <f>IF(NSi.SE[[#This Row],[Pro-A.7]]=1,100,IF(NSi.SE[[#This Row],[Pro-A.7]]=2,89,IF(NSi.SE[[#This Row],[Pro-A.7]]=3,79,IF(NSi.SE[[#This Row],[Pro-A.7]]=4,69,IF(NSi.SE[[#This Row],[Pro-A.7]]=5,0,"-")))))</f>
        <v>-</v>
      </c>
      <c r="DI6" s="74" t="str">
        <f>IF(NSi.SE[[#This Row],[KU.8]]="A",100,IF(NSi.SE[[#This Row],[KU.8]]="B",89,IF(NSi.SE[[#This Row],[KU.8]]="C",79,IF(NSi.SE[[#This Row],[KU.8]]="D",69,IF(NSi.SE[[#This Row],[KU.8]]="E",0,"-")))))</f>
        <v>-</v>
      </c>
      <c r="DJ6" s="73" t="str">
        <f>IF(NSi.SE[[#This Row],[TJ.8]]=1,100,IF(NSi.SE[[#This Row],[TJ.8]]=2,89,IF(NSi.SE[[#This Row],[TJ.8]]=3,79,IF(NSi.SE[[#This Row],[TJ.8]]=4,69,IF(NSi.SE[[#This Row],[TJ.8]]=5,0,"-")))))</f>
        <v>-</v>
      </c>
      <c r="DK6" s="73" t="str">
        <f>IF(NSi.SE[[#This Row],[Ker.8]]=1,100,IF(NSi.SE[[#This Row],[Ker.8]]=2,89,IF(NSi.SE[[#This Row],[Ker.8]]=3,79,IF(NSi.SE[[#This Row],[Ker.8]]=4,69,IF(NSi.SE[[#This Row],[Ker.8]]=5,0,"-")))))</f>
        <v>-</v>
      </c>
      <c r="DL6" s="73" t="str">
        <f>IF(NSi.SE[[#This Row],[Ped.8]]=1,100,IF(NSi.SE[[#This Row],[Ped.8]]=2,89,IF(NSi.SE[[#This Row],[Ped.8]]=3,79,IF(NSi.SE[[#This Row],[Ped.8]]=4,69,IF(NSi.SE[[#This Row],[Ped.8]]=5,0,"-")))))</f>
        <v>-</v>
      </c>
      <c r="DM6" s="73" t="str">
        <f>IF(NSi.SE[[#This Row],[Pro-A.8]]=1,100,IF(NSi.SE[[#This Row],[Pro-A.8]]=2,89,IF(NSi.SE[[#This Row],[Pro-A.8]]=3,79,IF(NSi.SE[[#This Row],[Pro-A.8]]=4,69,IF(NSi.SE[[#This Row],[Pro-A.8]]=5,0,"-")))))</f>
        <v>-</v>
      </c>
      <c r="DN6" s="74" t="str">
        <f>IF(NSi.SE[[#This Row],[KU.9]]="A",100,IF(NSi.SE[[#This Row],[KU.9]]="B",89,IF(NSi.SE[[#This Row],[KU.9]]="C",79,IF(NSi.SE[[#This Row],[KU.9]]="D",69,IF(NSi.SE[[#This Row],[KU.9]]="E",0,"-")))))</f>
        <v>-</v>
      </c>
      <c r="DO6" s="73" t="str">
        <f>IF(NSi.SE[[#This Row],[TJ.9]]=1,100,IF(NSi.SE[[#This Row],[TJ.9]]=2,89,IF(NSi.SE[[#This Row],[TJ.9]]=3,79,IF(NSi.SE[[#This Row],[TJ.9]]=4,69,IF(NSi.SE[[#This Row],[TJ.9]]=5,0,"-")))))</f>
        <v>-</v>
      </c>
      <c r="DP6" s="73" t="str">
        <f>IF(NSi.SE[[#This Row],[Ker.9]]=1,100,IF(NSi.SE[[#This Row],[Ker.9]]=2,89,IF(NSi.SE[[#This Row],[Ker.9]]=3,79,IF(NSi.SE[[#This Row],[Ker.9]]=4,69,IF(NSi.SE[[#This Row],[Ker.9]]=5,0,"-")))))</f>
        <v>-</v>
      </c>
      <c r="DQ6" s="73" t="str">
        <f>IF(NSi.SE[[#This Row],[Ped.9]]=1,100,IF(NSi.SE[[#This Row],[Ped.9]]=2,89,IF(NSi.SE[[#This Row],[Ped.9]]=3,79,IF(NSi.SE[[#This Row],[Ped.9]]=4,69,IF(NSi.SE[[#This Row],[Ped.9]]=5,0,"-")))))</f>
        <v>-</v>
      </c>
      <c r="DR6" s="73" t="str">
        <f>IF(NSi.SE[[#This Row],[Pro-A.9]]=1,100,IF(NSi.SE[[#This Row],[Pro-A.9]]=2,89,IF(NSi.SE[[#This Row],[Pro-A.9]]=3,79,IF(NSi.SE[[#This Row],[Pro-A.9]]=4,69,IF(NSi.SE[[#This Row],[Pro-A.9]]=5,0,"-")))))</f>
        <v>-</v>
      </c>
      <c r="DT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7" spans="1:124" ht="50.1" customHeight="1" x14ac:dyDescent="0.3">
      <c r="A7" s="66">
        <f>IF(NSi.TS[[#This Row],[No]]=0,"",NSi.TS[[#This Row],[No]])</f>
        <v>5</v>
      </c>
      <c r="B7" s="67" t="str">
        <f>IF(NSi.TS[[#This Row],[Nama Siswa]]=0,"",NSi.TS[[#This Row],[Nama Siswa]])</f>
        <v>Harun Amir</v>
      </c>
      <c r="C7" s="68" t="str">
        <f>IF(NSi.TS[[#This Row],[Nomor Induk]]=0,"",NSi.TS[[#This Row],[Nomor Induk]])</f>
        <v>5/HBICSHIGH/20</v>
      </c>
      <c r="D7" s="68">
        <f>IF(NSi.TS[[#This Row],[NISN]]=0,"",NSi.TS[[#This Row],[NISN]])</f>
        <v>25175565</v>
      </c>
      <c r="E7" s="68" t="str">
        <f>IF(NSi.TS[[#This Row],[Jurusan]]=0,"",NSi.TS[[#This Row],[Jurusan]])</f>
        <v>IPA</v>
      </c>
      <c r="F7" s="39" t="str">
        <f>NSi.TS[[#This Row],[Nsi.TS]]</f>
        <v/>
      </c>
      <c r="G7" s="39" t="str">
        <f>IFERROR(ROUND(AVERAGE(CSCR.S[#This Row]),0),"")</f>
        <v/>
      </c>
      <c r="H7" s="39" t="str">
        <f>IFERROR(ROUND(AVERAGE(NSi.SE[[#This Row],[Nsi.TS]:[NS.iS]]),0),"")</f>
        <v/>
      </c>
      <c r="I7" s="41" t="s">
        <v>102</v>
      </c>
      <c r="J7" s="45" t="s">
        <v>102</v>
      </c>
      <c r="K7" s="45" t="s">
        <v>102</v>
      </c>
      <c r="L7" s="45" t="s">
        <v>102</v>
      </c>
      <c r="M7" s="45" t="s">
        <v>102</v>
      </c>
      <c r="N7" s="41" t="s">
        <v>102</v>
      </c>
      <c r="O7" s="45" t="s">
        <v>102</v>
      </c>
      <c r="P7" s="45" t="s">
        <v>102</v>
      </c>
      <c r="Q7" s="45" t="s">
        <v>102</v>
      </c>
      <c r="R7" s="45" t="s">
        <v>102</v>
      </c>
      <c r="S7" s="41" t="s">
        <v>102</v>
      </c>
      <c r="T7" s="45" t="s">
        <v>102</v>
      </c>
      <c r="U7" s="45" t="s">
        <v>102</v>
      </c>
      <c r="V7" s="45" t="s">
        <v>102</v>
      </c>
      <c r="W7" s="45" t="s">
        <v>102</v>
      </c>
      <c r="X7" s="41" t="s">
        <v>102</v>
      </c>
      <c r="Y7" s="45" t="s">
        <v>102</v>
      </c>
      <c r="Z7" s="45" t="s">
        <v>102</v>
      </c>
      <c r="AA7" s="45" t="s">
        <v>102</v>
      </c>
      <c r="AB7" s="45" t="s">
        <v>102</v>
      </c>
      <c r="AC7" s="41" t="s">
        <v>102</v>
      </c>
      <c r="AD7" s="45" t="s">
        <v>102</v>
      </c>
      <c r="AE7" s="45" t="s">
        <v>102</v>
      </c>
      <c r="AF7" s="45" t="s">
        <v>102</v>
      </c>
      <c r="AG7" s="45" t="s">
        <v>102</v>
      </c>
      <c r="AH7" s="41" t="s">
        <v>102</v>
      </c>
      <c r="AI7" s="45" t="s">
        <v>102</v>
      </c>
      <c r="AJ7" s="45" t="s">
        <v>102</v>
      </c>
      <c r="AK7" s="45" t="s">
        <v>102</v>
      </c>
      <c r="AL7" s="45" t="s">
        <v>102</v>
      </c>
      <c r="AM7" s="41" t="s">
        <v>102</v>
      </c>
      <c r="AN7" s="45" t="s">
        <v>102</v>
      </c>
      <c r="AO7" s="45" t="s">
        <v>102</v>
      </c>
      <c r="AP7" s="45" t="s">
        <v>102</v>
      </c>
      <c r="AQ7" s="45" t="s">
        <v>102</v>
      </c>
      <c r="AR7" s="41" t="s">
        <v>102</v>
      </c>
      <c r="AS7" s="45" t="s">
        <v>102</v>
      </c>
      <c r="AT7" s="45" t="s">
        <v>102</v>
      </c>
      <c r="AU7" s="45" t="s">
        <v>102</v>
      </c>
      <c r="AV7" s="45" t="s">
        <v>102</v>
      </c>
      <c r="AW7" s="41" t="s">
        <v>102</v>
      </c>
      <c r="AX7" s="45" t="s">
        <v>102</v>
      </c>
      <c r="AY7" s="45" t="s">
        <v>102</v>
      </c>
      <c r="AZ7" s="45" t="s">
        <v>102</v>
      </c>
      <c r="BA7" s="45" t="s">
        <v>102</v>
      </c>
      <c r="BC7" s="10" t="str">
        <f>CONCATENATE(NSi.SE[[#This Row],[KU.1]],(IF(A.LoE.S[[#This Row],[LE.1]]="-","-",IF(A.LoE.S[[#This Row],[LE.1]]&gt;=90,1,IF(A.LoE.S[[#This Row],[LE.1]]&gt;=80,2,IF(A.LoE.S[[#This Row],[LE.1]]&gt;=70,3,IF(A.LoE.S[[#This Row],[LE.1]]&gt;=1,4,5)))))))</f>
        <v>--</v>
      </c>
      <c r="BD7" s="46" t="str">
        <f>CONCATENATE(NSi.SE[[#This Row],[KU.2]],(IF(A.LoE.S[[#This Row],[LE.2]]="-","-",IF(A.LoE.S[[#This Row],[LE.2]]&gt;=90,1,IF(A.LoE.S[[#This Row],[LE.2]]&gt;=80,2,IF(A.LoE.S[[#This Row],[LE.2]]&gt;=70,3,IF(A.LoE.S[[#This Row],[LE.2]]&gt;=1,4,5)))))))</f>
        <v>--</v>
      </c>
      <c r="BE7" s="46" t="str">
        <f>CONCATENATE(NSi.SE[[#This Row],[KU.3]],(IF(A.LoE.S[[#This Row],[LE.3]]="-","-",IF(A.LoE.S[[#This Row],[LE.3]]&gt;=90,1,IF(A.LoE.S[[#This Row],[LE.3]]&gt;=80,2,IF(A.LoE.S[[#This Row],[LE.3]]&gt;=70,3,IF(A.LoE.S[[#This Row],[LE.3]]&gt;=1,4,5)))))))</f>
        <v>--</v>
      </c>
      <c r="BF7" s="46" t="str">
        <f>CONCATENATE(NSi.SE[[#This Row],[KU.4]],(IF(A.LoE.S[[#This Row],[LE.4]]="-","-",IF(A.LoE.S[[#This Row],[LE.4]]&gt;=90,1,IF(A.LoE.S[[#This Row],[LE.4]]&gt;=80,2,IF(A.LoE.S[[#This Row],[LE.4]]&gt;=70,3,IF(A.LoE.S[[#This Row],[LE.4]]&gt;=1,4,5)))))))</f>
        <v>--</v>
      </c>
      <c r="BG7" s="46" t="str">
        <f>CONCATENATE(NSi.SE[[#This Row],[KU.5]],(IF(A.LoE.S[[#This Row],[LE.5]]="-","-",IF(A.LoE.S[[#This Row],[LE.5]]&gt;=90,1,IF(A.LoE.S[[#This Row],[LE.5]]&gt;=80,2,IF(A.LoE.S[[#This Row],[LE.5]]&gt;=70,3,IF(A.LoE.S[[#This Row],[LE.5]]&gt;=1,4,5)))))))</f>
        <v>--</v>
      </c>
      <c r="BH7" s="46" t="str">
        <f>CONCATENATE(NSi.SE[[#This Row],[KU.6]],(IF(A.LoE.S[[#This Row],[LE.6]]="-","-",IF(A.LoE.S[[#This Row],[LE.6]]&gt;=90,1,IF(A.LoE.S[[#This Row],[LE.6]]&gt;=80,2,IF(A.LoE.S[[#This Row],[LE.6]]&gt;=70,3,IF(A.LoE.S[[#This Row],[LE.6]]&gt;=1,4,5)))))))</f>
        <v>--</v>
      </c>
      <c r="BI7" s="46" t="str">
        <f>CONCATENATE(NSi.SE[[#This Row],[KU.7]],(IF(A.LoE.S[[#This Row],[LE.7]]="-","-",IF(A.LoE.S[[#This Row],[LE.7]]&gt;=90,1,IF(A.LoE.S[[#This Row],[LE.7]]&gt;=80,2,IF(A.LoE.S[[#This Row],[LE.7]]&gt;=70,3,IF(A.LoE.S[[#This Row],[LE.7]]&gt;=1,4,5)))))))</f>
        <v>--</v>
      </c>
      <c r="BJ7" s="46" t="str">
        <f>CONCATENATE(NSi.SE[[#This Row],[KU.8]],(IF(A.LoE.S[[#This Row],[LE.8]]="-","-",IF(A.LoE.S[[#This Row],[LE.8]]&gt;=90,1,IF(A.LoE.S[[#This Row],[LE.8]]&gt;=80,2,IF(A.LoE.S[[#This Row],[LE.8]]&gt;=70,3,IF(A.LoE.S[[#This Row],[LE.8]]&gt;=1,4,5)))))))</f>
        <v>--</v>
      </c>
      <c r="BK7" s="38" t="str">
        <f>CONCATENATE(NSi.SE[[#This Row],[KU.9]],(IF(A.LoE.S[[#This Row],[LE.9]]="-","-",IF(A.LoE.S[[#This Row],[LE.9]]&gt;=90,1,IF(A.LoE.S[[#This Row],[LE.9]]&gt;=80,2,IF(A.LoE.S[[#This Row],[LE.9]]&gt;=70,3,IF(A.LoE.S[[#This Row],[LE.9]]&gt;=1,4,5)))))))</f>
        <v>--</v>
      </c>
      <c r="BM7" s="35" t="str">
        <f>IFERROR(ROUND(AVERAGE(Con.Sk.S[[#This Row],[TJ.1]:[Pro-A.1]]),0),"-")</f>
        <v>-</v>
      </c>
      <c r="BN7" s="24" t="str">
        <f>IFERROR(ROUND(AVERAGE(Con.Sk.S[[#This Row],[TJ.2]:[Pro-A.2]]),0),"-")</f>
        <v>-</v>
      </c>
      <c r="BO7" s="24" t="str">
        <f>IFERROR(ROUND(AVERAGE(Con.Sk.S[[#This Row],[TJ.3]:[Pro-A.3]]),0),"-")</f>
        <v>-</v>
      </c>
      <c r="BP7" s="24" t="str">
        <f>IFERROR(ROUND(AVERAGE(Con.Sk.S[[#This Row],[TJ.4]:[Pro-A.4]]),0),"-")</f>
        <v>-</v>
      </c>
      <c r="BQ7" s="24" t="str">
        <f>IFERROR(ROUND(AVERAGE(Con.Sk.S[[#This Row],[TJ.5]:[Pro-A.5]]),0),"-")</f>
        <v>-</v>
      </c>
      <c r="BR7" s="24" t="str">
        <f>IFERROR(ROUND(AVERAGE(Con.Sk.S[[#This Row],[TJ.6]:[Pro-A.6]]),0),"-")</f>
        <v>-</v>
      </c>
      <c r="BS7" s="24" t="str">
        <f>IFERROR(ROUND(AVERAGE(Con.Sk.S[[#This Row],[TJ.7]:[Pro-A.7]]),0),"-")</f>
        <v>-</v>
      </c>
      <c r="BT7" s="24" t="str">
        <f>IFERROR(ROUND(AVERAGE(Con.Sk.S[[#This Row],[TJ.8]:[Pro-A.8]]),0),"-")</f>
        <v>-</v>
      </c>
      <c r="BU7" s="25" t="str">
        <f>IFERROR(ROUND(AVERAGE(Con.Sk.S[[#This Row],[TJ.9]:[Pro-A.9]]),0),"-")</f>
        <v>-</v>
      </c>
      <c r="BW7" s="47" t="str">
        <f>IFERROR(ROUND(AVERAGE(Con.Sk.S[[#This Row],[KU.1]],Con.Sk.S[[#This Row],[KU.2]],Con.Sk.S[[#This Row],[KU.3]],Con.Sk.S[[#This Row],[KU.4]],Con.Sk.S[[#This Row],[KU.5]],Con.Sk.S[[#This Row],[KU.6]],Con.Sk.S[[#This Row],[KU.7]],Con.Sk.S[[#This Row],[KU.8]],Con.Sk.S[[#This Row],[KU.9]]),0),"")</f>
        <v/>
      </c>
      <c r="BX7" s="48" t="str">
        <f>IFERROR(ROUND(AVERAGE(Con.Sk.S[[#This Row],[TJ.1]:[Pro-A.1]],Con.Sk.S[[#This Row],[TJ.2]:[Pro-A.2]],Con.Sk.S[[#This Row],[TJ.3]:[Pro-A.3]],Con.Sk.S[[#This Row],[TJ.4]:[Pro-A.4]],Con.Sk.S[[#This Row],[TJ.5]:[Pro-A.5]],Con.Sk.S[[#This Row],[TJ.6]:[Pro-A.6]],Con.Sk.S[[#This Row],[TJ.7]:[Pro-A.7]],Con.Sk.S[[#This Row],[TJ.8]:[Pro-A.8]],Con.Sk.S[[#This Row],[TJ.9]:[Pro-A.9]]),0),"")</f>
        <v/>
      </c>
      <c r="BY7" s="3"/>
      <c r="BZ7" s="73" t="str">
        <f>IF(NSi.SE[[#This Row],[KU.1]]="A",100,IF(NSi.SE[[#This Row],[KU.1]]="B",89,IF(NSi.SE[[#This Row],[KU.1]]="C",79,IF(NSi.SE[[#This Row],[KU.1]]="D",69,IF(NSi.SE[[#This Row],[KU.1]]="E",0,"-")))))</f>
        <v>-</v>
      </c>
      <c r="CA7" s="73" t="str">
        <f>IF(NSi.SE[[#This Row],[TJ.1]]=1,100,IF(NSi.SE[[#This Row],[TJ.1]]=2,89,IF(NSi.SE[[#This Row],[TJ.1]]=3,79,IF(NSi.SE[[#This Row],[TJ.1]]=4,69,IF(NSi.SE[[#This Row],[TJ.1]]=5,0,"-")))))</f>
        <v>-</v>
      </c>
      <c r="CB7" s="73" t="str">
        <f>IF(NSi.SE[[#This Row],[Ker.1]]=1,100,IF(NSi.SE[[#This Row],[Ker.1]]=2,89,IF(NSi.SE[[#This Row],[Ker.1]]=3,79,IF(NSi.SE[[#This Row],[Ker.1]]=4,69,IF(NSi.SE[[#This Row],[Ker.1]]=5,0,"-")))))</f>
        <v>-</v>
      </c>
      <c r="CC7" s="73" t="str">
        <f>IF(NSi.SE[[#This Row],[Ped.1]]=1,100,IF(NSi.SE[[#This Row],[Ped.1]]=2,89,IF(NSi.SE[[#This Row],[Ped.1]]=3,79,IF(NSi.SE[[#This Row],[Ped.1]]=4,69,IF(NSi.SE[[#This Row],[Ped.1]]=5,0,"-")))))</f>
        <v>-</v>
      </c>
      <c r="CD7" s="73" t="str">
        <f>IF(NSi.SE[[#This Row],[Pro-A.1]]=1,100,IF(NSi.SE[[#This Row],[Pro-A.1]]=2,89,IF(NSi.SE[[#This Row],[Pro-A.1]]=3,79,IF(NSi.SE[[#This Row],[Pro-A.1]]=4,69,IF(NSi.SE[[#This Row],[Pro-A.1]]=5,0,"-")))))</f>
        <v>-</v>
      </c>
      <c r="CE7" s="73" t="str">
        <f>IF(NSi.SE[[#This Row],[KU.2]]="A",100,IF(NSi.SE[[#This Row],[KU.2]]="B",89,IF(NSi.SE[[#This Row],[KU.2]]="C",79,IF(NSi.SE[[#This Row],[KU.2]]="D",69,IF(NSi.SE[[#This Row],[KU.2]]="E",0,"-")))))</f>
        <v>-</v>
      </c>
      <c r="CF7" s="73" t="str">
        <f>IF(NSi.SE[[#This Row],[TJ.2]]=1,100,IF(NSi.SE[[#This Row],[TJ.2]]=2,89,IF(NSi.SE[[#This Row],[TJ.2]]=3,79,IF(NSi.SE[[#This Row],[TJ.2]]=4,69,IF(NSi.SE[[#This Row],[TJ.2]]=5,0,"-")))))</f>
        <v>-</v>
      </c>
      <c r="CG7" s="73" t="str">
        <f>IF(NSi.SE[[#This Row],[Ker.2]]=1,100,IF(NSi.SE[[#This Row],[Ker.2]]=2,89,IF(NSi.SE[[#This Row],[Ker.2]]=3,79,IF(NSi.SE[[#This Row],[Ker.2]]=4,69,IF(NSi.SE[[#This Row],[Ker.2]]=5,0,"-")))))</f>
        <v>-</v>
      </c>
      <c r="CH7" s="73" t="str">
        <f>IF(NSi.SE[[#This Row],[Ped.2]]=1,100,IF(NSi.SE[[#This Row],[Ped.2]]=2,89,IF(NSi.SE[[#This Row],[Ped.2]]=3,79,IF(NSi.SE[[#This Row],[Ped.2]]=4,69,IF(NSi.SE[[#This Row],[Ped.2]]=5,0,"-")))))</f>
        <v>-</v>
      </c>
      <c r="CI7" s="73" t="str">
        <f>IF(NSi.SE[[#This Row],[Pro-A.2]]=1,100,IF(NSi.SE[[#This Row],[Pro-A.2]]=2,89,IF(NSi.SE[[#This Row],[Pro-A.2]]=3,79,IF(NSi.SE[[#This Row],[Pro-A.2]]=4,69,IF(NSi.SE[[#This Row],[Pro-A.2]]=5,0,"-")))))</f>
        <v>-</v>
      </c>
      <c r="CJ7" s="74" t="str">
        <f>IF(NSi.SE[[#This Row],[KU.3]]="A",100,IF(NSi.SE[[#This Row],[KU.3]]="B",89,IF(NSi.SE[[#This Row],[KU.3]]="C",79,IF(NSi.SE[[#This Row],[KU.3]]="D",69,IF(NSi.SE[[#This Row],[KU.3]]="E",0,"-")))))</f>
        <v>-</v>
      </c>
      <c r="CK7" s="73" t="str">
        <f>IF(NSi.SE[[#This Row],[TJ.3]]=1,100,IF(NSi.SE[[#This Row],[TJ.3]]=2,89,IF(NSi.SE[[#This Row],[TJ.3]]=3,79,IF(NSi.SE[[#This Row],[TJ.3]]=4,69,IF(NSi.SE[[#This Row],[TJ.3]]=5,0,"-")))))</f>
        <v>-</v>
      </c>
      <c r="CL7" s="73" t="str">
        <f>IF(NSi.SE[[#This Row],[Ker.3]]=1,100,IF(NSi.SE[[#This Row],[Ker.3]]=2,89,IF(NSi.SE[[#This Row],[Ker.3]]=3,79,IF(NSi.SE[[#This Row],[Ker.3]]=4,69,IF(NSi.SE[[#This Row],[Ker.3]]=5,0,"-")))))</f>
        <v>-</v>
      </c>
      <c r="CM7" s="73" t="str">
        <f>IF(NSi.SE[[#This Row],[Ped.3]]=1,100,IF(NSi.SE[[#This Row],[Ped.3]]=2,89,IF(NSi.SE[[#This Row],[Ped.3]]=3,79,IF(NSi.SE[[#This Row],[Ped.3]]=4,69,IF(NSi.SE[[#This Row],[Ped.3]]=5,0,"-")))))</f>
        <v>-</v>
      </c>
      <c r="CN7" s="73" t="str">
        <f>IF(NSi.SE[[#This Row],[Pro-A.3]]=1,100,IF(NSi.SE[[#This Row],[Pro-A.3]]=2,89,IF(NSi.SE[[#This Row],[Pro-A.3]]=3,79,IF(NSi.SE[[#This Row],[Pro-A.3]]=4,69,IF(NSi.SE[[#This Row],[Pro-A.3]]=5,0,"-")))))</f>
        <v>-</v>
      </c>
      <c r="CO7" s="74" t="str">
        <f>IF(NSi.SE[[#This Row],[KU.4]]="A",100,IF(NSi.SE[[#This Row],[KU.4]]="B",89,IF(NSi.SE[[#This Row],[KU.4]]="C",79,IF(NSi.SE[[#This Row],[KU.4]]="D",69,IF(NSi.SE[[#This Row],[KU.4]]="E",0,"-")))))</f>
        <v>-</v>
      </c>
      <c r="CP7" s="73" t="str">
        <f>IF(NSi.SE[[#This Row],[TJ.4]]=1,100,IF(NSi.SE[[#This Row],[TJ.4]]=2,89,IF(NSi.SE[[#This Row],[TJ.4]]=3,79,IF(NSi.SE[[#This Row],[TJ.4]]=4,69,IF(NSi.SE[[#This Row],[TJ.4]]=5,0,"-")))))</f>
        <v>-</v>
      </c>
      <c r="CQ7" s="73" t="str">
        <f>IF(NSi.SE[[#This Row],[Ker.4]]=1,100,IF(NSi.SE[[#This Row],[Ker.4]]=2,89,IF(NSi.SE[[#This Row],[Ker.4]]=3,79,IF(NSi.SE[[#This Row],[Ker.4]]=4,69,IF(NSi.SE[[#This Row],[Ker.4]]=5,0,"-")))))</f>
        <v>-</v>
      </c>
      <c r="CR7" s="73" t="str">
        <f>IF(NSi.SE[[#This Row],[Ped.4]]=1,100,IF(NSi.SE[[#This Row],[Ped.4]]=2,89,IF(NSi.SE[[#This Row],[Ped.4]]=3,79,IF(NSi.SE[[#This Row],[Ped.4]]=4,69,IF(NSi.SE[[#This Row],[Ped.4]]=5,0,"-")))))</f>
        <v>-</v>
      </c>
      <c r="CS7" s="73" t="str">
        <f>IF(NSi.SE[[#This Row],[Pro-A.4]]=1,100,IF(NSi.SE[[#This Row],[Pro-A.4]]=2,89,IF(NSi.SE[[#This Row],[Pro-A.4]]=3,79,IF(NSi.SE[[#This Row],[Pro-A.4]]=4,69,IF(NSi.SE[[#This Row],[Pro-A.4]]=5,0,"-")))))</f>
        <v>-</v>
      </c>
      <c r="CT7" s="74" t="str">
        <f>IF(NSi.SE[[#This Row],[KU.5]]="A",100,IF(NSi.SE[[#This Row],[KU.5]]="B",89,IF(NSi.SE[[#This Row],[KU.5]]="C",79,IF(NSi.SE[[#This Row],[KU.5]]="D",69,IF(NSi.SE[[#This Row],[KU.5]]="E",0,"-")))))</f>
        <v>-</v>
      </c>
      <c r="CU7" s="73" t="str">
        <f>IF(NSi.SE[[#This Row],[TJ.5]]=1,100,IF(NSi.SE[[#This Row],[TJ.5]]=2,89,IF(NSi.SE[[#This Row],[TJ.5]]=3,79,IF(NSi.SE[[#This Row],[TJ.5]]=4,69,IF(NSi.SE[[#This Row],[TJ.5]]=5,0,"-")))))</f>
        <v>-</v>
      </c>
      <c r="CV7" s="73" t="str">
        <f>IF(NSi.SE[[#This Row],[Ker.5]]=1,100,IF(NSi.SE[[#This Row],[Ker.5]]=2,89,IF(NSi.SE[[#This Row],[Ker.5]]=3,79,IF(NSi.SE[[#This Row],[Ker.5]]=4,69,IF(NSi.SE[[#This Row],[Ker.5]]=5,0,"-")))))</f>
        <v>-</v>
      </c>
      <c r="CW7" s="73" t="str">
        <f>IF(NSi.SE[[#This Row],[Ped.5]]=1,100,IF(NSi.SE[[#This Row],[Ped.5]]=2,89,IF(NSi.SE[[#This Row],[Ped.5]]=3,79,IF(NSi.SE[[#This Row],[Ped.5]]=4,69,IF(NSi.SE[[#This Row],[Ped.5]]=5,0,"-")))))</f>
        <v>-</v>
      </c>
      <c r="CX7" s="73" t="str">
        <f>IF(NSi.SE[[#This Row],[Pro-A.5]]=1,100,IF(NSi.SE[[#This Row],[Pro-A.5]]=2,89,IF(NSi.SE[[#This Row],[Pro-A.5]]=3,79,IF(NSi.SE[[#This Row],[Pro-A.5]]=4,69,IF(NSi.SE[[#This Row],[Pro-A.5]]=5,0,"-")))))</f>
        <v>-</v>
      </c>
      <c r="CY7" s="74" t="str">
        <f>IF(NSi.SE[[#This Row],[KU.6]]="A",100,IF(NSi.SE[[#This Row],[KU.6]]="B",89,IF(NSi.SE[[#This Row],[KU.6]]="C",79,IF(NSi.SE[[#This Row],[KU.6]]="D",69,IF(NSi.SE[[#This Row],[KU.6]]="E",0,"-")))))</f>
        <v>-</v>
      </c>
      <c r="CZ7" s="73" t="str">
        <f>IF(NSi.SE[[#This Row],[TJ.6]]=1,100,IF(NSi.SE[[#This Row],[TJ.6]]=2,89,IF(NSi.SE[[#This Row],[TJ.6]]=3,79,IF(NSi.SE[[#This Row],[TJ.6]]=4,69,IF(NSi.SE[[#This Row],[TJ.6]]=5,0,"-")))))</f>
        <v>-</v>
      </c>
      <c r="DA7" s="73" t="str">
        <f>IF(NSi.SE[[#This Row],[Ker.6]]=1,100,IF(NSi.SE[[#This Row],[Ker.6]]=2,89,IF(NSi.SE[[#This Row],[Ker.6]]=3,79,IF(NSi.SE[[#This Row],[Ker.6]]=4,69,IF(NSi.SE[[#This Row],[Ker.6]]=5,0,"-")))))</f>
        <v>-</v>
      </c>
      <c r="DB7" s="73" t="str">
        <f>IF(NSi.SE[[#This Row],[Ped.6]]=1,100,IF(NSi.SE[[#This Row],[Ped.6]]=2,89,IF(NSi.SE[[#This Row],[Ped.6]]=3,79,IF(NSi.SE[[#This Row],[Ped.6]]=4,69,IF(NSi.SE[[#This Row],[Ped.6]]=5,0,"-")))))</f>
        <v>-</v>
      </c>
      <c r="DC7" s="73" t="str">
        <f>IF(NSi.SE[[#This Row],[Pro-A.6]]=1,100,IF(NSi.SE[[#This Row],[Pro-A.6]]=2,89,IF(NSi.SE[[#This Row],[Pro-A.6]]=3,79,IF(NSi.SE[[#This Row],[Pro-A.6]]=4,69,IF(NSi.SE[[#This Row],[Pro-A.6]]=5,0,"-")))))</f>
        <v>-</v>
      </c>
      <c r="DD7" s="74" t="str">
        <f>IF(NSi.SE[[#This Row],[KU.7]]="A",100,IF(NSi.SE[[#This Row],[KU.7]]="B",89,IF(NSi.SE[[#This Row],[KU.7]]="C",79,IF(NSi.SE[[#This Row],[KU.7]]="D",69,IF(NSi.SE[[#This Row],[KU.7]]="E",0,"-")))))</f>
        <v>-</v>
      </c>
      <c r="DE7" s="73" t="str">
        <f>IF(NSi.SE[[#This Row],[TJ.7]]=1,100,IF(NSi.SE[[#This Row],[TJ.7]]=2,89,IF(NSi.SE[[#This Row],[TJ.7]]=3,79,IF(NSi.SE[[#This Row],[TJ.7]]=4,69,IF(NSi.SE[[#This Row],[TJ.7]]=5,0,"-")))))</f>
        <v>-</v>
      </c>
      <c r="DF7" s="73" t="str">
        <f>IF(NSi.SE[[#This Row],[Ker.7]]=1,100,IF(NSi.SE[[#This Row],[Ker.7]]=2,89,IF(NSi.SE[[#This Row],[Ker.7]]=3,79,IF(NSi.SE[[#This Row],[Ker.7]]=4,69,IF(NSi.SE[[#This Row],[Ker.7]]=5,0,"-")))))</f>
        <v>-</v>
      </c>
      <c r="DG7" s="73" t="str">
        <f>IF(NSi.SE[[#This Row],[Ped.7]]=1,100,IF(NSi.SE[[#This Row],[Ped.7]]=2,89,IF(NSi.SE[[#This Row],[Ped.7]]=3,79,IF(NSi.SE[[#This Row],[Ped.7]]=4,69,IF(NSi.SE[[#This Row],[Ped.7]]=5,0,"-")))))</f>
        <v>-</v>
      </c>
      <c r="DH7" s="73" t="str">
        <f>IF(NSi.SE[[#This Row],[Pro-A.7]]=1,100,IF(NSi.SE[[#This Row],[Pro-A.7]]=2,89,IF(NSi.SE[[#This Row],[Pro-A.7]]=3,79,IF(NSi.SE[[#This Row],[Pro-A.7]]=4,69,IF(NSi.SE[[#This Row],[Pro-A.7]]=5,0,"-")))))</f>
        <v>-</v>
      </c>
      <c r="DI7" s="74" t="str">
        <f>IF(NSi.SE[[#This Row],[KU.8]]="A",100,IF(NSi.SE[[#This Row],[KU.8]]="B",89,IF(NSi.SE[[#This Row],[KU.8]]="C",79,IF(NSi.SE[[#This Row],[KU.8]]="D",69,IF(NSi.SE[[#This Row],[KU.8]]="E",0,"-")))))</f>
        <v>-</v>
      </c>
      <c r="DJ7" s="73" t="str">
        <f>IF(NSi.SE[[#This Row],[TJ.8]]=1,100,IF(NSi.SE[[#This Row],[TJ.8]]=2,89,IF(NSi.SE[[#This Row],[TJ.8]]=3,79,IF(NSi.SE[[#This Row],[TJ.8]]=4,69,IF(NSi.SE[[#This Row],[TJ.8]]=5,0,"-")))))</f>
        <v>-</v>
      </c>
      <c r="DK7" s="73" t="str">
        <f>IF(NSi.SE[[#This Row],[Ker.8]]=1,100,IF(NSi.SE[[#This Row],[Ker.8]]=2,89,IF(NSi.SE[[#This Row],[Ker.8]]=3,79,IF(NSi.SE[[#This Row],[Ker.8]]=4,69,IF(NSi.SE[[#This Row],[Ker.8]]=5,0,"-")))))</f>
        <v>-</v>
      </c>
      <c r="DL7" s="73" t="str">
        <f>IF(NSi.SE[[#This Row],[Ped.8]]=1,100,IF(NSi.SE[[#This Row],[Ped.8]]=2,89,IF(NSi.SE[[#This Row],[Ped.8]]=3,79,IF(NSi.SE[[#This Row],[Ped.8]]=4,69,IF(NSi.SE[[#This Row],[Ped.8]]=5,0,"-")))))</f>
        <v>-</v>
      </c>
      <c r="DM7" s="73" t="str">
        <f>IF(NSi.SE[[#This Row],[Pro-A.8]]=1,100,IF(NSi.SE[[#This Row],[Pro-A.8]]=2,89,IF(NSi.SE[[#This Row],[Pro-A.8]]=3,79,IF(NSi.SE[[#This Row],[Pro-A.8]]=4,69,IF(NSi.SE[[#This Row],[Pro-A.8]]=5,0,"-")))))</f>
        <v>-</v>
      </c>
      <c r="DN7" s="74" t="str">
        <f>IF(NSi.SE[[#This Row],[KU.9]]="A",100,IF(NSi.SE[[#This Row],[KU.9]]="B",89,IF(NSi.SE[[#This Row],[KU.9]]="C",79,IF(NSi.SE[[#This Row],[KU.9]]="D",69,IF(NSi.SE[[#This Row],[KU.9]]="E",0,"-")))))</f>
        <v>-</v>
      </c>
      <c r="DO7" s="73" t="str">
        <f>IF(NSi.SE[[#This Row],[TJ.9]]=1,100,IF(NSi.SE[[#This Row],[TJ.9]]=2,89,IF(NSi.SE[[#This Row],[TJ.9]]=3,79,IF(NSi.SE[[#This Row],[TJ.9]]=4,69,IF(NSi.SE[[#This Row],[TJ.9]]=5,0,"-")))))</f>
        <v>-</v>
      </c>
      <c r="DP7" s="73" t="str">
        <f>IF(NSi.SE[[#This Row],[Ker.9]]=1,100,IF(NSi.SE[[#This Row],[Ker.9]]=2,89,IF(NSi.SE[[#This Row],[Ker.9]]=3,79,IF(NSi.SE[[#This Row],[Ker.9]]=4,69,IF(NSi.SE[[#This Row],[Ker.9]]=5,0,"-")))))</f>
        <v>-</v>
      </c>
      <c r="DQ7" s="73" t="str">
        <f>IF(NSi.SE[[#This Row],[Ped.9]]=1,100,IF(NSi.SE[[#This Row],[Ped.9]]=2,89,IF(NSi.SE[[#This Row],[Ped.9]]=3,79,IF(NSi.SE[[#This Row],[Ped.9]]=4,69,IF(NSi.SE[[#This Row],[Ped.9]]=5,0,"-")))))</f>
        <v>-</v>
      </c>
      <c r="DR7" s="73" t="str">
        <f>IF(NSi.SE[[#This Row],[Pro-A.9]]=1,100,IF(NSi.SE[[#This Row],[Pro-A.9]]=2,89,IF(NSi.SE[[#This Row],[Pro-A.9]]=3,79,IF(NSi.SE[[#This Row],[Pro-A.9]]=4,69,IF(NSi.SE[[#This Row],[Pro-A.9]]=5,0,"-")))))</f>
        <v>-</v>
      </c>
      <c r="DT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8" spans="1:124" ht="50.1" customHeight="1" x14ac:dyDescent="0.3">
      <c r="A8" s="66">
        <f>IF(NSi.TS[[#This Row],[No]]=0,"",NSi.TS[[#This Row],[No]])</f>
        <v>6</v>
      </c>
      <c r="B8" s="67" t="str">
        <f>IF(NSi.TS[[#This Row],[Nama Siswa]]=0,"",NSi.TS[[#This Row],[Nama Siswa]])</f>
        <v>Harun Budi</v>
      </c>
      <c r="C8" s="68" t="str">
        <f>IF(NSi.TS[[#This Row],[Nomor Induk]]=0,"",NSi.TS[[#This Row],[Nomor Induk]])</f>
        <v>6/HBICSHIGH/20</v>
      </c>
      <c r="D8" s="68">
        <f>IF(NSi.TS[[#This Row],[NISN]]=0,"",NSi.TS[[#This Row],[NISN]])</f>
        <v>25175567</v>
      </c>
      <c r="E8" s="68" t="str">
        <f>IF(NSi.TS[[#This Row],[Jurusan]]=0,"",NSi.TS[[#This Row],[Jurusan]])</f>
        <v>IPS</v>
      </c>
      <c r="F8" s="39" t="str">
        <f>NSi.TS[[#This Row],[Nsi.TS]]</f>
        <v/>
      </c>
      <c r="G8" s="39" t="str">
        <f>IFERROR(ROUND(AVERAGE(CSCR.S[#This Row]),0),"")</f>
        <v/>
      </c>
      <c r="H8" s="39" t="str">
        <f>IFERROR(ROUND(AVERAGE(NSi.SE[[#This Row],[Nsi.TS]:[NS.iS]]),0),"")</f>
        <v/>
      </c>
      <c r="I8" s="41" t="s">
        <v>102</v>
      </c>
      <c r="J8" s="45" t="s">
        <v>102</v>
      </c>
      <c r="K8" s="45" t="s">
        <v>102</v>
      </c>
      <c r="L8" s="45" t="s">
        <v>102</v>
      </c>
      <c r="M8" s="45" t="s">
        <v>102</v>
      </c>
      <c r="N8" s="41" t="s">
        <v>102</v>
      </c>
      <c r="O8" s="45" t="s">
        <v>102</v>
      </c>
      <c r="P8" s="45" t="s">
        <v>102</v>
      </c>
      <c r="Q8" s="45" t="s">
        <v>102</v>
      </c>
      <c r="R8" s="45" t="s">
        <v>102</v>
      </c>
      <c r="S8" s="41" t="s">
        <v>102</v>
      </c>
      <c r="T8" s="45" t="s">
        <v>102</v>
      </c>
      <c r="U8" s="45" t="s">
        <v>102</v>
      </c>
      <c r="V8" s="45" t="s">
        <v>102</v>
      </c>
      <c r="W8" s="45" t="s">
        <v>102</v>
      </c>
      <c r="X8" s="41" t="s">
        <v>102</v>
      </c>
      <c r="Y8" s="45" t="s">
        <v>102</v>
      </c>
      <c r="Z8" s="45" t="s">
        <v>102</v>
      </c>
      <c r="AA8" s="45" t="s">
        <v>102</v>
      </c>
      <c r="AB8" s="45" t="s">
        <v>102</v>
      </c>
      <c r="AC8" s="41" t="s">
        <v>102</v>
      </c>
      <c r="AD8" s="45" t="s">
        <v>102</v>
      </c>
      <c r="AE8" s="45" t="s">
        <v>102</v>
      </c>
      <c r="AF8" s="45" t="s">
        <v>102</v>
      </c>
      <c r="AG8" s="45" t="s">
        <v>102</v>
      </c>
      <c r="AH8" s="41" t="s">
        <v>102</v>
      </c>
      <c r="AI8" s="45" t="s">
        <v>102</v>
      </c>
      <c r="AJ8" s="45" t="s">
        <v>102</v>
      </c>
      <c r="AK8" s="45" t="s">
        <v>102</v>
      </c>
      <c r="AL8" s="45" t="s">
        <v>102</v>
      </c>
      <c r="AM8" s="41" t="s">
        <v>102</v>
      </c>
      <c r="AN8" s="45" t="s">
        <v>102</v>
      </c>
      <c r="AO8" s="45" t="s">
        <v>102</v>
      </c>
      <c r="AP8" s="45" t="s">
        <v>102</v>
      </c>
      <c r="AQ8" s="45" t="s">
        <v>102</v>
      </c>
      <c r="AR8" s="41" t="s">
        <v>102</v>
      </c>
      <c r="AS8" s="45" t="s">
        <v>102</v>
      </c>
      <c r="AT8" s="45" t="s">
        <v>102</v>
      </c>
      <c r="AU8" s="45" t="s">
        <v>102</v>
      </c>
      <c r="AV8" s="45" t="s">
        <v>102</v>
      </c>
      <c r="AW8" s="41" t="s">
        <v>102</v>
      </c>
      <c r="AX8" s="45" t="s">
        <v>102</v>
      </c>
      <c r="AY8" s="45" t="s">
        <v>102</v>
      </c>
      <c r="AZ8" s="45" t="s">
        <v>102</v>
      </c>
      <c r="BA8" s="45" t="s">
        <v>102</v>
      </c>
      <c r="BC8" s="10" t="str">
        <f>CONCATENATE(NSi.SE[[#This Row],[KU.1]],(IF(A.LoE.S[[#This Row],[LE.1]]="-","-",IF(A.LoE.S[[#This Row],[LE.1]]&gt;=90,1,IF(A.LoE.S[[#This Row],[LE.1]]&gt;=80,2,IF(A.LoE.S[[#This Row],[LE.1]]&gt;=70,3,IF(A.LoE.S[[#This Row],[LE.1]]&gt;=1,4,5)))))))</f>
        <v>--</v>
      </c>
      <c r="BD8" s="46" t="str">
        <f>CONCATENATE(NSi.SE[[#This Row],[KU.2]],(IF(A.LoE.S[[#This Row],[LE.2]]="-","-",IF(A.LoE.S[[#This Row],[LE.2]]&gt;=90,1,IF(A.LoE.S[[#This Row],[LE.2]]&gt;=80,2,IF(A.LoE.S[[#This Row],[LE.2]]&gt;=70,3,IF(A.LoE.S[[#This Row],[LE.2]]&gt;=1,4,5)))))))</f>
        <v>--</v>
      </c>
      <c r="BE8" s="46" t="str">
        <f>CONCATENATE(NSi.SE[[#This Row],[KU.3]],(IF(A.LoE.S[[#This Row],[LE.3]]="-","-",IF(A.LoE.S[[#This Row],[LE.3]]&gt;=90,1,IF(A.LoE.S[[#This Row],[LE.3]]&gt;=80,2,IF(A.LoE.S[[#This Row],[LE.3]]&gt;=70,3,IF(A.LoE.S[[#This Row],[LE.3]]&gt;=1,4,5)))))))</f>
        <v>--</v>
      </c>
      <c r="BF8" s="46" t="str">
        <f>CONCATENATE(NSi.SE[[#This Row],[KU.4]],(IF(A.LoE.S[[#This Row],[LE.4]]="-","-",IF(A.LoE.S[[#This Row],[LE.4]]&gt;=90,1,IF(A.LoE.S[[#This Row],[LE.4]]&gt;=80,2,IF(A.LoE.S[[#This Row],[LE.4]]&gt;=70,3,IF(A.LoE.S[[#This Row],[LE.4]]&gt;=1,4,5)))))))</f>
        <v>--</v>
      </c>
      <c r="BG8" s="46" t="str">
        <f>CONCATENATE(NSi.SE[[#This Row],[KU.5]],(IF(A.LoE.S[[#This Row],[LE.5]]="-","-",IF(A.LoE.S[[#This Row],[LE.5]]&gt;=90,1,IF(A.LoE.S[[#This Row],[LE.5]]&gt;=80,2,IF(A.LoE.S[[#This Row],[LE.5]]&gt;=70,3,IF(A.LoE.S[[#This Row],[LE.5]]&gt;=1,4,5)))))))</f>
        <v>--</v>
      </c>
      <c r="BH8" s="46" t="str">
        <f>CONCATENATE(NSi.SE[[#This Row],[KU.6]],(IF(A.LoE.S[[#This Row],[LE.6]]="-","-",IF(A.LoE.S[[#This Row],[LE.6]]&gt;=90,1,IF(A.LoE.S[[#This Row],[LE.6]]&gt;=80,2,IF(A.LoE.S[[#This Row],[LE.6]]&gt;=70,3,IF(A.LoE.S[[#This Row],[LE.6]]&gt;=1,4,5)))))))</f>
        <v>--</v>
      </c>
      <c r="BI8" s="46" t="str">
        <f>CONCATENATE(NSi.SE[[#This Row],[KU.7]],(IF(A.LoE.S[[#This Row],[LE.7]]="-","-",IF(A.LoE.S[[#This Row],[LE.7]]&gt;=90,1,IF(A.LoE.S[[#This Row],[LE.7]]&gt;=80,2,IF(A.LoE.S[[#This Row],[LE.7]]&gt;=70,3,IF(A.LoE.S[[#This Row],[LE.7]]&gt;=1,4,5)))))))</f>
        <v>--</v>
      </c>
      <c r="BJ8" s="46" t="str">
        <f>CONCATENATE(NSi.SE[[#This Row],[KU.8]],(IF(A.LoE.S[[#This Row],[LE.8]]="-","-",IF(A.LoE.S[[#This Row],[LE.8]]&gt;=90,1,IF(A.LoE.S[[#This Row],[LE.8]]&gt;=80,2,IF(A.LoE.S[[#This Row],[LE.8]]&gt;=70,3,IF(A.LoE.S[[#This Row],[LE.8]]&gt;=1,4,5)))))))</f>
        <v>--</v>
      </c>
      <c r="BK8" s="38" t="str">
        <f>CONCATENATE(NSi.SE[[#This Row],[KU.9]],(IF(A.LoE.S[[#This Row],[LE.9]]="-","-",IF(A.LoE.S[[#This Row],[LE.9]]&gt;=90,1,IF(A.LoE.S[[#This Row],[LE.9]]&gt;=80,2,IF(A.LoE.S[[#This Row],[LE.9]]&gt;=70,3,IF(A.LoE.S[[#This Row],[LE.9]]&gt;=1,4,5)))))))</f>
        <v>--</v>
      </c>
      <c r="BM8" s="35" t="str">
        <f>IFERROR(ROUND(AVERAGE(Con.Sk.S[[#This Row],[TJ.1]:[Pro-A.1]]),0),"-")</f>
        <v>-</v>
      </c>
      <c r="BN8" s="24" t="str">
        <f>IFERROR(ROUND(AVERAGE(Con.Sk.S[[#This Row],[TJ.2]:[Pro-A.2]]),0),"-")</f>
        <v>-</v>
      </c>
      <c r="BO8" s="24" t="str">
        <f>IFERROR(ROUND(AVERAGE(Con.Sk.S[[#This Row],[TJ.3]:[Pro-A.3]]),0),"-")</f>
        <v>-</v>
      </c>
      <c r="BP8" s="24" t="str">
        <f>IFERROR(ROUND(AVERAGE(Con.Sk.S[[#This Row],[TJ.4]:[Pro-A.4]]),0),"-")</f>
        <v>-</v>
      </c>
      <c r="BQ8" s="24" t="str">
        <f>IFERROR(ROUND(AVERAGE(Con.Sk.S[[#This Row],[TJ.5]:[Pro-A.5]]),0),"-")</f>
        <v>-</v>
      </c>
      <c r="BR8" s="24" t="str">
        <f>IFERROR(ROUND(AVERAGE(Con.Sk.S[[#This Row],[TJ.6]:[Pro-A.6]]),0),"-")</f>
        <v>-</v>
      </c>
      <c r="BS8" s="24" t="str">
        <f>IFERROR(ROUND(AVERAGE(Con.Sk.S[[#This Row],[TJ.7]:[Pro-A.7]]),0),"-")</f>
        <v>-</v>
      </c>
      <c r="BT8" s="24" t="str">
        <f>IFERROR(ROUND(AVERAGE(Con.Sk.S[[#This Row],[TJ.8]:[Pro-A.8]]),0),"-")</f>
        <v>-</v>
      </c>
      <c r="BU8" s="25" t="str">
        <f>IFERROR(ROUND(AVERAGE(Con.Sk.S[[#This Row],[TJ.9]:[Pro-A.9]]),0),"-")</f>
        <v>-</v>
      </c>
      <c r="BW8" s="47" t="str">
        <f>IFERROR(ROUND(AVERAGE(Con.Sk.S[[#This Row],[KU.1]],Con.Sk.S[[#This Row],[KU.2]],Con.Sk.S[[#This Row],[KU.3]],Con.Sk.S[[#This Row],[KU.4]],Con.Sk.S[[#This Row],[KU.5]],Con.Sk.S[[#This Row],[KU.6]],Con.Sk.S[[#This Row],[KU.7]],Con.Sk.S[[#This Row],[KU.8]],Con.Sk.S[[#This Row],[KU.9]]),0),"")</f>
        <v/>
      </c>
      <c r="BX8" s="48" t="str">
        <f>IFERROR(ROUND(AVERAGE(Con.Sk.S[[#This Row],[TJ.1]:[Pro-A.1]],Con.Sk.S[[#This Row],[TJ.2]:[Pro-A.2]],Con.Sk.S[[#This Row],[TJ.3]:[Pro-A.3]],Con.Sk.S[[#This Row],[TJ.4]:[Pro-A.4]],Con.Sk.S[[#This Row],[TJ.5]:[Pro-A.5]],Con.Sk.S[[#This Row],[TJ.6]:[Pro-A.6]],Con.Sk.S[[#This Row],[TJ.7]:[Pro-A.7]],Con.Sk.S[[#This Row],[TJ.8]:[Pro-A.8]],Con.Sk.S[[#This Row],[TJ.9]:[Pro-A.9]]),0),"")</f>
        <v/>
      </c>
      <c r="BY8" s="3"/>
      <c r="BZ8" s="73" t="str">
        <f>IF(NSi.SE[[#This Row],[KU.1]]="A",100,IF(NSi.SE[[#This Row],[KU.1]]="B",89,IF(NSi.SE[[#This Row],[KU.1]]="C",79,IF(NSi.SE[[#This Row],[KU.1]]="D",69,IF(NSi.SE[[#This Row],[KU.1]]="E",0,"-")))))</f>
        <v>-</v>
      </c>
      <c r="CA8" s="73" t="str">
        <f>IF(NSi.SE[[#This Row],[TJ.1]]=1,100,IF(NSi.SE[[#This Row],[TJ.1]]=2,89,IF(NSi.SE[[#This Row],[TJ.1]]=3,79,IF(NSi.SE[[#This Row],[TJ.1]]=4,69,IF(NSi.SE[[#This Row],[TJ.1]]=5,0,"-")))))</f>
        <v>-</v>
      </c>
      <c r="CB8" s="73" t="str">
        <f>IF(NSi.SE[[#This Row],[Ker.1]]=1,100,IF(NSi.SE[[#This Row],[Ker.1]]=2,89,IF(NSi.SE[[#This Row],[Ker.1]]=3,79,IF(NSi.SE[[#This Row],[Ker.1]]=4,69,IF(NSi.SE[[#This Row],[Ker.1]]=5,0,"-")))))</f>
        <v>-</v>
      </c>
      <c r="CC8" s="73" t="str">
        <f>IF(NSi.SE[[#This Row],[Ped.1]]=1,100,IF(NSi.SE[[#This Row],[Ped.1]]=2,89,IF(NSi.SE[[#This Row],[Ped.1]]=3,79,IF(NSi.SE[[#This Row],[Ped.1]]=4,69,IF(NSi.SE[[#This Row],[Ped.1]]=5,0,"-")))))</f>
        <v>-</v>
      </c>
      <c r="CD8" s="73" t="str">
        <f>IF(NSi.SE[[#This Row],[Pro-A.1]]=1,100,IF(NSi.SE[[#This Row],[Pro-A.1]]=2,89,IF(NSi.SE[[#This Row],[Pro-A.1]]=3,79,IF(NSi.SE[[#This Row],[Pro-A.1]]=4,69,IF(NSi.SE[[#This Row],[Pro-A.1]]=5,0,"-")))))</f>
        <v>-</v>
      </c>
      <c r="CE8" s="73" t="str">
        <f>IF(NSi.SE[[#This Row],[KU.2]]="A",100,IF(NSi.SE[[#This Row],[KU.2]]="B",89,IF(NSi.SE[[#This Row],[KU.2]]="C",79,IF(NSi.SE[[#This Row],[KU.2]]="D",69,IF(NSi.SE[[#This Row],[KU.2]]="E",0,"-")))))</f>
        <v>-</v>
      </c>
      <c r="CF8" s="73" t="str">
        <f>IF(NSi.SE[[#This Row],[TJ.2]]=1,100,IF(NSi.SE[[#This Row],[TJ.2]]=2,89,IF(NSi.SE[[#This Row],[TJ.2]]=3,79,IF(NSi.SE[[#This Row],[TJ.2]]=4,69,IF(NSi.SE[[#This Row],[TJ.2]]=5,0,"-")))))</f>
        <v>-</v>
      </c>
      <c r="CG8" s="73" t="str">
        <f>IF(NSi.SE[[#This Row],[Ker.2]]=1,100,IF(NSi.SE[[#This Row],[Ker.2]]=2,89,IF(NSi.SE[[#This Row],[Ker.2]]=3,79,IF(NSi.SE[[#This Row],[Ker.2]]=4,69,IF(NSi.SE[[#This Row],[Ker.2]]=5,0,"-")))))</f>
        <v>-</v>
      </c>
      <c r="CH8" s="73" t="str">
        <f>IF(NSi.SE[[#This Row],[Ped.2]]=1,100,IF(NSi.SE[[#This Row],[Ped.2]]=2,89,IF(NSi.SE[[#This Row],[Ped.2]]=3,79,IF(NSi.SE[[#This Row],[Ped.2]]=4,69,IF(NSi.SE[[#This Row],[Ped.2]]=5,0,"-")))))</f>
        <v>-</v>
      </c>
      <c r="CI8" s="73" t="str">
        <f>IF(NSi.SE[[#This Row],[Pro-A.2]]=1,100,IF(NSi.SE[[#This Row],[Pro-A.2]]=2,89,IF(NSi.SE[[#This Row],[Pro-A.2]]=3,79,IF(NSi.SE[[#This Row],[Pro-A.2]]=4,69,IF(NSi.SE[[#This Row],[Pro-A.2]]=5,0,"-")))))</f>
        <v>-</v>
      </c>
      <c r="CJ8" s="74" t="str">
        <f>IF(NSi.SE[[#This Row],[KU.3]]="A",100,IF(NSi.SE[[#This Row],[KU.3]]="B",89,IF(NSi.SE[[#This Row],[KU.3]]="C",79,IF(NSi.SE[[#This Row],[KU.3]]="D",69,IF(NSi.SE[[#This Row],[KU.3]]="E",0,"-")))))</f>
        <v>-</v>
      </c>
      <c r="CK8" s="73" t="str">
        <f>IF(NSi.SE[[#This Row],[TJ.3]]=1,100,IF(NSi.SE[[#This Row],[TJ.3]]=2,89,IF(NSi.SE[[#This Row],[TJ.3]]=3,79,IF(NSi.SE[[#This Row],[TJ.3]]=4,69,IF(NSi.SE[[#This Row],[TJ.3]]=5,0,"-")))))</f>
        <v>-</v>
      </c>
      <c r="CL8" s="73" t="str">
        <f>IF(NSi.SE[[#This Row],[Ker.3]]=1,100,IF(NSi.SE[[#This Row],[Ker.3]]=2,89,IF(NSi.SE[[#This Row],[Ker.3]]=3,79,IF(NSi.SE[[#This Row],[Ker.3]]=4,69,IF(NSi.SE[[#This Row],[Ker.3]]=5,0,"-")))))</f>
        <v>-</v>
      </c>
      <c r="CM8" s="73" t="str">
        <f>IF(NSi.SE[[#This Row],[Ped.3]]=1,100,IF(NSi.SE[[#This Row],[Ped.3]]=2,89,IF(NSi.SE[[#This Row],[Ped.3]]=3,79,IF(NSi.SE[[#This Row],[Ped.3]]=4,69,IF(NSi.SE[[#This Row],[Ped.3]]=5,0,"-")))))</f>
        <v>-</v>
      </c>
      <c r="CN8" s="73" t="str">
        <f>IF(NSi.SE[[#This Row],[Pro-A.3]]=1,100,IF(NSi.SE[[#This Row],[Pro-A.3]]=2,89,IF(NSi.SE[[#This Row],[Pro-A.3]]=3,79,IF(NSi.SE[[#This Row],[Pro-A.3]]=4,69,IF(NSi.SE[[#This Row],[Pro-A.3]]=5,0,"-")))))</f>
        <v>-</v>
      </c>
      <c r="CO8" s="74" t="str">
        <f>IF(NSi.SE[[#This Row],[KU.4]]="A",100,IF(NSi.SE[[#This Row],[KU.4]]="B",89,IF(NSi.SE[[#This Row],[KU.4]]="C",79,IF(NSi.SE[[#This Row],[KU.4]]="D",69,IF(NSi.SE[[#This Row],[KU.4]]="E",0,"-")))))</f>
        <v>-</v>
      </c>
      <c r="CP8" s="73" t="str">
        <f>IF(NSi.SE[[#This Row],[TJ.4]]=1,100,IF(NSi.SE[[#This Row],[TJ.4]]=2,89,IF(NSi.SE[[#This Row],[TJ.4]]=3,79,IF(NSi.SE[[#This Row],[TJ.4]]=4,69,IF(NSi.SE[[#This Row],[TJ.4]]=5,0,"-")))))</f>
        <v>-</v>
      </c>
      <c r="CQ8" s="73" t="str">
        <f>IF(NSi.SE[[#This Row],[Ker.4]]=1,100,IF(NSi.SE[[#This Row],[Ker.4]]=2,89,IF(NSi.SE[[#This Row],[Ker.4]]=3,79,IF(NSi.SE[[#This Row],[Ker.4]]=4,69,IF(NSi.SE[[#This Row],[Ker.4]]=5,0,"-")))))</f>
        <v>-</v>
      </c>
      <c r="CR8" s="73" t="str">
        <f>IF(NSi.SE[[#This Row],[Ped.4]]=1,100,IF(NSi.SE[[#This Row],[Ped.4]]=2,89,IF(NSi.SE[[#This Row],[Ped.4]]=3,79,IF(NSi.SE[[#This Row],[Ped.4]]=4,69,IF(NSi.SE[[#This Row],[Ped.4]]=5,0,"-")))))</f>
        <v>-</v>
      </c>
      <c r="CS8" s="73" t="str">
        <f>IF(NSi.SE[[#This Row],[Pro-A.4]]=1,100,IF(NSi.SE[[#This Row],[Pro-A.4]]=2,89,IF(NSi.SE[[#This Row],[Pro-A.4]]=3,79,IF(NSi.SE[[#This Row],[Pro-A.4]]=4,69,IF(NSi.SE[[#This Row],[Pro-A.4]]=5,0,"-")))))</f>
        <v>-</v>
      </c>
      <c r="CT8" s="74" t="str">
        <f>IF(NSi.SE[[#This Row],[KU.5]]="A",100,IF(NSi.SE[[#This Row],[KU.5]]="B",89,IF(NSi.SE[[#This Row],[KU.5]]="C",79,IF(NSi.SE[[#This Row],[KU.5]]="D",69,IF(NSi.SE[[#This Row],[KU.5]]="E",0,"-")))))</f>
        <v>-</v>
      </c>
      <c r="CU8" s="73" t="str">
        <f>IF(NSi.SE[[#This Row],[TJ.5]]=1,100,IF(NSi.SE[[#This Row],[TJ.5]]=2,89,IF(NSi.SE[[#This Row],[TJ.5]]=3,79,IF(NSi.SE[[#This Row],[TJ.5]]=4,69,IF(NSi.SE[[#This Row],[TJ.5]]=5,0,"-")))))</f>
        <v>-</v>
      </c>
      <c r="CV8" s="73" t="str">
        <f>IF(NSi.SE[[#This Row],[Ker.5]]=1,100,IF(NSi.SE[[#This Row],[Ker.5]]=2,89,IF(NSi.SE[[#This Row],[Ker.5]]=3,79,IF(NSi.SE[[#This Row],[Ker.5]]=4,69,IF(NSi.SE[[#This Row],[Ker.5]]=5,0,"-")))))</f>
        <v>-</v>
      </c>
      <c r="CW8" s="73" t="str">
        <f>IF(NSi.SE[[#This Row],[Ped.5]]=1,100,IF(NSi.SE[[#This Row],[Ped.5]]=2,89,IF(NSi.SE[[#This Row],[Ped.5]]=3,79,IF(NSi.SE[[#This Row],[Ped.5]]=4,69,IF(NSi.SE[[#This Row],[Ped.5]]=5,0,"-")))))</f>
        <v>-</v>
      </c>
      <c r="CX8" s="73" t="str">
        <f>IF(NSi.SE[[#This Row],[Pro-A.5]]=1,100,IF(NSi.SE[[#This Row],[Pro-A.5]]=2,89,IF(NSi.SE[[#This Row],[Pro-A.5]]=3,79,IF(NSi.SE[[#This Row],[Pro-A.5]]=4,69,IF(NSi.SE[[#This Row],[Pro-A.5]]=5,0,"-")))))</f>
        <v>-</v>
      </c>
      <c r="CY8" s="74" t="str">
        <f>IF(NSi.SE[[#This Row],[KU.6]]="A",100,IF(NSi.SE[[#This Row],[KU.6]]="B",89,IF(NSi.SE[[#This Row],[KU.6]]="C",79,IF(NSi.SE[[#This Row],[KU.6]]="D",69,IF(NSi.SE[[#This Row],[KU.6]]="E",0,"-")))))</f>
        <v>-</v>
      </c>
      <c r="CZ8" s="73" t="str">
        <f>IF(NSi.SE[[#This Row],[TJ.6]]=1,100,IF(NSi.SE[[#This Row],[TJ.6]]=2,89,IF(NSi.SE[[#This Row],[TJ.6]]=3,79,IF(NSi.SE[[#This Row],[TJ.6]]=4,69,IF(NSi.SE[[#This Row],[TJ.6]]=5,0,"-")))))</f>
        <v>-</v>
      </c>
      <c r="DA8" s="73" t="str">
        <f>IF(NSi.SE[[#This Row],[Ker.6]]=1,100,IF(NSi.SE[[#This Row],[Ker.6]]=2,89,IF(NSi.SE[[#This Row],[Ker.6]]=3,79,IF(NSi.SE[[#This Row],[Ker.6]]=4,69,IF(NSi.SE[[#This Row],[Ker.6]]=5,0,"-")))))</f>
        <v>-</v>
      </c>
      <c r="DB8" s="73" t="str">
        <f>IF(NSi.SE[[#This Row],[Ped.6]]=1,100,IF(NSi.SE[[#This Row],[Ped.6]]=2,89,IF(NSi.SE[[#This Row],[Ped.6]]=3,79,IF(NSi.SE[[#This Row],[Ped.6]]=4,69,IF(NSi.SE[[#This Row],[Ped.6]]=5,0,"-")))))</f>
        <v>-</v>
      </c>
      <c r="DC8" s="73" t="str">
        <f>IF(NSi.SE[[#This Row],[Pro-A.6]]=1,100,IF(NSi.SE[[#This Row],[Pro-A.6]]=2,89,IF(NSi.SE[[#This Row],[Pro-A.6]]=3,79,IF(NSi.SE[[#This Row],[Pro-A.6]]=4,69,IF(NSi.SE[[#This Row],[Pro-A.6]]=5,0,"-")))))</f>
        <v>-</v>
      </c>
      <c r="DD8" s="74" t="str">
        <f>IF(NSi.SE[[#This Row],[KU.7]]="A",100,IF(NSi.SE[[#This Row],[KU.7]]="B",89,IF(NSi.SE[[#This Row],[KU.7]]="C",79,IF(NSi.SE[[#This Row],[KU.7]]="D",69,IF(NSi.SE[[#This Row],[KU.7]]="E",0,"-")))))</f>
        <v>-</v>
      </c>
      <c r="DE8" s="73" t="str">
        <f>IF(NSi.SE[[#This Row],[TJ.7]]=1,100,IF(NSi.SE[[#This Row],[TJ.7]]=2,89,IF(NSi.SE[[#This Row],[TJ.7]]=3,79,IF(NSi.SE[[#This Row],[TJ.7]]=4,69,IF(NSi.SE[[#This Row],[TJ.7]]=5,0,"-")))))</f>
        <v>-</v>
      </c>
      <c r="DF8" s="73" t="str">
        <f>IF(NSi.SE[[#This Row],[Ker.7]]=1,100,IF(NSi.SE[[#This Row],[Ker.7]]=2,89,IF(NSi.SE[[#This Row],[Ker.7]]=3,79,IF(NSi.SE[[#This Row],[Ker.7]]=4,69,IF(NSi.SE[[#This Row],[Ker.7]]=5,0,"-")))))</f>
        <v>-</v>
      </c>
      <c r="DG8" s="73" t="str">
        <f>IF(NSi.SE[[#This Row],[Ped.7]]=1,100,IF(NSi.SE[[#This Row],[Ped.7]]=2,89,IF(NSi.SE[[#This Row],[Ped.7]]=3,79,IF(NSi.SE[[#This Row],[Ped.7]]=4,69,IF(NSi.SE[[#This Row],[Ped.7]]=5,0,"-")))))</f>
        <v>-</v>
      </c>
      <c r="DH8" s="73" t="str">
        <f>IF(NSi.SE[[#This Row],[Pro-A.7]]=1,100,IF(NSi.SE[[#This Row],[Pro-A.7]]=2,89,IF(NSi.SE[[#This Row],[Pro-A.7]]=3,79,IF(NSi.SE[[#This Row],[Pro-A.7]]=4,69,IF(NSi.SE[[#This Row],[Pro-A.7]]=5,0,"-")))))</f>
        <v>-</v>
      </c>
      <c r="DI8" s="74" t="str">
        <f>IF(NSi.SE[[#This Row],[KU.8]]="A",100,IF(NSi.SE[[#This Row],[KU.8]]="B",89,IF(NSi.SE[[#This Row],[KU.8]]="C",79,IF(NSi.SE[[#This Row],[KU.8]]="D",69,IF(NSi.SE[[#This Row],[KU.8]]="E",0,"-")))))</f>
        <v>-</v>
      </c>
      <c r="DJ8" s="73" t="str">
        <f>IF(NSi.SE[[#This Row],[TJ.8]]=1,100,IF(NSi.SE[[#This Row],[TJ.8]]=2,89,IF(NSi.SE[[#This Row],[TJ.8]]=3,79,IF(NSi.SE[[#This Row],[TJ.8]]=4,69,IF(NSi.SE[[#This Row],[TJ.8]]=5,0,"-")))))</f>
        <v>-</v>
      </c>
      <c r="DK8" s="73" t="str">
        <f>IF(NSi.SE[[#This Row],[Ker.8]]=1,100,IF(NSi.SE[[#This Row],[Ker.8]]=2,89,IF(NSi.SE[[#This Row],[Ker.8]]=3,79,IF(NSi.SE[[#This Row],[Ker.8]]=4,69,IF(NSi.SE[[#This Row],[Ker.8]]=5,0,"-")))))</f>
        <v>-</v>
      </c>
      <c r="DL8" s="73" t="str">
        <f>IF(NSi.SE[[#This Row],[Ped.8]]=1,100,IF(NSi.SE[[#This Row],[Ped.8]]=2,89,IF(NSi.SE[[#This Row],[Ped.8]]=3,79,IF(NSi.SE[[#This Row],[Ped.8]]=4,69,IF(NSi.SE[[#This Row],[Ped.8]]=5,0,"-")))))</f>
        <v>-</v>
      </c>
      <c r="DM8" s="73" t="str">
        <f>IF(NSi.SE[[#This Row],[Pro-A.8]]=1,100,IF(NSi.SE[[#This Row],[Pro-A.8]]=2,89,IF(NSi.SE[[#This Row],[Pro-A.8]]=3,79,IF(NSi.SE[[#This Row],[Pro-A.8]]=4,69,IF(NSi.SE[[#This Row],[Pro-A.8]]=5,0,"-")))))</f>
        <v>-</v>
      </c>
      <c r="DN8" s="74" t="str">
        <f>IF(NSi.SE[[#This Row],[KU.9]]="A",100,IF(NSi.SE[[#This Row],[KU.9]]="B",89,IF(NSi.SE[[#This Row],[KU.9]]="C",79,IF(NSi.SE[[#This Row],[KU.9]]="D",69,IF(NSi.SE[[#This Row],[KU.9]]="E",0,"-")))))</f>
        <v>-</v>
      </c>
      <c r="DO8" s="73" t="str">
        <f>IF(NSi.SE[[#This Row],[TJ.9]]=1,100,IF(NSi.SE[[#This Row],[TJ.9]]=2,89,IF(NSi.SE[[#This Row],[TJ.9]]=3,79,IF(NSi.SE[[#This Row],[TJ.9]]=4,69,IF(NSi.SE[[#This Row],[TJ.9]]=5,0,"-")))))</f>
        <v>-</v>
      </c>
      <c r="DP8" s="73" t="str">
        <f>IF(NSi.SE[[#This Row],[Ker.9]]=1,100,IF(NSi.SE[[#This Row],[Ker.9]]=2,89,IF(NSi.SE[[#This Row],[Ker.9]]=3,79,IF(NSi.SE[[#This Row],[Ker.9]]=4,69,IF(NSi.SE[[#This Row],[Ker.9]]=5,0,"-")))))</f>
        <v>-</v>
      </c>
      <c r="DQ8" s="73" t="str">
        <f>IF(NSi.SE[[#This Row],[Ped.9]]=1,100,IF(NSi.SE[[#This Row],[Ped.9]]=2,89,IF(NSi.SE[[#This Row],[Ped.9]]=3,79,IF(NSi.SE[[#This Row],[Ped.9]]=4,69,IF(NSi.SE[[#This Row],[Ped.9]]=5,0,"-")))))</f>
        <v>-</v>
      </c>
      <c r="DR8" s="73" t="str">
        <f>IF(NSi.SE[[#This Row],[Pro-A.9]]=1,100,IF(NSi.SE[[#This Row],[Pro-A.9]]=2,89,IF(NSi.SE[[#This Row],[Pro-A.9]]=3,79,IF(NSi.SE[[#This Row],[Pro-A.9]]=4,69,IF(NSi.SE[[#This Row],[Pro-A.9]]=5,0,"-")))))</f>
        <v>-</v>
      </c>
      <c r="DT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9" spans="1:124" ht="50.1" customHeight="1" x14ac:dyDescent="0.3">
      <c r="A9" s="66">
        <f>IF(NSi.TS[[#This Row],[No]]=0,"",NSi.TS[[#This Row],[No]])</f>
        <v>7</v>
      </c>
      <c r="B9" s="67" t="str">
        <f>IF(NSi.TS[[#This Row],[Nama Siswa]]=0,"",NSi.TS[[#This Row],[Nama Siswa]])</f>
        <v>Lutfi Dian</v>
      </c>
      <c r="C9" s="68" t="str">
        <f>IF(NSi.TS[[#This Row],[Nomor Induk]]=0,"",NSi.TS[[#This Row],[Nomor Induk]])</f>
        <v>7/HBICSHIGH/20</v>
      </c>
      <c r="D9" s="68">
        <f>IF(NSi.TS[[#This Row],[NISN]]=0,"",NSi.TS[[#This Row],[NISN]])</f>
        <v>23756408</v>
      </c>
      <c r="E9" s="68" t="str">
        <f>IF(NSi.TS[[#This Row],[Jurusan]]=0,"",NSi.TS[[#This Row],[Jurusan]])</f>
        <v>IPA</v>
      </c>
      <c r="F9" s="39" t="str">
        <f>NSi.TS[[#This Row],[Nsi.TS]]</f>
        <v/>
      </c>
      <c r="G9" s="39" t="str">
        <f>IFERROR(ROUND(AVERAGE(CSCR.S[#This Row]),0),"")</f>
        <v/>
      </c>
      <c r="H9" s="39" t="str">
        <f>IFERROR(ROUND(AVERAGE(NSi.SE[[#This Row],[Nsi.TS]:[NS.iS]]),0),"")</f>
        <v/>
      </c>
      <c r="I9" s="41" t="s">
        <v>102</v>
      </c>
      <c r="J9" s="45" t="s">
        <v>102</v>
      </c>
      <c r="K9" s="45" t="s">
        <v>102</v>
      </c>
      <c r="L9" s="45" t="s">
        <v>102</v>
      </c>
      <c r="M9" s="45" t="s">
        <v>102</v>
      </c>
      <c r="N9" s="41" t="s">
        <v>102</v>
      </c>
      <c r="O9" s="45" t="s">
        <v>102</v>
      </c>
      <c r="P9" s="45" t="s">
        <v>102</v>
      </c>
      <c r="Q9" s="45" t="s">
        <v>102</v>
      </c>
      <c r="R9" s="45" t="s">
        <v>102</v>
      </c>
      <c r="S9" s="41" t="s">
        <v>102</v>
      </c>
      <c r="T9" s="45" t="s">
        <v>102</v>
      </c>
      <c r="U9" s="45" t="s">
        <v>102</v>
      </c>
      <c r="V9" s="45" t="s">
        <v>102</v>
      </c>
      <c r="W9" s="45" t="s">
        <v>102</v>
      </c>
      <c r="X9" s="41" t="s">
        <v>102</v>
      </c>
      <c r="Y9" s="45" t="s">
        <v>102</v>
      </c>
      <c r="Z9" s="45" t="s">
        <v>102</v>
      </c>
      <c r="AA9" s="45" t="s">
        <v>102</v>
      </c>
      <c r="AB9" s="45" t="s">
        <v>102</v>
      </c>
      <c r="AC9" s="41" t="s">
        <v>102</v>
      </c>
      <c r="AD9" s="45" t="s">
        <v>102</v>
      </c>
      <c r="AE9" s="45" t="s">
        <v>102</v>
      </c>
      <c r="AF9" s="45" t="s">
        <v>102</v>
      </c>
      <c r="AG9" s="45" t="s">
        <v>102</v>
      </c>
      <c r="AH9" s="41" t="s">
        <v>102</v>
      </c>
      <c r="AI9" s="45" t="s">
        <v>102</v>
      </c>
      <c r="AJ9" s="45" t="s">
        <v>102</v>
      </c>
      <c r="AK9" s="45" t="s">
        <v>102</v>
      </c>
      <c r="AL9" s="45" t="s">
        <v>102</v>
      </c>
      <c r="AM9" s="41" t="s">
        <v>102</v>
      </c>
      <c r="AN9" s="45" t="s">
        <v>102</v>
      </c>
      <c r="AO9" s="45" t="s">
        <v>102</v>
      </c>
      <c r="AP9" s="45" t="s">
        <v>102</v>
      </c>
      <c r="AQ9" s="45" t="s">
        <v>102</v>
      </c>
      <c r="AR9" s="41" t="s">
        <v>102</v>
      </c>
      <c r="AS9" s="45" t="s">
        <v>102</v>
      </c>
      <c r="AT9" s="45" t="s">
        <v>102</v>
      </c>
      <c r="AU9" s="45" t="s">
        <v>102</v>
      </c>
      <c r="AV9" s="45" t="s">
        <v>102</v>
      </c>
      <c r="AW9" s="41" t="s">
        <v>102</v>
      </c>
      <c r="AX9" s="45" t="s">
        <v>102</v>
      </c>
      <c r="AY9" s="45" t="s">
        <v>102</v>
      </c>
      <c r="AZ9" s="45" t="s">
        <v>102</v>
      </c>
      <c r="BA9" s="45" t="s">
        <v>102</v>
      </c>
      <c r="BC9" s="10" t="str">
        <f>CONCATENATE(NSi.SE[[#This Row],[KU.1]],(IF(A.LoE.S[[#This Row],[LE.1]]="-","-",IF(A.LoE.S[[#This Row],[LE.1]]&gt;=90,1,IF(A.LoE.S[[#This Row],[LE.1]]&gt;=80,2,IF(A.LoE.S[[#This Row],[LE.1]]&gt;=70,3,IF(A.LoE.S[[#This Row],[LE.1]]&gt;=1,4,5)))))))</f>
        <v>--</v>
      </c>
      <c r="BD9" s="46" t="str">
        <f>CONCATENATE(NSi.SE[[#This Row],[KU.2]],(IF(A.LoE.S[[#This Row],[LE.2]]="-","-",IF(A.LoE.S[[#This Row],[LE.2]]&gt;=90,1,IF(A.LoE.S[[#This Row],[LE.2]]&gt;=80,2,IF(A.LoE.S[[#This Row],[LE.2]]&gt;=70,3,IF(A.LoE.S[[#This Row],[LE.2]]&gt;=1,4,5)))))))</f>
        <v>--</v>
      </c>
      <c r="BE9" s="46" t="str">
        <f>CONCATENATE(NSi.SE[[#This Row],[KU.3]],(IF(A.LoE.S[[#This Row],[LE.3]]="-","-",IF(A.LoE.S[[#This Row],[LE.3]]&gt;=90,1,IF(A.LoE.S[[#This Row],[LE.3]]&gt;=80,2,IF(A.LoE.S[[#This Row],[LE.3]]&gt;=70,3,IF(A.LoE.S[[#This Row],[LE.3]]&gt;=1,4,5)))))))</f>
        <v>--</v>
      </c>
      <c r="BF9" s="46" t="str">
        <f>CONCATENATE(NSi.SE[[#This Row],[KU.4]],(IF(A.LoE.S[[#This Row],[LE.4]]="-","-",IF(A.LoE.S[[#This Row],[LE.4]]&gt;=90,1,IF(A.LoE.S[[#This Row],[LE.4]]&gt;=80,2,IF(A.LoE.S[[#This Row],[LE.4]]&gt;=70,3,IF(A.LoE.S[[#This Row],[LE.4]]&gt;=1,4,5)))))))</f>
        <v>--</v>
      </c>
      <c r="BG9" s="46" t="str">
        <f>CONCATENATE(NSi.SE[[#This Row],[KU.5]],(IF(A.LoE.S[[#This Row],[LE.5]]="-","-",IF(A.LoE.S[[#This Row],[LE.5]]&gt;=90,1,IF(A.LoE.S[[#This Row],[LE.5]]&gt;=80,2,IF(A.LoE.S[[#This Row],[LE.5]]&gt;=70,3,IF(A.LoE.S[[#This Row],[LE.5]]&gt;=1,4,5)))))))</f>
        <v>--</v>
      </c>
      <c r="BH9" s="46" t="str">
        <f>CONCATENATE(NSi.SE[[#This Row],[KU.6]],(IF(A.LoE.S[[#This Row],[LE.6]]="-","-",IF(A.LoE.S[[#This Row],[LE.6]]&gt;=90,1,IF(A.LoE.S[[#This Row],[LE.6]]&gt;=80,2,IF(A.LoE.S[[#This Row],[LE.6]]&gt;=70,3,IF(A.LoE.S[[#This Row],[LE.6]]&gt;=1,4,5)))))))</f>
        <v>--</v>
      </c>
      <c r="BI9" s="46" t="str">
        <f>CONCATENATE(NSi.SE[[#This Row],[KU.7]],(IF(A.LoE.S[[#This Row],[LE.7]]="-","-",IF(A.LoE.S[[#This Row],[LE.7]]&gt;=90,1,IF(A.LoE.S[[#This Row],[LE.7]]&gt;=80,2,IF(A.LoE.S[[#This Row],[LE.7]]&gt;=70,3,IF(A.LoE.S[[#This Row],[LE.7]]&gt;=1,4,5)))))))</f>
        <v>--</v>
      </c>
      <c r="BJ9" s="46" t="str">
        <f>CONCATENATE(NSi.SE[[#This Row],[KU.8]],(IF(A.LoE.S[[#This Row],[LE.8]]="-","-",IF(A.LoE.S[[#This Row],[LE.8]]&gt;=90,1,IF(A.LoE.S[[#This Row],[LE.8]]&gt;=80,2,IF(A.LoE.S[[#This Row],[LE.8]]&gt;=70,3,IF(A.LoE.S[[#This Row],[LE.8]]&gt;=1,4,5)))))))</f>
        <v>--</v>
      </c>
      <c r="BK9" s="38" t="str">
        <f>CONCATENATE(NSi.SE[[#This Row],[KU.9]],(IF(A.LoE.S[[#This Row],[LE.9]]="-","-",IF(A.LoE.S[[#This Row],[LE.9]]&gt;=90,1,IF(A.LoE.S[[#This Row],[LE.9]]&gt;=80,2,IF(A.LoE.S[[#This Row],[LE.9]]&gt;=70,3,IF(A.LoE.S[[#This Row],[LE.9]]&gt;=1,4,5)))))))</f>
        <v>--</v>
      </c>
      <c r="BM9" s="35" t="str">
        <f>IFERROR(ROUND(AVERAGE(Con.Sk.S[[#This Row],[TJ.1]:[Pro-A.1]]),0),"-")</f>
        <v>-</v>
      </c>
      <c r="BN9" s="24" t="str">
        <f>IFERROR(ROUND(AVERAGE(Con.Sk.S[[#This Row],[TJ.2]:[Pro-A.2]]),0),"-")</f>
        <v>-</v>
      </c>
      <c r="BO9" s="24" t="str">
        <f>IFERROR(ROUND(AVERAGE(Con.Sk.S[[#This Row],[TJ.3]:[Pro-A.3]]),0),"-")</f>
        <v>-</v>
      </c>
      <c r="BP9" s="24" t="str">
        <f>IFERROR(ROUND(AVERAGE(Con.Sk.S[[#This Row],[TJ.4]:[Pro-A.4]]),0),"-")</f>
        <v>-</v>
      </c>
      <c r="BQ9" s="24" t="str">
        <f>IFERROR(ROUND(AVERAGE(Con.Sk.S[[#This Row],[TJ.5]:[Pro-A.5]]),0),"-")</f>
        <v>-</v>
      </c>
      <c r="BR9" s="24" t="str">
        <f>IFERROR(ROUND(AVERAGE(Con.Sk.S[[#This Row],[TJ.6]:[Pro-A.6]]),0),"-")</f>
        <v>-</v>
      </c>
      <c r="BS9" s="24" t="str">
        <f>IFERROR(ROUND(AVERAGE(Con.Sk.S[[#This Row],[TJ.7]:[Pro-A.7]]),0),"-")</f>
        <v>-</v>
      </c>
      <c r="BT9" s="24" t="str">
        <f>IFERROR(ROUND(AVERAGE(Con.Sk.S[[#This Row],[TJ.8]:[Pro-A.8]]),0),"-")</f>
        <v>-</v>
      </c>
      <c r="BU9" s="25" t="str">
        <f>IFERROR(ROUND(AVERAGE(Con.Sk.S[[#This Row],[TJ.9]:[Pro-A.9]]),0),"-")</f>
        <v>-</v>
      </c>
      <c r="BW9" s="47" t="str">
        <f>IFERROR(ROUND(AVERAGE(Con.Sk.S[[#This Row],[KU.1]],Con.Sk.S[[#This Row],[KU.2]],Con.Sk.S[[#This Row],[KU.3]],Con.Sk.S[[#This Row],[KU.4]],Con.Sk.S[[#This Row],[KU.5]],Con.Sk.S[[#This Row],[KU.6]],Con.Sk.S[[#This Row],[KU.7]],Con.Sk.S[[#This Row],[KU.8]],Con.Sk.S[[#This Row],[KU.9]]),0),"")</f>
        <v/>
      </c>
      <c r="BX9" s="48" t="str">
        <f>IFERROR(ROUND(AVERAGE(Con.Sk.S[[#This Row],[TJ.1]:[Pro-A.1]],Con.Sk.S[[#This Row],[TJ.2]:[Pro-A.2]],Con.Sk.S[[#This Row],[TJ.3]:[Pro-A.3]],Con.Sk.S[[#This Row],[TJ.4]:[Pro-A.4]],Con.Sk.S[[#This Row],[TJ.5]:[Pro-A.5]],Con.Sk.S[[#This Row],[TJ.6]:[Pro-A.6]],Con.Sk.S[[#This Row],[TJ.7]:[Pro-A.7]],Con.Sk.S[[#This Row],[TJ.8]:[Pro-A.8]],Con.Sk.S[[#This Row],[TJ.9]:[Pro-A.9]]),0),"")</f>
        <v/>
      </c>
      <c r="BY9" s="3"/>
      <c r="BZ9" s="73" t="str">
        <f>IF(NSi.SE[[#This Row],[KU.1]]="A",100,IF(NSi.SE[[#This Row],[KU.1]]="B",89,IF(NSi.SE[[#This Row],[KU.1]]="C",79,IF(NSi.SE[[#This Row],[KU.1]]="D",69,IF(NSi.SE[[#This Row],[KU.1]]="E",0,"-")))))</f>
        <v>-</v>
      </c>
      <c r="CA9" s="73" t="str">
        <f>IF(NSi.SE[[#This Row],[TJ.1]]=1,100,IF(NSi.SE[[#This Row],[TJ.1]]=2,89,IF(NSi.SE[[#This Row],[TJ.1]]=3,79,IF(NSi.SE[[#This Row],[TJ.1]]=4,69,IF(NSi.SE[[#This Row],[TJ.1]]=5,0,"-")))))</f>
        <v>-</v>
      </c>
      <c r="CB9" s="73" t="str">
        <f>IF(NSi.SE[[#This Row],[Ker.1]]=1,100,IF(NSi.SE[[#This Row],[Ker.1]]=2,89,IF(NSi.SE[[#This Row],[Ker.1]]=3,79,IF(NSi.SE[[#This Row],[Ker.1]]=4,69,IF(NSi.SE[[#This Row],[Ker.1]]=5,0,"-")))))</f>
        <v>-</v>
      </c>
      <c r="CC9" s="73" t="str">
        <f>IF(NSi.SE[[#This Row],[Ped.1]]=1,100,IF(NSi.SE[[#This Row],[Ped.1]]=2,89,IF(NSi.SE[[#This Row],[Ped.1]]=3,79,IF(NSi.SE[[#This Row],[Ped.1]]=4,69,IF(NSi.SE[[#This Row],[Ped.1]]=5,0,"-")))))</f>
        <v>-</v>
      </c>
      <c r="CD9" s="73" t="str">
        <f>IF(NSi.SE[[#This Row],[Pro-A.1]]=1,100,IF(NSi.SE[[#This Row],[Pro-A.1]]=2,89,IF(NSi.SE[[#This Row],[Pro-A.1]]=3,79,IF(NSi.SE[[#This Row],[Pro-A.1]]=4,69,IF(NSi.SE[[#This Row],[Pro-A.1]]=5,0,"-")))))</f>
        <v>-</v>
      </c>
      <c r="CE9" s="73" t="str">
        <f>IF(NSi.SE[[#This Row],[KU.2]]="A",100,IF(NSi.SE[[#This Row],[KU.2]]="B",89,IF(NSi.SE[[#This Row],[KU.2]]="C",79,IF(NSi.SE[[#This Row],[KU.2]]="D",69,IF(NSi.SE[[#This Row],[KU.2]]="E",0,"-")))))</f>
        <v>-</v>
      </c>
      <c r="CF9" s="73" t="str">
        <f>IF(NSi.SE[[#This Row],[TJ.2]]=1,100,IF(NSi.SE[[#This Row],[TJ.2]]=2,89,IF(NSi.SE[[#This Row],[TJ.2]]=3,79,IF(NSi.SE[[#This Row],[TJ.2]]=4,69,IF(NSi.SE[[#This Row],[TJ.2]]=5,0,"-")))))</f>
        <v>-</v>
      </c>
      <c r="CG9" s="73" t="str">
        <f>IF(NSi.SE[[#This Row],[Ker.2]]=1,100,IF(NSi.SE[[#This Row],[Ker.2]]=2,89,IF(NSi.SE[[#This Row],[Ker.2]]=3,79,IF(NSi.SE[[#This Row],[Ker.2]]=4,69,IF(NSi.SE[[#This Row],[Ker.2]]=5,0,"-")))))</f>
        <v>-</v>
      </c>
      <c r="CH9" s="73" t="str">
        <f>IF(NSi.SE[[#This Row],[Ped.2]]=1,100,IF(NSi.SE[[#This Row],[Ped.2]]=2,89,IF(NSi.SE[[#This Row],[Ped.2]]=3,79,IF(NSi.SE[[#This Row],[Ped.2]]=4,69,IF(NSi.SE[[#This Row],[Ped.2]]=5,0,"-")))))</f>
        <v>-</v>
      </c>
      <c r="CI9" s="73" t="str">
        <f>IF(NSi.SE[[#This Row],[Pro-A.2]]=1,100,IF(NSi.SE[[#This Row],[Pro-A.2]]=2,89,IF(NSi.SE[[#This Row],[Pro-A.2]]=3,79,IF(NSi.SE[[#This Row],[Pro-A.2]]=4,69,IF(NSi.SE[[#This Row],[Pro-A.2]]=5,0,"-")))))</f>
        <v>-</v>
      </c>
      <c r="CJ9" s="74" t="str">
        <f>IF(NSi.SE[[#This Row],[KU.3]]="A",100,IF(NSi.SE[[#This Row],[KU.3]]="B",89,IF(NSi.SE[[#This Row],[KU.3]]="C",79,IF(NSi.SE[[#This Row],[KU.3]]="D",69,IF(NSi.SE[[#This Row],[KU.3]]="E",0,"-")))))</f>
        <v>-</v>
      </c>
      <c r="CK9" s="73" t="str">
        <f>IF(NSi.SE[[#This Row],[TJ.3]]=1,100,IF(NSi.SE[[#This Row],[TJ.3]]=2,89,IF(NSi.SE[[#This Row],[TJ.3]]=3,79,IF(NSi.SE[[#This Row],[TJ.3]]=4,69,IF(NSi.SE[[#This Row],[TJ.3]]=5,0,"-")))))</f>
        <v>-</v>
      </c>
      <c r="CL9" s="73" t="str">
        <f>IF(NSi.SE[[#This Row],[Ker.3]]=1,100,IF(NSi.SE[[#This Row],[Ker.3]]=2,89,IF(NSi.SE[[#This Row],[Ker.3]]=3,79,IF(NSi.SE[[#This Row],[Ker.3]]=4,69,IF(NSi.SE[[#This Row],[Ker.3]]=5,0,"-")))))</f>
        <v>-</v>
      </c>
      <c r="CM9" s="73" t="str">
        <f>IF(NSi.SE[[#This Row],[Ped.3]]=1,100,IF(NSi.SE[[#This Row],[Ped.3]]=2,89,IF(NSi.SE[[#This Row],[Ped.3]]=3,79,IF(NSi.SE[[#This Row],[Ped.3]]=4,69,IF(NSi.SE[[#This Row],[Ped.3]]=5,0,"-")))))</f>
        <v>-</v>
      </c>
      <c r="CN9" s="73" t="str">
        <f>IF(NSi.SE[[#This Row],[Pro-A.3]]=1,100,IF(NSi.SE[[#This Row],[Pro-A.3]]=2,89,IF(NSi.SE[[#This Row],[Pro-A.3]]=3,79,IF(NSi.SE[[#This Row],[Pro-A.3]]=4,69,IF(NSi.SE[[#This Row],[Pro-A.3]]=5,0,"-")))))</f>
        <v>-</v>
      </c>
      <c r="CO9" s="74" t="str">
        <f>IF(NSi.SE[[#This Row],[KU.4]]="A",100,IF(NSi.SE[[#This Row],[KU.4]]="B",89,IF(NSi.SE[[#This Row],[KU.4]]="C",79,IF(NSi.SE[[#This Row],[KU.4]]="D",69,IF(NSi.SE[[#This Row],[KU.4]]="E",0,"-")))))</f>
        <v>-</v>
      </c>
      <c r="CP9" s="73" t="str">
        <f>IF(NSi.SE[[#This Row],[TJ.4]]=1,100,IF(NSi.SE[[#This Row],[TJ.4]]=2,89,IF(NSi.SE[[#This Row],[TJ.4]]=3,79,IF(NSi.SE[[#This Row],[TJ.4]]=4,69,IF(NSi.SE[[#This Row],[TJ.4]]=5,0,"-")))))</f>
        <v>-</v>
      </c>
      <c r="CQ9" s="73" t="str">
        <f>IF(NSi.SE[[#This Row],[Ker.4]]=1,100,IF(NSi.SE[[#This Row],[Ker.4]]=2,89,IF(NSi.SE[[#This Row],[Ker.4]]=3,79,IF(NSi.SE[[#This Row],[Ker.4]]=4,69,IF(NSi.SE[[#This Row],[Ker.4]]=5,0,"-")))))</f>
        <v>-</v>
      </c>
      <c r="CR9" s="73" t="str">
        <f>IF(NSi.SE[[#This Row],[Ped.4]]=1,100,IF(NSi.SE[[#This Row],[Ped.4]]=2,89,IF(NSi.SE[[#This Row],[Ped.4]]=3,79,IF(NSi.SE[[#This Row],[Ped.4]]=4,69,IF(NSi.SE[[#This Row],[Ped.4]]=5,0,"-")))))</f>
        <v>-</v>
      </c>
      <c r="CS9" s="73" t="str">
        <f>IF(NSi.SE[[#This Row],[Pro-A.4]]=1,100,IF(NSi.SE[[#This Row],[Pro-A.4]]=2,89,IF(NSi.SE[[#This Row],[Pro-A.4]]=3,79,IF(NSi.SE[[#This Row],[Pro-A.4]]=4,69,IF(NSi.SE[[#This Row],[Pro-A.4]]=5,0,"-")))))</f>
        <v>-</v>
      </c>
      <c r="CT9" s="74" t="str">
        <f>IF(NSi.SE[[#This Row],[KU.5]]="A",100,IF(NSi.SE[[#This Row],[KU.5]]="B",89,IF(NSi.SE[[#This Row],[KU.5]]="C",79,IF(NSi.SE[[#This Row],[KU.5]]="D",69,IF(NSi.SE[[#This Row],[KU.5]]="E",0,"-")))))</f>
        <v>-</v>
      </c>
      <c r="CU9" s="73" t="str">
        <f>IF(NSi.SE[[#This Row],[TJ.5]]=1,100,IF(NSi.SE[[#This Row],[TJ.5]]=2,89,IF(NSi.SE[[#This Row],[TJ.5]]=3,79,IF(NSi.SE[[#This Row],[TJ.5]]=4,69,IF(NSi.SE[[#This Row],[TJ.5]]=5,0,"-")))))</f>
        <v>-</v>
      </c>
      <c r="CV9" s="73" t="str">
        <f>IF(NSi.SE[[#This Row],[Ker.5]]=1,100,IF(NSi.SE[[#This Row],[Ker.5]]=2,89,IF(NSi.SE[[#This Row],[Ker.5]]=3,79,IF(NSi.SE[[#This Row],[Ker.5]]=4,69,IF(NSi.SE[[#This Row],[Ker.5]]=5,0,"-")))))</f>
        <v>-</v>
      </c>
      <c r="CW9" s="73" t="str">
        <f>IF(NSi.SE[[#This Row],[Ped.5]]=1,100,IF(NSi.SE[[#This Row],[Ped.5]]=2,89,IF(NSi.SE[[#This Row],[Ped.5]]=3,79,IF(NSi.SE[[#This Row],[Ped.5]]=4,69,IF(NSi.SE[[#This Row],[Ped.5]]=5,0,"-")))))</f>
        <v>-</v>
      </c>
      <c r="CX9" s="73" t="str">
        <f>IF(NSi.SE[[#This Row],[Pro-A.5]]=1,100,IF(NSi.SE[[#This Row],[Pro-A.5]]=2,89,IF(NSi.SE[[#This Row],[Pro-A.5]]=3,79,IF(NSi.SE[[#This Row],[Pro-A.5]]=4,69,IF(NSi.SE[[#This Row],[Pro-A.5]]=5,0,"-")))))</f>
        <v>-</v>
      </c>
      <c r="CY9" s="74" t="str">
        <f>IF(NSi.SE[[#This Row],[KU.6]]="A",100,IF(NSi.SE[[#This Row],[KU.6]]="B",89,IF(NSi.SE[[#This Row],[KU.6]]="C",79,IF(NSi.SE[[#This Row],[KU.6]]="D",69,IF(NSi.SE[[#This Row],[KU.6]]="E",0,"-")))))</f>
        <v>-</v>
      </c>
      <c r="CZ9" s="73" t="str">
        <f>IF(NSi.SE[[#This Row],[TJ.6]]=1,100,IF(NSi.SE[[#This Row],[TJ.6]]=2,89,IF(NSi.SE[[#This Row],[TJ.6]]=3,79,IF(NSi.SE[[#This Row],[TJ.6]]=4,69,IF(NSi.SE[[#This Row],[TJ.6]]=5,0,"-")))))</f>
        <v>-</v>
      </c>
      <c r="DA9" s="73" t="str">
        <f>IF(NSi.SE[[#This Row],[Ker.6]]=1,100,IF(NSi.SE[[#This Row],[Ker.6]]=2,89,IF(NSi.SE[[#This Row],[Ker.6]]=3,79,IF(NSi.SE[[#This Row],[Ker.6]]=4,69,IF(NSi.SE[[#This Row],[Ker.6]]=5,0,"-")))))</f>
        <v>-</v>
      </c>
      <c r="DB9" s="73" t="str">
        <f>IF(NSi.SE[[#This Row],[Ped.6]]=1,100,IF(NSi.SE[[#This Row],[Ped.6]]=2,89,IF(NSi.SE[[#This Row],[Ped.6]]=3,79,IF(NSi.SE[[#This Row],[Ped.6]]=4,69,IF(NSi.SE[[#This Row],[Ped.6]]=5,0,"-")))))</f>
        <v>-</v>
      </c>
      <c r="DC9" s="73" t="str">
        <f>IF(NSi.SE[[#This Row],[Pro-A.6]]=1,100,IF(NSi.SE[[#This Row],[Pro-A.6]]=2,89,IF(NSi.SE[[#This Row],[Pro-A.6]]=3,79,IF(NSi.SE[[#This Row],[Pro-A.6]]=4,69,IF(NSi.SE[[#This Row],[Pro-A.6]]=5,0,"-")))))</f>
        <v>-</v>
      </c>
      <c r="DD9" s="74" t="str">
        <f>IF(NSi.SE[[#This Row],[KU.7]]="A",100,IF(NSi.SE[[#This Row],[KU.7]]="B",89,IF(NSi.SE[[#This Row],[KU.7]]="C",79,IF(NSi.SE[[#This Row],[KU.7]]="D",69,IF(NSi.SE[[#This Row],[KU.7]]="E",0,"-")))))</f>
        <v>-</v>
      </c>
      <c r="DE9" s="73" t="str">
        <f>IF(NSi.SE[[#This Row],[TJ.7]]=1,100,IF(NSi.SE[[#This Row],[TJ.7]]=2,89,IF(NSi.SE[[#This Row],[TJ.7]]=3,79,IF(NSi.SE[[#This Row],[TJ.7]]=4,69,IF(NSi.SE[[#This Row],[TJ.7]]=5,0,"-")))))</f>
        <v>-</v>
      </c>
      <c r="DF9" s="73" t="str">
        <f>IF(NSi.SE[[#This Row],[Ker.7]]=1,100,IF(NSi.SE[[#This Row],[Ker.7]]=2,89,IF(NSi.SE[[#This Row],[Ker.7]]=3,79,IF(NSi.SE[[#This Row],[Ker.7]]=4,69,IF(NSi.SE[[#This Row],[Ker.7]]=5,0,"-")))))</f>
        <v>-</v>
      </c>
      <c r="DG9" s="73" t="str">
        <f>IF(NSi.SE[[#This Row],[Ped.7]]=1,100,IF(NSi.SE[[#This Row],[Ped.7]]=2,89,IF(NSi.SE[[#This Row],[Ped.7]]=3,79,IF(NSi.SE[[#This Row],[Ped.7]]=4,69,IF(NSi.SE[[#This Row],[Ped.7]]=5,0,"-")))))</f>
        <v>-</v>
      </c>
      <c r="DH9" s="73" t="str">
        <f>IF(NSi.SE[[#This Row],[Pro-A.7]]=1,100,IF(NSi.SE[[#This Row],[Pro-A.7]]=2,89,IF(NSi.SE[[#This Row],[Pro-A.7]]=3,79,IF(NSi.SE[[#This Row],[Pro-A.7]]=4,69,IF(NSi.SE[[#This Row],[Pro-A.7]]=5,0,"-")))))</f>
        <v>-</v>
      </c>
      <c r="DI9" s="74" t="str">
        <f>IF(NSi.SE[[#This Row],[KU.8]]="A",100,IF(NSi.SE[[#This Row],[KU.8]]="B",89,IF(NSi.SE[[#This Row],[KU.8]]="C",79,IF(NSi.SE[[#This Row],[KU.8]]="D",69,IF(NSi.SE[[#This Row],[KU.8]]="E",0,"-")))))</f>
        <v>-</v>
      </c>
      <c r="DJ9" s="73" t="str">
        <f>IF(NSi.SE[[#This Row],[TJ.8]]=1,100,IF(NSi.SE[[#This Row],[TJ.8]]=2,89,IF(NSi.SE[[#This Row],[TJ.8]]=3,79,IF(NSi.SE[[#This Row],[TJ.8]]=4,69,IF(NSi.SE[[#This Row],[TJ.8]]=5,0,"-")))))</f>
        <v>-</v>
      </c>
      <c r="DK9" s="73" t="str">
        <f>IF(NSi.SE[[#This Row],[Ker.8]]=1,100,IF(NSi.SE[[#This Row],[Ker.8]]=2,89,IF(NSi.SE[[#This Row],[Ker.8]]=3,79,IF(NSi.SE[[#This Row],[Ker.8]]=4,69,IF(NSi.SE[[#This Row],[Ker.8]]=5,0,"-")))))</f>
        <v>-</v>
      </c>
      <c r="DL9" s="73" t="str">
        <f>IF(NSi.SE[[#This Row],[Ped.8]]=1,100,IF(NSi.SE[[#This Row],[Ped.8]]=2,89,IF(NSi.SE[[#This Row],[Ped.8]]=3,79,IF(NSi.SE[[#This Row],[Ped.8]]=4,69,IF(NSi.SE[[#This Row],[Ped.8]]=5,0,"-")))))</f>
        <v>-</v>
      </c>
      <c r="DM9" s="73" t="str">
        <f>IF(NSi.SE[[#This Row],[Pro-A.8]]=1,100,IF(NSi.SE[[#This Row],[Pro-A.8]]=2,89,IF(NSi.SE[[#This Row],[Pro-A.8]]=3,79,IF(NSi.SE[[#This Row],[Pro-A.8]]=4,69,IF(NSi.SE[[#This Row],[Pro-A.8]]=5,0,"-")))))</f>
        <v>-</v>
      </c>
      <c r="DN9" s="74" t="str">
        <f>IF(NSi.SE[[#This Row],[KU.9]]="A",100,IF(NSi.SE[[#This Row],[KU.9]]="B",89,IF(NSi.SE[[#This Row],[KU.9]]="C",79,IF(NSi.SE[[#This Row],[KU.9]]="D",69,IF(NSi.SE[[#This Row],[KU.9]]="E",0,"-")))))</f>
        <v>-</v>
      </c>
      <c r="DO9" s="73" t="str">
        <f>IF(NSi.SE[[#This Row],[TJ.9]]=1,100,IF(NSi.SE[[#This Row],[TJ.9]]=2,89,IF(NSi.SE[[#This Row],[TJ.9]]=3,79,IF(NSi.SE[[#This Row],[TJ.9]]=4,69,IF(NSi.SE[[#This Row],[TJ.9]]=5,0,"-")))))</f>
        <v>-</v>
      </c>
      <c r="DP9" s="73" t="str">
        <f>IF(NSi.SE[[#This Row],[Ker.9]]=1,100,IF(NSi.SE[[#This Row],[Ker.9]]=2,89,IF(NSi.SE[[#This Row],[Ker.9]]=3,79,IF(NSi.SE[[#This Row],[Ker.9]]=4,69,IF(NSi.SE[[#This Row],[Ker.9]]=5,0,"-")))))</f>
        <v>-</v>
      </c>
      <c r="DQ9" s="73" t="str">
        <f>IF(NSi.SE[[#This Row],[Ped.9]]=1,100,IF(NSi.SE[[#This Row],[Ped.9]]=2,89,IF(NSi.SE[[#This Row],[Ped.9]]=3,79,IF(NSi.SE[[#This Row],[Ped.9]]=4,69,IF(NSi.SE[[#This Row],[Ped.9]]=5,0,"-")))))</f>
        <v>-</v>
      </c>
      <c r="DR9" s="73" t="str">
        <f>IF(NSi.SE[[#This Row],[Pro-A.9]]=1,100,IF(NSi.SE[[#This Row],[Pro-A.9]]=2,89,IF(NSi.SE[[#This Row],[Pro-A.9]]=3,79,IF(NSi.SE[[#This Row],[Pro-A.9]]=4,69,IF(NSi.SE[[#This Row],[Pro-A.9]]=5,0,"-")))))</f>
        <v>-</v>
      </c>
      <c r="DT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0" spans="1:124" ht="50.1" customHeight="1" x14ac:dyDescent="0.3">
      <c r="A10" s="66">
        <f>IF(NSi.TS[[#This Row],[No]]=0,"",NSi.TS[[#This Row],[No]])</f>
        <v>8</v>
      </c>
      <c r="B10" s="67" t="str">
        <f>IF(NSi.TS[[#This Row],[Nama Siswa]]=0,"",NSi.TS[[#This Row],[Nama Siswa]])</f>
        <v>Tirto Mohamad</v>
      </c>
      <c r="C10" s="68" t="str">
        <f>IF(NSi.TS[[#This Row],[Nomor Induk]]=0,"",NSi.TS[[#This Row],[Nomor Induk]])</f>
        <v>8/HBICSHIGH/20</v>
      </c>
      <c r="D10" s="68">
        <f>IF(NSi.TS[[#This Row],[NISN]]=0,"",NSi.TS[[#This Row],[NISN]])</f>
        <v>21962089</v>
      </c>
      <c r="E10" s="68" t="str">
        <f>IF(NSi.TS[[#This Row],[Jurusan]]=0,"",NSi.TS[[#This Row],[Jurusan]])</f>
        <v>IPS</v>
      </c>
      <c r="F10" s="39" t="str">
        <f>NSi.TS[[#This Row],[Nsi.TS]]</f>
        <v/>
      </c>
      <c r="G10" s="39" t="str">
        <f>IFERROR(ROUND(AVERAGE(CSCR.S[#This Row]),0),"")</f>
        <v/>
      </c>
      <c r="H10" s="39" t="str">
        <f>IFERROR(ROUND(AVERAGE(NSi.SE[[#This Row],[Nsi.TS]:[NS.iS]]),0),"")</f>
        <v/>
      </c>
      <c r="I10" s="41" t="s">
        <v>102</v>
      </c>
      <c r="J10" s="45" t="s">
        <v>102</v>
      </c>
      <c r="K10" s="45" t="s">
        <v>102</v>
      </c>
      <c r="L10" s="45" t="s">
        <v>102</v>
      </c>
      <c r="M10" s="45" t="s">
        <v>102</v>
      </c>
      <c r="N10" s="41" t="s">
        <v>102</v>
      </c>
      <c r="O10" s="45" t="s">
        <v>102</v>
      </c>
      <c r="P10" s="45" t="s">
        <v>102</v>
      </c>
      <c r="Q10" s="45" t="s">
        <v>102</v>
      </c>
      <c r="R10" s="45" t="s">
        <v>102</v>
      </c>
      <c r="S10" s="41" t="s">
        <v>102</v>
      </c>
      <c r="T10" s="45" t="s">
        <v>102</v>
      </c>
      <c r="U10" s="45" t="s">
        <v>102</v>
      </c>
      <c r="V10" s="45" t="s">
        <v>102</v>
      </c>
      <c r="W10" s="45" t="s">
        <v>102</v>
      </c>
      <c r="X10" s="41" t="s">
        <v>102</v>
      </c>
      <c r="Y10" s="45" t="s">
        <v>102</v>
      </c>
      <c r="Z10" s="45" t="s">
        <v>102</v>
      </c>
      <c r="AA10" s="45" t="s">
        <v>102</v>
      </c>
      <c r="AB10" s="45" t="s">
        <v>102</v>
      </c>
      <c r="AC10" s="41" t="s">
        <v>102</v>
      </c>
      <c r="AD10" s="45" t="s">
        <v>102</v>
      </c>
      <c r="AE10" s="45" t="s">
        <v>102</v>
      </c>
      <c r="AF10" s="45" t="s">
        <v>102</v>
      </c>
      <c r="AG10" s="45" t="s">
        <v>102</v>
      </c>
      <c r="AH10" s="41" t="s">
        <v>102</v>
      </c>
      <c r="AI10" s="45" t="s">
        <v>102</v>
      </c>
      <c r="AJ10" s="45" t="s">
        <v>102</v>
      </c>
      <c r="AK10" s="45" t="s">
        <v>102</v>
      </c>
      <c r="AL10" s="45" t="s">
        <v>102</v>
      </c>
      <c r="AM10" s="41" t="s">
        <v>102</v>
      </c>
      <c r="AN10" s="45" t="s">
        <v>102</v>
      </c>
      <c r="AO10" s="45" t="s">
        <v>102</v>
      </c>
      <c r="AP10" s="45" t="s">
        <v>102</v>
      </c>
      <c r="AQ10" s="45" t="s">
        <v>102</v>
      </c>
      <c r="AR10" s="41" t="s">
        <v>102</v>
      </c>
      <c r="AS10" s="45" t="s">
        <v>102</v>
      </c>
      <c r="AT10" s="45" t="s">
        <v>102</v>
      </c>
      <c r="AU10" s="45" t="s">
        <v>102</v>
      </c>
      <c r="AV10" s="45" t="s">
        <v>102</v>
      </c>
      <c r="AW10" s="41" t="s">
        <v>102</v>
      </c>
      <c r="AX10" s="45" t="s">
        <v>102</v>
      </c>
      <c r="AY10" s="45" t="s">
        <v>102</v>
      </c>
      <c r="AZ10" s="45" t="s">
        <v>102</v>
      </c>
      <c r="BA10" s="45" t="s">
        <v>102</v>
      </c>
      <c r="BC10" s="10" t="str">
        <f>CONCATENATE(NSi.SE[[#This Row],[KU.1]],(IF(A.LoE.S[[#This Row],[LE.1]]="-","-",IF(A.LoE.S[[#This Row],[LE.1]]&gt;=90,1,IF(A.LoE.S[[#This Row],[LE.1]]&gt;=80,2,IF(A.LoE.S[[#This Row],[LE.1]]&gt;=70,3,IF(A.LoE.S[[#This Row],[LE.1]]&gt;=1,4,5)))))))</f>
        <v>--</v>
      </c>
      <c r="BD10" s="46" t="str">
        <f>CONCATENATE(NSi.SE[[#This Row],[KU.2]],(IF(A.LoE.S[[#This Row],[LE.2]]="-","-",IF(A.LoE.S[[#This Row],[LE.2]]&gt;=90,1,IF(A.LoE.S[[#This Row],[LE.2]]&gt;=80,2,IF(A.LoE.S[[#This Row],[LE.2]]&gt;=70,3,IF(A.LoE.S[[#This Row],[LE.2]]&gt;=1,4,5)))))))</f>
        <v>--</v>
      </c>
      <c r="BE10" s="46" t="str">
        <f>CONCATENATE(NSi.SE[[#This Row],[KU.3]],(IF(A.LoE.S[[#This Row],[LE.3]]="-","-",IF(A.LoE.S[[#This Row],[LE.3]]&gt;=90,1,IF(A.LoE.S[[#This Row],[LE.3]]&gt;=80,2,IF(A.LoE.S[[#This Row],[LE.3]]&gt;=70,3,IF(A.LoE.S[[#This Row],[LE.3]]&gt;=1,4,5)))))))</f>
        <v>--</v>
      </c>
      <c r="BF10" s="46" t="str">
        <f>CONCATENATE(NSi.SE[[#This Row],[KU.4]],(IF(A.LoE.S[[#This Row],[LE.4]]="-","-",IF(A.LoE.S[[#This Row],[LE.4]]&gt;=90,1,IF(A.LoE.S[[#This Row],[LE.4]]&gt;=80,2,IF(A.LoE.S[[#This Row],[LE.4]]&gt;=70,3,IF(A.LoE.S[[#This Row],[LE.4]]&gt;=1,4,5)))))))</f>
        <v>--</v>
      </c>
      <c r="BG10" s="46" t="str">
        <f>CONCATENATE(NSi.SE[[#This Row],[KU.5]],(IF(A.LoE.S[[#This Row],[LE.5]]="-","-",IF(A.LoE.S[[#This Row],[LE.5]]&gt;=90,1,IF(A.LoE.S[[#This Row],[LE.5]]&gt;=80,2,IF(A.LoE.S[[#This Row],[LE.5]]&gt;=70,3,IF(A.LoE.S[[#This Row],[LE.5]]&gt;=1,4,5)))))))</f>
        <v>--</v>
      </c>
      <c r="BH10" s="46" t="str">
        <f>CONCATENATE(NSi.SE[[#This Row],[KU.6]],(IF(A.LoE.S[[#This Row],[LE.6]]="-","-",IF(A.LoE.S[[#This Row],[LE.6]]&gt;=90,1,IF(A.LoE.S[[#This Row],[LE.6]]&gt;=80,2,IF(A.LoE.S[[#This Row],[LE.6]]&gt;=70,3,IF(A.LoE.S[[#This Row],[LE.6]]&gt;=1,4,5)))))))</f>
        <v>--</v>
      </c>
      <c r="BI10" s="46" t="str">
        <f>CONCATENATE(NSi.SE[[#This Row],[KU.7]],(IF(A.LoE.S[[#This Row],[LE.7]]="-","-",IF(A.LoE.S[[#This Row],[LE.7]]&gt;=90,1,IF(A.LoE.S[[#This Row],[LE.7]]&gt;=80,2,IF(A.LoE.S[[#This Row],[LE.7]]&gt;=70,3,IF(A.LoE.S[[#This Row],[LE.7]]&gt;=1,4,5)))))))</f>
        <v>--</v>
      </c>
      <c r="BJ10" s="46" t="str">
        <f>CONCATENATE(NSi.SE[[#This Row],[KU.8]],(IF(A.LoE.S[[#This Row],[LE.8]]="-","-",IF(A.LoE.S[[#This Row],[LE.8]]&gt;=90,1,IF(A.LoE.S[[#This Row],[LE.8]]&gt;=80,2,IF(A.LoE.S[[#This Row],[LE.8]]&gt;=70,3,IF(A.LoE.S[[#This Row],[LE.8]]&gt;=1,4,5)))))))</f>
        <v>--</v>
      </c>
      <c r="BK10" s="38" t="str">
        <f>CONCATENATE(NSi.SE[[#This Row],[KU.9]],(IF(A.LoE.S[[#This Row],[LE.9]]="-","-",IF(A.LoE.S[[#This Row],[LE.9]]&gt;=90,1,IF(A.LoE.S[[#This Row],[LE.9]]&gt;=80,2,IF(A.LoE.S[[#This Row],[LE.9]]&gt;=70,3,IF(A.LoE.S[[#This Row],[LE.9]]&gt;=1,4,5)))))))</f>
        <v>--</v>
      </c>
      <c r="BM10" s="35" t="str">
        <f>IFERROR(ROUND(AVERAGE(Con.Sk.S[[#This Row],[TJ.1]:[Pro-A.1]]),0),"-")</f>
        <v>-</v>
      </c>
      <c r="BN10" s="24" t="str">
        <f>IFERROR(ROUND(AVERAGE(Con.Sk.S[[#This Row],[TJ.2]:[Pro-A.2]]),0),"-")</f>
        <v>-</v>
      </c>
      <c r="BO10" s="24" t="str">
        <f>IFERROR(ROUND(AVERAGE(Con.Sk.S[[#This Row],[TJ.3]:[Pro-A.3]]),0),"-")</f>
        <v>-</v>
      </c>
      <c r="BP10" s="24" t="str">
        <f>IFERROR(ROUND(AVERAGE(Con.Sk.S[[#This Row],[TJ.4]:[Pro-A.4]]),0),"-")</f>
        <v>-</v>
      </c>
      <c r="BQ10" s="24" t="str">
        <f>IFERROR(ROUND(AVERAGE(Con.Sk.S[[#This Row],[TJ.5]:[Pro-A.5]]),0),"-")</f>
        <v>-</v>
      </c>
      <c r="BR10" s="24" t="str">
        <f>IFERROR(ROUND(AVERAGE(Con.Sk.S[[#This Row],[TJ.6]:[Pro-A.6]]),0),"-")</f>
        <v>-</v>
      </c>
      <c r="BS10" s="24" t="str">
        <f>IFERROR(ROUND(AVERAGE(Con.Sk.S[[#This Row],[TJ.7]:[Pro-A.7]]),0),"-")</f>
        <v>-</v>
      </c>
      <c r="BT10" s="24" t="str">
        <f>IFERROR(ROUND(AVERAGE(Con.Sk.S[[#This Row],[TJ.8]:[Pro-A.8]]),0),"-")</f>
        <v>-</v>
      </c>
      <c r="BU10" s="25" t="str">
        <f>IFERROR(ROUND(AVERAGE(Con.Sk.S[[#This Row],[TJ.9]:[Pro-A.9]]),0),"-")</f>
        <v>-</v>
      </c>
      <c r="BW10" s="47" t="str">
        <f>IFERROR(ROUND(AVERAGE(Con.Sk.S[[#This Row],[KU.1]],Con.Sk.S[[#This Row],[KU.2]],Con.Sk.S[[#This Row],[KU.3]],Con.Sk.S[[#This Row],[KU.4]],Con.Sk.S[[#This Row],[KU.5]],Con.Sk.S[[#This Row],[KU.6]],Con.Sk.S[[#This Row],[KU.7]],Con.Sk.S[[#This Row],[KU.8]],Con.Sk.S[[#This Row],[KU.9]]),0),"")</f>
        <v/>
      </c>
      <c r="BX10" s="48" t="str">
        <f>IFERROR(ROUND(AVERAGE(Con.Sk.S[[#This Row],[TJ.1]:[Pro-A.1]],Con.Sk.S[[#This Row],[TJ.2]:[Pro-A.2]],Con.Sk.S[[#This Row],[TJ.3]:[Pro-A.3]],Con.Sk.S[[#This Row],[TJ.4]:[Pro-A.4]],Con.Sk.S[[#This Row],[TJ.5]:[Pro-A.5]],Con.Sk.S[[#This Row],[TJ.6]:[Pro-A.6]],Con.Sk.S[[#This Row],[TJ.7]:[Pro-A.7]],Con.Sk.S[[#This Row],[TJ.8]:[Pro-A.8]],Con.Sk.S[[#This Row],[TJ.9]:[Pro-A.9]]),0),"")</f>
        <v/>
      </c>
      <c r="BY10" s="3"/>
      <c r="BZ10" s="73" t="str">
        <f>IF(NSi.SE[[#This Row],[KU.1]]="A",100,IF(NSi.SE[[#This Row],[KU.1]]="B",89,IF(NSi.SE[[#This Row],[KU.1]]="C",79,IF(NSi.SE[[#This Row],[KU.1]]="D",69,IF(NSi.SE[[#This Row],[KU.1]]="E",0,"-")))))</f>
        <v>-</v>
      </c>
      <c r="CA10" s="73" t="str">
        <f>IF(NSi.SE[[#This Row],[TJ.1]]=1,100,IF(NSi.SE[[#This Row],[TJ.1]]=2,89,IF(NSi.SE[[#This Row],[TJ.1]]=3,79,IF(NSi.SE[[#This Row],[TJ.1]]=4,69,IF(NSi.SE[[#This Row],[TJ.1]]=5,0,"-")))))</f>
        <v>-</v>
      </c>
      <c r="CB10" s="73" t="str">
        <f>IF(NSi.SE[[#This Row],[Ker.1]]=1,100,IF(NSi.SE[[#This Row],[Ker.1]]=2,89,IF(NSi.SE[[#This Row],[Ker.1]]=3,79,IF(NSi.SE[[#This Row],[Ker.1]]=4,69,IF(NSi.SE[[#This Row],[Ker.1]]=5,0,"-")))))</f>
        <v>-</v>
      </c>
      <c r="CC10" s="73" t="str">
        <f>IF(NSi.SE[[#This Row],[Ped.1]]=1,100,IF(NSi.SE[[#This Row],[Ped.1]]=2,89,IF(NSi.SE[[#This Row],[Ped.1]]=3,79,IF(NSi.SE[[#This Row],[Ped.1]]=4,69,IF(NSi.SE[[#This Row],[Ped.1]]=5,0,"-")))))</f>
        <v>-</v>
      </c>
      <c r="CD10" s="73" t="str">
        <f>IF(NSi.SE[[#This Row],[Pro-A.1]]=1,100,IF(NSi.SE[[#This Row],[Pro-A.1]]=2,89,IF(NSi.SE[[#This Row],[Pro-A.1]]=3,79,IF(NSi.SE[[#This Row],[Pro-A.1]]=4,69,IF(NSi.SE[[#This Row],[Pro-A.1]]=5,0,"-")))))</f>
        <v>-</v>
      </c>
      <c r="CE10" s="73" t="str">
        <f>IF(NSi.SE[[#This Row],[KU.2]]="A",100,IF(NSi.SE[[#This Row],[KU.2]]="B",89,IF(NSi.SE[[#This Row],[KU.2]]="C",79,IF(NSi.SE[[#This Row],[KU.2]]="D",69,IF(NSi.SE[[#This Row],[KU.2]]="E",0,"-")))))</f>
        <v>-</v>
      </c>
      <c r="CF10" s="73" t="str">
        <f>IF(NSi.SE[[#This Row],[TJ.2]]=1,100,IF(NSi.SE[[#This Row],[TJ.2]]=2,89,IF(NSi.SE[[#This Row],[TJ.2]]=3,79,IF(NSi.SE[[#This Row],[TJ.2]]=4,69,IF(NSi.SE[[#This Row],[TJ.2]]=5,0,"-")))))</f>
        <v>-</v>
      </c>
      <c r="CG10" s="73" t="str">
        <f>IF(NSi.SE[[#This Row],[Ker.2]]=1,100,IF(NSi.SE[[#This Row],[Ker.2]]=2,89,IF(NSi.SE[[#This Row],[Ker.2]]=3,79,IF(NSi.SE[[#This Row],[Ker.2]]=4,69,IF(NSi.SE[[#This Row],[Ker.2]]=5,0,"-")))))</f>
        <v>-</v>
      </c>
      <c r="CH10" s="73" t="str">
        <f>IF(NSi.SE[[#This Row],[Ped.2]]=1,100,IF(NSi.SE[[#This Row],[Ped.2]]=2,89,IF(NSi.SE[[#This Row],[Ped.2]]=3,79,IF(NSi.SE[[#This Row],[Ped.2]]=4,69,IF(NSi.SE[[#This Row],[Ped.2]]=5,0,"-")))))</f>
        <v>-</v>
      </c>
      <c r="CI10" s="73" t="str">
        <f>IF(NSi.SE[[#This Row],[Pro-A.2]]=1,100,IF(NSi.SE[[#This Row],[Pro-A.2]]=2,89,IF(NSi.SE[[#This Row],[Pro-A.2]]=3,79,IF(NSi.SE[[#This Row],[Pro-A.2]]=4,69,IF(NSi.SE[[#This Row],[Pro-A.2]]=5,0,"-")))))</f>
        <v>-</v>
      </c>
      <c r="CJ10" s="74" t="str">
        <f>IF(NSi.SE[[#This Row],[KU.3]]="A",100,IF(NSi.SE[[#This Row],[KU.3]]="B",89,IF(NSi.SE[[#This Row],[KU.3]]="C",79,IF(NSi.SE[[#This Row],[KU.3]]="D",69,IF(NSi.SE[[#This Row],[KU.3]]="E",0,"-")))))</f>
        <v>-</v>
      </c>
      <c r="CK10" s="73" t="str">
        <f>IF(NSi.SE[[#This Row],[TJ.3]]=1,100,IF(NSi.SE[[#This Row],[TJ.3]]=2,89,IF(NSi.SE[[#This Row],[TJ.3]]=3,79,IF(NSi.SE[[#This Row],[TJ.3]]=4,69,IF(NSi.SE[[#This Row],[TJ.3]]=5,0,"-")))))</f>
        <v>-</v>
      </c>
      <c r="CL10" s="73" t="str">
        <f>IF(NSi.SE[[#This Row],[Ker.3]]=1,100,IF(NSi.SE[[#This Row],[Ker.3]]=2,89,IF(NSi.SE[[#This Row],[Ker.3]]=3,79,IF(NSi.SE[[#This Row],[Ker.3]]=4,69,IF(NSi.SE[[#This Row],[Ker.3]]=5,0,"-")))))</f>
        <v>-</v>
      </c>
      <c r="CM10" s="73" t="str">
        <f>IF(NSi.SE[[#This Row],[Ped.3]]=1,100,IF(NSi.SE[[#This Row],[Ped.3]]=2,89,IF(NSi.SE[[#This Row],[Ped.3]]=3,79,IF(NSi.SE[[#This Row],[Ped.3]]=4,69,IF(NSi.SE[[#This Row],[Ped.3]]=5,0,"-")))))</f>
        <v>-</v>
      </c>
      <c r="CN10" s="73" t="str">
        <f>IF(NSi.SE[[#This Row],[Pro-A.3]]=1,100,IF(NSi.SE[[#This Row],[Pro-A.3]]=2,89,IF(NSi.SE[[#This Row],[Pro-A.3]]=3,79,IF(NSi.SE[[#This Row],[Pro-A.3]]=4,69,IF(NSi.SE[[#This Row],[Pro-A.3]]=5,0,"-")))))</f>
        <v>-</v>
      </c>
      <c r="CO10" s="74" t="str">
        <f>IF(NSi.SE[[#This Row],[KU.4]]="A",100,IF(NSi.SE[[#This Row],[KU.4]]="B",89,IF(NSi.SE[[#This Row],[KU.4]]="C",79,IF(NSi.SE[[#This Row],[KU.4]]="D",69,IF(NSi.SE[[#This Row],[KU.4]]="E",0,"-")))))</f>
        <v>-</v>
      </c>
      <c r="CP10" s="73" t="str">
        <f>IF(NSi.SE[[#This Row],[TJ.4]]=1,100,IF(NSi.SE[[#This Row],[TJ.4]]=2,89,IF(NSi.SE[[#This Row],[TJ.4]]=3,79,IF(NSi.SE[[#This Row],[TJ.4]]=4,69,IF(NSi.SE[[#This Row],[TJ.4]]=5,0,"-")))))</f>
        <v>-</v>
      </c>
      <c r="CQ10" s="73" t="str">
        <f>IF(NSi.SE[[#This Row],[Ker.4]]=1,100,IF(NSi.SE[[#This Row],[Ker.4]]=2,89,IF(NSi.SE[[#This Row],[Ker.4]]=3,79,IF(NSi.SE[[#This Row],[Ker.4]]=4,69,IF(NSi.SE[[#This Row],[Ker.4]]=5,0,"-")))))</f>
        <v>-</v>
      </c>
      <c r="CR10" s="73" t="str">
        <f>IF(NSi.SE[[#This Row],[Ped.4]]=1,100,IF(NSi.SE[[#This Row],[Ped.4]]=2,89,IF(NSi.SE[[#This Row],[Ped.4]]=3,79,IF(NSi.SE[[#This Row],[Ped.4]]=4,69,IF(NSi.SE[[#This Row],[Ped.4]]=5,0,"-")))))</f>
        <v>-</v>
      </c>
      <c r="CS10" s="73" t="str">
        <f>IF(NSi.SE[[#This Row],[Pro-A.4]]=1,100,IF(NSi.SE[[#This Row],[Pro-A.4]]=2,89,IF(NSi.SE[[#This Row],[Pro-A.4]]=3,79,IF(NSi.SE[[#This Row],[Pro-A.4]]=4,69,IF(NSi.SE[[#This Row],[Pro-A.4]]=5,0,"-")))))</f>
        <v>-</v>
      </c>
      <c r="CT10" s="74" t="str">
        <f>IF(NSi.SE[[#This Row],[KU.5]]="A",100,IF(NSi.SE[[#This Row],[KU.5]]="B",89,IF(NSi.SE[[#This Row],[KU.5]]="C",79,IF(NSi.SE[[#This Row],[KU.5]]="D",69,IF(NSi.SE[[#This Row],[KU.5]]="E",0,"-")))))</f>
        <v>-</v>
      </c>
      <c r="CU10" s="73" t="str">
        <f>IF(NSi.SE[[#This Row],[TJ.5]]=1,100,IF(NSi.SE[[#This Row],[TJ.5]]=2,89,IF(NSi.SE[[#This Row],[TJ.5]]=3,79,IF(NSi.SE[[#This Row],[TJ.5]]=4,69,IF(NSi.SE[[#This Row],[TJ.5]]=5,0,"-")))))</f>
        <v>-</v>
      </c>
      <c r="CV10" s="73" t="str">
        <f>IF(NSi.SE[[#This Row],[Ker.5]]=1,100,IF(NSi.SE[[#This Row],[Ker.5]]=2,89,IF(NSi.SE[[#This Row],[Ker.5]]=3,79,IF(NSi.SE[[#This Row],[Ker.5]]=4,69,IF(NSi.SE[[#This Row],[Ker.5]]=5,0,"-")))))</f>
        <v>-</v>
      </c>
      <c r="CW10" s="73" t="str">
        <f>IF(NSi.SE[[#This Row],[Ped.5]]=1,100,IF(NSi.SE[[#This Row],[Ped.5]]=2,89,IF(NSi.SE[[#This Row],[Ped.5]]=3,79,IF(NSi.SE[[#This Row],[Ped.5]]=4,69,IF(NSi.SE[[#This Row],[Ped.5]]=5,0,"-")))))</f>
        <v>-</v>
      </c>
      <c r="CX10" s="73" t="str">
        <f>IF(NSi.SE[[#This Row],[Pro-A.5]]=1,100,IF(NSi.SE[[#This Row],[Pro-A.5]]=2,89,IF(NSi.SE[[#This Row],[Pro-A.5]]=3,79,IF(NSi.SE[[#This Row],[Pro-A.5]]=4,69,IF(NSi.SE[[#This Row],[Pro-A.5]]=5,0,"-")))))</f>
        <v>-</v>
      </c>
      <c r="CY10" s="74" t="str">
        <f>IF(NSi.SE[[#This Row],[KU.6]]="A",100,IF(NSi.SE[[#This Row],[KU.6]]="B",89,IF(NSi.SE[[#This Row],[KU.6]]="C",79,IF(NSi.SE[[#This Row],[KU.6]]="D",69,IF(NSi.SE[[#This Row],[KU.6]]="E",0,"-")))))</f>
        <v>-</v>
      </c>
      <c r="CZ10" s="73" t="str">
        <f>IF(NSi.SE[[#This Row],[TJ.6]]=1,100,IF(NSi.SE[[#This Row],[TJ.6]]=2,89,IF(NSi.SE[[#This Row],[TJ.6]]=3,79,IF(NSi.SE[[#This Row],[TJ.6]]=4,69,IF(NSi.SE[[#This Row],[TJ.6]]=5,0,"-")))))</f>
        <v>-</v>
      </c>
      <c r="DA10" s="73" t="str">
        <f>IF(NSi.SE[[#This Row],[Ker.6]]=1,100,IF(NSi.SE[[#This Row],[Ker.6]]=2,89,IF(NSi.SE[[#This Row],[Ker.6]]=3,79,IF(NSi.SE[[#This Row],[Ker.6]]=4,69,IF(NSi.SE[[#This Row],[Ker.6]]=5,0,"-")))))</f>
        <v>-</v>
      </c>
      <c r="DB10" s="73" t="str">
        <f>IF(NSi.SE[[#This Row],[Ped.6]]=1,100,IF(NSi.SE[[#This Row],[Ped.6]]=2,89,IF(NSi.SE[[#This Row],[Ped.6]]=3,79,IF(NSi.SE[[#This Row],[Ped.6]]=4,69,IF(NSi.SE[[#This Row],[Ped.6]]=5,0,"-")))))</f>
        <v>-</v>
      </c>
      <c r="DC10" s="73" t="str">
        <f>IF(NSi.SE[[#This Row],[Pro-A.6]]=1,100,IF(NSi.SE[[#This Row],[Pro-A.6]]=2,89,IF(NSi.SE[[#This Row],[Pro-A.6]]=3,79,IF(NSi.SE[[#This Row],[Pro-A.6]]=4,69,IF(NSi.SE[[#This Row],[Pro-A.6]]=5,0,"-")))))</f>
        <v>-</v>
      </c>
      <c r="DD10" s="74" t="str">
        <f>IF(NSi.SE[[#This Row],[KU.7]]="A",100,IF(NSi.SE[[#This Row],[KU.7]]="B",89,IF(NSi.SE[[#This Row],[KU.7]]="C",79,IF(NSi.SE[[#This Row],[KU.7]]="D",69,IF(NSi.SE[[#This Row],[KU.7]]="E",0,"-")))))</f>
        <v>-</v>
      </c>
      <c r="DE10" s="73" t="str">
        <f>IF(NSi.SE[[#This Row],[TJ.7]]=1,100,IF(NSi.SE[[#This Row],[TJ.7]]=2,89,IF(NSi.SE[[#This Row],[TJ.7]]=3,79,IF(NSi.SE[[#This Row],[TJ.7]]=4,69,IF(NSi.SE[[#This Row],[TJ.7]]=5,0,"-")))))</f>
        <v>-</v>
      </c>
      <c r="DF10" s="73" t="str">
        <f>IF(NSi.SE[[#This Row],[Ker.7]]=1,100,IF(NSi.SE[[#This Row],[Ker.7]]=2,89,IF(NSi.SE[[#This Row],[Ker.7]]=3,79,IF(NSi.SE[[#This Row],[Ker.7]]=4,69,IF(NSi.SE[[#This Row],[Ker.7]]=5,0,"-")))))</f>
        <v>-</v>
      </c>
      <c r="DG10" s="73" t="str">
        <f>IF(NSi.SE[[#This Row],[Ped.7]]=1,100,IF(NSi.SE[[#This Row],[Ped.7]]=2,89,IF(NSi.SE[[#This Row],[Ped.7]]=3,79,IF(NSi.SE[[#This Row],[Ped.7]]=4,69,IF(NSi.SE[[#This Row],[Ped.7]]=5,0,"-")))))</f>
        <v>-</v>
      </c>
      <c r="DH10" s="73" t="str">
        <f>IF(NSi.SE[[#This Row],[Pro-A.7]]=1,100,IF(NSi.SE[[#This Row],[Pro-A.7]]=2,89,IF(NSi.SE[[#This Row],[Pro-A.7]]=3,79,IF(NSi.SE[[#This Row],[Pro-A.7]]=4,69,IF(NSi.SE[[#This Row],[Pro-A.7]]=5,0,"-")))))</f>
        <v>-</v>
      </c>
      <c r="DI10" s="74" t="str">
        <f>IF(NSi.SE[[#This Row],[KU.8]]="A",100,IF(NSi.SE[[#This Row],[KU.8]]="B",89,IF(NSi.SE[[#This Row],[KU.8]]="C",79,IF(NSi.SE[[#This Row],[KU.8]]="D",69,IF(NSi.SE[[#This Row],[KU.8]]="E",0,"-")))))</f>
        <v>-</v>
      </c>
      <c r="DJ10" s="73" t="str">
        <f>IF(NSi.SE[[#This Row],[TJ.8]]=1,100,IF(NSi.SE[[#This Row],[TJ.8]]=2,89,IF(NSi.SE[[#This Row],[TJ.8]]=3,79,IF(NSi.SE[[#This Row],[TJ.8]]=4,69,IF(NSi.SE[[#This Row],[TJ.8]]=5,0,"-")))))</f>
        <v>-</v>
      </c>
      <c r="DK10" s="73" t="str">
        <f>IF(NSi.SE[[#This Row],[Ker.8]]=1,100,IF(NSi.SE[[#This Row],[Ker.8]]=2,89,IF(NSi.SE[[#This Row],[Ker.8]]=3,79,IF(NSi.SE[[#This Row],[Ker.8]]=4,69,IF(NSi.SE[[#This Row],[Ker.8]]=5,0,"-")))))</f>
        <v>-</v>
      </c>
      <c r="DL10" s="73" t="str">
        <f>IF(NSi.SE[[#This Row],[Ped.8]]=1,100,IF(NSi.SE[[#This Row],[Ped.8]]=2,89,IF(NSi.SE[[#This Row],[Ped.8]]=3,79,IF(NSi.SE[[#This Row],[Ped.8]]=4,69,IF(NSi.SE[[#This Row],[Ped.8]]=5,0,"-")))))</f>
        <v>-</v>
      </c>
      <c r="DM10" s="73" t="str">
        <f>IF(NSi.SE[[#This Row],[Pro-A.8]]=1,100,IF(NSi.SE[[#This Row],[Pro-A.8]]=2,89,IF(NSi.SE[[#This Row],[Pro-A.8]]=3,79,IF(NSi.SE[[#This Row],[Pro-A.8]]=4,69,IF(NSi.SE[[#This Row],[Pro-A.8]]=5,0,"-")))))</f>
        <v>-</v>
      </c>
      <c r="DN10" s="74" t="str">
        <f>IF(NSi.SE[[#This Row],[KU.9]]="A",100,IF(NSi.SE[[#This Row],[KU.9]]="B",89,IF(NSi.SE[[#This Row],[KU.9]]="C",79,IF(NSi.SE[[#This Row],[KU.9]]="D",69,IF(NSi.SE[[#This Row],[KU.9]]="E",0,"-")))))</f>
        <v>-</v>
      </c>
      <c r="DO10" s="73" t="str">
        <f>IF(NSi.SE[[#This Row],[TJ.9]]=1,100,IF(NSi.SE[[#This Row],[TJ.9]]=2,89,IF(NSi.SE[[#This Row],[TJ.9]]=3,79,IF(NSi.SE[[#This Row],[TJ.9]]=4,69,IF(NSi.SE[[#This Row],[TJ.9]]=5,0,"-")))))</f>
        <v>-</v>
      </c>
      <c r="DP10" s="73" t="str">
        <f>IF(NSi.SE[[#This Row],[Ker.9]]=1,100,IF(NSi.SE[[#This Row],[Ker.9]]=2,89,IF(NSi.SE[[#This Row],[Ker.9]]=3,79,IF(NSi.SE[[#This Row],[Ker.9]]=4,69,IF(NSi.SE[[#This Row],[Ker.9]]=5,0,"-")))))</f>
        <v>-</v>
      </c>
      <c r="DQ10" s="73" t="str">
        <f>IF(NSi.SE[[#This Row],[Ped.9]]=1,100,IF(NSi.SE[[#This Row],[Ped.9]]=2,89,IF(NSi.SE[[#This Row],[Ped.9]]=3,79,IF(NSi.SE[[#This Row],[Ped.9]]=4,69,IF(NSi.SE[[#This Row],[Ped.9]]=5,0,"-")))))</f>
        <v>-</v>
      </c>
      <c r="DR10" s="73" t="str">
        <f>IF(NSi.SE[[#This Row],[Pro-A.9]]=1,100,IF(NSi.SE[[#This Row],[Pro-A.9]]=2,89,IF(NSi.SE[[#This Row],[Pro-A.9]]=3,79,IF(NSi.SE[[#This Row],[Pro-A.9]]=4,69,IF(NSi.SE[[#This Row],[Pro-A.9]]=5,0,"-")))))</f>
        <v>-</v>
      </c>
      <c r="DT1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1" spans="1:124" ht="50.1" customHeight="1" x14ac:dyDescent="0.3">
      <c r="A11" s="66">
        <f>IF(NSi.TS[[#This Row],[No]]=0,"",NSi.TS[[#This Row],[No]])</f>
        <v>9</v>
      </c>
      <c r="B11" s="67" t="str">
        <f>IF(NSi.TS[[#This Row],[Nama Siswa]]=0,"",NSi.TS[[#This Row],[Nama Siswa]])</f>
        <v>Wangi Aminah</v>
      </c>
      <c r="C11" s="68" t="str">
        <f>IF(NSi.TS[[#This Row],[Nomor Induk]]=0,"",NSi.TS[[#This Row],[Nomor Induk]])</f>
        <v>9/HBICSHIGH/20</v>
      </c>
      <c r="D11" s="68">
        <f>IF(NSi.TS[[#This Row],[NISN]]=0,"",NSi.TS[[#This Row],[NISN]])</f>
        <v>16221604</v>
      </c>
      <c r="E11" s="68" t="str">
        <f>IF(NSi.TS[[#This Row],[Jurusan]]=0,"",NSi.TS[[#This Row],[Jurusan]])</f>
        <v>IPA</v>
      </c>
      <c r="F11" s="39" t="str">
        <f>NSi.TS[[#This Row],[Nsi.TS]]</f>
        <v/>
      </c>
      <c r="G11" s="39" t="str">
        <f>IFERROR(ROUND(AVERAGE(CSCR.S[#This Row]),0),"")</f>
        <v/>
      </c>
      <c r="H11" s="39" t="str">
        <f>IFERROR(ROUND(AVERAGE(NSi.SE[[#This Row],[Nsi.TS]:[NS.iS]]),0),"")</f>
        <v/>
      </c>
      <c r="I11" s="41" t="s">
        <v>102</v>
      </c>
      <c r="J11" s="45" t="s">
        <v>102</v>
      </c>
      <c r="K11" s="45" t="s">
        <v>102</v>
      </c>
      <c r="L11" s="45" t="s">
        <v>102</v>
      </c>
      <c r="M11" s="45" t="s">
        <v>102</v>
      </c>
      <c r="N11" s="41" t="s">
        <v>102</v>
      </c>
      <c r="O11" s="45" t="s">
        <v>102</v>
      </c>
      <c r="P11" s="45" t="s">
        <v>102</v>
      </c>
      <c r="Q11" s="45" t="s">
        <v>102</v>
      </c>
      <c r="R11" s="45" t="s">
        <v>102</v>
      </c>
      <c r="S11" s="41" t="s">
        <v>102</v>
      </c>
      <c r="T11" s="45" t="s">
        <v>102</v>
      </c>
      <c r="U11" s="45" t="s">
        <v>102</v>
      </c>
      <c r="V11" s="45" t="s">
        <v>102</v>
      </c>
      <c r="W11" s="45" t="s">
        <v>102</v>
      </c>
      <c r="X11" s="41" t="s">
        <v>102</v>
      </c>
      <c r="Y11" s="45" t="s">
        <v>102</v>
      </c>
      <c r="Z11" s="45" t="s">
        <v>102</v>
      </c>
      <c r="AA11" s="45" t="s">
        <v>102</v>
      </c>
      <c r="AB11" s="45" t="s">
        <v>102</v>
      </c>
      <c r="AC11" s="41" t="s">
        <v>102</v>
      </c>
      <c r="AD11" s="45" t="s">
        <v>102</v>
      </c>
      <c r="AE11" s="45" t="s">
        <v>102</v>
      </c>
      <c r="AF11" s="45" t="s">
        <v>102</v>
      </c>
      <c r="AG11" s="45" t="s">
        <v>102</v>
      </c>
      <c r="AH11" s="41" t="s">
        <v>102</v>
      </c>
      <c r="AI11" s="45" t="s">
        <v>102</v>
      </c>
      <c r="AJ11" s="45" t="s">
        <v>102</v>
      </c>
      <c r="AK11" s="45" t="s">
        <v>102</v>
      </c>
      <c r="AL11" s="45" t="s">
        <v>102</v>
      </c>
      <c r="AM11" s="41" t="s">
        <v>102</v>
      </c>
      <c r="AN11" s="45" t="s">
        <v>102</v>
      </c>
      <c r="AO11" s="45" t="s">
        <v>102</v>
      </c>
      <c r="AP11" s="45" t="s">
        <v>102</v>
      </c>
      <c r="AQ11" s="45" t="s">
        <v>102</v>
      </c>
      <c r="AR11" s="41" t="s">
        <v>102</v>
      </c>
      <c r="AS11" s="45" t="s">
        <v>102</v>
      </c>
      <c r="AT11" s="45" t="s">
        <v>102</v>
      </c>
      <c r="AU11" s="45" t="s">
        <v>102</v>
      </c>
      <c r="AV11" s="45" t="s">
        <v>102</v>
      </c>
      <c r="AW11" s="41" t="s">
        <v>102</v>
      </c>
      <c r="AX11" s="45" t="s">
        <v>102</v>
      </c>
      <c r="AY11" s="45" t="s">
        <v>102</v>
      </c>
      <c r="AZ11" s="45" t="s">
        <v>102</v>
      </c>
      <c r="BA11" s="45" t="s">
        <v>102</v>
      </c>
      <c r="BC11" s="10" t="str">
        <f>CONCATENATE(NSi.SE[[#This Row],[KU.1]],(IF(A.LoE.S[[#This Row],[LE.1]]="-","-",IF(A.LoE.S[[#This Row],[LE.1]]&gt;=90,1,IF(A.LoE.S[[#This Row],[LE.1]]&gt;=80,2,IF(A.LoE.S[[#This Row],[LE.1]]&gt;=70,3,IF(A.LoE.S[[#This Row],[LE.1]]&gt;=1,4,5)))))))</f>
        <v>--</v>
      </c>
      <c r="BD11" s="46" t="str">
        <f>CONCATENATE(NSi.SE[[#This Row],[KU.2]],(IF(A.LoE.S[[#This Row],[LE.2]]="-","-",IF(A.LoE.S[[#This Row],[LE.2]]&gt;=90,1,IF(A.LoE.S[[#This Row],[LE.2]]&gt;=80,2,IF(A.LoE.S[[#This Row],[LE.2]]&gt;=70,3,IF(A.LoE.S[[#This Row],[LE.2]]&gt;=1,4,5)))))))</f>
        <v>--</v>
      </c>
      <c r="BE11" s="46" t="str">
        <f>CONCATENATE(NSi.SE[[#This Row],[KU.3]],(IF(A.LoE.S[[#This Row],[LE.3]]="-","-",IF(A.LoE.S[[#This Row],[LE.3]]&gt;=90,1,IF(A.LoE.S[[#This Row],[LE.3]]&gt;=80,2,IF(A.LoE.S[[#This Row],[LE.3]]&gt;=70,3,IF(A.LoE.S[[#This Row],[LE.3]]&gt;=1,4,5)))))))</f>
        <v>--</v>
      </c>
      <c r="BF11" s="46" t="str">
        <f>CONCATENATE(NSi.SE[[#This Row],[KU.4]],(IF(A.LoE.S[[#This Row],[LE.4]]="-","-",IF(A.LoE.S[[#This Row],[LE.4]]&gt;=90,1,IF(A.LoE.S[[#This Row],[LE.4]]&gt;=80,2,IF(A.LoE.S[[#This Row],[LE.4]]&gt;=70,3,IF(A.LoE.S[[#This Row],[LE.4]]&gt;=1,4,5)))))))</f>
        <v>--</v>
      </c>
      <c r="BG11" s="46" t="str">
        <f>CONCATENATE(NSi.SE[[#This Row],[KU.5]],(IF(A.LoE.S[[#This Row],[LE.5]]="-","-",IF(A.LoE.S[[#This Row],[LE.5]]&gt;=90,1,IF(A.LoE.S[[#This Row],[LE.5]]&gt;=80,2,IF(A.LoE.S[[#This Row],[LE.5]]&gt;=70,3,IF(A.LoE.S[[#This Row],[LE.5]]&gt;=1,4,5)))))))</f>
        <v>--</v>
      </c>
      <c r="BH11" s="46" t="str">
        <f>CONCATENATE(NSi.SE[[#This Row],[KU.6]],(IF(A.LoE.S[[#This Row],[LE.6]]="-","-",IF(A.LoE.S[[#This Row],[LE.6]]&gt;=90,1,IF(A.LoE.S[[#This Row],[LE.6]]&gt;=80,2,IF(A.LoE.S[[#This Row],[LE.6]]&gt;=70,3,IF(A.LoE.S[[#This Row],[LE.6]]&gt;=1,4,5)))))))</f>
        <v>--</v>
      </c>
      <c r="BI11" s="46" t="str">
        <f>CONCATENATE(NSi.SE[[#This Row],[KU.7]],(IF(A.LoE.S[[#This Row],[LE.7]]="-","-",IF(A.LoE.S[[#This Row],[LE.7]]&gt;=90,1,IF(A.LoE.S[[#This Row],[LE.7]]&gt;=80,2,IF(A.LoE.S[[#This Row],[LE.7]]&gt;=70,3,IF(A.LoE.S[[#This Row],[LE.7]]&gt;=1,4,5)))))))</f>
        <v>--</v>
      </c>
      <c r="BJ11" s="46" t="str">
        <f>CONCATENATE(NSi.SE[[#This Row],[KU.8]],(IF(A.LoE.S[[#This Row],[LE.8]]="-","-",IF(A.LoE.S[[#This Row],[LE.8]]&gt;=90,1,IF(A.LoE.S[[#This Row],[LE.8]]&gt;=80,2,IF(A.LoE.S[[#This Row],[LE.8]]&gt;=70,3,IF(A.LoE.S[[#This Row],[LE.8]]&gt;=1,4,5)))))))</f>
        <v>--</v>
      </c>
      <c r="BK11" s="38" t="str">
        <f>CONCATENATE(NSi.SE[[#This Row],[KU.9]],(IF(A.LoE.S[[#This Row],[LE.9]]="-","-",IF(A.LoE.S[[#This Row],[LE.9]]&gt;=90,1,IF(A.LoE.S[[#This Row],[LE.9]]&gt;=80,2,IF(A.LoE.S[[#This Row],[LE.9]]&gt;=70,3,IF(A.LoE.S[[#This Row],[LE.9]]&gt;=1,4,5)))))))</f>
        <v>--</v>
      </c>
      <c r="BM11" s="35" t="str">
        <f>IFERROR(ROUND(AVERAGE(Con.Sk.S[[#This Row],[TJ.1]:[Pro-A.1]]),0),"-")</f>
        <v>-</v>
      </c>
      <c r="BN11" s="24" t="str">
        <f>IFERROR(ROUND(AVERAGE(Con.Sk.S[[#This Row],[TJ.2]:[Pro-A.2]]),0),"-")</f>
        <v>-</v>
      </c>
      <c r="BO11" s="24" t="str">
        <f>IFERROR(ROUND(AVERAGE(Con.Sk.S[[#This Row],[TJ.3]:[Pro-A.3]]),0),"-")</f>
        <v>-</v>
      </c>
      <c r="BP11" s="24" t="str">
        <f>IFERROR(ROUND(AVERAGE(Con.Sk.S[[#This Row],[TJ.4]:[Pro-A.4]]),0),"-")</f>
        <v>-</v>
      </c>
      <c r="BQ11" s="24" t="str">
        <f>IFERROR(ROUND(AVERAGE(Con.Sk.S[[#This Row],[TJ.5]:[Pro-A.5]]),0),"-")</f>
        <v>-</v>
      </c>
      <c r="BR11" s="24" t="str">
        <f>IFERROR(ROUND(AVERAGE(Con.Sk.S[[#This Row],[TJ.6]:[Pro-A.6]]),0),"-")</f>
        <v>-</v>
      </c>
      <c r="BS11" s="24" t="str">
        <f>IFERROR(ROUND(AVERAGE(Con.Sk.S[[#This Row],[TJ.7]:[Pro-A.7]]),0),"-")</f>
        <v>-</v>
      </c>
      <c r="BT11" s="24" t="str">
        <f>IFERROR(ROUND(AVERAGE(Con.Sk.S[[#This Row],[TJ.8]:[Pro-A.8]]),0),"-")</f>
        <v>-</v>
      </c>
      <c r="BU11" s="25" t="str">
        <f>IFERROR(ROUND(AVERAGE(Con.Sk.S[[#This Row],[TJ.9]:[Pro-A.9]]),0),"-")</f>
        <v>-</v>
      </c>
      <c r="BW11" s="47" t="str">
        <f>IFERROR(ROUND(AVERAGE(Con.Sk.S[[#This Row],[KU.1]],Con.Sk.S[[#This Row],[KU.2]],Con.Sk.S[[#This Row],[KU.3]],Con.Sk.S[[#This Row],[KU.4]],Con.Sk.S[[#This Row],[KU.5]],Con.Sk.S[[#This Row],[KU.6]],Con.Sk.S[[#This Row],[KU.7]],Con.Sk.S[[#This Row],[KU.8]],Con.Sk.S[[#This Row],[KU.9]]),0),"")</f>
        <v/>
      </c>
      <c r="BX11" s="48" t="str">
        <f>IFERROR(ROUND(AVERAGE(Con.Sk.S[[#This Row],[TJ.1]:[Pro-A.1]],Con.Sk.S[[#This Row],[TJ.2]:[Pro-A.2]],Con.Sk.S[[#This Row],[TJ.3]:[Pro-A.3]],Con.Sk.S[[#This Row],[TJ.4]:[Pro-A.4]],Con.Sk.S[[#This Row],[TJ.5]:[Pro-A.5]],Con.Sk.S[[#This Row],[TJ.6]:[Pro-A.6]],Con.Sk.S[[#This Row],[TJ.7]:[Pro-A.7]],Con.Sk.S[[#This Row],[TJ.8]:[Pro-A.8]],Con.Sk.S[[#This Row],[TJ.9]:[Pro-A.9]]),0),"")</f>
        <v/>
      </c>
      <c r="BY11" s="3"/>
      <c r="BZ11" s="73" t="str">
        <f>IF(NSi.SE[[#This Row],[KU.1]]="A",100,IF(NSi.SE[[#This Row],[KU.1]]="B",89,IF(NSi.SE[[#This Row],[KU.1]]="C",79,IF(NSi.SE[[#This Row],[KU.1]]="D",69,IF(NSi.SE[[#This Row],[KU.1]]="E",0,"-")))))</f>
        <v>-</v>
      </c>
      <c r="CA11" s="73" t="str">
        <f>IF(NSi.SE[[#This Row],[TJ.1]]=1,100,IF(NSi.SE[[#This Row],[TJ.1]]=2,89,IF(NSi.SE[[#This Row],[TJ.1]]=3,79,IF(NSi.SE[[#This Row],[TJ.1]]=4,69,IF(NSi.SE[[#This Row],[TJ.1]]=5,0,"-")))))</f>
        <v>-</v>
      </c>
      <c r="CB11" s="73" t="str">
        <f>IF(NSi.SE[[#This Row],[Ker.1]]=1,100,IF(NSi.SE[[#This Row],[Ker.1]]=2,89,IF(NSi.SE[[#This Row],[Ker.1]]=3,79,IF(NSi.SE[[#This Row],[Ker.1]]=4,69,IF(NSi.SE[[#This Row],[Ker.1]]=5,0,"-")))))</f>
        <v>-</v>
      </c>
      <c r="CC11" s="73" t="str">
        <f>IF(NSi.SE[[#This Row],[Ped.1]]=1,100,IF(NSi.SE[[#This Row],[Ped.1]]=2,89,IF(NSi.SE[[#This Row],[Ped.1]]=3,79,IF(NSi.SE[[#This Row],[Ped.1]]=4,69,IF(NSi.SE[[#This Row],[Ped.1]]=5,0,"-")))))</f>
        <v>-</v>
      </c>
      <c r="CD11" s="73" t="str">
        <f>IF(NSi.SE[[#This Row],[Pro-A.1]]=1,100,IF(NSi.SE[[#This Row],[Pro-A.1]]=2,89,IF(NSi.SE[[#This Row],[Pro-A.1]]=3,79,IF(NSi.SE[[#This Row],[Pro-A.1]]=4,69,IF(NSi.SE[[#This Row],[Pro-A.1]]=5,0,"-")))))</f>
        <v>-</v>
      </c>
      <c r="CE11" s="73" t="str">
        <f>IF(NSi.SE[[#This Row],[KU.2]]="A",100,IF(NSi.SE[[#This Row],[KU.2]]="B",89,IF(NSi.SE[[#This Row],[KU.2]]="C",79,IF(NSi.SE[[#This Row],[KU.2]]="D",69,IF(NSi.SE[[#This Row],[KU.2]]="E",0,"-")))))</f>
        <v>-</v>
      </c>
      <c r="CF11" s="73" t="str">
        <f>IF(NSi.SE[[#This Row],[TJ.2]]=1,100,IF(NSi.SE[[#This Row],[TJ.2]]=2,89,IF(NSi.SE[[#This Row],[TJ.2]]=3,79,IF(NSi.SE[[#This Row],[TJ.2]]=4,69,IF(NSi.SE[[#This Row],[TJ.2]]=5,0,"-")))))</f>
        <v>-</v>
      </c>
      <c r="CG11" s="73" t="str">
        <f>IF(NSi.SE[[#This Row],[Ker.2]]=1,100,IF(NSi.SE[[#This Row],[Ker.2]]=2,89,IF(NSi.SE[[#This Row],[Ker.2]]=3,79,IF(NSi.SE[[#This Row],[Ker.2]]=4,69,IF(NSi.SE[[#This Row],[Ker.2]]=5,0,"-")))))</f>
        <v>-</v>
      </c>
      <c r="CH11" s="73" t="str">
        <f>IF(NSi.SE[[#This Row],[Ped.2]]=1,100,IF(NSi.SE[[#This Row],[Ped.2]]=2,89,IF(NSi.SE[[#This Row],[Ped.2]]=3,79,IF(NSi.SE[[#This Row],[Ped.2]]=4,69,IF(NSi.SE[[#This Row],[Ped.2]]=5,0,"-")))))</f>
        <v>-</v>
      </c>
      <c r="CI11" s="73" t="str">
        <f>IF(NSi.SE[[#This Row],[Pro-A.2]]=1,100,IF(NSi.SE[[#This Row],[Pro-A.2]]=2,89,IF(NSi.SE[[#This Row],[Pro-A.2]]=3,79,IF(NSi.SE[[#This Row],[Pro-A.2]]=4,69,IF(NSi.SE[[#This Row],[Pro-A.2]]=5,0,"-")))))</f>
        <v>-</v>
      </c>
      <c r="CJ11" s="74" t="str">
        <f>IF(NSi.SE[[#This Row],[KU.3]]="A",100,IF(NSi.SE[[#This Row],[KU.3]]="B",89,IF(NSi.SE[[#This Row],[KU.3]]="C",79,IF(NSi.SE[[#This Row],[KU.3]]="D",69,IF(NSi.SE[[#This Row],[KU.3]]="E",0,"-")))))</f>
        <v>-</v>
      </c>
      <c r="CK11" s="73" t="str">
        <f>IF(NSi.SE[[#This Row],[TJ.3]]=1,100,IF(NSi.SE[[#This Row],[TJ.3]]=2,89,IF(NSi.SE[[#This Row],[TJ.3]]=3,79,IF(NSi.SE[[#This Row],[TJ.3]]=4,69,IF(NSi.SE[[#This Row],[TJ.3]]=5,0,"-")))))</f>
        <v>-</v>
      </c>
      <c r="CL11" s="73" t="str">
        <f>IF(NSi.SE[[#This Row],[Ker.3]]=1,100,IF(NSi.SE[[#This Row],[Ker.3]]=2,89,IF(NSi.SE[[#This Row],[Ker.3]]=3,79,IF(NSi.SE[[#This Row],[Ker.3]]=4,69,IF(NSi.SE[[#This Row],[Ker.3]]=5,0,"-")))))</f>
        <v>-</v>
      </c>
      <c r="CM11" s="73" t="str">
        <f>IF(NSi.SE[[#This Row],[Ped.3]]=1,100,IF(NSi.SE[[#This Row],[Ped.3]]=2,89,IF(NSi.SE[[#This Row],[Ped.3]]=3,79,IF(NSi.SE[[#This Row],[Ped.3]]=4,69,IF(NSi.SE[[#This Row],[Ped.3]]=5,0,"-")))))</f>
        <v>-</v>
      </c>
      <c r="CN11" s="73" t="str">
        <f>IF(NSi.SE[[#This Row],[Pro-A.3]]=1,100,IF(NSi.SE[[#This Row],[Pro-A.3]]=2,89,IF(NSi.SE[[#This Row],[Pro-A.3]]=3,79,IF(NSi.SE[[#This Row],[Pro-A.3]]=4,69,IF(NSi.SE[[#This Row],[Pro-A.3]]=5,0,"-")))))</f>
        <v>-</v>
      </c>
      <c r="CO11" s="74" t="str">
        <f>IF(NSi.SE[[#This Row],[KU.4]]="A",100,IF(NSi.SE[[#This Row],[KU.4]]="B",89,IF(NSi.SE[[#This Row],[KU.4]]="C",79,IF(NSi.SE[[#This Row],[KU.4]]="D",69,IF(NSi.SE[[#This Row],[KU.4]]="E",0,"-")))))</f>
        <v>-</v>
      </c>
      <c r="CP11" s="73" t="str">
        <f>IF(NSi.SE[[#This Row],[TJ.4]]=1,100,IF(NSi.SE[[#This Row],[TJ.4]]=2,89,IF(NSi.SE[[#This Row],[TJ.4]]=3,79,IF(NSi.SE[[#This Row],[TJ.4]]=4,69,IF(NSi.SE[[#This Row],[TJ.4]]=5,0,"-")))))</f>
        <v>-</v>
      </c>
      <c r="CQ11" s="73" t="str">
        <f>IF(NSi.SE[[#This Row],[Ker.4]]=1,100,IF(NSi.SE[[#This Row],[Ker.4]]=2,89,IF(NSi.SE[[#This Row],[Ker.4]]=3,79,IF(NSi.SE[[#This Row],[Ker.4]]=4,69,IF(NSi.SE[[#This Row],[Ker.4]]=5,0,"-")))))</f>
        <v>-</v>
      </c>
      <c r="CR11" s="73" t="str">
        <f>IF(NSi.SE[[#This Row],[Ped.4]]=1,100,IF(NSi.SE[[#This Row],[Ped.4]]=2,89,IF(NSi.SE[[#This Row],[Ped.4]]=3,79,IF(NSi.SE[[#This Row],[Ped.4]]=4,69,IF(NSi.SE[[#This Row],[Ped.4]]=5,0,"-")))))</f>
        <v>-</v>
      </c>
      <c r="CS11" s="73" t="str">
        <f>IF(NSi.SE[[#This Row],[Pro-A.4]]=1,100,IF(NSi.SE[[#This Row],[Pro-A.4]]=2,89,IF(NSi.SE[[#This Row],[Pro-A.4]]=3,79,IF(NSi.SE[[#This Row],[Pro-A.4]]=4,69,IF(NSi.SE[[#This Row],[Pro-A.4]]=5,0,"-")))))</f>
        <v>-</v>
      </c>
      <c r="CT11" s="74" t="str">
        <f>IF(NSi.SE[[#This Row],[KU.5]]="A",100,IF(NSi.SE[[#This Row],[KU.5]]="B",89,IF(NSi.SE[[#This Row],[KU.5]]="C",79,IF(NSi.SE[[#This Row],[KU.5]]="D",69,IF(NSi.SE[[#This Row],[KU.5]]="E",0,"-")))))</f>
        <v>-</v>
      </c>
      <c r="CU11" s="73" t="str">
        <f>IF(NSi.SE[[#This Row],[TJ.5]]=1,100,IF(NSi.SE[[#This Row],[TJ.5]]=2,89,IF(NSi.SE[[#This Row],[TJ.5]]=3,79,IF(NSi.SE[[#This Row],[TJ.5]]=4,69,IF(NSi.SE[[#This Row],[TJ.5]]=5,0,"-")))))</f>
        <v>-</v>
      </c>
      <c r="CV11" s="73" t="str">
        <f>IF(NSi.SE[[#This Row],[Ker.5]]=1,100,IF(NSi.SE[[#This Row],[Ker.5]]=2,89,IF(NSi.SE[[#This Row],[Ker.5]]=3,79,IF(NSi.SE[[#This Row],[Ker.5]]=4,69,IF(NSi.SE[[#This Row],[Ker.5]]=5,0,"-")))))</f>
        <v>-</v>
      </c>
      <c r="CW11" s="73" t="str">
        <f>IF(NSi.SE[[#This Row],[Ped.5]]=1,100,IF(NSi.SE[[#This Row],[Ped.5]]=2,89,IF(NSi.SE[[#This Row],[Ped.5]]=3,79,IF(NSi.SE[[#This Row],[Ped.5]]=4,69,IF(NSi.SE[[#This Row],[Ped.5]]=5,0,"-")))))</f>
        <v>-</v>
      </c>
      <c r="CX11" s="73" t="str">
        <f>IF(NSi.SE[[#This Row],[Pro-A.5]]=1,100,IF(NSi.SE[[#This Row],[Pro-A.5]]=2,89,IF(NSi.SE[[#This Row],[Pro-A.5]]=3,79,IF(NSi.SE[[#This Row],[Pro-A.5]]=4,69,IF(NSi.SE[[#This Row],[Pro-A.5]]=5,0,"-")))))</f>
        <v>-</v>
      </c>
      <c r="CY11" s="74" t="str">
        <f>IF(NSi.SE[[#This Row],[KU.6]]="A",100,IF(NSi.SE[[#This Row],[KU.6]]="B",89,IF(NSi.SE[[#This Row],[KU.6]]="C",79,IF(NSi.SE[[#This Row],[KU.6]]="D",69,IF(NSi.SE[[#This Row],[KU.6]]="E",0,"-")))))</f>
        <v>-</v>
      </c>
      <c r="CZ11" s="73" t="str">
        <f>IF(NSi.SE[[#This Row],[TJ.6]]=1,100,IF(NSi.SE[[#This Row],[TJ.6]]=2,89,IF(NSi.SE[[#This Row],[TJ.6]]=3,79,IF(NSi.SE[[#This Row],[TJ.6]]=4,69,IF(NSi.SE[[#This Row],[TJ.6]]=5,0,"-")))))</f>
        <v>-</v>
      </c>
      <c r="DA11" s="73" t="str">
        <f>IF(NSi.SE[[#This Row],[Ker.6]]=1,100,IF(NSi.SE[[#This Row],[Ker.6]]=2,89,IF(NSi.SE[[#This Row],[Ker.6]]=3,79,IF(NSi.SE[[#This Row],[Ker.6]]=4,69,IF(NSi.SE[[#This Row],[Ker.6]]=5,0,"-")))))</f>
        <v>-</v>
      </c>
      <c r="DB11" s="73" t="str">
        <f>IF(NSi.SE[[#This Row],[Ped.6]]=1,100,IF(NSi.SE[[#This Row],[Ped.6]]=2,89,IF(NSi.SE[[#This Row],[Ped.6]]=3,79,IF(NSi.SE[[#This Row],[Ped.6]]=4,69,IF(NSi.SE[[#This Row],[Ped.6]]=5,0,"-")))))</f>
        <v>-</v>
      </c>
      <c r="DC11" s="73" t="str">
        <f>IF(NSi.SE[[#This Row],[Pro-A.6]]=1,100,IF(NSi.SE[[#This Row],[Pro-A.6]]=2,89,IF(NSi.SE[[#This Row],[Pro-A.6]]=3,79,IF(NSi.SE[[#This Row],[Pro-A.6]]=4,69,IF(NSi.SE[[#This Row],[Pro-A.6]]=5,0,"-")))))</f>
        <v>-</v>
      </c>
      <c r="DD11" s="74" t="str">
        <f>IF(NSi.SE[[#This Row],[KU.7]]="A",100,IF(NSi.SE[[#This Row],[KU.7]]="B",89,IF(NSi.SE[[#This Row],[KU.7]]="C",79,IF(NSi.SE[[#This Row],[KU.7]]="D",69,IF(NSi.SE[[#This Row],[KU.7]]="E",0,"-")))))</f>
        <v>-</v>
      </c>
      <c r="DE11" s="73" t="str">
        <f>IF(NSi.SE[[#This Row],[TJ.7]]=1,100,IF(NSi.SE[[#This Row],[TJ.7]]=2,89,IF(NSi.SE[[#This Row],[TJ.7]]=3,79,IF(NSi.SE[[#This Row],[TJ.7]]=4,69,IF(NSi.SE[[#This Row],[TJ.7]]=5,0,"-")))))</f>
        <v>-</v>
      </c>
      <c r="DF11" s="73" t="str">
        <f>IF(NSi.SE[[#This Row],[Ker.7]]=1,100,IF(NSi.SE[[#This Row],[Ker.7]]=2,89,IF(NSi.SE[[#This Row],[Ker.7]]=3,79,IF(NSi.SE[[#This Row],[Ker.7]]=4,69,IF(NSi.SE[[#This Row],[Ker.7]]=5,0,"-")))))</f>
        <v>-</v>
      </c>
      <c r="DG11" s="73" t="str">
        <f>IF(NSi.SE[[#This Row],[Ped.7]]=1,100,IF(NSi.SE[[#This Row],[Ped.7]]=2,89,IF(NSi.SE[[#This Row],[Ped.7]]=3,79,IF(NSi.SE[[#This Row],[Ped.7]]=4,69,IF(NSi.SE[[#This Row],[Ped.7]]=5,0,"-")))))</f>
        <v>-</v>
      </c>
      <c r="DH11" s="73" t="str">
        <f>IF(NSi.SE[[#This Row],[Pro-A.7]]=1,100,IF(NSi.SE[[#This Row],[Pro-A.7]]=2,89,IF(NSi.SE[[#This Row],[Pro-A.7]]=3,79,IF(NSi.SE[[#This Row],[Pro-A.7]]=4,69,IF(NSi.SE[[#This Row],[Pro-A.7]]=5,0,"-")))))</f>
        <v>-</v>
      </c>
      <c r="DI11" s="74" t="str">
        <f>IF(NSi.SE[[#This Row],[KU.8]]="A",100,IF(NSi.SE[[#This Row],[KU.8]]="B",89,IF(NSi.SE[[#This Row],[KU.8]]="C",79,IF(NSi.SE[[#This Row],[KU.8]]="D",69,IF(NSi.SE[[#This Row],[KU.8]]="E",0,"-")))))</f>
        <v>-</v>
      </c>
      <c r="DJ11" s="73" t="str">
        <f>IF(NSi.SE[[#This Row],[TJ.8]]=1,100,IF(NSi.SE[[#This Row],[TJ.8]]=2,89,IF(NSi.SE[[#This Row],[TJ.8]]=3,79,IF(NSi.SE[[#This Row],[TJ.8]]=4,69,IF(NSi.SE[[#This Row],[TJ.8]]=5,0,"-")))))</f>
        <v>-</v>
      </c>
      <c r="DK11" s="73" t="str">
        <f>IF(NSi.SE[[#This Row],[Ker.8]]=1,100,IF(NSi.SE[[#This Row],[Ker.8]]=2,89,IF(NSi.SE[[#This Row],[Ker.8]]=3,79,IF(NSi.SE[[#This Row],[Ker.8]]=4,69,IF(NSi.SE[[#This Row],[Ker.8]]=5,0,"-")))))</f>
        <v>-</v>
      </c>
      <c r="DL11" s="73" t="str">
        <f>IF(NSi.SE[[#This Row],[Ped.8]]=1,100,IF(NSi.SE[[#This Row],[Ped.8]]=2,89,IF(NSi.SE[[#This Row],[Ped.8]]=3,79,IF(NSi.SE[[#This Row],[Ped.8]]=4,69,IF(NSi.SE[[#This Row],[Ped.8]]=5,0,"-")))))</f>
        <v>-</v>
      </c>
      <c r="DM11" s="73" t="str">
        <f>IF(NSi.SE[[#This Row],[Pro-A.8]]=1,100,IF(NSi.SE[[#This Row],[Pro-A.8]]=2,89,IF(NSi.SE[[#This Row],[Pro-A.8]]=3,79,IF(NSi.SE[[#This Row],[Pro-A.8]]=4,69,IF(NSi.SE[[#This Row],[Pro-A.8]]=5,0,"-")))))</f>
        <v>-</v>
      </c>
      <c r="DN11" s="74" t="str">
        <f>IF(NSi.SE[[#This Row],[KU.9]]="A",100,IF(NSi.SE[[#This Row],[KU.9]]="B",89,IF(NSi.SE[[#This Row],[KU.9]]="C",79,IF(NSi.SE[[#This Row],[KU.9]]="D",69,IF(NSi.SE[[#This Row],[KU.9]]="E",0,"-")))))</f>
        <v>-</v>
      </c>
      <c r="DO11" s="73" t="str">
        <f>IF(NSi.SE[[#This Row],[TJ.9]]=1,100,IF(NSi.SE[[#This Row],[TJ.9]]=2,89,IF(NSi.SE[[#This Row],[TJ.9]]=3,79,IF(NSi.SE[[#This Row],[TJ.9]]=4,69,IF(NSi.SE[[#This Row],[TJ.9]]=5,0,"-")))))</f>
        <v>-</v>
      </c>
      <c r="DP11" s="73" t="str">
        <f>IF(NSi.SE[[#This Row],[Ker.9]]=1,100,IF(NSi.SE[[#This Row],[Ker.9]]=2,89,IF(NSi.SE[[#This Row],[Ker.9]]=3,79,IF(NSi.SE[[#This Row],[Ker.9]]=4,69,IF(NSi.SE[[#This Row],[Ker.9]]=5,0,"-")))))</f>
        <v>-</v>
      </c>
      <c r="DQ11" s="73" t="str">
        <f>IF(NSi.SE[[#This Row],[Ped.9]]=1,100,IF(NSi.SE[[#This Row],[Ped.9]]=2,89,IF(NSi.SE[[#This Row],[Ped.9]]=3,79,IF(NSi.SE[[#This Row],[Ped.9]]=4,69,IF(NSi.SE[[#This Row],[Ped.9]]=5,0,"-")))))</f>
        <v>-</v>
      </c>
      <c r="DR11" s="73" t="str">
        <f>IF(NSi.SE[[#This Row],[Pro-A.9]]=1,100,IF(NSi.SE[[#This Row],[Pro-A.9]]=2,89,IF(NSi.SE[[#This Row],[Pro-A.9]]=3,79,IF(NSi.SE[[#This Row],[Pro-A.9]]=4,69,IF(NSi.SE[[#This Row],[Pro-A.9]]=5,0,"-")))))</f>
        <v>-</v>
      </c>
      <c r="DT1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2" spans="1:124" ht="50.1" customHeight="1" x14ac:dyDescent="0.3">
      <c r="A12" s="66">
        <f>IF(NSi.TS[[#This Row],[No]]=0,"",NSi.TS[[#This Row],[No]])</f>
        <v>10</v>
      </c>
      <c r="B12" s="67" t="str">
        <f>IF(NSi.TS[[#This Row],[Nama Siswa]]=0,"",NSi.TS[[#This Row],[Nama Siswa]])</f>
        <v>Wangi Daud</v>
      </c>
      <c r="C12" s="68" t="str">
        <f>IF(NSi.TS[[#This Row],[Nomor Induk]]=0,"",NSi.TS[[#This Row],[Nomor Induk]])</f>
        <v>10/HBICSHIGH/20</v>
      </c>
      <c r="D12" s="68">
        <f>IF(NSi.TS[[#This Row],[NISN]]=0,"",NSi.TS[[#This Row],[NISN]])</f>
        <v>23768787</v>
      </c>
      <c r="E12" s="68" t="str">
        <f>IF(NSi.TS[[#This Row],[Jurusan]]=0,"",NSi.TS[[#This Row],[Jurusan]])</f>
        <v>IPS</v>
      </c>
      <c r="F12" s="39" t="str">
        <f>NSi.TS[[#This Row],[Nsi.TS]]</f>
        <v/>
      </c>
      <c r="G12" s="39" t="str">
        <f>IFERROR(ROUND(AVERAGE(CSCR.S[#This Row]),0),"")</f>
        <v/>
      </c>
      <c r="H12" s="39" t="str">
        <f>IFERROR(ROUND(AVERAGE(NSi.SE[[#This Row],[Nsi.TS]:[NS.iS]]),0),"")</f>
        <v/>
      </c>
      <c r="I12" s="41" t="s">
        <v>102</v>
      </c>
      <c r="J12" s="45" t="s">
        <v>102</v>
      </c>
      <c r="K12" s="45" t="s">
        <v>102</v>
      </c>
      <c r="L12" s="45" t="s">
        <v>102</v>
      </c>
      <c r="M12" s="45" t="s">
        <v>102</v>
      </c>
      <c r="N12" s="41" t="s">
        <v>102</v>
      </c>
      <c r="O12" s="45" t="s">
        <v>102</v>
      </c>
      <c r="P12" s="45" t="s">
        <v>102</v>
      </c>
      <c r="Q12" s="45" t="s">
        <v>102</v>
      </c>
      <c r="R12" s="45" t="s">
        <v>102</v>
      </c>
      <c r="S12" s="41" t="s">
        <v>102</v>
      </c>
      <c r="T12" s="45" t="s">
        <v>102</v>
      </c>
      <c r="U12" s="45" t="s">
        <v>102</v>
      </c>
      <c r="V12" s="45" t="s">
        <v>102</v>
      </c>
      <c r="W12" s="45" t="s">
        <v>102</v>
      </c>
      <c r="X12" s="41" t="s">
        <v>102</v>
      </c>
      <c r="Y12" s="45" t="s">
        <v>102</v>
      </c>
      <c r="Z12" s="45" t="s">
        <v>102</v>
      </c>
      <c r="AA12" s="45" t="s">
        <v>102</v>
      </c>
      <c r="AB12" s="45" t="s">
        <v>102</v>
      </c>
      <c r="AC12" s="41" t="s">
        <v>102</v>
      </c>
      <c r="AD12" s="45" t="s">
        <v>102</v>
      </c>
      <c r="AE12" s="45" t="s">
        <v>102</v>
      </c>
      <c r="AF12" s="45" t="s">
        <v>102</v>
      </c>
      <c r="AG12" s="45" t="s">
        <v>102</v>
      </c>
      <c r="AH12" s="41" t="s">
        <v>102</v>
      </c>
      <c r="AI12" s="45" t="s">
        <v>102</v>
      </c>
      <c r="AJ12" s="45" t="s">
        <v>102</v>
      </c>
      <c r="AK12" s="45" t="s">
        <v>102</v>
      </c>
      <c r="AL12" s="45" t="s">
        <v>102</v>
      </c>
      <c r="AM12" s="41" t="s">
        <v>102</v>
      </c>
      <c r="AN12" s="45" t="s">
        <v>102</v>
      </c>
      <c r="AO12" s="45" t="s">
        <v>102</v>
      </c>
      <c r="AP12" s="45" t="s">
        <v>102</v>
      </c>
      <c r="AQ12" s="45" t="s">
        <v>102</v>
      </c>
      <c r="AR12" s="41" t="s">
        <v>102</v>
      </c>
      <c r="AS12" s="45" t="s">
        <v>102</v>
      </c>
      <c r="AT12" s="45" t="s">
        <v>102</v>
      </c>
      <c r="AU12" s="45" t="s">
        <v>102</v>
      </c>
      <c r="AV12" s="45" t="s">
        <v>102</v>
      </c>
      <c r="AW12" s="41" t="s">
        <v>102</v>
      </c>
      <c r="AX12" s="45" t="s">
        <v>102</v>
      </c>
      <c r="AY12" s="45" t="s">
        <v>102</v>
      </c>
      <c r="AZ12" s="45" t="s">
        <v>102</v>
      </c>
      <c r="BA12" s="45" t="s">
        <v>102</v>
      </c>
      <c r="BC12" s="10" t="str">
        <f>CONCATENATE(NSi.SE[[#This Row],[KU.1]],(IF(A.LoE.S[[#This Row],[LE.1]]="-","-",IF(A.LoE.S[[#This Row],[LE.1]]&gt;=90,1,IF(A.LoE.S[[#This Row],[LE.1]]&gt;=80,2,IF(A.LoE.S[[#This Row],[LE.1]]&gt;=70,3,IF(A.LoE.S[[#This Row],[LE.1]]&gt;=1,4,5)))))))</f>
        <v>--</v>
      </c>
      <c r="BD12" s="46" t="str">
        <f>CONCATENATE(NSi.SE[[#This Row],[KU.2]],(IF(A.LoE.S[[#This Row],[LE.2]]="-","-",IF(A.LoE.S[[#This Row],[LE.2]]&gt;=90,1,IF(A.LoE.S[[#This Row],[LE.2]]&gt;=80,2,IF(A.LoE.S[[#This Row],[LE.2]]&gt;=70,3,IF(A.LoE.S[[#This Row],[LE.2]]&gt;=1,4,5)))))))</f>
        <v>--</v>
      </c>
      <c r="BE12" s="46" t="str">
        <f>CONCATENATE(NSi.SE[[#This Row],[KU.3]],(IF(A.LoE.S[[#This Row],[LE.3]]="-","-",IF(A.LoE.S[[#This Row],[LE.3]]&gt;=90,1,IF(A.LoE.S[[#This Row],[LE.3]]&gt;=80,2,IF(A.LoE.S[[#This Row],[LE.3]]&gt;=70,3,IF(A.LoE.S[[#This Row],[LE.3]]&gt;=1,4,5)))))))</f>
        <v>--</v>
      </c>
      <c r="BF12" s="46" t="str">
        <f>CONCATENATE(NSi.SE[[#This Row],[KU.4]],(IF(A.LoE.S[[#This Row],[LE.4]]="-","-",IF(A.LoE.S[[#This Row],[LE.4]]&gt;=90,1,IF(A.LoE.S[[#This Row],[LE.4]]&gt;=80,2,IF(A.LoE.S[[#This Row],[LE.4]]&gt;=70,3,IF(A.LoE.S[[#This Row],[LE.4]]&gt;=1,4,5)))))))</f>
        <v>--</v>
      </c>
      <c r="BG12" s="46" t="str">
        <f>CONCATENATE(NSi.SE[[#This Row],[KU.5]],(IF(A.LoE.S[[#This Row],[LE.5]]="-","-",IF(A.LoE.S[[#This Row],[LE.5]]&gt;=90,1,IF(A.LoE.S[[#This Row],[LE.5]]&gt;=80,2,IF(A.LoE.S[[#This Row],[LE.5]]&gt;=70,3,IF(A.LoE.S[[#This Row],[LE.5]]&gt;=1,4,5)))))))</f>
        <v>--</v>
      </c>
      <c r="BH12" s="46" t="str">
        <f>CONCATENATE(NSi.SE[[#This Row],[KU.6]],(IF(A.LoE.S[[#This Row],[LE.6]]="-","-",IF(A.LoE.S[[#This Row],[LE.6]]&gt;=90,1,IF(A.LoE.S[[#This Row],[LE.6]]&gt;=80,2,IF(A.LoE.S[[#This Row],[LE.6]]&gt;=70,3,IF(A.LoE.S[[#This Row],[LE.6]]&gt;=1,4,5)))))))</f>
        <v>--</v>
      </c>
      <c r="BI12" s="46" t="str">
        <f>CONCATENATE(NSi.SE[[#This Row],[KU.7]],(IF(A.LoE.S[[#This Row],[LE.7]]="-","-",IF(A.LoE.S[[#This Row],[LE.7]]&gt;=90,1,IF(A.LoE.S[[#This Row],[LE.7]]&gt;=80,2,IF(A.LoE.S[[#This Row],[LE.7]]&gt;=70,3,IF(A.LoE.S[[#This Row],[LE.7]]&gt;=1,4,5)))))))</f>
        <v>--</v>
      </c>
      <c r="BJ12" s="46" t="str">
        <f>CONCATENATE(NSi.SE[[#This Row],[KU.8]],(IF(A.LoE.S[[#This Row],[LE.8]]="-","-",IF(A.LoE.S[[#This Row],[LE.8]]&gt;=90,1,IF(A.LoE.S[[#This Row],[LE.8]]&gt;=80,2,IF(A.LoE.S[[#This Row],[LE.8]]&gt;=70,3,IF(A.LoE.S[[#This Row],[LE.8]]&gt;=1,4,5)))))))</f>
        <v>--</v>
      </c>
      <c r="BK12" s="38" t="str">
        <f>CONCATENATE(NSi.SE[[#This Row],[KU.9]],(IF(A.LoE.S[[#This Row],[LE.9]]="-","-",IF(A.LoE.S[[#This Row],[LE.9]]&gt;=90,1,IF(A.LoE.S[[#This Row],[LE.9]]&gt;=80,2,IF(A.LoE.S[[#This Row],[LE.9]]&gt;=70,3,IF(A.LoE.S[[#This Row],[LE.9]]&gt;=1,4,5)))))))</f>
        <v>--</v>
      </c>
      <c r="BM12" s="35" t="str">
        <f>IFERROR(ROUND(AVERAGE(Con.Sk.S[[#This Row],[TJ.1]:[Pro-A.1]]),0),"-")</f>
        <v>-</v>
      </c>
      <c r="BN12" s="24" t="str">
        <f>IFERROR(ROUND(AVERAGE(Con.Sk.S[[#This Row],[TJ.2]:[Pro-A.2]]),0),"-")</f>
        <v>-</v>
      </c>
      <c r="BO12" s="24" t="str">
        <f>IFERROR(ROUND(AVERAGE(Con.Sk.S[[#This Row],[TJ.3]:[Pro-A.3]]),0),"-")</f>
        <v>-</v>
      </c>
      <c r="BP12" s="24" t="str">
        <f>IFERROR(ROUND(AVERAGE(Con.Sk.S[[#This Row],[TJ.4]:[Pro-A.4]]),0),"-")</f>
        <v>-</v>
      </c>
      <c r="BQ12" s="24" t="str">
        <f>IFERROR(ROUND(AVERAGE(Con.Sk.S[[#This Row],[TJ.5]:[Pro-A.5]]),0),"-")</f>
        <v>-</v>
      </c>
      <c r="BR12" s="24" t="str">
        <f>IFERROR(ROUND(AVERAGE(Con.Sk.S[[#This Row],[TJ.6]:[Pro-A.6]]),0),"-")</f>
        <v>-</v>
      </c>
      <c r="BS12" s="24" t="str">
        <f>IFERROR(ROUND(AVERAGE(Con.Sk.S[[#This Row],[TJ.7]:[Pro-A.7]]),0),"-")</f>
        <v>-</v>
      </c>
      <c r="BT12" s="24" t="str">
        <f>IFERROR(ROUND(AVERAGE(Con.Sk.S[[#This Row],[TJ.8]:[Pro-A.8]]),0),"-")</f>
        <v>-</v>
      </c>
      <c r="BU12" s="25" t="str">
        <f>IFERROR(ROUND(AVERAGE(Con.Sk.S[[#This Row],[TJ.9]:[Pro-A.9]]),0),"-")</f>
        <v>-</v>
      </c>
      <c r="BW12" s="47" t="str">
        <f>IFERROR(ROUND(AVERAGE(Con.Sk.S[[#This Row],[KU.1]],Con.Sk.S[[#This Row],[KU.2]],Con.Sk.S[[#This Row],[KU.3]],Con.Sk.S[[#This Row],[KU.4]],Con.Sk.S[[#This Row],[KU.5]],Con.Sk.S[[#This Row],[KU.6]],Con.Sk.S[[#This Row],[KU.7]],Con.Sk.S[[#This Row],[KU.8]],Con.Sk.S[[#This Row],[KU.9]]),0),"")</f>
        <v/>
      </c>
      <c r="BX12" s="48" t="str">
        <f>IFERROR(ROUND(AVERAGE(Con.Sk.S[[#This Row],[TJ.1]:[Pro-A.1]],Con.Sk.S[[#This Row],[TJ.2]:[Pro-A.2]],Con.Sk.S[[#This Row],[TJ.3]:[Pro-A.3]],Con.Sk.S[[#This Row],[TJ.4]:[Pro-A.4]],Con.Sk.S[[#This Row],[TJ.5]:[Pro-A.5]],Con.Sk.S[[#This Row],[TJ.6]:[Pro-A.6]],Con.Sk.S[[#This Row],[TJ.7]:[Pro-A.7]],Con.Sk.S[[#This Row],[TJ.8]:[Pro-A.8]],Con.Sk.S[[#This Row],[TJ.9]:[Pro-A.9]]),0),"")</f>
        <v/>
      </c>
      <c r="BY12" s="3"/>
      <c r="BZ12" s="73" t="str">
        <f>IF(NSi.SE[[#This Row],[KU.1]]="A",100,IF(NSi.SE[[#This Row],[KU.1]]="B",89,IF(NSi.SE[[#This Row],[KU.1]]="C",79,IF(NSi.SE[[#This Row],[KU.1]]="D",69,IF(NSi.SE[[#This Row],[KU.1]]="E",0,"-")))))</f>
        <v>-</v>
      </c>
      <c r="CA12" s="73" t="str">
        <f>IF(NSi.SE[[#This Row],[TJ.1]]=1,100,IF(NSi.SE[[#This Row],[TJ.1]]=2,89,IF(NSi.SE[[#This Row],[TJ.1]]=3,79,IF(NSi.SE[[#This Row],[TJ.1]]=4,69,IF(NSi.SE[[#This Row],[TJ.1]]=5,0,"-")))))</f>
        <v>-</v>
      </c>
      <c r="CB12" s="73" t="str">
        <f>IF(NSi.SE[[#This Row],[Ker.1]]=1,100,IF(NSi.SE[[#This Row],[Ker.1]]=2,89,IF(NSi.SE[[#This Row],[Ker.1]]=3,79,IF(NSi.SE[[#This Row],[Ker.1]]=4,69,IF(NSi.SE[[#This Row],[Ker.1]]=5,0,"-")))))</f>
        <v>-</v>
      </c>
      <c r="CC12" s="73" t="str">
        <f>IF(NSi.SE[[#This Row],[Ped.1]]=1,100,IF(NSi.SE[[#This Row],[Ped.1]]=2,89,IF(NSi.SE[[#This Row],[Ped.1]]=3,79,IF(NSi.SE[[#This Row],[Ped.1]]=4,69,IF(NSi.SE[[#This Row],[Ped.1]]=5,0,"-")))))</f>
        <v>-</v>
      </c>
      <c r="CD12" s="73" t="str">
        <f>IF(NSi.SE[[#This Row],[Pro-A.1]]=1,100,IF(NSi.SE[[#This Row],[Pro-A.1]]=2,89,IF(NSi.SE[[#This Row],[Pro-A.1]]=3,79,IF(NSi.SE[[#This Row],[Pro-A.1]]=4,69,IF(NSi.SE[[#This Row],[Pro-A.1]]=5,0,"-")))))</f>
        <v>-</v>
      </c>
      <c r="CE12" s="73" t="str">
        <f>IF(NSi.SE[[#This Row],[KU.2]]="A",100,IF(NSi.SE[[#This Row],[KU.2]]="B",89,IF(NSi.SE[[#This Row],[KU.2]]="C",79,IF(NSi.SE[[#This Row],[KU.2]]="D",69,IF(NSi.SE[[#This Row],[KU.2]]="E",0,"-")))))</f>
        <v>-</v>
      </c>
      <c r="CF12" s="73" t="str">
        <f>IF(NSi.SE[[#This Row],[TJ.2]]=1,100,IF(NSi.SE[[#This Row],[TJ.2]]=2,89,IF(NSi.SE[[#This Row],[TJ.2]]=3,79,IF(NSi.SE[[#This Row],[TJ.2]]=4,69,IF(NSi.SE[[#This Row],[TJ.2]]=5,0,"-")))))</f>
        <v>-</v>
      </c>
      <c r="CG12" s="73" t="str">
        <f>IF(NSi.SE[[#This Row],[Ker.2]]=1,100,IF(NSi.SE[[#This Row],[Ker.2]]=2,89,IF(NSi.SE[[#This Row],[Ker.2]]=3,79,IF(NSi.SE[[#This Row],[Ker.2]]=4,69,IF(NSi.SE[[#This Row],[Ker.2]]=5,0,"-")))))</f>
        <v>-</v>
      </c>
      <c r="CH12" s="73" t="str">
        <f>IF(NSi.SE[[#This Row],[Ped.2]]=1,100,IF(NSi.SE[[#This Row],[Ped.2]]=2,89,IF(NSi.SE[[#This Row],[Ped.2]]=3,79,IF(NSi.SE[[#This Row],[Ped.2]]=4,69,IF(NSi.SE[[#This Row],[Ped.2]]=5,0,"-")))))</f>
        <v>-</v>
      </c>
      <c r="CI12" s="73" t="str">
        <f>IF(NSi.SE[[#This Row],[Pro-A.2]]=1,100,IF(NSi.SE[[#This Row],[Pro-A.2]]=2,89,IF(NSi.SE[[#This Row],[Pro-A.2]]=3,79,IF(NSi.SE[[#This Row],[Pro-A.2]]=4,69,IF(NSi.SE[[#This Row],[Pro-A.2]]=5,0,"-")))))</f>
        <v>-</v>
      </c>
      <c r="CJ12" s="74" t="str">
        <f>IF(NSi.SE[[#This Row],[KU.3]]="A",100,IF(NSi.SE[[#This Row],[KU.3]]="B",89,IF(NSi.SE[[#This Row],[KU.3]]="C",79,IF(NSi.SE[[#This Row],[KU.3]]="D",69,IF(NSi.SE[[#This Row],[KU.3]]="E",0,"-")))))</f>
        <v>-</v>
      </c>
      <c r="CK12" s="73" t="str">
        <f>IF(NSi.SE[[#This Row],[TJ.3]]=1,100,IF(NSi.SE[[#This Row],[TJ.3]]=2,89,IF(NSi.SE[[#This Row],[TJ.3]]=3,79,IF(NSi.SE[[#This Row],[TJ.3]]=4,69,IF(NSi.SE[[#This Row],[TJ.3]]=5,0,"-")))))</f>
        <v>-</v>
      </c>
      <c r="CL12" s="73" t="str">
        <f>IF(NSi.SE[[#This Row],[Ker.3]]=1,100,IF(NSi.SE[[#This Row],[Ker.3]]=2,89,IF(NSi.SE[[#This Row],[Ker.3]]=3,79,IF(NSi.SE[[#This Row],[Ker.3]]=4,69,IF(NSi.SE[[#This Row],[Ker.3]]=5,0,"-")))))</f>
        <v>-</v>
      </c>
      <c r="CM12" s="73" t="str">
        <f>IF(NSi.SE[[#This Row],[Ped.3]]=1,100,IF(NSi.SE[[#This Row],[Ped.3]]=2,89,IF(NSi.SE[[#This Row],[Ped.3]]=3,79,IF(NSi.SE[[#This Row],[Ped.3]]=4,69,IF(NSi.SE[[#This Row],[Ped.3]]=5,0,"-")))))</f>
        <v>-</v>
      </c>
      <c r="CN12" s="73" t="str">
        <f>IF(NSi.SE[[#This Row],[Pro-A.3]]=1,100,IF(NSi.SE[[#This Row],[Pro-A.3]]=2,89,IF(NSi.SE[[#This Row],[Pro-A.3]]=3,79,IF(NSi.SE[[#This Row],[Pro-A.3]]=4,69,IF(NSi.SE[[#This Row],[Pro-A.3]]=5,0,"-")))))</f>
        <v>-</v>
      </c>
      <c r="CO12" s="74" t="str">
        <f>IF(NSi.SE[[#This Row],[KU.4]]="A",100,IF(NSi.SE[[#This Row],[KU.4]]="B",89,IF(NSi.SE[[#This Row],[KU.4]]="C",79,IF(NSi.SE[[#This Row],[KU.4]]="D",69,IF(NSi.SE[[#This Row],[KU.4]]="E",0,"-")))))</f>
        <v>-</v>
      </c>
      <c r="CP12" s="73" t="str">
        <f>IF(NSi.SE[[#This Row],[TJ.4]]=1,100,IF(NSi.SE[[#This Row],[TJ.4]]=2,89,IF(NSi.SE[[#This Row],[TJ.4]]=3,79,IF(NSi.SE[[#This Row],[TJ.4]]=4,69,IF(NSi.SE[[#This Row],[TJ.4]]=5,0,"-")))))</f>
        <v>-</v>
      </c>
      <c r="CQ12" s="73" t="str">
        <f>IF(NSi.SE[[#This Row],[Ker.4]]=1,100,IF(NSi.SE[[#This Row],[Ker.4]]=2,89,IF(NSi.SE[[#This Row],[Ker.4]]=3,79,IF(NSi.SE[[#This Row],[Ker.4]]=4,69,IF(NSi.SE[[#This Row],[Ker.4]]=5,0,"-")))))</f>
        <v>-</v>
      </c>
      <c r="CR12" s="73" t="str">
        <f>IF(NSi.SE[[#This Row],[Ped.4]]=1,100,IF(NSi.SE[[#This Row],[Ped.4]]=2,89,IF(NSi.SE[[#This Row],[Ped.4]]=3,79,IF(NSi.SE[[#This Row],[Ped.4]]=4,69,IF(NSi.SE[[#This Row],[Ped.4]]=5,0,"-")))))</f>
        <v>-</v>
      </c>
      <c r="CS12" s="73" t="str">
        <f>IF(NSi.SE[[#This Row],[Pro-A.4]]=1,100,IF(NSi.SE[[#This Row],[Pro-A.4]]=2,89,IF(NSi.SE[[#This Row],[Pro-A.4]]=3,79,IF(NSi.SE[[#This Row],[Pro-A.4]]=4,69,IF(NSi.SE[[#This Row],[Pro-A.4]]=5,0,"-")))))</f>
        <v>-</v>
      </c>
      <c r="CT12" s="74" t="str">
        <f>IF(NSi.SE[[#This Row],[KU.5]]="A",100,IF(NSi.SE[[#This Row],[KU.5]]="B",89,IF(NSi.SE[[#This Row],[KU.5]]="C",79,IF(NSi.SE[[#This Row],[KU.5]]="D",69,IF(NSi.SE[[#This Row],[KU.5]]="E",0,"-")))))</f>
        <v>-</v>
      </c>
      <c r="CU12" s="73" t="str">
        <f>IF(NSi.SE[[#This Row],[TJ.5]]=1,100,IF(NSi.SE[[#This Row],[TJ.5]]=2,89,IF(NSi.SE[[#This Row],[TJ.5]]=3,79,IF(NSi.SE[[#This Row],[TJ.5]]=4,69,IF(NSi.SE[[#This Row],[TJ.5]]=5,0,"-")))))</f>
        <v>-</v>
      </c>
      <c r="CV12" s="73" t="str">
        <f>IF(NSi.SE[[#This Row],[Ker.5]]=1,100,IF(NSi.SE[[#This Row],[Ker.5]]=2,89,IF(NSi.SE[[#This Row],[Ker.5]]=3,79,IF(NSi.SE[[#This Row],[Ker.5]]=4,69,IF(NSi.SE[[#This Row],[Ker.5]]=5,0,"-")))))</f>
        <v>-</v>
      </c>
      <c r="CW12" s="73" t="str">
        <f>IF(NSi.SE[[#This Row],[Ped.5]]=1,100,IF(NSi.SE[[#This Row],[Ped.5]]=2,89,IF(NSi.SE[[#This Row],[Ped.5]]=3,79,IF(NSi.SE[[#This Row],[Ped.5]]=4,69,IF(NSi.SE[[#This Row],[Ped.5]]=5,0,"-")))))</f>
        <v>-</v>
      </c>
      <c r="CX12" s="73" t="str">
        <f>IF(NSi.SE[[#This Row],[Pro-A.5]]=1,100,IF(NSi.SE[[#This Row],[Pro-A.5]]=2,89,IF(NSi.SE[[#This Row],[Pro-A.5]]=3,79,IF(NSi.SE[[#This Row],[Pro-A.5]]=4,69,IF(NSi.SE[[#This Row],[Pro-A.5]]=5,0,"-")))))</f>
        <v>-</v>
      </c>
      <c r="CY12" s="74" t="str">
        <f>IF(NSi.SE[[#This Row],[KU.6]]="A",100,IF(NSi.SE[[#This Row],[KU.6]]="B",89,IF(NSi.SE[[#This Row],[KU.6]]="C",79,IF(NSi.SE[[#This Row],[KU.6]]="D",69,IF(NSi.SE[[#This Row],[KU.6]]="E",0,"-")))))</f>
        <v>-</v>
      </c>
      <c r="CZ12" s="73" t="str">
        <f>IF(NSi.SE[[#This Row],[TJ.6]]=1,100,IF(NSi.SE[[#This Row],[TJ.6]]=2,89,IF(NSi.SE[[#This Row],[TJ.6]]=3,79,IF(NSi.SE[[#This Row],[TJ.6]]=4,69,IF(NSi.SE[[#This Row],[TJ.6]]=5,0,"-")))))</f>
        <v>-</v>
      </c>
      <c r="DA12" s="73" t="str">
        <f>IF(NSi.SE[[#This Row],[Ker.6]]=1,100,IF(NSi.SE[[#This Row],[Ker.6]]=2,89,IF(NSi.SE[[#This Row],[Ker.6]]=3,79,IF(NSi.SE[[#This Row],[Ker.6]]=4,69,IF(NSi.SE[[#This Row],[Ker.6]]=5,0,"-")))))</f>
        <v>-</v>
      </c>
      <c r="DB12" s="73" t="str">
        <f>IF(NSi.SE[[#This Row],[Ped.6]]=1,100,IF(NSi.SE[[#This Row],[Ped.6]]=2,89,IF(NSi.SE[[#This Row],[Ped.6]]=3,79,IF(NSi.SE[[#This Row],[Ped.6]]=4,69,IF(NSi.SE[[#This Row],[Ped.6]]=5,0,"-")))))</f>
        <v>-</v>
      </c>
      <c r="DC12" s="73" t="str">
        <f>IF(NSi.SE[[#This Row],[Pro-A.6]]=1,100,IF(NSi.SE[[#This Row],[Pro-A.6]]=2,89,IF(NSi.SE[[#This Row],[Pro-A.6]]=3,79,IF(NSi.SE[[#This Row],[Pro-A.6]]=4,69,IF(NSi.SE[[#This Row],[Pro-A.6]]=5,0,"-")))))</f>
        <v>-</v>
      </c>
      <c r="DD12" s="74" t="str">
        <f>IF(NSi.SE[[#This Row],[KU.7]]="A",100,IF(NSi.SE[[#This Row],[KU.7]]="B",89,IF(NSi.SE[[#This Row],[KU.7]]="C",79,IF(NSi.SE[[#This Row],[KU.7]]="D",69,IF(NSi.SE[[#This Row],[KU.7]]="E",0,"-")))))</f>
        <v>-</v>
      </c>
      <c r="DE12" s="73" t="str">
        <f>IF(NSi.SE[[#This Row],[TJ.7]]=1,100,IF(NSi.SE[[#This Row],[TJ.7]]=2,89,IF(NSi.SE[[#This Row],[TJ.7]]=3,79,IF(NSi.SE[[#This Row],[TJ.7]]=4,69,IF(NSi.SE[[#This Row],[TJ.7]]=5,0,"-")))))</f>
        <v>-</v>
      </c>
      <c r="DF12" s="73" t="str">
        <f>IF(NSi.SE[[#This Row],[Ker.7]]=1,100,IF(NSi.SE[[#This Row],[Ker.7]]=2,89,IF(NSi.SE[[#This Row],[Ker.7]]=3,79,IF(NSi.SE[[#This Row],[Ker.7]]=4,69,IF(NSi.SE[[#This Row],[Ker.7]]=5,0,"-")))))</f>
        <v>-</v>
      </c>
      <c r="DG12" s="73" t="str">
        <f>IF(NSi.SE[[#This Row],[Ped.7]]=1,100,IF(NSi.SE[[#This Row],[Ped.7]]=2,89,IF(NSi.SE[[#This Row],[Ped.7]]=3,79,IF(NSi.SE[[#This Row],[Ped.7]]=4,69,IF(NSi.SE[[#This Row],[Ped.7]]=5,0,"-")))))</f>
        <v>-</v>
      </c>
      <c r="DH12" s="73" t="str">
        <f>IF(NSi.SE[[#This Row],[Pro-A.7]]=1,100,IF(NSi.SE[[#This Row],[Pro-A.7]]=2,89,IF(NSi.SE[[#This Row],[Pro-A.7]]=3,79,IF(NSi.SE[[#This Row],[Pro-A.7]]=4,69,IF(NSi.SE[[#This Row],[Pro-A.7]]=5,0,"-")))))</f>
        <v>-</v>
      </c>
      <c r="DI12" s="74" t="str">
        <f>IF(NSi.SE[[#This Row],[KU.8]]="A",100,IF(NSi.SE[[#This Row],[KU.8]]="B",89,IF(NSi.SE[[#This Row],[KU.8]]="C",79,IF(NSi.SE[[#This Row],[KU.8]]="D",69,IF(NSi.SE[[#This Row],[KU.8]]="E",0,"-")))))</f>
        <v>-</v>
      </c>
      <c r="DJ12" s="73" t="str">
        <f>IF(NSi.SE[[#This Row],[TJ.8]]=1,100,IF(NSi.SE[[#This Row],[TJ.8]]=2,89,IF(NSi.SE[[#This Row],[TJ.8]]=3,79,IF(NSi.SE[[#This Row],[TJ.8]]=4,69,IF(NSi.SE[[#This Row],[TJ.8]]=5,0,"-")))))</f>
        <v>-</v>
      </c>
      <c r="DK12" s="73" t="str">
        <f>IF(NSi.SE[[#This Row],[Ker.8]]=1,100,IF(NSi.SE[[#This Row],[Ker.8]]=2,89,IF(NSi.SE[[#This Row],[Ker.8]]=3,79,IF(NSi.SE[[#This Row],[Ker.8]]=4,69,IF(NSi.SE[[#This Row],[Ker.8]]=5,0,"-")))))</f>
        <v>-</v>
      </c>
      <c r="DL12" s="73" t="str">
        <f>IF(NSi.SE[[#This Row],[Ped.8]]=1,100,IF(NSi.SE[[#This Row],[Ped.8]]=2,89,IF(NSi.SE[[#This Row],[Ped.8]]=3,79,IF(NSi.SE[[#This Row],[Ped.8]]=4,69,IF(NSi.SE[[#This Row],[Ped.8]]=5,0,"-")))))</f>
        <v>-</v>
      </c>
      <c r="DM12" s="73" t="str">
        <f>IF(NSi.SE[[#This Row],[Pro-A.8]]=1,100,IF(NSi.SE[[#This Row],[Pro-A.8]]=2,89,IF(NSi.SE[[#This Row],[Pro-A.8]]=3,79,IF(NSi.SE[[#This Row],[Pro-A.8]]=4,69,IF(NSi.SE[[#This Row],[Pro-A.8]]=5,0,"-")))))</f>
        <v>-</v>
      </c>
      <c r="DN12" s="74" t="str">
        <f>IF(NSi.SE[[#This Row],[KU.9]]="A",100,IF(NSi.SE[[#This Row],[KU.9]]="B",89,IF(NSi.SE[[#This Row],[KU.9]]="C",79,IF(NSi.SE[[#This Row],[KU.9]]="D",69,IF(NSi.SE[[#This Row],[KU.9]]="E",0,"-")))))</f>
        <v>-</v>
      </c>
      <c r="DO12" s="73" t="str">
        <f>IF(NSi.SE[[#This Row],[TJ.9]]=1,100,IF(NSi.SE[[#This Row],[TJ.9]]=2,89,IF(NSi.SE[[#This Row],[TJ.9]]=3,79,IF(NSi.SE[[#This Row],[TJ.9]]=4,69,IF(NSi.SE[[#This Row],[TJ.9]]=5,0,"-")))))</f>
        <v>-</v>
      </c>
      <c r="DP12" s="73" t="str">
        <f>IF(NSi.SE[[#This Row],[Ker.9]]=1,100,IF(NSi.SE[[#This Row],[Ker.9]]=2,89,IF(NSi.SE[[#This Row],[Ker.9]]=3,79,IF(NSi.SE[[#This Row],[Ker.9]]=4,69,IF(NSi.SE[[#This Row],[Ker.9]]=5,0,"-")))))</f>
        <v>-</v>
      </c>
      <c r="DQ12" s="73" t="str">
        <f>IF(NSi.SE[[#This Row],[Ped.9]]=1,100,IF(NSi.SE[[#This Row],[Ped.9]]=2,89,IF(NSi.SE[[#This Row],[Ped.9]]=3,79,IF(NSi.SE[[#This Row],[Ped.9]]=4,69,IF(NSi.SE[[#This Row],[Ped.9]]=5,0,"-")))))</f>
        <v>-</v>
      </c>
      <c r="DR12" s="73" t="str">
        <f>IF(NSi.SE[[#This Row],[Pro-A.9]]=1,100,IF(NSi.SE[[#This Row],[Pro-A.9]]=2,89,IF(NSi.SE[[#This Row],[Pro-A.9]]=3,79,IF(NSi.SE[[#This Row],[Pro-A.9]]=4,69,IF(NSi.SE[[#This Row],[Pro-A.9]]=5,0,"-")))))</f>
        <v>-</v>
      </c>
      <c r="DT1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3" spans="1:124" ht="50.1" customHeight="1" x14ac:dyDescent="0.3">
      <c r="A13" s="66" t="str">
        <f>IF(NSi.TS[[#This Row],[No]]=0,"",NSi.TS[[#This Row],[No]])</f>
        <v/>
      </c>
      <c r="B13" s="67" t="str">
        <f>IF(NSi.TS[[#This Row],[Nama Siswa]]=0,"",NSi.TS[[#This Row],[Nama Siswa]])</f>
        <v/>
      </c>
      <c r="C13" s="68" t="str">
        <f>IF(NSi.TS[[#This Row],[Nomor Induk]]=0,"",NSi.TS[[#This Row],[Nomor Induk]])</f>
        <v/>
      </c>
      <c r="D13" s="68" t="str">
        <f>IF(NSi.TS[[#This Row],[NISN]]=0,"",NSi.TS[[#This Row],[NISN]])</f>
        <v/>
      </c>
      <c r="E13" s="68" t="str">
        <f>IF(NSi.TS[[#This Row],[Jurusan]]=0,"",NSi.TS[[#This Row],[Jurusan]])</f>
        <v/>
      </c>
      <c r="F13" s="39" t="str">
        <f>NSi.TS[[#This Row],[Nsi.TS]]</f>
        <v/>
      </c>
      <c r="G13" s="39" t="str">
        <f>IFERROR(ROUND(AVERAGE(CSCR.S[#This Row]),0),"")</f>
        <v/>
      </c>
      <c r="H13" s="39" t="str">
        <f>IFERROR(ROUND(AVERAGE(NSi.SE[[#This Row],[Nsi.TS]:[NS.iS]]),0),"")</f>
        <v/>
      </c>
      <c r="I13" s="41" t="s">
        <v>102</v>
      </c>
      <c r="J13" s="45" t="s">
        <v>102</v>
      </c>
      <c r="K13" s="45" t="s">
        <v>102</v>
      </c>
      <c r="L13" s="45" t="s">
        <v>102</v>
      </c>
      <c r="M13" s="45" t="s">
        <v>102</v>
      </c>
      <c r="N13" s="41" t="s">
        <v>102</v>
      </c>
      <c r="O13" s="45" t="s">
        <v>102</v>
      </c>
      <c r="P13" s="45" t="s">
        <v>102</v>
      </c>
      <c r="Q13" s="45" t="s">
        <v>102</v>
      </c>
      <c r="R13" s="45" t="s">
        <v>102</v>
      </c>
      <c r="S13" s="41" t="s">
        <v>102</v>
      </c>
      <c r="T13" s="45" t="s">
        <v>102</v>
      </c>
      <c r="U13" s="45" t="s">
        <v>102</v>
      </c>
      <c r="V13" s="45" t="s">
        <v>102</v>
      </c>
      <c r="W13" s="45" t="s">
        <v>102</v>
      </c>
      <c r="X13" s="41" t="s">
        <v>102</v>
      </c>
      <c r="Y13" s="45" t="s">
        <v>102</v>
      </c>
      <c r="Z13" s="45" t="s">
        <v>102</v>
      </c>
      <c r="AA13" s="45" t="s">
        <v>102</v>
      </c>
      <c r="AB13" s="45" t="s">
        <v>102</v>
      </c>
      <c r="AC13" s="41" t="s">
        <v>102</v>
      </c>
      <c r="AD13" s="45" t="s">
        <v>102</v>
      </c>
      <c r="AE13" s="45" t="s">
        <v>102</v>
      </c>
      <c r="AF13" s="45" t="s">
        <v>102</v>
      </c>
      <c r="AG13" s="45" t="s">
        <v>102</v>
      </c>
      <c r="AH13" s="41" t="s">
        <v>102</v>
      </c>
      <c r="AI13" s="45" t="s">
        <v>102</v>
      </c>
      <c r="AJ13" s="45" t="s">
        <v>102</v>
      </c>
      <c r="AK13" s="45" t="s">
        <v>102</v>
      </c>
      <c r="AL13" s="45" t="s">
        <v>102</v>
      </c>
      <c r="AM13" s="41" t="s">
        <v>102</v>
      </c>
      <c r="AN13" s="45" t="s">
        <v>102</v>
      </c>
      <c r="AO13" s="45" t="s">
        <v>102</v>
      </c>
      <c r="AP13" s="45" t="s">
        <v>102</v>
      </c>
      <c r="AQ13" s="45" t="s">
        <v>102</v>
      </c>
      <c r="AR13" s="41" t="s">
        <v>102</v>
      </c>
      <c r="AS13" s="45" t="s">
        <v>102</v>
      </c>
      <c r="AT13" s="45" t="s">
        <v>102</v>
      </c>
      <c r="AU13" s="45" t="s">
        <v>102</v>
      </c>
      <c r="AV13" s="45" t="s">
        <v>102</v>
      </c>
      <c r="AW13" s="41" t="s">
        <v>102</v>
      </c>
      <c r="AX13" s="45" t="s">
        <v>102</v>
      </c>
      <c r="AY13" s="45" t="s">
        <v>102</v>
      </c>
      <c r="AZ13" s="45" t="s">
        <v>102</v>
      </c>
      <c r="BA13" s="45" t="s">
        <v>102</v>
      </c>
      <c r="BC13" s="10" t="str">
        <f>CONCATENATE(NSi.SE[[#This Row],[KU.1]],(IF(A.LoE.S[[#This Row],[LE.1]]="-","-",IF(A.LoE.S[[#This Row],[LE.1]]&gt;=90,1,IF(A.LoE.S[[#This Row],[LE.1]]&gt;=80,2,IF(A.LoE.S[[#This Row],[LE.1]]&gt;=70,3,IF(A.LoE.S[[#This Row],[LE.1]]&gt;=1,4,5)))))))</f>
        <v>--</v>
      </c>
      <c r="BD13" s="46" t="str">
        <f>CONCATENATE(NSi.SE[[#This Row],[KU.2]],(IF(A.LoE.S[[#This Row],[LE.2]]="-","-",IF(A.LoE.S[[#This Row],[LE.2]]&gt;=90,1,IF(A.LoE.S[[#This Row],[LE.2]]&gt;=80,2,IF(A.LoE.S[[#This Row],[LE.2]]&gt;=70,3,IF(A.LoE.S[[#This Row],[LE.2]]&gt;=1,4,5)))))))</f>
        <v>--</v>
      </c>
      <c r="BE13" s="46" t="str">
        <f>CONCATENATE(NSi.SE[[#This Row],[KU.3]],(IF(A.LoE.S[[#This Row],[LE.3]]="-","-",IF(A.LoE.S[[#This Row],[LE.3]]&gt;=90,1,IF(A.LoE.S[[#This Row],[LE.3]]&gt;=80,2,IF(A.LoE.S[[#This Row],[LE.3]]&gt;=70,3,IF(A.LoE.S[[#This Row],[LE.3]]&gt;=1,4,5)))))))</f>
        <v>--</v>
      </c>
      <c r="BF13" s="46" t="str">
        <f>CONCATENATE(NSi.SE[[#This Row],[KU.4]],(IF(A.LoE.S[[#This Row],[LE.4]]="-","-",IF(A.LoE.S[[#This Row],[LE.4]]&gt;=90,1,IF(A.LoE.S[[#This Row],[LE.4]]&gt;=80,2,IF(A.LoE.S[[#This Row],[LE.4]]&gt;=70,3,IF(A.LoE.S[[#This Row],[LE.4]]&gt;=1,4,5)))))))</f>
        <v>--</v>
      </c>
      <c r="BG13" s="46" t="str">
        <f>CONCATENATE(NSi.SE[[#This Row],[KU.5]],(IF(A.LoE.S[[#This Row],[LE.5]]="-","-",IF(A.LoE.S[[#This Row],[LE.5]]&gt;=90,1,IF(A.LoE.S[[#This Row],[LE.5]]&gt;=80,2,IF(A.LoE.S[[#This Row],[LE.5]]&gt;=70,3,IF(A.LoE.S[[#This Row],[LE.5]]&gt;=1,4,5)))))))</f>
        <v>--</v>
      </c>
      <c r="BH13" s="46" t="str">
        <f>CONCATENATE(NSi.SE[[#This Row],[KU.6]],(IF(A.LoE.S[[#This Row],[LE.6]]="-","-",IF(A.LoE.S[[#This Row],[LE.6]]&gt;=90,1,IF(A.LoE.S[[#This Row],[LE.6]]&gt;=80,2,IF(A.LoE.S[[#This Row],[LE.6]]&gt;=70,3,IF(A.LoE.S[[#This Row],[LE.6]]&gt;=1,4,5)))))))</f>
        <v>--</v>
      </c>
      <c r="BI13" s="46" t="str">
        <f>CONCATENATE(NSi.SE[[#This Row],[KU.7]],(IF(A.LoE.S[[#This Row],[LE.7]]="-","-",IF(A.LoE.S[[#This Row],[LE.7]]&gt;=90,1,IF(A.LoE.S[[#This Row],[LE.7]]&gt;=80,2,IF(A.LoE.S[[#This Row],[LE.7]]&gt;=70,3,IF(A.LoE.S[[#This Row],[LE.7]]&gt;=1,4,5)))))))</f>
        <v>--</v>
      </c>
      <c r="BJ13" s="46" t="str">
        <f>CONCATENATE(NSi.SE[[#This Row],[KU.8]],(IF(A.LoE.S[[#This Row],[LE.8]]="-","-",IF(A.LoE.S[[#This Row],[LE.8]]&gt;=90,1,IF(A.LoE.S[[#This Row],[LE.8]]&gt;=80,2,IF(A.LoE.S[[#This Row],[LE.8]]&gt;=70,3,IF(A.LoE.S[[#This Row],[LE.8]]&gt;=1,4,5)))))))</f>
        <v>--</v>
      </c>
      <c r="BK13" s="38" t="str">
        <f>CONCATENATE(NSi.SE[[#This Row],[KU.9]],(IF(A.LoE.S[[#This Row],[LE.9]]="-","-",IF(A.LoE.S[[#This Row],[LE.9]]&gt;=90,1,IF(A.LoE.S[[#This Row],[LE.9]]&gt;=80,2,IF(A.LoE.S[[#This Row],[LE.9]]&gt;=70,3,IF(A.LoE.S[[#This Row],[LE.9]]&gt;=1,4,5)))))))</f>
        <v>--</v>
      </c>
      <c r="BM13" s="35" t="str">
        <f>IFERROR(ROUND(AVERAGE(Con.Sk.S[[#This Row],[TJ.1]:[Pro-A.1]]),0),"-")</f>
        <v>-</v>
      </c>
      <c r="BN13" s="24" t="str">
        <f>IFERROR(ROUND(AVERAGE(Con.Sk.S[[#This Row],[TJ.2]:[Pro-A.2]]),0),"-")</f>
        <v>-</v>
      </c>
      <c r="BO13" s="24" t="str">
        <f>IFERROR(ROUND(AVERAGE(Con.Sk.S[[#This Row],[TJ.3]:[Pro-A.3]]),0),"-")</f>
        <v>-</v>
      </c>
      <c r="BP13" s="24" t="str">
        <f>IFERROR(ROUND(AVERAGE(Con.Sk.S[[#This Row],[TJ.4]:[Pro-A.4]]),0),"-")</f>
        <v>-</v>
      </c>
      <c r="BQ13" s="24" t="str">
        <f>IFERROR(ROUND(AVERAGE(Con.Sk.S[[#This Row],[TJ.5]:[Pro-A.5]]),0),"-")</f>
        <v>-</v>
      </c>
      <c r="BR13" s="24" t="str">
        <f>IFERROR(ROUND(AVERAGE(Con.Sk.S[[#This Row],[TJ.6]:[Pro-A.6]]),0),"-")</f>
        <v>-</v>
      </c>
      <c r="BS13" s="24" t="str">
        <f>IFERROR(ROUND(AVERAGE(Con.Sk.S[[#This Row],[TJ.7]:[Pro-A.7]]),0),"-")</f>
        <v>-</v>
      </c>
      <c r="BT13" s="24" t="str">
        <f>IFERROR(ROUND(AVERAGE(Con.Sk.S[[#This Row],[TJ.8]:[Pro-A.8]]),0),"-")</f>
        <v>-</v>
      </c>
      <c r="BU13" s="25" t="str">
        <f>IFERROR(ROUND(AVERAGE(Con.Sk.S[[#This Row],[TJ.9]:[Pro-A.9]]),0),"-")</f>
        <v>-</v>
      </c>
      <c r="BW13" s="47" t="str">
        <f>IFERROR(ROUND(AVERAGE(Con.Sk.S[[#This Row],[KU.1]],Con.Sk.S[[#This Row],[KU.2]],Con.Sk.S[[#This Row],[KU.3]],Con.Sk.S[[#This Row],[KU.4]],Con.Sk.S[[#This Row],[KU.5]],Con.Sk.S[[#This Row],[KU.6]],Con.Sk.S[[#This Row],[KU.7]],Con.Sk.S[[#This Row],[KU.8]],Con.Sk.S[[#This Row],[KU.9]]),0),"")</f>
        <v/>
      </c>
      <c r="BX13" s="48" t="str">
        <f>IFERROR(ROUND(AVERAGE(Con.Sk.S[[#This Row],[TJ.1]:[Pro-A.1]],Con.Sk.S[[#This Row],[TJ.2]:[Pro-A.2]],Con.Sk.S[[#This Row],[TJ.3]:[Pro-A.3]],Con.Sk.S[[#This Row],[TJ.4]:[Pro-A.4]],Con.Sk.S[[#This Row],[TJ.5]:[Pro-A.5]],Con.Sk.S[[#This Row],[TJ.6]:[Pro-A.6]],Con.Sk.S[[#This Row],[TJ.7]:[Pro-A.7]],Con.Sk.S[[#This Row],[TJ.8]:[Pro-A.8]],Con.Sk.S[[#This Row],[TJ.9]:[Pro-A.9]]),0),"")</f>
        <v/>
      </c>
      <c r="BY13" s="3"/>
      <c r="BZ13" s="73" t="str">
        <f>IF(NSi.SE[[#This Row],[KU.1]]="A",100,IF(NSi.SE[[#This Row],[KU.1]]="B",89,IF(NSi.SE[[#This Row],[KU.1]]="C",79,IF(NSi.SE[[#This Row],[KU.1]]="D",69,IF(NSi.SE[[#This Row],[KU.1]]="E",0,"-")))))</f>
        <v>-</v>
      </c>
      <c r="CA13" s="73" t="str">
        <f>IF(NSi.SE[[#This Row],[TJ.1]]=1,100,IF(NSi.SE[[#This Row],[TJ.1]]=2,89,IF(NSi.SE[[#This Row],[TJ.1]]=3,79,IF(NSi.SE[[#This Row],[TJ.1]]=4,69,IF(NSi.SE[[#This Row],[TJ.1]]=5,0,"-")))))</f>
        <v>-</v>
      </c>
      <c r="CB13" s="73" t="str">
        <f>IF(NSi.SE[[#This Row],[Ker.1]]=1,100,IF(NSi.SE[[#This Row],[Ker.1]]=2,89,IF(NSi.SE[[#This Row],[Ker.1]]=3,79,IF(NSi.SE[[#This Row],[Ker.1]]=4,69,IF(NSi.SE[[#This Row],[Ker.1]]=5,0,"-")))))</f>
        <v>-</v>
      </c>
      <c r="CC13" s="73" t="str">
        <f>IF(NSi.SE[[#This Row],[Ped.1]]=1,100,IF(NSi.SE[[#This Row],[Ped.1]]=2,89,IF(NSi.SE[[#This Row],[Ped.1]]=3,79,IF(NSi.SE[[#This Row],[Ped.1]]=4,69,IF(NSi.SE[[#This Row],[Ped.1]]=5,0,"-")))))</f>
        <v>-</v>
      </c>
      <c r="CD13" s="73" t="str">
        <f>IF(NSi.SE[[#This Row],[Pro-A.1]]=1,100,IF(NSi.SE[[#This Row],[Pro-A.1]]=2,89,IF(NSi.SE[[#This Row],[Pro-A.1]]=3,79,IF(NSi.SE[[#This Row],[Pro-A.1]]=4,69,IF(NSi.SE[[#This Row],[Pro-A.1]]=5,0,"-")))))</f>
        <v>-</v>
      </c>
      <c r="CE13" s="73" t="str">
        <f>IF(NSi.SE[[#This Row],[KU.2]]="A",100,IF(NSi.SE[[#This Row],[KU.2]]="B",89,IF(NSi.SE[[#This Row],[KU.2]]="C",79,IF(NSi.SE[[#This Row],[KU.2]]="D",69,IF(NSi.SE[[#This Row],[KU.2]]="E",0,"-")))))</f>
        <v>-</v>
      </c>
      <c r="CF13" s="73" t="str">
        <f>IF(NSi.SE[[#This Row],[TJ.2]]=1,100,IF(NSi.SE[[#This Row],[TJ.2]]=2,89,IF(NSi.SE[[#This Row],[TJ.2]]=3,79,IF(NSi.SE[[#This Row],[TJ.2]]=4,69,IF(NSi.SE[[#This Row],[TJ.2]]=5,0,"-")))))</f>
        <v>-</v>
      </c>
      <c r="CG13" s="73" t="str">
        <f>IF(NSi.SE[[#This Row],[Ker.2]]=1,100,IF(NSi.SE[[#This Row],[Ker.2]]=2,89,IF(NSi.SE[[#This Row],[Ker.2]]=3,79,IF(NSi.SE[[#This Row],[Ker.2]]=4,69,IF(NSi.SE[[#This Row],[Ker.2]]=5,0,"-")))))</f>
        <v>-</v>
      </c>
      <c r="CH13" s="73" t="str">
        <f>IF(NSi.SE[[#This Row],[Ped.2]]=1,100,IF(NSi.SE[[#This Row],[Ped.2]]=2,89,IF(NSi.SE[[#This Row],[Ped.2]]=3,79,IF(NSi.SE[[#This Row],[Ped.2]]=4,69,IF(NSi.SE[[#This Row],[Ped.2]]=5,0,"-")))))</f>
        <v>-</v>
      </c>
      <c r="CI13" s="73" t="str">
        <f>IF(NSi.SE[[#This Row],[Pro-A.2]]=1,100,IF(NSi.SE[[#This Row],[Pro-A.2]]=2,89,IF(NSi.SE[[#This Row],[Pro-A.2]]=3,79,IF(NSi.SE[[#This Row],[Pro-A.2]]=4,69,IF(NSi.SE[[#This Row],[Pro-A.2]]=5,0,"-")))))</f>
        <v>-</v>
      </c>
      <c r="CJ13" s="74" t="str">
        <f>IF(NSi.SE[[#This Row],[KU.3]]="A",100,IF(NSi.SE[[#This Row],[KU.3]]="B",89,IF(NSi.SE[[#This Row],[KU.3]]="C",79,IF(NSi.SE[[#This Row],[KU.3]]="D",69,IF(NSi.SE[[#This Row],[KU.3]]="E",0,"-")))))</f>
        <v>-</v>
      </c>
      <c r="CK13" s="73" t="str">
        <f>IF(NSi.SE[[#This Row],[TJ.3]]=1,100,IF(NSi.SE[[#This Row],[TJ.3]]=2,89,IF(NSi.SE[[#This Row],[TJ.3]]=3,79,IF(NSi.SE[[#This Row],[TJ.3]]=4,69,IF(NSi.SE[[#This Row],[TJ.3]]=5,0,"-")))))</f>
        <v>-</v>
      </c>
      <c r="CL13" s="73" t="str">
        <f>IF(NSi.SE[[#This Row],[Ker.3]]=1,100,IF(NSi.SE[[#This Row],[Ker.3]]=2,89,IF(NSi.SE[[#This Row],[Ker.3]]=3,79,IF(NSi.SE[[#This Row],[Ker.3]]=4,69,IF(NSi.SE[[#This Row],[Ker.3]]=5,0,"-")))))</f>
        <v>-</v>
      </c>
      <c r="CM13" s="73" t="str">
        <f>IF(NSi.SE[[#This Row],[Ped.3]]=1,100,IF(NSi.SE[[#This Row],[Ped.3]]=2,89,IF(NSi.SE[[#This Row],[Ped.3]]=3,79,IF(NSi.SE[[#This Row],[Ped.3]]=4,69,IF(NSi.SE[[#This Row],[Ped.3]]=5,0,"-")))))</f>
        <v>-</v>
      </c>
      <c r="CN13" s="73" t="str">
        <f>IF(NSi.SE[[#This Row],[Pro-A.3]]=1,100,IF(NSi.SE[[#This Row],[Pro-A.3]]=2,89,IF(NSi.SE[[#This Row],[Pro-A.3]]=3,79,IF(NSi.SE[[#This Row],[Pro-A.3]]=4,69,IF(NSi.SE[[#This Row],[Pro-A.3]]=5,0,"-")))))</f>
        <v>-</v>
      </c>
      <c r="CO13" s="74" t="str">
        <f>IF(NSi.SE[[#This Row],[KU.4]]="A",100,IF(NSi.SE[[#This Row],[KU.4]]="B",89,IF(NSi.SE[[#This Row],[KU.4]]="C",79,IF(NSi.SE[[#This Row],[KU.4]]="D",69,IF(NSi.SE[[#This Row],[KU.4]]="E",0,"-")))))</f>
        <v>-</v>
      </c>
      <c r="CP13" s="73" t="str">
        <f>IF(NSi.SE[[#This Row],[TJ.4]]=1,100,IF(NSi.SE[[#This Row],[TJ.4]]=2,89,IF(NSi.SE[[#This Row],[TJ.4]]=3,79,IF(NSi.SE[[#This Row],[TJ.4]]=4,69,IF(NSi.SE[[#This Row],[TJ.4]]=5,0,"-")))))</f>
        <v>-</v>
      </c>
      <c r="CQ13" s="73" t="str">
        <f>IF(NSi.SE[[#This Row],[Ker.4]]=1,100,IF(NSi.SE[[#This Row],[Ker.4]]=2,89,IF(NSi.SE[[#This Row],[Ker.4]]=3,79,IF(NSi.SE[[#This Row],[Ker.4]]=4,69,IF(NSi.SE[[#This Row],[Ker.4]]=5,0,"-")))))</f>
        <v>-</v>
      </c>
      <c r="CR13" s="73" t="str">
        <f>IF(NSi.SE[[#This Row],[Ped.4]]=1,100,IF(NSi.SE[[#This Row],[Ped.4]]=2,89,IF(NSi.SE[[#This Row],[Ped.4]]=3,79,IF(NSi.SE[[#This Row],[Ped.4]]=4,69,IF(NSi.SE[[#This Row],[Ped.4]]=5,0,"-")))))</f>
        <v>-</v>
      </c>
      <c r="CS13" s="73" t="str">
        <f>IF(NSi.SE[[#This Row],[Pro-A.4]]=1,100,IF(NSi.SE[[#This Row],[Pro-A.4]]=2,89,IF(NSi.SE[[#This Row],[Pro-A.4]]=3,79,IF(NSi.SE[[#This Row],[Pro-A.4]]=4,69,IF(NSi.SE[[#This Row],[Pro-A.4]]=5,0,"-")))))</f>
        <v>-</v>
      </c>
      <c r="CT13" s="74" t="str">
        <f>IF(NSi.SE[[#This Row],[KU.5]]="A",100,IF(NSi.SE[[#This Row],[KU.5]]="B",89,IF(NSi.SE[[#This Row],[KU.5]]="C",79,IF(NSi.SE[[#This Row],[KU.5]]="D",69,IF(NSi.SE[[#This Row],[KU.5]]="E",0,"-")))))</f>
        <v>-</v>
      </c>
      <c r="CU13" s="73" t="str">
        <f>IF(NSi.SE[[#This Row],[TJ.5]]=1,100,IF(NSi.SE[[#This Row],[TJ.5]]=2,89,IF(NSi.SE[[#This Row],[TJ.5]]=3,79,IF(NSi.SE[[#This Row],[TJ.5]]=4,69,IF(NSi.SE[[#This Row],[TJ.5]]=5,0,"-")))))</f>
        <v>-</v>
      </c>
      <c r="CV13" s="73" t="str">
        <f>IF(NSi.SE[[#This Row],[Ker.5]]=1,100,IF(NSi.SE[[#This Row],[Ker.5]]=2,89,IF(NSi.SE[[#This Row],[Ker.5]]=3,79,IF(NSi.SE[[#This Row],[Ker.5]]=4,69,IF(NSi.SE[[#This Row],[Ker.5]]=5,0,"-")))))</f>
        <v>-</v>
      </c>
      <c r="CW13" s="73" t="str">
        <f>IF(NSi.SE[[#This Row],[Ped.5]]=1,100,IF(NSi.SE[[#This Row],[Ped.5]]=2,89,IF(NSi.SE[[#This Row],[Ped.5]]=3,79,IF(NSi.SE[[#This Row],[Ped.5]]=4,69,IF(NSi.SE[[#This Row],[Ped.5]]=5,0,"-")))))</f>
        <v>-</v>
      </c>
      <c r="CX13" s="73" t="str">
        <f>IF(NSi.SE[[#This Row],[Pro-A.5]]=1,100,IF(NSi.SE[[#This Row],[Pro-A.5]]=2,89,IF(NSi.SE[[#This Row],[Pro-A.5]]=3,79,IF(NSi.SE[[#This Row],[Pro-A.5]]=4,69,IF(NSi.SE[[#This Row],[Pro-A.5]]=5,0,"-")))))</f>
        <v>-</v>
      </c>
      <c r="CY13" s="74" t="str">
        <f>IF(NSi.SE[[#This Row],[KU.6]]="A",100,IF(NSi.SE[[#This Row],[KU.6]]="B",89,IF(NSi.SE[[#This Row],[KU.6]]="C",79,IF(NSi.SE[[#This Row],[KU.6]]="D",69,IF(NSi.SE[[#This Row],[KU.6]]="E",0,"-")))))</f>
        <v>-</v>
      </c>
      <c r="CZ13" s="73" t="str">
        <f>IF(NSi.SE[[#This Row],[TJ.6]]=1,100,IF(NSi.SE[[#This Row],[TJ.6]]=2,89,IF(NSi.SE[[#This Row],[TJ.6]]=3,79,IF(NSi.SE[[#This Row],[TJ.6]]=4,69,IF(NSi.SE[[#This Row],[TJ.6]]=5,0,"-")))))</f>
        <v>-</v>
      </c>
      <c r="DA13" s="73" t="str">
        <f>IF(NSi.SE[[#This Row],[Ker.6]]=1,100,IF(NSi.SE[[#This Row],[Ker.6]]=2,89,IF(NSi.SE[[#This Row],[Ker.6]]=3,79,IF(NSi.SE[[#This Row],[Ker.6]]=4,69,IF(NSi.SE[[#This Row],[Ker.6]]=5,0,"-")))))</f>
        <v>-</v>
      </c>
      <c r="DB13" s="73" t="str">
        <f>IF(NSi.SE[[#This Row],[Ped.6]]=1,100,IF(NSi.SE[[#This Row],[Ped.6]]=2,89,IF(NSi.SE[[#This Row],[Ped.6]]=3,79,IF(NSi.SE[[#This Row],[Ped.6]]=4,69,IF(NSi.SE[[#This Row],[Ped.6]]=5,0,"-")))))</f>
        <v>-</v>
      </c>
      <c r="DC13" s="73" t="str">
        <f>IF(NSi.SE[[#This Row],[Pro-A.6]]=1,100,IF(NSi.SE[[#This Row],[Pro-A.6]]=2,89,IF(NSi.SE[[#This Row],[Pro-A.6]]=3,79,IF(NSi.SE[[#This Row],[Pro-A.6]]=4,69,IF(NSi.SE[[#This Row],[Pro-A.6]]=5,0,"-")))))</f>
        <v>-</v>
      </c>
      <c r="DD13" s="74" t="str">
        <f>IF(NSi.SE[[#This Row],[KU.7]]="A",100,IF(NSi.SE[[#This Row],[KU.7]]="B",89,IF(NSi.SE[[#This Row],[KU.7]]="C",79,IF(NSi.SE[[#This Row],[KU.7]]="D",69,IF(NSi.SE[[#This Row],[KU.7]]="E",0,"-")))))</f>
        <v>-</v>
      </c>
      <c r="DE13" s="73" t="str">
        <f>IF(NSi.SE[[#This Row],[TJ.7]]=1,100,IF(NSi.SE[[#This Row],[TJ.7]]=2,89,IF(NSi.SE[[#This Row],[TJ.7]]=3,79,IF(NSi.SE[[#This Row],[TJ.7]]=4,69,IF(NSi.SE[[#This Row],[TJ.7]]=5,0,"-")))))</f>
        <v>-</v>
      </c>
      <c r="DF13" s="73" t="str">
        <f>IF(NSi.SE[[#This Row],[Ker.7]]=1,100,IF(NSi.SE[[#This Row],[Ker.7]]=2,89,IF(NSi.SE[[#This Row],[Ker.7]]=3,79,IF(NSi.SE[[#This Row],[Ker.7]]=4,69,IF(NSi.SE[[#This Row],[Ker.7]]=5,0,"-")))))</f>
        <v>-</v>
      </c>
      <c r="DG13" s="73" t="str">
        <f>IF(NSi.SE[[#This Row],[Ped.7]]=1,100,IF(NSi.SE[[#This Row],[Ped.7]]=2,89,IF(NSi.SE[[#This Row],[Ped.7]]=3,79,IF(NSi.SE[[#This Row],[Ped.7]]=4,69,IF(NSi.SE[[#This Row],[Ped.7]]=5,0,"-")))))</f>
        <v>-</v>
      </c>
      <c r="DH13" s="73" t="str">
        <f>IF(NSi.SE[[#This Row],[Pro-A.7]]=1,100,IF(NSi.SE[[#This Row],[Pro-A.7]]=2,89,IF(NSi.SE[[#This Row],[Pro-A.7]]=3,79,IF(NSi.SE[[#This Row],[Pro-A.7]]=4,69,IF(NSi.SE[[#This Row],[Pro-A.7]]=5,0,"-")))))</f>
        <v>-</v>
      </c>
      <c r="DI13" s="74" t="str">
        <f>IF(NSi.SE[[#This Row],[KU.8]]="A",100,IF(NSi.SE[[#This Row],[KU.8]]="B",89,IF(NSi.SE[[#This Row],[KU.8]]="C",79,IF(NSi.SE[[#This Row],[KU.8]]="D",69,IF(NSi.SE[[#This Row],[KU.8]]="E",0,"-")))))</f>
        <v>-</v>
      </c>
      <c r="DJ13" s="73" t="str">
        <f>IF(NSi.SE[[#This Row],[TJ.8]]=1,100,IF(NSi.SE[[#This Row],[TJ.8]]=2,89,IF(NSi.SE[[#This Row],[TJ.8]]=3,79,IF(NSi.SE[[#This Row],[TJ.8]]=4,69,IF(NSi.SE[[#This Row],[TJ.8]]=5,0,"-")))))</f>
        <v>-</v>
      </c>
      <c r="DK13" s="73" t="str">
        <f>IF(NSi.SE[[#This Row],[Ker.8]]=1,100,IF(NSi.SE[[#This Row],[Ker.8]]=2,89,IF(NSi.SE[[#This Row],[Ker.8]]=3,79,IF(NSi.SE[[#This Row],[Ker.8]]=4,69,IF(NSi.SE[[#This Row],[Ker.8]]=5,0,"-")))))</f>
        <v>-</v>
      </c>
      <c r="DL13" s="73" t="str">
        <f>IF(NSi.SE[[#This Row],[Ped.8]]=1,100,IF(NSi.SE[[#This Row],[Ped.8]]=2,89,IF(NSi.SE[[#This Row],[Ped.8]]=3,79,IF(NSi.SE[[#This Row],[Ped.8]]=4,69,IF(NSi.SE[[#This Row],[Ped.8]]=5,0,"-")))))</f>
        <v>-</v>
      </c>
      <c r="DM13" s="73" t="str">
        <f>IF(NSi.SE[[#This Row],[Pro-A.8]]=1,100,IF(NSi.SE[[#This Row],[Pro-A.8]]=2,89,IF(NSi.SE[[#This Row],[Pro-A.8]]=3,79,IF(NSi.SE[[#This Row],[Pro-A.8]]=4,69,IF(NSi.SE[[#This Row],[Pro-A.8]]=5,0,"-")))))</f>
        <v>-</v>
      </c>
      <c r="DN13" s="74" t="str">
        <f>IF(NSi.SE[[#This Row],[KU.9]]="A",100,IF(NSi.SE[[#This Row],[KU.9]]="B",89,IF(NSi.SE[[#This Row],[KU.9]]="C",79,IF(NSi.SE[[#This Row],[KU.9]]="D",69,IF(NSi.SE[[#This Row],[KU.9]]="E",0,"-")))))</f>
        <v>-</v>
      </c>
      <c r="DO13" s="73" t="str">
        <f>IF(NSi.SE[[#This Row],[TJ.9]]=1,100,IF(NSi.SE[[#This Row],[TJ.9]]=2,89,IF(NSi.SE[[#This Row],[TJ.9]]=3,79,IF(NSi.SE[[#This Row],[TJ.9]]=4,69,IF(NSi.SE[[#This Row],[TJ.9]]=5,0,"-")))))</f>
        <v>-</v>
      </c>
      <c r="DP13" s="73" t="str">
        <f>IF(NSi.SE[[#This Row],[Ker.9]]=1,100,IF(NSi.SE[[#This Row],[Ker.9]]=2,89,IF(NSi.SE[[#This Row],[Ker.9]]=3,79,IF(NSi.SE[[#This Row],[Ker.9]]=4,69,IF(NSi.SE[[#This Row],[Ker.9]]=5,0,"-")))))</f>
        <v>-</v>
      </c>
      <c r="DQ13" s="73" t="str">
        <f>IF(NSi.SE[[#This Row],[Ped.9]]=1,100,IF(NSi.SE[[#This Row],[Ped.9]]=2,89,IF(NSi.SE[[#This Row],[Ped.9]]=3,79,IF(NSi.SE[[#This Row],[Ped.9]]=4,69,IF(NSi.SE[[#This Row],[Ped.9]]=5,0,"-")))))</f>
        <v>-</v>
      </c>
      <c r="DR13" s="73" t="str">
        <f>IF(NSi.SE[[#This Row],[Pro-A.9]]=1,100,IF(NSi.SE[[#This Row],[Pro-A.9]]=2,89,IF(NSi.SE[[#This Row],[Pro-A.9]]=3,79,IF(NSi.SE[[#This Row],[Pro-A.9]]=4,69,IF(NSi.SE[[#This Row],[Pro-A.9]]=5,0,"-")))))</f>
        <v>-</v>
      </c>
      <c r="DT1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4" spans="1:124" ht="50.1" customHeight="1" x14ac:dyDescent="0.3">
      <c r="A14" s="66" t="str">
        <f>IF(NSi.TS[[#This Row],[No]]=0,"",NSi.TS[[#This Row],[No]])</f>
        <v/>
      </c>
      <c r="B14" s="67" t="str">
        <f>IF(NSi.TS[[#This Row],[Nama Siswa]]=0,"",NSi.TS[[#This Row],[Nama Siswa]])</f>
        <v/>
      </c>
      <c r="C14" s="68" t="str">
        <f>IF(NSi.TS[[#This Row],[Nomor Induk]]=0,"",NSi.TS[[#This Row],[Nomor Induk]])</f>
        <v/>
      </c>
      <c r="D14" s="68" t="str">
        <f>IF(NSi.TS[[#This Row],[NISN]]=0,"",NSi.TS[[#This Row],[NISN]])</f>
        <v/>
      </c>
      <c r="E14" s="68" t="str">
        <f>IF(NSi.TS[[#This Row],[Jurusan]]=0,"",NSi.TS[[#This Row],[Jurusan]])</f>
        <v/>
      </c>
      <c r="F14" s="39" t="str">
        <f>NSi.TS[[#This Row],[Nsi.TS]]</f>
        <v/>
      </c>
      <c r="G14" s="39" t="str">
        <f>IFERROR(ROUND(AVERAGE(CSCR.S[#This Row]),0),"")</f>
        <v/>
      </c>
      <c r="H14" s="39" t="str">
        <f>IFERROR(ROUND(AVERAGE(NSi.SE[[#This Row],[Nsi.TS]:[NS.iS]]),0),"")</f>
        <v/>
      </c>
      <c r="I14" s="41" t="s">
        <v>102</v>
      </c>
      <c r="J14" s="45" t="s">
        <v>102</v>
      </c>
      <c r="K14" s="45" t="s">
        <v>102</v>
      </c>
      <c r="L14" s="45" t="s">
        <v>102</v>
      </c>
      <c r="M14" s="45" t="s">
        <v>102</v>
      </c>
      <c r="N14" s="41" t="s">
        <v>102</v>
      </c>
      <c r="O14" s="45" t="s">
        <v>102</v>
      </c>
      <c r="P14" s="45" t="s">
        <v>102</v>
      </c>
      <c r="Q14" s="45" t="s">
        <v>102</v>
      </c>
      <c r="R14" s="45" t="s">
        <v>102</v>
      </c>
      <c r="S14" s="41" t="s">
        <v>102</v>
      </c>
      <c r="T14" s="45" t="s">
        <v>102</v>
      </c>
      <c r="U14" s="45" t="s">
        <v>102</v>
      </c>
      <c r="V14" s="45" t="s">
        <v>102</v>
      </c>
      <c r="W14" s="45" t="s">
        <v>102</v>
      </c>
      <c r="X14" s="41" t="s">
        <v>102</v>
      </c>
      <c r="Y14" s="45" t="s">
        <v>102</v>
      </c>
      <c r="Z14" s="45" t="s">
        <v>102</v>
      </c>
      <c r="AA14" s="45" t="s">
        <v>102</v>
      </c>
      <c r="AB14" s="45" t="s">
        <v>102</v>
      </c>
      <c r="AC14" s="41" t="s">
        <v>102</v>
      </c>
      <c r="AD14" s="45" t="s">
        <v>102</v>
      </c>
      <c r="AE14" s="45" t="s">
        <v>102</v>
      </c>
      <c r="AF14" s="45" t="s">
        <v>102</v>
      </c>
      <c r="AG14" s="45" t="s">
        <v>102</v>
      </c>
      <c r="AH14" s="41" t="s">
        <v>102</v>
      </c>
      <c r="AI14" s="45" t="s">
        <v>102</v>
      </c>
      <c r="AJ14" s="45" t="s">
        <v>102</v>
      </c>
      <c r="AK14" s="45" t="s">
        <v>102</v>
      </c>
      <c r="AL14" s="45" t="s">
        <v>102</v>
      </c>
      <c r="AM14" s="41" t="s">
        <v>102</v>
      </c>
      <c r="AN14" s="45" t="s">
        <v>102</v>
      </c>
      <c r="AO14" s="45" t="s">
        <v>102</v>
      </c>
      <c r="AP14" s="45" t="s">
        <v>102</v>
      </c>
      <c r="AQ14" s="45" t="s">
        <v>102</v>
      </c>
      <c r="AR14" s="41" t="s">
        <v>102</v>
      </c>
      <c r="AS14" s="45" t="s">
        <v>102</v>
      </c>
      <c r="AT14" s="45" t="s">
        <v>102</v>
      </c>
      <c r="AU14" s="45" t="s">
        <v>102</v>
      </c>
      <c r="AV14" s="45" t="s">
        <v>102</v>
      </c>
      <c r="AW14" s="41" t="s">
        <v>102</v>
      </c>
      <c r="AX14" s="45" t="s">
        <v>102</v>
      </c>
      <c r="AY14" s="45" t="s">
        <v>102</v>
      </c>
      <c r="AZ14" s="45" t="s">
        <v>102</v>
      </c>
      <c r="BA14" s="45" t="s">
        <v>102</v>
      </c>
      <c r="BC14" s="10" t="str">
        <f>CONCATENATE(NSi.SE[[#This Row],[KU.1]],(IF(A.LoE.S[[#This Row],[LE.1]]="-","-",IF(A.LoE.S[[#This Row],[LE.1]]&gt;=90,1,IF(A.LoE.S[[#This Row],[LE.1]]&gt;=80,2,IF(A.LoE.S[[#This Row],[LE.1]]&gt;=70,3,IF(A.LoE.S[[#This Row],[LE.1]]&gt;=1,4,5)))))))</f>
        <v>--</v>
      </c>
      <c r="BD14" s="46" t="str">
        <f>CONCATENATE(NSi.SE[[#This Row],[KU.2]],(IF(A.LoE.S[[#This Row],[LE.2]]="-","-",IF(A.LoE.S[[#This Row],[LE.2]]&gt;=90,1,IF(A.LoE.S[[#This Row],[LE.2]]&gt;=80,2,IF(A.LoE.S[[#This Row],[LE.2]]&gt;=70,3,IF(A.LoE.S[[#This Row],[LE.2]]&gt;=1,4,5)))))))</f>
        <v>--</v>
      </c>
      <c r="BE14" s="46" t="str">
        <f>CONCATENATE(NSi.SE[[#This Row],[KU.3]],(IF(A.LoE.S[[#This Row],[LE.3]]="-","-",IF(A.LoE.S[[#This Row],[LE.3]]&gt;=90,1,IF(A.LoE.S[[#This Row],[LE.3]]&gt;=80,2,IF(A.LoE.S[[#This Row],[LE.3]]&gt;=70,3,IF(A.LoE.S[[#This Row],[LE.3]]&gt;=1,4,5)))))))</f>
        <v>--</v>
      </c>
      <c r="BF14" s="46" t="str">
        <f>CONCATENATE(NSi.SE[[#This Row],[KU.4]],(IF(A.LoE.S[[#This Row],[LE.4]]="-","-",IF(A.LoE.S[[#This Row],[LE.4]]&gt;=90,1,IF(A.LoE.S[[#This Row],[LE.4]]&gt;=80,2,IF(A.LoE.S[[#This Row],[LE.4]]&gt;=70,3,IF(A.LoE.S[[#This Row],[LE.4]]&gt;=1,4,5)))))))</f>
        <v>--</v>
      </c>
      <c r="BG14" s="46" t="str">
        <f>CONCATENATE(NSi.SE[[#This Row],[KU.5]],(IF(A.LoE.S[[#This Row],[LE.5]]="-","-",IF(A.LoE.S[[#This Row],[LE.5]]&gt;=90,1,IF(A.LoE.S[[#This Row],[LE.5]]&gt;=80,2,IF(A.LoE.S[[#This Row],[LE.5]]&gt;=70,3,IF(A.LoE.S[[#This Row],[LE.5]]&gt;=1,4,5)))))))</f>
        <v>--</v>
      </c>
      <c r="BH14" s="46" t="str">
        <f>CONCATENATE(NSi.SE[[#This Row],[KU.6]],(IF(A.LoE.S[[#This Row],[LE.6]]="-","-",IF(A.LoE.S[[#This Row],[LE.6]]&gt;=90,1,IF(A.LoE.S[[#This Row],[LE.6]]&gt;=80,2,IF(A.LoE.S[[#This Row],[LE.6]]&gt;=70,3,IF(A.LoE.S[[#This Row],[LE.6]]&gt;=1,4,5)))))))</f>
        <v>--</v>
      </c>
      <c r="BI14" s="46" t="str">
        <f>CONCATENATE(NSi.SE[[#This Row],[KU.7]],(IF(A.LoE.S[[#This Row],[LE.7]]="-","-",IF(A.LoE.S[[#This Row],[LE.7]]&gt;=90,1,IF(A.LoE.S[[#This Row],[LE.7]]&gt;=80,2,IF(A.LoE.S[[#This Row],[LE.7]]&gt;=70,3,IF(A.LoE.S[[#This Row],[LE.7]]&gt;=1,4,5)))))))</f>
        <v>--</v>
      </c>
      <c r="BJ14" s="46" t="str">
        <f>CONCATENATE(NSi.SE[[#This Row],[KU.8]],(IF(A.LoE.S[[#This Row],[LE.8]]="-","-",IF(A.LoE.S[[#This Row],[LE.8]]&gt;=90,1,IF(A.LoE.S[[#This Row],[LE.8]]&gt;=80,2,IF(A.LoE.S[[#This Row],[LE.8]]&gt;=70,3,IF(A.LoE.S[[#This Row],[LE.8]]&gt;=1,4,5)))))))</f>
        <v>--</v>
      </c>
      <c r="BK14" s="38" t="str">
        <f>CONCATENATE(NSi.SE[[#This Row],[KU.9]],(IF(A.LoE.S[[#This Row],[LE.9]]="-","-",IF(A.LoE.S[[#This Row],[LE.9]]&gt;=90,1,IF(A.LoE.S[[#This Row],[LE.9]]&gt;=80,2,IF(A.LoE.S[[#This Row],[LE.9]]&gt;=70,3,IF(A.LoE.S[[#This Row],[LE.9]]&gt;=1,4,5)))))))</f>
        <v>--</v>
      </c>
      <c r="BM14" s="35" t="str">
        <f>IFERROR(ROUND(AVERAGE(Con.Sk.S[[#This Row],[TJ.1]:[Pro-A.1]]),0),"-")</f>
        <v>-</v>
      </c>
      <c r="BN14" s="24" t="str">
        <f>IFERROR(ROUND(AVERAGE(Con.Sk.S[[#This Row],[TJ.2]:[Pro-A.2]]),0),"-")</f>
        <v>-</v>
      </c>
      <c r="BO14" s="24" t="str">
        <f>IFERROR(ROUND(AVERAGE(Con.Sk.S[[#This Row],[TJ.3]:[Pro-A.3]]),0),"-")</f>
        <v>-</v>
      </c>
      <c r="BP14" s="24" t="str">
        <f>IFERROR(ROUND(AVERAGE(Con.Sk.S[[#This Row],[TJ.4]:[Pro-A.4]]),0),"-")</f>
        <v>-</v>
      </c>
      <c r="BQ14" s="24" t="str">
        <f>IFERROR(ROUND(AVERAGE(Con.Sk.S[[#This Row],[TJ.5]:[Pro-A.5]]),0),"-")</f>
        <v>-</v>
      </c>
      <c r="BR14" s="24" t="str">
        <f>IFERROR(ROUND(AVERAGE(Con.Sk.S[[#This Row],[TJ.6]:[Pro-A.6]]),0),"-")</f>
        <v>-</v>
      </c>
      <c r="BS14" s="24" t="str">
        <f>IFERROR(ROUND(AVERAGE(Con.Sk.S[[#This Row],[TJ.7]:[Pro-A.7]]),0),"-")</f>
        <v>-</v>
      </c>
      <c r="BT14" s="24" t="str">
        <f>IFERROR(ROUND(AVERAGE(Con.Sk.S[[#This Row],[TJ.8]:[Pro-A.8]]),0),"-")</f>
        <v>-</v>
      </c>
      <c r="BU14" s="25" t="str">
        <f>IFERROR(ROUND(AVERAGE(Con.Sk.S[[#This Row],[TJ.9]:[Pro-A.9]]),0),"-")</f>
        <v>-</v>
      </c>
      <c r="BW14" s="47" t="str">
        <f>IFERROR(ROUND(AVERAGE(Con.Sk.S[[#This Row],[KU.1]],Con.Sk.S[[#This Row],[KU.2]],Con.Sk.S[[#This Row],[KU.3]],Con.Sk.S[[#This Row],[KU.4]],Con.Sk.S[[#This Row],[KU.5]],Con.Sk.S[[#This Row],[KU.6]],Con.Sk.S[[#This Row],[KU.7]],Con.Sk.S[[#This Row],[KU.8]],Con.Sk.S[[#This Row],[KU.9]]),0),"")</f>
        <v/>
      </c>
      <c r="BX14" s="48" t="str">
        <f>IFERROR(ROUND(AVERAGE(Con.Sk.S[[#This Row],[TJ.1]:[Pro-A.1]],Con.Sk.S[[#This Row],[TJ.2]:[Pro-A.2]],Con.Sk.S[[#This Row],[TJ.3]:[Pro-A.3]],Con.Sk.S[[#This Row],[TJ.4]:[Pro-A.4]],Con.Sk.S[[#This Row],[TJ.5]:[Pro-A.5]],Con.Sk.S[[#This Row],[TJ.6]:[Pro-A.6]],Con.Sk.S[[#This Row],[TJ.7]:[Pro-A.7]],Con.Sk.S[[#This Row],[TJ.8]:[Pro-A.8]],Con.Sk.S[[#This Row],[TJ.9]:[Pro-A.9]]),0),"")</f>
        <v/>
      </c>
      <c r="BY14" s="3"/>
      <c r="BZ14" s="73" t="str">
        <f>IF(NSi.SE[[#This Row],[KU.1]]="A",100,IF(NSi.SE[[#This Row],[KU.1]]="B",89,IF(NSi.SE[[#This Row],[KU.1]]="C",79,IF(NSi.SE[[#This Row],[KU.1]]="D",69,IF(NSi.SE[[#This Row],[KU.1]]="E",0,"-")))))</f>
        <v>-</v>
      </c>
      <c r="CA14" s="73" t="str">
        <f>IF(NSi.SE[[#This Row],[TJ.1]]=1,100,IF(NSi.SE[[#This Row],[TJ.1]]=2,89,IF(NSi.SE[[#This Row],[TJ.1]]=3,79,IF(NSi.SE[[#This Row],[TJ.1]]=4,69,IF(NSi.SE[[#This Row],[TJ.1]]=5,0,"-")))))</f>
        <v>-</v>
      </c>
      <c r="CB14" s="73" t="str">
        <f>IF(NSi.SE[[#This Row],[Ker.1]]=1,100,IF(NSi.SE[[#This Row],[Ker.1]]=2,89,IF(NSi.SE[[#This Row],[Ker.1]]=3,79,IF(NSi.SE[[#This Row],[Ker.1]]=4,69,IF(NSi.SE[[#This Row],[Ker.1]]=5,0,"-")))))</f>
        <v>-</v>
      </c>
      <c r="CC14" s="73" t="str">
        <f>IF(NSi.SE[[#This Row],[Ped.1]]=1,100,IF(NSi.SE[[#This Row],[Ped.1]]=2,89,IF(NSi.SE[[#This Row],[Ped.1]]=3,79,IF(NSi.SE[[#This Row],[Ped.1]]=4,69,IF(NSi.SE[[#This Row],[Ped.1]]=5,0,"-")))))</f>
        <v>-</v>
      </c>
      <c r="CD14" s="73" t="str">
        <f>IF(NSi.SE[[#This Row],[Pro-A.1]]=1,100,IF(NSi.SE[[#This Row],[Pro-A.1]]=2,89,IF(NSi.SE[[#This Row],[Pro-A.1]]=3,79,IF(NSi.SE[[#This Row],[Pro-A.1]]=4,69,IF(NSi.SE[[#This Row],[Pro-A.1]]=5,0,"-")))))</f>
        <v>-</v>
      </c>
      <c r="CE14" s="73" t="str">
        <f>IF(NSi.SE[[#This Row],[KU.2]]="A",100,IF(NSi.SE[[#This Row],[KU.2]]="B",89,IF(NSi.SE[[#This Row],[KU.2]]="C",79,IF(NSi.SE[[#This Row],[KU.2]]="D",69,IF(NSi.SE[[#This Row],[KU.2]]="E",0,"-")))))</f>
        <v>-</v>
      </c>
      <c r="CF14" s="73" t="str">
        <f>IF(NSi.SE[[#This Row],[TJ.2]]=1,100,IF(NSi.SE[[#This Row],[TJ.2]]=2,89,IF(NSi.SE[[#This Row],[TJ.2]]=3,79,IF(NSi.SE[[#This Row],[TJ.2]]=4,69,IF(NSi.SE[[#This Row],[TJ.2]]=5,0,"-")))))</f>
        <v>-</v>
      </c>
      <c r="CG14" s="73" t="str">
        <f>IF(NSi.SE[[#This Row],[Ker.2]]=1,100,IF(NSi.SE[[#This Row],[Ker.2]]=2,89,IF(NSi.SE[[#This Row],[Ker.2]]=3,79,IF(NSi.SE[[#This Row],[Ker.2]]=4,69,IF(NSi.SE[[#This Row],[Ker.2]]=5,0,"-")))))</f>
        <v>-</v>
      </c>
      <c r="CH14" s="73" t="str">
        <f>IF(NSi.SE[[#This Row],[Ped.2]]=1,100,IF(NSi.SE[[#This Row],[Ped.2]]=2,89,IF(NSi.SE[[#This Row],[Ped.2]]=3,79,IF(NSi.SE[[#This Row],[Ped.2]]=4,69,IF(NSi.SE[[#This Row],[Ped.2]]=5,0,"-")))))</f>
        <v>-</v>
      </c>
      <c r="CI14" s="73" t="str">
        <f>IF(NSi.SE[[#This Row],[Pro-A.2]]=1,100,IF(NSi.SE[[#This Row],[Pro-A.2]]=2,89,IF(NSi.SE[[#This Row],[Pro-A.2]]=3,79,IF(NSi.SE[[#This Row],[Pro-A.2]]=4,69,IF(NSi.SE[[#This Row],[Pro-A.2]]=5,0,"-")))))</f>
        <v>-</v>
      </c>
      <c r="CJ14" s="74" t="str">
        <f>IF(NSi.SE[[#This Row],[KU.3]]="A",100,IF(NSi.SE[[#This Row],[KU.3]]="B",89,IF(NSi.SE[[#This Row],[KU.3]]="C",79,IF(NSi.SE[[#This Row],[KU.3]]="D",69,IF(NSi.SE[[#This Row],[KU.3]]="E",0,"-")))))</f>
        <v>-</v>
      </c>
      <c r="CK14" s="73" t="str">
        <f>IF(NSi.SE[[#This Row],[TJ.3]]=1,100,IF(NSi.SE[[#This Row],[TJ.3]]=2,89,IF(NSi.SE[[#This Row],[TJ.3]]=3,79,IF(NSi.SE[[#This Row],[TJ.3]]=4,69,IF(NSi.SE[[#This Row],[TJ.3]]=5,0,"-")))))</f>
        <v>-</v>
      </c>
      <c r="CL14" s="73" t="str">
        <f>IF(NSi.SE[[#This Row],[Ker.3]]=1,100,IF(NSi.SE[[#This Row],[Ker.3]]=2,89,IF(NSi.SE[[#This Row],[Ker.3]]=3,79,IF(NSi.SE[[#This Row],[Ker.3]]=4,69,IF(NSi.SE[[#This Row],[Ker.3]]=5,0,"-")))))</f>
        <v>-</v>
      </c>
      <c r="CM14" s="73" t="str">
        <f>IF(NSi.SE[[#This Row],[Ped.3]]=1,100,IF(NSi.SE[[#This Row],[Ped.3]]=2,89,IF(NSi.SE[[#This Row],[Ped.3]]=3,79,IF(NSi.SE[[#This Row],[Ped.3]]=4,69,IF(NSi.SE[[#This Row],[Ped.3]]=5,0,"-")))))</f>
        <v>-</v>
      </c>
      <c r="CN14" s="73" t="str">
        <f>IF(NSi.SE[[#This Row],[Pro-A.3]]=1,100,IF(NSi.SE[[#This Row],[Pro-A.3]]=2,89,IF(NSi.SE[[#This Row],[Pro-A.3]]=3,79,IF(NSi.SE[[#This Row],[Pro-A.3]]=4,69,IF(NSi.SE[[#This Row],[Pro-A.3]]=5,0,"-")))))</f>
        <v>-</v>
      </c>
      <c r="CO14" s="74" t="str">
        <f>IF(NSi.SE[[#This Row],[KU.4]]="A",100,IF(NSi.SE[[#This Row],[KU.4]]="B",89,IF(NSi.SE[[#This Row],[KU.4]]="C",79,IF(NSi.SE[[#This Row],[KU.4]]="D",69,IF(NSi.SE[[#This Row],[KU.4]]="E",0,"-")))))</f>
        <v>-</v>
      </c>
      <c r="CP14" s="73" t="str">
        <f>IF(NSi.SE[[#This Row],[TJ.4]]=1,100,IF(NSi.SE[[#This Row],[TJ.4]]=2,89,IF(NSi.SE[[#This Row],[TJ.4]]=3,79,IF(NSi.SE[[#This Row],[TJ.4]]=4,69,IF(NSi.SE[[#This Row],[TJ.4]]=5,0,"-")))))</f>
        <v>-</v>
      </c>
      <c r="CQ14" s="73" t="str">
        <f>IF(NSi.SE[[#This Row],[Ker.4]]=1,100,IF(NSi.SE[[#This Row],[Ker.4]]=2,89,IF(NSi.SE[[#This Row],[Ker.4]]=3,79,IF(NSi.SE[[#This Row],[Ker.4]]=4,69,IF(NSi.SE[[#This Row],[Ker.4]]=5,0,"-")))))</f>
        <v>-</v>
      </c>
      <c r="CR14" s="73" t="str">
        <f>IF(NSi.SE[[#This Row],[Ped.4]]=1,100,IF(NSi.SE[[#This Row],[Ped.4]]=2,89,IF(NSi.SE[[#This Row],[Ped.4]]=3,79,IF(NSi.SE[[#This Row],[Ped.4]]=4,69,IF(NSi.SE[[#This Row],[Ped.4]]=5,0,"-")))))</f>
        <v>-</v>
      </c>
      <c r="CS14" s="73" t="str">
        <f>IF(NSi.SE[[#This Row],[Pro-A.4]]=1,100,IF(NSi.SE[[#This Row],[Pro-A.4]]=2,89,IF(NSi.SE[[#This Row],[Pro-A.4]]=3,79,IF(NSi.SE[[#This Row],[Pro-A.4]]=4,69,IF(NSi.SE[[#This Row],[Pro-A.4]]=5,0,"-")))))</f>
        <v>-</v>
      </c>
      <c r="CT14" s="74" t="str">
        <f>IF(NSi.SE[[#This Row],[KU.5]]="A",100,IF(NSi.SE[[#This Row],[KU.5]]="B",89,IF(NSi.SE[[#This Row],[KU.5]]="C",79,IF(NSi.SE[[#This Row],[KU.5]]="D",69,IF(NSi.SE[[#This Row],[KU.5]]="E",0,"-")))))</f>
        <v>-</v>
      </c>
      <c r="CU14" s="73" t="str">
        <f>IF(NSi.SE[[#This Row],[TJ.5]]=1,100,IF(NSi.SE[[#This Row],[TJ.5]]=2,89,IF(NSi.SE[[#This Row],[TJ.5]]=3,79,IF(NSi.SE[[#This Row],[TJ.5]]=4,69,IF(NSi.SE[[#This Row],[TJ.5]]=5,0,"-")))))</f>
        <v>-</v>
      </c>
      <c r="CV14" s="73" t="str">
        <f>IF(NSi.SE[[#This Row],[Ker.5]]=1,100,IF(NSi.SE[[#This Row],[Ker.5]]=2,89,IF(NSi.SE[[#This Row],[Ker.5]]=3,79,IF(NSi.SE[[#This Row],[Ker.5]]=4,69,IF(NSi.SE[[#This Row],[Ker.5]]=5,0,"-")))))</f>
        <v>-</v>
      </c>
      <c r="CW14" s="73" t="str">
        <f>IF(NSi.SE[[#This Row],[Ped.5]]=1,100,IF(NSi.SE[[#This Row],[Ped.5]]=2,89,IF(NSi.SE[[#This Row],[Ped.5]]=3,79,IF(NSi.SE[[#This Row],[Ped.5]]=4,69,IF(NSi.SE[[#This Row],[Ped.5]]=5,0,"-")))))</f>
        <v>-</v>
      </c>
      <c r="CX14" s="73" t="str">
        <f>IF(NSi.SE[[#This Row],[Pro-A.5]]=1,100,IF(NSi.SE[[#This Row],[Pro-A.5]]=2,89,IF(NSi.SE[[#This Row],[Pro-A.5]]=3,79,IF(NSi.SE[[#This Row],[Pro-A.5]]=4,69,IF(NSi.SE[[#This Row],[Pro-A.5]]=5,0,"-")))))</f>
        <v>-</v>
      </c>
      <c r="CY14" s="74" t="str">
        <f>IF(NSi.SE[[#This Row],[KU.6]]="A",100,IF(NSi.SE[[#This Row],[KU.6]]="B",89,IF(NSi.SE[[#This Row],[KU.6]]="C",79,IF(NSi.SE[[#This Row],[KU.6]]="D",69,IF(NSi.SE[[#This Row],[KU.6]]="E",0,"-")))))</f>
        <v>-</v>
      </c>
      <c r="CZ14" s="73" t="str">
        <f>IF(NSi.SE[[#This Row],[TJ.6]]=1,100,IF(NSi.SE[[#This Row],[TJ.6]]=2,89,IF(NSi.SE[[#This Row],[TJ.6]]=3,79,IF(NSi.SE[[#This Row],[TJ.6]]=4,69,IF(NSi.SE[[#This Row],[TJ.6]]=5,0,"-")))))</f>
        <v>-</v>
      </c>
      <c r="DA14" s="73" t="str">
        <f>IF(NSi.SE[[#This Row],[Ker.6]]=1,100,IF(NSi.SE[[#This Row],[Ker.6]]=2,89,IF(NSi.SE[[#This Row],[Ker.6]]=3,79,IF(NSi.SE[[#This Row],[Ker.6]]=4,69,IF(NSi.SE[[#This Row],[Ker.6]]=5,0,"-")))))</f>
        <v>-</v>
      </c>
      <c r="DB14" s="73" t="str">
        <f>IF(NSi.SE[[#This Row],[Ped.6]]=1,100,IF(NSi.SE[[#This Row],[Ped.6]]=2,89,IF(NSi.SE[[#This Row],[Ped.6]]=3,79,IF(NSi.SE[[#This Row],[Ped.6]]=4,69,IF(NSi.SE[[#This Row],[Ped.6]]=5,0,"-")))))</f>
        <v>-</v>
      </c>
      <c r="DC14" s="73" t="str">
        <f>IF(NSi.SE[[#This Row],[Pro-A.6]]=1,100,IF(NSi.SE[[#This Row],[Pro-A.6]]=2,89,IF(NSi.SE[[#This Row],[Pro-A.6]]=3,79,IF(NSi.SE[[#This Row],[Pro-A.6]]=4,69,IF(NSi.SE[[#This Row],[Pro-A.6]]=5,0,"-")))))</f>
        <v>-</v>
      </c>
      <c r="DD14" s="74" t="str">
        <f>IF(NSi.SE[[#This Row],[KU.7]]="A",100,IF(NSi.SE[[#This Row],[KU.7]]="B",89,IF(NSi.SE[[#This Row],[KU.7]]="C",79,IF(NSi.SE[[#This Row],[KU.7]]="D",69,IF(NSi.SE[[#This Row],[KU.7]]="E",0,"-")))))</f>
        <v>-</v>
      </c>
      <c r="DE14" s="73" t="str">
        <f>IF(NSi.SE[[#This Row],[TJ.7]]=1,100,IF(NSi.SE[[#This Row],[TJ.7]]=2,89,IF(NSi.SE[[#This Row],[TJ.7]]=3,79,IF(NSi.SE[[#This Row],[TJ.7]]=4,69,IF(NSi.SE[[#This Row],[TJ.7]]=5,0,"-")))))</f>
        <v>-</v>
      </c>
      <c r="DF14" s="73" t="str">
        <f>IF(NSi.SE[[#This Row],[Ker.7]]=1,100,IF(NSi.SE[[#This Row],[Ker.7]]=2,89,IF(NSi.SE[[#This Row],[Ker.7]]=3,79,IF(NSi.SE[[#This Row],[Ker.7]]=4,69,IF(NSi.SE[[#This Row],[Ker.7]]=5,0,"-")))))</f>
        <v>-</v>
      </c>
      <c r="DG14" s="73" t="str">
        <f>IF(NSi.SE[[#This Row],[Ped.7]]=1,100,IF(NSi.SE[[#This Row],[Ped.7]]=2,89,IF(NSi.SE[[#This Row],[Ped.7]]=3,79,IF(NSi.SE[[#This Row],[Ped.7]]=4,69,IF(NSi.SE[[#This Row],[Ped.7]]=5,0,"-")))))</f>
        <v>-</v>
      </c>
      <c r="DH14" s="73" t="str">
        <f>IF(NSi.SE[[#This Row],[Pro-A.7]]=1,100,IF(NSi.SE[[#This Row],[Pro-A.7]]=2,89,IF(NSi.SE[[#This Row],[Pro-A.7]]=3,79,IF(NSi.SE[[#This Row],[Pro-A.7]]=4,69,IF(NSi.SE[[#This Row],[Pro-A.7]]=5,0,"-")))))</f>
        <v>-</v>
      </c>
      <c r="DI14" s="74" t="str">
        <f>IF(NSi.SE[[#This Row],[KU.8]]="A",100,IF(NSi.SE[[#This Row],[KU.8]]="B",89,IF(NSi.SE[[#This Row],[KU.8]]="C",79,IF(NSi.SE[[#This Row],[KU.8]]="D",69,IF(NSi.SE[[#This Row],[KU.8]]="E",0,"-")))))</f>
        <v>-</v>
      </c>
      <c r="DJ14" s="73" t="str">
        <f>IF(NSi.SE[[#This Row],[TJ.8]]=1,100,IF(NSi.SE[[#This Row],[TJ.8]]=2,89,IF(NSi.SE[[#This Row],[TJ.8]]=3,79,IF(NSi.SE[[#This Row],[TJ.8]]=4,69,IF(NSi.SE[[#This Row],[TJ.8]]=5,0,"-")))))</f>
        <v>-</v>
      </c>
      <c r="DK14" s="73" t="str">
        <f>IF(NSi.SE[[#This Row],[Ker.8]]=1,100,IF(NSi.SE[[#This Row],[Ker.8]]=2,89,IF(NSi.SE[[#This Row],[Ker.8]]=3,79,IF(NSi.SE[[#This Row],[Ker.8]]=4,69,IF(NSi.SE[[#This Row],[Ker.8]]=5,0,"-")))))</f>
        <v>-</v>
      </c>
      <c r="DL14" s="73" t="str">
        <f>IF(NSi.SE[[#This Row],[Ped.8]]=1,100,IF(NSi.SE[[#This Row],[Ped.8]]=2,89,IF(NSi.SE[[#This Row],[Ped.8]]=3,79,IF(NSi.SE[[#This Row],[Ped.8]]=4,69,IF(NSi.SE[[#This Row],[Ped.8]]=5,0,"-")))))</f>
        <v>-</v>
      </c>
      <c r="DM14" s="73" t="str">
        <f>IF(NSi.SE[[#This Row],[Pro-A.8]]=1,100,IF(NSi.SE[[#This Row],[Pro-A.8]]=2,89,IF(NSi.SE[[#This Row],[Pro-A.8]]=3,79,IF(NSi.SE[[#This Row],[Pro-A.8]]=4,69,IF(NSi.SE[[#This Row],[Pro-A.8]]=5,0,"-")))))</f>
        <v>-</v>
      </c>
      <c r="DN14" s="74" t="str">
        <f>IF(NSi.SE[[#This Row],[KU.9]]="A",100,IF(NSi.SE[[#This Row],[KU.9]]="B",89,IF(NSi.SE[[#This Row],[KU.9]]="C",79,IF(NSi.SE[[#This Row],[KU.9]]="D",69,IF(NSi.SE[[#This Row],[KU.9]]="E",0,"-")))))</f>
        <v>-</v>
      </c>
      <c r="DO14" s="73" t="str">
        <f>IF(NSi.SE[[#This Row],[TJ.9]]=1,100,IF(NSi.SE[[#This Row],[TJ.9]]=2,89,IF(NSi.SE[[#This Row],[TJ.9]]=3,79,IF(NSi.SE[[#This Row],[TJ.9]]=4,69,IF(NSi.SE[[#This Row],[TJ.9]]=5,0,"-")))))</f>
        <v>-</v>
      </c>
      <c r="DP14" s="73" t="str">
        <f>IF(NSi.SE[[#This Row],[Ker.9]]=1,100,IF(NSi.SE[[#This Row],[Ker.9]]=2,89,IF(NSi.SE[[#This Row],[Ker.9]]=3,79,IF(NSi.SE[[#This Row],[Ker.9]]=4,69,IF(NSi.SE[[#This Row],[Ker.9]]=5,0,"-")))))</f>
        <v>-</v>
      </c>
      <c r="DQ14" s="73" t="str">
        <f>IF(NSi.SE[[#This Row],[Ped.9]]=1,100,IF(NSi.SE[[#This Row],[Ped.9]]=2,89,IF(NSi.SE[[#This Row],[Ped.9]]=3,79,IF(NSi.SE[[#This Row],[Ped.9]]=4,69,IF(NSi.SE[[#This Row],[Ped.9]]=5,0,"-")))))</f>
        <v>-</v>
      </c>
      <c r="DR14" s="73" t="str">
        <f>IF(NSi.SE[[#This Row],[Pro-A.9]]=1,100,IF(NSi.SE[[#This Row],[Pro-A.9]]=2,89,IF(NSi.SE[[#This Row],[Pro-A.9]]=3,79,IF(NSi.SE[[#This Row],[Pro-A.9]]=4,69,IF(NSi.SE[[#This Row],[Pro-A.9]]=5,0,"-")))))</f>
        <v>-</v>
      </c>
      <c r="DT1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5" spans="1:124" ht="50.1" customHeight="1" x14ac:dyDescent="0.3">
      <c r="A15" s="66" t="str">
        <f>IF(NSi.TS[[#This Row],[No]]=0,"",NSi.TS[[#This Row],[No]])</f>
        <v/>
      </c>
      <c r="B15" s="67" t="str">
        <f>IF(NSi.TS[[#This Row],[Nama Siswa]]=0,"",NSi.TS[[#This Row],[Nama Siswa]])</f>
        <v/>
      </c>
      <c r="C15" s="68" t="str">
        <f>IF(NSi.TS[[#This Row],[Nomor Induk]]=0,"",NSi.TS[[#This Row],[Nomor Induk]])</f>
        <v/>
      </c>
      <c r="D15" s="68" t="str">
        <f>IF(NSi.TS[[#This Row],[NISN]]=0,"",NSi.TS[[#This Row],[NISN]])</f>
        <v/>
      </c>
      <c r="E15" s="68" t="str">
        <f>IF(NSi.TS[[#This Row],[Jurusan]]=0,"",NSi.TS[[#This Row],[Jurusan]])</f>
        <v/>
      </c>
      <c r="F15" s="39" t="str">
        <f>NSi.TS[[#This Row],[Nsi.TS]]</f>
        <v/>
      </c>
      <c r="G15" s="39" t="str">
        <f>IFERROR(ROUND(AVERAGE(CSCR.S[#This Row]),0),"")</f>
        <v/>
      </c>
      <c r="H15" s="39" t="str">
        <f>IFERROR(ROUND(AVERAGE(NSi.SE[[#This Row],[Nsi.TS]:[NS.iS]]),0),"")</f>
        <v/>
      </c>
      <c r="I15" s="41" t="s">
        <v>102</v>
      </c>
      <c r="J15" s="45" t="s">
        <v>102</v>
      </c>
      <c r="K15" s="45" t="s">
        <v>102</v>
      </c>
      <c r="L15" s="45" t="s">
        <v>102</v>
      </c>
      <c r="M15" s="45" t="s">
        <v>102</v>
      </c>
      <c r="N15" s="41" t="s">
        <v>102</v>
      </c>
      <c r="O15" s="45" t="s">
        <v>102</v>
      </c>
      <c r="P15" s="45" t="s">
        <v>102</v>
      </c>
      <c r="Q15" s="45" t="s">
        <v>102</v>
      </c>
      <c r="R15" s="45" t="s">
        <v>102</v>
      </c>
      <c r="S15" s="41" t="s">
        <v>102</v>
      </c>
      <c r="T15" s="45" t="s">
        <v>102</v>
      </c>
      <c r="U15" s="45" t="s">
        <v>102</v>
      </c>
      <c r="V15" s="45" t="s">
        <v>102</v>
      </c>
      <c r="W15" s="45" t="s">
        <v>102</v>
      </c>
      <c r="X15" s="41" t="s">
        <v>102</v>
      </c>
      <c r="Y15" s="45" t="s">
        <v>102</v>
      </c>
      <c r="Z15" s="45" t="s">
        <v>102</v>
      </c>
      <c r="AA15" s="45" t="s">
        <v>102</v>
      </c>
      <c r="AB15" s="45" t="s">
        <v>102</v>
      </c>
      <c r="AC15" s="41" t="s">
        <v>102</v>
      </c>
      <c r="AD15" s="45" t="s">
        <v>102</v>
      </c>
      <c r="AE15" s="45" t="s">
        <v>102</v>
      </c>
      <c r="AF15" s="45" t="s">
        <v>102</v>
      </c>
      <c r="AG15" s="45" t="s">
        <v>102</v>
      </c>
      <c r="AH15" s="41" t="s">
        <v>102</v>
      </c>
      <c r="AI15" s="45" t="s">
        <v>102</v>
      </c>
      <c r="AJ15" s="45" t="s">
        <v>102</v>
      </c>
      <c r="AK15" s="45" t="s">
        <v>102</v>
      </c>
      <c r="AL15" s="45" t="s">
        <v>102</v>
      </c>
      <c r="AM15" s="41" t="s">
        <v>102</v>
      </c>
      <c r="AN15" s="45" t="s">
        <v>102</v>
      </c>
      <c r="AO15" s="45" t="s">
        <v>102</v>
      </c>
      <c r="AP15" s="45" t="s">
        <v>102</v>
      </c>
      <c r="AQ15" s="45" t="s">
        <v>102</v>
      </c>
      <c r="AR15" s="41" t="s">
        <v>102</v>
      </c>
      <c r="AS15" s="45" t="s">
        <v>102</v>
      </c>
      <c r="AT15" s="45" t="s">
        <v>102</v>
      </c>
      <c r="AU15" s="45" t="s">
        <v>102</v>
      </c>
      <c r="AV15" s="45" t="s">
        <v>102</v>
      </c>
      <c r="AW15" s="41" t="s">
        <v>102</v>
      </c>
      <c r="AX15" s="45" t="s">
        <v>102</v>
      </c>
      <c r="AY15" s="45" t="s">
        <v>102</v>
      </c>
      <c r="AZ15" s="45" t="s">
        <v>102</v>
      </c>
      <c r="BA15" s="45" t="s">
        <v>102</v>
      </c>
      <c r="BC15" s="10" t="str">
        <f>CONCATENATE(NSi.SE[[#This Row],[KU.1]],(IF(A.LoE.S[[#This Row],[LE.1]]="-","-",IF(A.LoE.S[[#This Row],[LE.1]]&gt;=90,1,IF(A.LoE.S[[#This Row],[LE.1]]&gt;=80,2,IF(A.LoE.S[[#This Row],[LE.1]]&gt;=70,3,IF(A.LoE.S[[#This Row],[LE.1]]&gt;=1,4,5)))))))</f>
        <v>--</v>
      </c>
      <c r="BD15" s="46" t="str">
        <f>CONCATENATE(NSi.SE[[#This Row],[KU.2]],(IF(A.LoE.S[[#This Row],[LE.2]]="-","-",IF(A.LoE.S[[#This Row],[LE.2]]&gt;=90,1,IF(A.LoE.S[[#This Row],[LE.2]]&gt;=80,2,IF(A.LoE.S[[#This Row],[LE.2]]&gt;=70,3,IF(A.LoE.S[[#This Row],[LE.2]]&gt;=1,4,5)))))))</f>
        <v>--</v>
      </c>
      <c r="BE15" s="46" t="str">
        <f>CONCATENATE(NSi.SE[[#This Row],[KU.3]],(IF(A.LoE.S[[#This Row],[LE.3]]="-","-",IF(A.LoE.S[[#This Row],[LE.3]]&gt;=90,1,IF(A.LoE.S[[#This Row],[LE.3]]&gt;=80,2,IF(A.LoE.S[[#This Row],[LE.3]]&gt;=70,3,IF(A.LoE.S[[#This Row],[LE.3]]&gt;=1,4,5)))))))</f>
        <v>--</v>
      </c>
      <c r="BF15" s="46" t="str">
        <f>CONCATENATE(NSi.SE[[#This Row],[KU.4]],(IF(A.LoE.S[[#This Row],[LE.4]]="-","-",IF(A.LoE.S[[#This Row],[LE.4]]&gt;=90,1,IF(A.LoE.S[[#This Row],[LE.4]]&gt;=80,2,IF(A.LoE.S[[#This Row],[LE.4]]&gt;=70,3,IF(A.LoE.S[[#This Row],[LE.4]]&gt;=1,4,5)))))))</f>
        <v>--</v>
      </c>
      <c r="BG15" s="46" t="str">
        <f>CONCATENATE(NSi.SE[[#This Row],[KU.5]],(IF(A.LoE.S[[#This Row],[LE.5]]="-","-",IF(A.LoE.S[[#This Row],[LE.5]]&gt;=90,1,IF(A.LoE.S[[#This Row],[LE.5]]&gt;=80,2,IF(A.LoE.S[[#This Row],[LE.5]]&gt;=70,3,IF(A.LoE.S[[#This Row],[LE.5]]&gt;=1,4,5)))))))</f>
        <v>--</v>
      </c>
      <c r="BH15" s="46" t="str">
        <f>CONCATENATE(NSi.SE[[#This Row],[KU.6]],(IF(A.LoE.S[[#This Row],[LE.6]]="-","-",IF(A.LoE.S[[#This Row],[LE.6]]&gt;=90,1,IF(A.LoE.S[[#This Row],[LE.6]]&gt;=80,2,IF(A.LoE.S[[#This Row],[LE.6]]&gt;=70,3,IF(A.LoE.S[[#This Row],[LE.6]]&gt;=1,4,5)))))))</f>
        <v>--</v>
      </c>
      <c r="BI15" s="46" t="str">
        <f>CONCATENATE(NSi.SE[[#This Row],[KU.7]],(IF(A.LoE.S[[#This Row],[LE.7]]="-","-",IF(A.LoE.S[[#This Row],[LE.7]]&gt;=90,1,IF(A.LoE.S[[#This Row],[LE.7]]&gt;=80,2,IF(A.LoE.S[[#This Row],[LE.7]]&gt;=70,3,IF(A.LoE.S[[#This Row],[LE.7]]&gt;=1,4,5)))))))</f>
        <v>--</v>
      </c>
      <c r="BJ15" s="46" t="str">
        <f>CONCATENATE(NSi.SE[[#This Row],[KU.8]],(IF(A.LoE.S[[#This Row],[LE.8]]="-","-",IF(A.LoE.S[[#This Row],[LE.8]]&gt;=90,1,IF(A.LoE.S[[#This Row],[LE.8]]&gt;=80,2,IF(A.LoE.S[[#This Row],[LE.8]]&gt;=70,3,IF(A.LoE.S[[#This Row],[LE.8]]&gt;=1,4,5)))))))</f>
        <v>--</v>
      </c>
      <c r="BK15" s="38" t="str">
        <f>CONCATENATE(NSi.SE[[#This Row],[KU.9]],(IF(A.LoE.S[[#This Row],[LE.9]]="-","-",IF(A.LoE.S[[#This Row],[LE.9]]&gt;=90,1,IF(A.LoE.S[[#This Row],[LE.9]]&gt;=80,2,IF(A.LoE.S[[#This Row],[LE.9]]&gt;=70,3,IF(A.LoE.S[[#This Row],[LE.9]]&gt;=1,4,5)))))))</f>
        <v>--</v>
      </c>
      <c r="BM15" s="35" t="str">
        <f>IFERROR(ROUND(AVERAGE(Con.Sk.S[[#This Row],[TJ.1]:[Pro-A.1]]),0),"-")</f>
        <v>-</v>
      </c>
      <c r="BN15" s="24" t="str">
        <f>IFERROR(ROUND(AVERAGE(Con.Sk.S[[#This Row],[TJ.2]:[Pro-A.2]]),0),"-")</f>
        <v>-</v>
      </c>
      <c r="BO15" s="24" t="str">
        <f>IFERROR(ROUND(AVERAGE(Con.Sk.S[[#This Row],[TJ.3]:[Pro-A.3]]),0),"-")</f>
        <v>-</v>
      </c>
      <c r="BP15" s="24" t="str">
        <f>IFERROR(ROUND(AVERAGE(Con.Sk.S[[#This Row],[TJ.4]:[Pro-A.4]]),0),"-")</f>
        <v>-</v>
      </c>
      <c r="BQ15" s="24" t="str">
        <f>IFERROR(ROUND(AVERAGE(Con.Sk.S[[#This Row],[TJ.5]:[Pro-A.5]]),0),"-")</f>
        <v>-</v>
      </c>
      <c r="BR15" s="24" t="str">
        <f>IFERROR(ROUND(AVERAGE(Con.Sk.S[[#This Row],[TJ.6]:[Pro-A.6]]),0),"-")</f>
        <v>-</v>
      </c>
      <c r="BS15" s="24" t="str">
        <f>IFERROR(ROUND(AVERAGE(Con.Sk.S[[#This Row],[TJ.7]:[Pro-A.7]]),0),"-")</f>
        <v>-</v>
      </c>
      <c r="BT15" s="24" t="str">
        <f>IFERROR(ROUND(AVERAGE(Con.Sk.S[[#This Row],[TJ.8]:[Pro-A.8]]),0),"-")</f>
        <v>-</v>
      </c>
      <c r="BU15" s="25" t="str">
        <f>IFERROR(ROUND(AVERAGE(Con.Sk.S[[#This Row],[TJ.9]:[Pro-A.9]]),0),"-")</f>
        <v>-</v>
      </c>
      <c r="BW15" s="47" t="str">
        <f>IFERROR(ROUND(AVERAGE(Con.Sk.S[[#This Row],[KU.1]],Con.Sk.S[[#This Row],[KU.2]],Con.Sk.S[[#This Row],[KU.3]],Con.Sk.S[[#This Row],[KU.4]],Con.Sk.S[[#This Row],[KU.5]],Con.Sk.S[[#This Row],[KU.6]],Con.Sk.S[[#This Row],[KU.7]],Con.Sk.S[[#This Row],[KU.8]],Con.Sk.S[[#This Row],[KU.9]]),0),"")</f>
        <v/>
      </c>
      <c r="BX15" s="48" t="str">
        <f>IFERROR(ROUND(AVERAGE(Con.Sk.S[[#This Row],[TJ.1]:[Pro-A.1]],Con.Sk.S[[#This Row],[TJ.2]:[Pro-A.2]],Con.Sk.S[[#This Row],[TJ.3]:[Pro-A.3]],Con.Sk.S[[#This Row],[TJ.4]:[Pro-A.4]],Con.Sk.S[[#This Row],[TJ.5]:[Pro-A.5]],Con.Sk.S[[#This Row],[TJ.6]:[Pro-A.6]],Con.Sk.S[[#This Row],[TJ.7]:[Pro-A.7]],Con.Sk.S[[#This Row],[TJ.8]:[Pro-A.8]],Con.Sk.S[[#This Row],[TJ.9]:[Pro-A.9]]),0),"")</f>
        <v/>
      </c>
      <c r="BY15" s="3"/>
      <c r="BZ15" s="73" t="str">
        <f>IF(NSi.SE[[#This Row],[KU.1]]="A",100,IF(NSi.SE[[#This Row],[KU.1]]="B",89,IF(NSi.SE[[#This Row],[KU.1]]="C",79,IF(NSi.SE[[#This Row],[KU.1]]="D",69,IF(NSi.SE[[#This Row],[KU.1]]="E",0,"-")))))</f>
        <v>-</v>
      </c>
      <c r="CA15" s="73" t="str">
        <f>IF(NSi.SE[[#This Row],[TJ.1]]=1,100,IF(NSi.SE[[#This Row],[TJ.1]]=2,89,IF(NSi.SE[[#This Row],[TJ.1]]=3,79,IF(NSi.SE[[#This Row],[TJ.1]]=4,69,IF(NSi.SE[[#This Row],[TJ.1]]=5,0,"-")))))</f>
        <v>-</v>
      </c>
      <c r="CB15" s="73" t="str">
        <f>IF(NSi.SE[[#This Row],[Ker.1]]=1,100,IF(NSi.SE[[#This Row],[Ker.1]]=2,89,IF(NSi.SE[[#This Row],[Ker.1]]=3,79,IF(NSi.SE[[#This Row],[Ker.1]]=4,69,IF(NSi.SE[[#This Row],[Ker.1]]=5,0,"-")))))</f>
        <v>-</v>
      </c>
      <c r="CC15" s="73" t="str">
        <f>IF(NSi.SE[[#This Row],[Ped.1]]=1,100,IF(NSi.SE[[#This Row],[Ped.1]]=2,89,IF(NSi.SE[[#This Row],[Ped.1]]=3,79,IF(NSi.SE[[#This Row],[Ped.1]]=4,69,IF(NSi.SE[[#This Row],[Ped.1]]=5,0,"-")))))</f>
        <v>-</v>
      </c>
      <c r="CD15" s="73" t="str">
        <f>IF(NSi.SE[[#This Row],[Pro-A.1]]=1,100,IF(NSi.SE[[#This Row],[Pro-A.1]]=2,89,IF(NSi.SE[[#This Row],[Pro-A.1]]=3,79,IF(NSi.SE[[#This Row],[Pro-A.1]]=4,69,IF(NSi.SE[[#This Row],[Pro-A.1]]=5,0,"-")))))</f>
        <v>-</v>
      </c>
      <c r="CE15" s="73" t="str">
        <f>IF(NSi.SE[[#This Row],[KU.2]]="A",100,IF(NSi.SE[[#This Row],[KU.2]]="B",89,IF(NSi.SE[[#This Row],[KU.2]]="C",79,IF(NSi.SE[[#This Row],[KU.2]]="D",69,IF(NSi.SE[[#This Row],[KU.2]]="E",0,"-")))))</f>
        <v>-</v>
      </c>
      <c r="CF15" s="73" t="str">
        <f>IF(NSi.SE[[#This Row],[TJ.2]]=1,100,IF(NSi.SE[[#This Row],[TJ.2]]=2,89,IF(NSi.SE[[#This Row],[TJ.2]]=3,79,IF(NSi.SE[[#This Row],[TJ.2]]=4,69,IF(NSi.SE[[#This Row],[TJ.2]]=5,0,"-")))))</f>
        <v>-</v>
      </c>
      <c r="CG15" s="73" t="str">
        <f>IF(NSi.SE[[#This Row],[Ker.2]]=1,100,IF(NSi.SE[[#This Row],[Ker.2]]=2,89,IF(NSi.SE[[#This Row],[Ker.2]]=3,79,IF(NSi.SE[[#This Row],[Ker.2]]=4,69,IF(NSi.SE[[#This Row],[Ker.2]]=5,0,"-")))))</f>
        <v>-</v>
      </c>
      <c r="CH15" s="73" t="str">
        <f>IF(NSi.SE[[#This Row],[Ped.2]]=1,100,IF(NSi.SE[[#This Row],[Ped.2]]=2,89,IF(NSi.SE[[#This Row],[Ped.2]]=3,79,IF(NSi.SE[[#This Row],[Ped.2]]=4,69,IF(NSi.SE[[#This Row],[Ped.2]]=5,0,"-")))))</f>
        <v>-</v>
      </c>
      <c r="CI15" s="73" t="str">
        <f>IF(NSi.SE[[#This Row],[Pro-A.2]]=1,100,IF(NSi.SE[[#This Row],[Pro-A.2]]=2,89,IF(NSi.SE[[#This Row],[Pro-A.2]]=3,79,IF(NSi.SE[[#This Row],[Pro-A.2]]=4,69,IF(NSi.SE[[#This Row],[Pro-A.2]]=5,0,"-")))))</f>
        <v>-</v>
      </c>
      <c r="CJ15" s="74" t="str">
        <f>IF(NSi.SE[[#This Row],[KU.3]]="A",100,IF(NSi.SE[[#This Row],[KU.3]]="B",89,IF(NSi.SE[[#This Row],[KU.3]]="C",79,IF(NSi.SE[[#This Row],[KU.3]]="D",69,IF(NSi.SE[[#This Row],[KU.3]]="E",0,"-")))))</f>
        <v>-</v>
      </c>
      <c r="CK15" s="73" t="str">
        <f>IF(NSi.SE[[#This Row],[TJ.3]]=1,100,IF(NSi.SE[[#This Row],[TJ.3]]=2,89,IF(NSi.SE[[#This Row],[TJ.3]]=3,79,IF(NSi.SE[[#This Row],[TJ.3]]=4,69,IF(NSi.SE[[#This Row],[TJ.3]]=5,0,"-")))))</f>
        <v>-</v>
      </c>
      <c r="CL15" s="73" t="str">
        <f>IF(NSi.SE[[#This Row],[Ker.3]]=1,100,IF(NSi.SE[[#This Row],[Ker.3]]=2,89,IF(NSi.SE[[#This Row],[Ker.3]]=3,79,IF(NSi.SE[[#This Row],[Ker.3]]=4,69,IF(NSi.SE[[#This Row],[Ker.3]]=5,0,"-")))))</f>
        <v>-</v>
      </c>
      <c r="CM15" s="73" t="str">
        <f>IF(NSi.SE[[#This Row],[Ped.3]]=1,100,IF(NSi.SE[[#This Row],[Ped.3]]=2,89,IF(NSi.SE[[#This Row],[Ped.3]]=3,79,IF(NSi.SE[[#This Row],[Ped.3]]=4,69,IF(NSi.SE[[#This Row],[Ped.3]]=5,0,"-")))))</f>
        <v>-</v>
      </c>
      <c r="CN15" s="73" t="str">
        <f>IF(NSi.SE[[#This Row],[Pro-A.3]]=1,100,IF(NSi.SE[[#This Row],[Pro-A.3]]=2,89,IF(NSi.SE[[#This Row],[Pro-A.3]]=3,79,IF(NSi.SE[[#This Row],[Pro-A.3]]=4,69,IF(NSi.SE[[#This Row],[Pro-A.3]]=5,0,"-")))))</f>
        <v>-</v>
      </c>
      <c r="CO15" s="74" t="str">
        <f>IF(NSi.SE[[#This Row],[KU.4]]="A",100,IF(NSi.SE[[#This Row],[KU.4]]="B",89,IF(NSi.SE[[#This Row],[KU.4]]="C",79,IF(NSi.SE[[#This Row],[KU.4]]="D",69,IF(NSi.SE[[#This Row],[KU.4]]="E",0,"-")))))</f>
        <v>-</v>
      </c>
      <c r="CP15" s="73" t="str">
        <f>IF(NSi.SE[[#This Row],[TJ.4]]=1,100,IF(NSi.SE[[#This Row],[TJ.4]]=2,89,IF(NSi.SE[[#This Row],[TJ.4]]=3,79,IF(NSi.SE[[#This Row],[TJ.4]]=4,69,IF(NSi.SE[[#This Row],[TJ.4]]=5,0,"-")))))</f>
        <v>-</v>
      </c>
      <c r="CQ15" s="73" t="str">
        <f>IF(NSi.SE[[#This Row],[Ker.4]]=1,100,IF(NSi.SE[[#This Row],[Ker.4]]=2,89,IF(NSi.SE[[#This Row],[Ker.4]]=3,79,IF(NSi.SE[[#This Row],[Ker.4]]=4,69,IF(NSi.SE[[#This Row],[Ker.4]]=5,0,"-")))))</f>
        <v>-</v>
      </c>
      <c r="CR15" s="73" t="str">
        <f>IF(NSi.SE[[#This Row],[Ped.4]]=1,100,IF(NSi.SE[[#This Row],[Ped.4]]=2,89,IF(NSi.SE[[#This Row],[Ped.4]]=3,79,IF(NSi.SE[[#This Row],[Ped.4]]=4,69,IF(NSi.SE[[#This Row],[Ped.4]]=5,0,"-")))))</f>
        <v>-</v>
      </c>
      <c r="CS15" s="73" t="str">
        <f>IF(NSi.SE[[#This Row],[Pro-A.4]]=1,100,IF(NSi.SE[[#This Row],[Pro-A.4]]=2,89,IF(NSi.SE[[#This Row],[Pro-A.4]]=3,79,IF(NSi.SE[[#This Row],[Pro-A.4]]=4,69,IF(NSi.SE[[#This Row],[Pro-A.4]]=5,0,"-")))))</f>
        <v>-</v>
      </c>
      <c r="CT15" s="74" t="str">
        <f>IF(NSi.SE[[#This Row],[KU.5]]="A",100,IF(NSi.SE[[#This Row],[KU.5]]="B",89,IF(NSi.SE[[#This Row],[KU.5]]="C",79,IF(NSi.SE[[#This Row],[KU.5]]="D",69,IF(NSi.SE[[#This Row],[KU.5]]="E",0,"-")))))</f>
        <v>-</v>
      </c>
      <c r="CU15" s="73" t="str">
        <f>IF(NSi.SE[[#This Row],[TJ.5]]=1,100,IF(NSi.SE[[#This Row],[TJ.5]]=2,89,IF(NSi.SE[[#This Row],[TJ.5]]=3,79,IF(NSi.SE[[#This Row],[TJ.5]]=4,69,IF(NSi.SE[[#This Row],[TJ.5]]=5,0,"-")))))</f>
        <v>-</v>
      </c>
      <c r="CV15" s="73" t="str">
        <f>IF(NSi.SE[[#This Row],[Ker.5]]=1,100,IF(NSi.SE[[#This Row],[Ker.5]]=2,89,IF(NSi.SE[[#This Row],[Ker.5]]=3,79,IF(NSi.SE[[#This Row],[Ker.5]]=4,69,IF(NSi.SE[[#This Row],[Ker.5]]=5,0,"-")))))</f>
        <v>-</v>
      </c>
      <c r="CW15" s="73" t="str">
        <f>IF(NSi.SE[[#This Row],[Ped.5]]=1,100,IF(NSi.SE[[#This Row],[Ped.5]]=2,89,IF(NSi.SE[[#This Row],[Ped.5]]=3,79,IF(NSi.SE[[#This Row],[Ped.5]]=4,69,IF(NSi.SE[[#This Row],[Ped.5]]=5,0,"-")))))</f>
        <v>-</v>
      </c>
      <c r="CX15" s="73" t="str">
        <f>IF(NSi.SE[[#This Row],[Pro-A.5]]=1,100,IF(NSi.SE[[#This Row],[Pro-A.5]]=2,89,IF(NSi.SE[[#This Row],[Pro-A.5]]=3,79,IF(NSi.SE[[#This Row],[Pro-A.5]]=4,69,IF(NSi.SE[[#This Row],[Pro-A.5]]=5,0,"-")))))</f>
        <v>-</v>
      </c>
      <c r="CY15" s="74" t="str">
        <f>IF(NSi.SE[[#This Row],[KU.6]]="A",100,IF(NSi.SE[[#This Row],[KU.6]]="B",89,IF(NSi.SE[[#This Row],[KU.6]]="C",79,IF(NSi.SE[[#This Row],[KU.6]]="D",69,IF(NSi.SE[[#This Row],[KU.6]]="E",0,"-")))))</f>
        <v>-</v>
      </c>
      <c r="CZ15" s="73" t="str">
        <f>IF(NSi.SE[[#This Row],[TJ.6]]=1,100,IF(NSi.SE[[#This Row],[TJ.6]]=2,89,IF(NSi.SE[[#This Row],[TJ.6]]=3,79,IF(NSi.SE[[#This Row],[TJ.6]]=4,69,IF(NSi.SE[[#This Row],[TJ.6]]=5,0,"-")))))</f>
        <v>-</v>
      </c>
      <c r="DA15" s="73" t="str">
        <f>IF(NSi.SE[[#This Row],[Ker.6]]=1,100,IF(NSi.SE[[#This Row],[Ker.6]]=2,89,IF(NSi.SE[[#This Row],[Ker.6]]=3,79,IF(NSi.SE[[#This Row],[Ker.6]]=4,69,IF(NSi.SE[[#This Row],[Ker.6]]=5,0,"-")))))</f>
        <v>-</v>
      </c>
      <c r="DB15" s="73" t="str">
        <f>IF(NSi.SE[[#This Row],[Ped.6]]=1,100,IF(NSi.SE[[#This Row],[Ped.6]]=2,89,IF(NSi.SE[[#This Row],[Ped.6]]=3,79,IF(NSi.SE[[#This Row],[Ped.6]]=4,69,IF(NSi.SE[[#This Row],[Ped.6]]=5,0,"-")))))</f>
        <v>-</v>
      </c>
      <c r="DC15" s="73" t="str">
        <f>IF(NSi.SE[[#This Row],[Pro-A.6]]=1,100,IF(NSi.SE[[#This Row],[Pro-A.6]]=2,89,IF(NSi.SE[[#This Row],[Pro-A.6]]=3,79,IF(NSi.SE[[#This Row],[Pro-A.6]]=4,69,IF(NSi.SE[[#This Row],[Pro-A.6]]=5,0,"-")))))</f>
        <v>-</v>
      </c>
      <c r="DD15" s="74" t="str">
        <f>IF(NSi.SE[[#This Row],[KU.7]]="A",100,IF(NSi.SE[[#This Row],[KU.7]]="B",89,IF(NSi.SE[[#This Row],[KU.7]]="C",79,IF(NSi.SE[[#This Row],[KU.7]]="D",69,IF(NSi.SE[[#This Row],[KU.7]]="E",0,"-")))))</f>
        <v>-</v>
      </c>
      <c r="DE15" s="73" t="str">
        <f>IF(NSi.SE[[#This Row],[TJ.7]]=1,100,IF(NSi.SE[[#This Row],[TJ.7]]=2,89,IF(NSi.SE[[#This Row],[TJ.7]]=3,79,IF(NSi.SE[[#This Row],[TJ.7]]=4,69,IF(NSi.SE[[#This Row],[TJ.7]]=5,0,"-")))))</f>
        <v>-</v>
      </c>
      <c r="DF15" s="73" t="str">
        <f>IF(NSi.SE[[#This Row],[Ker.7]]=1,100,IF(NSi.SE[[#This Row],[Ker.7]]=2,89,IF(NSi.SE[[#This Row],[Ker.7]]=3,79,IF(NSi.SE[[#This Row],[Ker.7]]=4,69,IF(NSi.SE[[#This Row],[Ker.7]]=5,0,"-")))))</f>
        <v>-</v>
      </c>
      <c r="DG15" s="73" t="str">
        <f>IF(NSi.SE[[#This Row],[Ped.7]]=1,100,IF(NSi.SE[[#This Row],[Ped.7]]=2,89,IF(NSi.SE[[#This Row],[Ped.7]]=3,79,IF(NSi.SE[[#This Row],[Ped.7]]=4,69,IF(NSi.SE[[#This Row],[Ped.7]]=5,0,"-")))))</f>
        <v>-</v>
      </c>
      <c r="DH15" s="73" t="str">
        <f>IF(NSi.SE[[#This Row],[Pro-A.7]]=1,100,IF(NSi.SE[[#This Row],[Pro-A.7]]=2,89,IF(NSi.SE[[#This Row],[Pro-A.7]]=3,79,IF(NSi.SE[[#This Row],[Pro-A.7]]=4,69,IF(NSi.SE[[#This Row],[Pro-A.7]]=5,0,"-")))))</f>
        <v>-</v>
      </c>
      <c r="DI15" s="74" t="str">
        <f>IF(NSi.SE[[#This Row],[KU.8]]="A",100,IF(NSi.SE[[#This Row],[KU.8]]="B",89,IF(NSi.SE[[#This Row],[KU.8]]="C",79,IF(NSi.SE[[#This Row],[KU.8]]="D",69,IF(NSi.SE[[#This Row],[KU.8]]="E",0,"-")))))</f>
        <v>-</v>
      </c>
      <c r="DJ15" s="73" t="str">
        <f>IF(NSi.SE[[#This Row],[TJ.8]]=1,100,IF(NSi.SE[[#This Row],[TJ.8]]=2,89,IF(NSi.SE[[#This Row],[TJ.8]]=3,79,IF(NSi.SE[[#This Row],[TJ.8]]=4,69,IF(NSi.SE[[#This Row],[TJ.8]]=5,0,"-")))))</f>
        <v>-</v>
      </c>
      <c r="DK15" s="73" t="str">
        <f>IF(NSi.SE[[#This Row],[Ker.8]]=1,100,IF(NSi.SE[[#This Row],[Ker.8]]=2,89,IF(NSi.SE[[#This Row],[Ker.8]]=3,79,IF(NSi.SE[[#This Row],[Ker.8]]=4,69,IF(NSi.SE[[#This Row],[Ker.8]]=5,0,"-")))))</f>
        <v>-</v>
      </c>
      <c r="DL15" s="73" t="str">
        <f>IF(NSi.SE[[#This Row],[Ped.8]]=1,100,IF(NSi.SE[[#This Row],[Ped.8]]=2,89,IF(NSi.SE[[#This Row],[Ped.8]]=3,79,IF(NSi.SE[[#This Row],[Ped.8]]=4,69,IF(NSi.SE[[#This Row],[Ped.8]]=5,0,"-")))))</f>
        <v>-</v>
      </c>
      <c r="DM15" s="73" t="str">
        <f>IF(NSi.SE[[#This Row],[Pro-A.8]]=1,100,IF(NSi.SE[[#This Row],[Pro-A.8]]=2,89,IF(NSi.SE[[#This Row],[Pro-A.8]]=3,79,IF(NSi.SE[[#This Row],[Pro-A.8]]=4,69,IF(NSi.SE[[#This Row],[Pro-A.8]]=5,0,"-")))))</f>
        <v>-</v>
      </c>
      <c r="DN15" s="74" t="str">
        <f>IF(NSi.SE[[#This Row],[KU.9]]="A",100,IF(NSi.SE[[#This Row],[KU.9]]="B",89,IF(NSi.SE[[#This Row],[KU.9]]="C",79,IF(NSi.SE[[#This Row],[KU.9]]="D",69,IF(NSi.SE[[#This Row],[KU.9]]="E",0,"-")))))</f>
        <v>-</v>
      </c>
      <c r="DO15" s="73" t="str">
        <f>IF(NSi.SE[[#This Row],[TJ.9]]=1,100,IF(NSi.SE[[#This Row],[TJ.9]]=2,89,IF(NSi.SE[[#This Row],[TJ.9]]=3,79,IF(NSi.SE[[#This Row],[TJ.9]]=4,69,IF(NSi.SE[[#This Row],[TJ.9]]=5,0,"-")))))</f>
        <v>-</v>
      </c>
      <c r="DP15" s="73" t="str">
        <f>IF(NSi.SE[[#This Row],[Ker.9]]=1,100,IF(NSi.SE[[#This Row],[Ker.9]]=2,89,IF(NSi.SE[[#This Row],[Ker.9]]=3,79,IF(NSi.SE[[#This Row],[Ker.9]]=4,69,IF(NSi.SE[[#This Row],[Ker.9]]=5,0,"-")))))</f>
        <v>-</v>
      </c>
      <c r="DQ15" s="73" t="str">
        <f>IF(NSi.SE[[#This Row],[Ped.9]]=1,100,IF(NSi.SE[[#This Row],[Ped.9]]=2,89,IF(NSi.SE[[#This Row],[Ped.9]]=3,79,IF(NSi.SE[[#This Row],[Ped.9]]=4,69,IF(NSi.SE[[#This Row],[Ped.9]]=5,0,"-")))))</f>
        <v>-</v>
      </c>
      <c r="DR15" s="73" t="str">
        <f>IF(NSi.SE[[#This Row],[Pro-A.9]]=1,100,IF(NSi.SE[[#This Row],[Pro-A.9]]=2,89,IF(NSi.SE[[#This Row],[Pro-A.9]]=3,79,IF(NSi.SE[[#This Row],[Pro-A.9]]=4,69,IF(NSi.SE[[#This Row],[Pro-A.9]]=5,0,"-")))))</f>
        <v>-</v>
      </c>
      <c r="DT1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6" spans="1:124" ht="50.1" customHeight="1" x14ac:dyDescent="0.3">
      <c r="A16" s="66" t="str">
        <f>IF(NSi.TS[[#This Row],[No]]=0,"",NSi.TS[[#This Row],[No]])</f>
        <v/>
      </c>
      <c r="B16" s="67" t="str">
        <f>IF(NSi.TS[[#This Row],[Nama Siswa]]=0,"",NSi.TS[[#This Row],[Nama Siswa]])</f>
        <v/>
      </c>
      <c r="C16" s="68" t="str">
        <f>IF(NSi.TS[[#This Row],[Nomor Induk]]=0,"",NSi.TS[[#This Row],[Nomor Induk]])</f>
        <v/>
      </c>
      <c r="D16" s="68" t="str">
        <f>IF(NSi.TS[[#This Row],[NISN]]=0,"",NSi.TS[[#This Row],[NISN]])</f>
        <v/>
      </c>
      <c r="E16" s="68" t="str">
        <f>IF(NSi.TS[[#This Row],[Jurusan]]=0,"",NSi.TS[[#This Row],[Jurusan]])</f>
        <v/>
      </c>
      <c r="F16" s="39" t="str">
        <f>NSi.TS[[#This Row],[Nsi.TS]]</f>
        <v/>
      </c>
      <c r="G16" s="39" t="str">
        <f>IFERROR(ROUND(AVERAGE(CSCR.S[#This Row]),0),"")</f>
        <v/>
      </c>
      <c r="H16" s="39" t="str">
        <f>IFERROR(ROUND(AVERAGE(NSi.SE[[#This Row],[Nsi.TS]:[NS.iS]]),0),"")</f>
        <v/>
      </c>
      <c r="I16" s="41" t="s">
        <v>102</v>
      </c>
      <c r="J16" s="45" t="s">
        <v>102</v>
      </c>
      <c r="K16" s="45" t="s">
        <v>102</v>
      </c>
      <c r="L16" s="45" t="s">
        <v>102</v>
      </c>
      <c r="M16" s="45" t="s">
        <v>102</v>
      </c>
      <c r="N16" s="41" t="s">
        <v>102</v>
      </c>
      <c r="O16" s="45" t="s">
        <v>102</v>
      </c>
      <c r="P16" s="45" t="s">
        <v>102</v>
      </c>
      <c r="Q16" s="45" t="s">
        <v>102</v>
      </c>
      <c r="R16" s="45" t="s">
        <v>102</v>
      </c>
      <c r="S16" s="41" t="s">
        <v>102</v>
      </c>
      <c r="T16" s="45" t="s">
        <v>102</v>
      </c>
      <c r="U16" s="45" t="s">
        <v>102</v>
      </c>
      <c r="V16" s="45" t="s">
        <v>102</v>
      </c>
      <c r="W16" s="45" t="s">
        <v>102</v>
      </c>
      <c r="X16" s="41" t="s">
        <v>102</v>
      </c>
      <c r="Y16" s="45" t="s">
        <v>102</v>
      </c>
      <c r="Z16" s="45" t="s">
        <v>102</v>
      </c>
      <c r="AA16" s="45" t="s">
        <v>102</v>
      </c>
      <c r="AB16" s="45" t="s">
        <v>102</v>
      </c>
      <c r="AC16" s="41" t="s">
        <v>102</v>
      </c>
      <c r="AD16" s="45" t="s">
        <v>102</v>
      </c>
      <c r="AE16" s="45" t="s">
        <v>102</v>
      </c>
      <c r="AF16" s="45" t="s">
        <v>102</v>
      </c>
      <c r="AG16" s="45" t="s">
        <v>102</v>
      </c>
      <c r="AH16" s="41" t="s">
        <v>102</v>
      </c>
      <c r="AI16" s="45" t="s">
        <v>102</v>
      </c>
      <c r="AJ16" s="45" t="s">
        <v>102</v>
      </c>
      <c r="AK16" s="45" t="s">
        <v>102</v>
      </c>
      <c r="AL16" s="45" t="s">
        <v>102</v>
      </c>
      <c r="AM16" s="41" t="s">
        <v>102</v>
      </c>
      <c r="AN16" s="45" t="s">
        <v>102</v>
      </c>
      <c r="AO16" s="45" t="s">
        <v>102</v>
      </c>
      <c r="AP16" s="45" t="s">
        <v>102</v>
      </c>
      <c r="AQ16" s="45" t="s">
        <v>102</v>
      </c>
      <c r="AR16" s="41" t="s">
        <v>102</v>
      </c>
      <c r="AS16" s="45" t="s">
        <v>102</v>
      </c>
      <c r="AT16" s="45" t="s">
        <v>102</v>
      </c>
      <c r="AU16" s="45" t="s">
        <v>102</v>
      </c>
      <c r="AV16" s="45" t="s">
        <v>102</v>
      </c>
      <c r="AW16" s="41" t="s">
        <v>102</v>
      </c>
      <c r="AX16" s="45" t="s">
        <v>102</v>
      </c>
      <c r="AY16" s="45" t="s">
        <v>102</v>
      </c>
      <c r="AZ16" s="45" t="s">
        <v>102</v>
      </c>
      <c r="BA16" s="45" t="s">
        <v>102</v>
      </c>
      <c r="BC16" s="10" t="str">
        <f>CONCATENATE(NSi.SE[[#This Row],[KU.1]],(IF(A.LoE.S[[#This Row],[LE.1]]="-","-",IF(A.LoE.S[[#This Row],[LE.1]]&gt;=90,1,IF(A.LoE.S[[#This Row],[LE.1]]&gt;=80,2,IF(A.LoE.S[[#This Row],[LE.1]]&gt;=70,3,IF(A.LoE.S[[#This Row],[LE.1]]&gt;=1,4,5)))))))</f>
        <v>--</v>
      </c>
      <c r="BD16" s="46" t="str">
        <f>CONCATENATE(NSi.SE[[#This Row],[KU.2]],(IF(A.LoE.S[[#This Row],[LE.2]]="-","-",IF(A.LoE.S[[#This Row],[LE.2]]&gt;=90,1,IF(A.LoE.S[[#This Row],[LE.2]]&gt;=80,2,IF(A.LoE.S[[#This Row],[LE.2]]&gt;=70,3,IF(A.LoE.S[[#This Row],[LE.2]]&gt;=1,4,5)))))))</f>
        <v>--</v>
      </c>
      <c r="BE16" s="46" t="str">
        <f>CONCATENATE(NSi.SE[[#This Row],[KU.3]],(IF(A.LoE.S[[#This Row],[LE.3]]="-","-",IF(A.LoE.S[[#This Row],[LE.3]]&gt;=90,1,IF(A.LoE.S[[#This Row],[LE.3]]&gt;=80,2,IF(A.LoE.S[[#This Row],[LE.3]]&gt;=70,3,IF(A.LoE.S[[#This Row],[LE.3]]&gt;=1,4,5)))))))</f>
        <v>--</v>
      </c>
      <c r="BF16" s="46" t="str">
        <f>CONCATENATE(NSi.SE[[#This Row],[KU.4]],(IF(A.LoE.S[[#This Row],[LE.4]]="-","-",IF(A.LoE.S[[#This Row],[LE.4]]&gt;=90,1,IF(A.LoE.S[[#This Row],[LE.4]]&gt;=80,2,IF(A.LoE.S[[#This Row],[LE.4]]&gt;=70,3,IF(A.LoE.S[[#This Row],[LE.4]]&gt;=1,4,5)))))))</f>
        <v>--</v>
      </c>
      <c r="BG16" s="46" t="str">
        <f>CONCATENATE(NSi.SE[[#This Row],[KU.5]],(IF(A.LoE.S[[#This Row],[LE.5]]="-","-",IF(A.LoE.S[[#This Row],[LE.5]]&gt;=90,1,IF(A.LoE.S[[#This Row],[LE.5]]&gt;=80,2,IF(A.LoE.S[[#This Row],[LE.5]]&gt;=70,3,IF(A.LoE.S[[#This Row],[LE.5]]&gt;=1,4,5)))))))</f>
        <v>--</v>
      </c>
      <c r="BH16" s="46" t="str">
        <f>CONCATENATE(NSi.SE[[#This Row],[KU.6]],(IF(A.LoE.S[[#This Row],[LE.6]]="-","-",IF(A.LoE.S[[#This Row],[LE.6]]&gt;=90,1,IF(A.LoE.S[[#This Row],[LE.6]]&gt;=80,2,IF(A.LoE.S[[#This Row],[LE.6]]&gt;=70,3,IF(A.LoE.S[[#This Row],[LE.6]]&gt;=1,4,5)))))))</f>
        <v>--</v>
      </c>
      <c r="BI16" s="46" t="str">
        <f>CONCATENATE(NSi.SE[[#This Row],[KU.7]],(IF(A.LoE.S[[#This Row],[LE.7]]="-","-",IF(A.LoE.S[[#This Row],[LE.7]]&gt;=90,1,IF(A.LoE.S[[#This Row],[LE.7]]&gt;=80,2,IF(A.LoE.S[[#This Row],[LE.7]]&gt;=70,3,IF(A.LoE.S[[#This Row],[LE.7]]&gt;=1,4,5)))))))</f>
        <v>--</v>
      </c>
      <c r="BJ16" s="46" t="str">
        <f>CONCATENATE(NSi.SE[[#This Row],[KU.8]],(IF(A.LoE.S[[#This Row],[LE.8]]="-","-",IF(A.LoE.S[[#This Row],[LE.8]]&gt;=90,1,IF(A.LoE.S[[#This Row],[LE.8]]&gt;=80,2,IF(A.LoE.S[[#This Row],[LE.8]]&gt;=70,3,IF(A.LoE.S[[#This Row],[LE.8]]&gt;=1,4,5)))))))</f>
        <v>--</v>
      </c>
      <c r="BK16" s="38" t="str">
        <f>CONCATENATE(NSi.SE[[#This Row],[KU.9]],(IF(A.LoE.S[[#This Row],[LE.9]]="-","-",IF(A.LoE.S[[#This Row],[LE.9]]&gt;=90,1,IF(A.LoE.S[[#This Row],[LE.9]]&gt;=80,2,IF(A.LoE.S[[#This Row],[LE.9]]&gt;=70,3,IF(A.LoE.S[[#This Row],[LE.9]]&gt;=1,4,5)))))))</f>
        <v>--</v>
      </c>
      <c r="BM16" s="35" t="str">
        <f>IFERROR(ROUND(AVERAGE(Con.Sk.S[[#This Row],[TJ.1]:[Pro-A.1]]),0),"-")</f>
        <v>-</v>
      </c>
      <c r="BN16" s="24" t="str">
        <f>IFERROR(ROUND(AVERAGE(Con.Sk.S[[#This Row],[TJ.2]:[Pro-A.2]]),0),"-")</f>
        <v>-</v>
      </c>
      <c r="BO16" s="24" t="str">
        <f>IFERROR(ROUND(AVERAGE(Con.Sk.S[[#This Row],[TJ.3]:[Pro-A.3]]),0),"-")</f>
        <v>-</v>
      </c>
      <c r="BP16" s="24" t="str">
        <f>IFERROR(ROUND(AVERAGE(Con.Sk.S[[#This Row],[TJ.4]:[Pro-A.4]]),0),"-")</f>
        <v>-</v>
      </c>
      <c r="BQ16" s="24" t="str">
        <f>IFERROR(ROUND(AVERAGE(Con.Sk.S[[#This Row],[TJ.5]:[Pro-A.5]]),0),"-")</f>
        <v>-</v>
      </c>
      <c r="BR16" s="24" t="str">
        <f>IFERROR(ROUND(AVERAGE(Con.Sk.S[[#This Row],[TJ.6]:[Pro-A.6]]),0),"-")</f>
        <v>-</v>
      </c>
      <c r="BS16" s="24" t="str">
        <f>IFERROR(ROUND(AVERAGE(Con.Sk.S[[#This Row],[TJ.7]:[Pro-A.7]]),0),"-")</f>
        <v>-</v>
      </c>
      <c r="BT16" s="24" t="str">
        <f>IFERROR(ROUND(AVERAGE(Con.Sk.S[[#This Row],[TJ.8]:[Pro-A.8]]),0),"-")</f>
        <v>-</v>
      </c>
      <c r="BU16" s="25" t="str">
        <f>IFERROR(ROUND(AVERAGE(Con.Sk.S[[#This Row],[TJ.9]:[Pro-A.9]]),0),"-")</f>
        <v>-</v>
      </c>
      <c r="BW16" s="47" t="str">
        <f>IFERROR(ROUND(AVERAGE(Con.Sk.S[[#This Row],[KU.1]],Con.Sk.S[[#This Row],[KU.2]],Con.Sk.S[[#This Row],[KU.3]],Con.Sk.S[[#This Row],[KU.4]],Con.Sk.S[[#This Row],[KU.5]],Con.Sk.S[[#This Row],[KU.6]],Con.Sk.S[[#This Row],[KU.7]],Con.Sk.S[[#This Row],[KU.8]],Con.Sk.S[[#This Row],[KU.9]]),0),"")</f>
        <v/>
      </c>
      <c r="BX16" s="48" t="str">
        <f>IFERROR(ROUND(AVERAGE(Con.Sk.S[[#This Row],[TJ.1]:[Pro-A.1]],Con.Sk.S[[#This Row],[TJ.2]:[Pro-A.2]],Con.Sk.S[[#This Row],[TJ.3]:[Pro-A.3]],Con.Sk.S[[#This Row],[TJ.4]:[Pro-A.4]],Con.Sk.S[[#This Row],[TJ.5]:[Pro-A.5]],Con.Sk.S[[#This Row],[TJ.6]:[Pro-A.6]],Con.Sk.S[[#This Row],[TJ.7]:[Pro-A.7]],Con.Sk.S[[#This Row],[TJ.8]:[Pro-A.8]],Con.Sk.S[[#This Row],[TJ.9]:[Pro-A.9]]),0),"")</f>
        <v/>
      </c>
      <c r="BY16" s="3"/>
      <c r="BZ16" s="73" t="str">
        <f>IF(NSi.SE[[#This Row],[KU.1]]="A",100,IF(NSi.SE[[#This Row],[KU.1]]="B",89,IF(NSi.SE[[#This Row],[KU.1]]="C",79,IF(NSi.SE[[#This Row],[KU.1]]="D",69,IF(NSi.SE[[#This Row],[KU.1]]="E",0,"-")))))</f>
        <v>-</v>
      </c>
      <c r="CA16" s="73" t="str">
        <f>IF(NSi.SE[[#This Row],[TJ.1]]=1,100,IF(NSi.SE[[#This Row],[TJ.1]]=2,89,IF(NSi.SE[[#This Row],[TJ.1]]=3,79,IF(NSi.SE[[#This Row],[TJ.1]]=4,69,IF(NSi.SE[[#This Row],[TJ.1]]=5,0,"-")))))</f>
        <v>-</v>
      </c>
      <c r="CB16" s="73" t="str">
        <f>IF(NSi.SE[[#This Row],[Ker.1]]=1,100,IF(NSi.SE[[#This Row],[Ker.1]]=2,89,IF(NSi.SE[[#This Row],[Ker.1]]=3,79,IF(NSi.SE[[#This Row],[Ker.1]]=4,69,IF(NSi.SE[[#This Row],[Ker.1]]=5,0,"-")))))</f>
        <v>-</v>
      </c>
      <c r="CC16" s="73" t="str">
        <f>IF(NSi.SE[[#This Row],[Ped.1]]=1,100,IF(NSi.SE[[#This Row],[Ped.1]]=2,89,IF(NSi.SE[[#This Row],[Ped.1]]=3,79,IF(NSi.SE[[#This Row],[Ped.1]]=4,69,IF(NSi.SE[[#This Row],[Ped.1]]=5,0,"-")))))</f>
        <v>-</v>
      </c>
      <c r="CD16" s="73" t="str">
        <f>IF(NSi.SE[[#This Row],[Pro-A.1]]=1,100,IF(NSi.SE[[#This Row],[Pro-A.1]]=2,89,IF(NSi.SE[[#This Row],[Pro-A.1]]=3,79,IF(NSi.SE[[#This Row],[Pro-A.1]]=4,69,IF(NSi.SE[[#This Row],[Pro-A.1]]=5,0,"-")))))</f>
        <v>-</v>
      </c>
      <c r="CE16" s="73" t="str">
        <f>IF(NSi.SE[[#This Row],[KU.2]]="A",100,IF(NSi.SE[[#This Row],[KU.2]]="B",89,IF(NSi.SE[[#This Row],[KU.2]]="C",79,IF(NSi.SE[[#This Row],[KU.2]]="D",69,IF(NSi.SE[[#This Row],[KU.2]]="E",0,"-")))))</f>
        <v>-</v>
      </c>
      <c r="CF16" s="73" t="str">
        <f>IF(NSi.SE[[#This Row],[TJ.2]]=1,100,IF(NSi.SE[[#This Row],[TJ.2]]=2,89,IF(NSi.SE[[#This Row],[TJ.2]]=3,79,IF(NSi.SE[[#This Row],[TJ.2]]=4,69,IF(NSi.SE[[#This Row],[TJ.2]]=5,0,"-")))))</f>
        <v>-</v>
      </c>
      <c r="CG16" s="73" t="str">
        <f>IF(NSi.SE[[#This Row],[Ker.2]]=1,100,IF(NSi.SE[[#This Row],[Ker.2]]=2,89,IF(NSi.SE[[#This Row],[Ker.2]]=3,79,IF(NSi.SE[[#This Row],[Ker.2]]=4,69,IF(NSi.SE[[#This Row],[Ker.2]]=5,0,"-")))))</f>
        <v>-</v>
      </c>
      <c r="CH16" s="73" t="str">
        <f>IF(NSi.SE[[#This Row],[Ped.2]]=1,100,IF(NSi.SE[[#This Row],[Ped.2]]=2,89,IF(NSi.SE[[#This Row],[Ped.2]]=3,79,IF(NSi.SE[[#This Row],[Ped.2]]=4,69,IF(NSi.SE[[#This Row],[Ped.2]]=5,0,"-")))))</f>
        <v>-</v>
      </c>
      <c r="CI16" s="73" t="str">
        <f>IF(NSi.SE[[#This Row],[Pro-A.2]]=1,100,IF(NSi.SE[[#This Row],[Pro-A.2]]=2,89,IF(NSi.SE[[#This Row],[Pro-A.2]]=3,79,IF(NSi.SE[[#This Row],[Pro-A.2]]=4,69,IF(NSi.SE[[#This Row],[Pro-A.2]]=5,0,"-")))))</f>
        <v>-</v>
      </c>
      <c r="CJ16" s="74" t="str">
        <f>IF(NSi.SE[[#This Row],[KU.3]]="A",100,IF(NSi.SE[[#This Row],[KU.3]]="B",89,IF(NSi.SE[[#This Row],[KU.3]]="C",79,IF(NSi.SE[[#This Row],[KU.3]]="D",69,IF(NSi.SE[[#This Row],[KU.3]]="E",0,"-")))))</f>
        <v>-</v>
      </c>
      <c r="CK16" s="73" t="str">
        <f>IF(NSi.SE[[#This Row],[TJ.3]]=1,100,IF(NSi.SE[[#This Row],[TJ.3]]=2,89,IF(NSi.SE[[#This Row],[TJ.3]]=3,79,IF(NSi.SE[[#This Row],[TJ.3]]=4,69,IF(NSi.SE[[#This Row],[TJ.3]]=5,0,"-")))))</f>
        <v>-</v>
      </c>
      <c r="CL16" s="73" t="str">
        <f>IF(NSi.SE[[#This Row],[Ker.3]]=1,100,IF(NSi.SE[[#This Row],[Ker.3]]=2,89,IF(NSi.SE[[#This Row],[Ker.3]]=3,79,IF(NSi.SE[[#This Row],[Ker.3]]=4,69,IF(NSi.SE[[#This Row],[Ker.3]]=5,0,"-")))))</f>
        <v>-</v>
      </c>
      <c r="CM16" s="73" t="str">
        <f>IF(NSi.SE[[#This Row],[Ped.3]]=1,100,IF(NSi.SE[[#This Row],[Ped.3]]=2,89,IF(NSi.SE[[#This Row],[Ped.3]]=3,79,IF(NSi.SE[[#This Row],[Ped.3]]=4,69,IF(NSi.SE[[#This Row],[Ped.3]]=5,0,"-")))))</f>
        <v>-</v>
      </c>
      <c r="CN16" s="73" t="str">
        <f>IF(NSi.SE[[#This Row],[Pro-A.3]]=1,100,IF(NSi.SE[[#This Row],[Pro-A.3]]=2,89,IF(NSi.SE[[#This Row],[Pro-A.3]]=3,79,IF(NSi.SE[[#This Row],[Pro-A.3]]=4,69,IF(NSi.SE[[#This Row],[Pro-A.3]]=5,0,"-")))))</f>
        <v>-</v>
      </c>
      <c r="CO16" s="74" t="str">
        <f>IF(NSi.SE[[#This Row],[KU.4]]="A",100,IF(NSi.SE[[#This Row],[KU.4]]="B",89,IF(NSi.SE[[#This Row],[KU.4]]="C",79,IF(NSi.SE[[#This Row],[KU.4]]="D",69,IF(NSi.SE[[#This Row],[KU.4]]="E",0,"-")))))</f>
        <v>-</v>
      </c>
      <c r="CP16" s="73" t="str">
        <f>IF(NSi.SE[[#This Row],[TJ.4]]=1,100,IF(NSi.SE[[#This Row],[TJ.4]]=2,89,IF(NSi.SE[[#This Row],[TJ.4]]=3,79,IF(NSi.SE[[#This Row],[TJ.4]]=4,69,IF(NSi.SE[[#This Row],[TJ.4]]=5,0,"-")))))</f>
        <v>-</v>
      </c>
      <c r="CQ16" s="73" t="str">
        <f>IF(NSi.SE[[#This Row],[Ker.4]]=1,100,IF(NSi.SE[[#This Row],[Ker.4]]=2,89,IF(NSi.SE[[#This Row],[Ker.4]]=3,79,IF(NSi.SE[[#This Row],[Ker.4]]=4,69,IF(NSi.SE[[#This Row],[Ker.4]]=5,0,"-")))))</f>
        <v>-</v>
      </c>
      <c r="CR16" s="73" t="str">
        <f>IF(NSi.SE[[#This Row],[Ped.4]]=1,100,IF(NSi.SE[[#This Row],[Ped.4]]=2,89,IF(NSi.SE[[#This Row],[Ped.4]]=3,79,IF(NSi.SE[[#This Row],[Ped.4]]=4,69,IF(NSi.SE[[#This Row],[Ped.4]]=5,0,"-")))))</f>
        <v>-</v>
      </c>
      <c r="CS16" s="73" t="str">
        <f>IF(NSi.SE[[#This Row],[Pro-A.4]]=1,100,IF(NSi.SE[[#This Row],[Pro-A.4]]=2,89,IF(NSi.SE[[#This Row],[Pro-A.4]]=3,79,IF(NSi.SE[[#This Row],[Pro-A.4]]=4,69,IF(NSi.SE[[#This Row],[Pro-A.4]]=5,0,"-")))))</f>
        <v>-</v>
      </c>
      <c r="CT16" s="74" t="str">
        <f>IF(NSi.SE[[#This Row],[KU.5]]="A",100,IF(NSi.SE[[#This Row],[KU.5]]="B",89,IF(NSi.SE[[#This Row],[KU.5]]="C",79,IF(NSi.SE[[#This Row],[KU.5]]="D",69,IF(NSi.SE[[#This Row],[KU.5]]="E",0,"-")))))</f>
        <v>-</v>
      </c>
      <c r="CU16" s="73" t="str">
        <f>IF(NSi.SE[[#This Row],[TJ.5]]=1,100,IF(NSi.SE[[#This Row],[TJ.5]]=2,89,IF(NSi.SE[[#This Row],[TJ.5]]=3,79,IF(NSi.SE[[#This Row],[TJ.5]]=4,69,IF(NSi.SE[[#This Row],[TJ.5]]=5,0,"-")))))</f>
        <v>-</v>
      </c>
      <c r="CV16" s="73" t="str">
        <f>IF(NSi.SE[[#This Row],[Ker.5]]=1,100,IF(NSi.SE[[#This Row],[Ker.5]]=2,89,IF(NSi.SE[[#This Row],[Ker.5]]=3,79,IF(NSi.SE[[#This Row],[Ker.5]]=4,69,IF(NSi.SE[[#This Row],[Ker.5]]=5,0,"-")))))</f>
        <v>-</v>
      </c>
      <c r="CW16" s="73" t="str">
        <f>IF(NSi.SE[[#This Row],[Ped.5]]=1,100,IF(NSi.SE[[#This Row],[Ped.5]]=2,89,IF(NSi.SE[[#This Row],[Ped.5]]=3,79,IF(NSi.SE[[#This Row],[Ped.5]]=4,69,IF(NSi.SE[[#This Row],[Ped.5]]=5,0,"-")))))</f>
        <v>-</v>
      </c>
      <c r="CX16" s="73" t="str">
        <f>IF(NSi.SE[[#This Row],[Pro-A.5]]=1,100,IF(NSi.SE[[#This Row],[Pro-A.5]]=2,89,IF(NSi.SE[[#This Row],[Pro-A.5]]=3,79,IF(NSi.SE[[#This Row],[Pro-A.5]]=4,69,IF(NSi.SE[[#This Row],[Pro-A.5]]=5,0,"-")))))</f>
        <v>-</v>
      </c>
      <c r="CY16" s="74" t="str">
        <f>IF(NSi.SE[[#This Row],[KU.6]]="A",100,IF(NSi.SE[[#This Row],[KU.6]]="B",89,IF(NSi.SE[[#This Row],[KU.6]]="C",79,IF(NSi.SE[[#This Row],[KU.6]]="D",69,IF(NSi.SE[[#This Row],[KU.6]]="E",0,"-")))))</f>
        <v>-</v>
      </c>
      <c r="CZ16" s="73" t="str">
        <f>IF(NSi.SE[[#This Row],[TJ.6]]=1,100,IF(NSi.SE[[#This Row],[TJ.6]]=2,89,IF(NSi.SE[[#This Row],[TJ.6]]=3,79,IF(NSi.SE[[#This Row],[TJ.6]]=4,69,IF(NSi.SE[[#This Row],[TJ.6]]=5,0,"-")))))</f>
        <v>-</v>
      </c>
      <c r="DA16" s="73" t="str">
        <f>IF(NSi.SE[[#This Row],[Ker.6]]=1,100,IF(NSi.SE[[#This Row],[Ker.6]]=2,89,IF(NSi.SE[[#This Row],[Ker.6]]=3,79,IF(NSi.SE[[#This Row],[Ker.6]]=4,69,IF(NSi.SE[[#This Row],[Ker.6]]=5,0,"-")))))</f>
        <v>-</v>
      </c>
      <c r="DB16" s="73" t="str">
        <f>IF(NSi.SE[[#This Row],[Ped.6]]=1,100,IF(NSi.SE[[#This Row],[Ped.6]]=2,89,IF(NSi.SE[[#This Row],[Ped.6]]=3,79,IF(NSi.SE[[#This Row],[Ped.6]]=4,69,IF(NSi.SE[[#This Row],[Ped.6]]=5,0,"-")))))</f>
        <v>-</v>
      </c>
      <c r="DC16" s="73" t="str">
        <f>IF(NSi.SE[[#This Row],[Pro-A.6]]=1,100,IF(NSi.SE[[#This Row],[Pro-A.6]]=2,89,IF(NSi.SE[[#This Row],[Pro-A.6]]=3,79,IF(NSi.SE[[#This Row],[Pro-A.6]]=4,69,IF(NSi.SE[[#This Row],[Pro-A.6]]=5,0,"-")))))</f>
        <v>-</v>
      </c>
      <c r="DD16" s="74" t="str">
        <f>IF(NSi.SE[[#This Row],[KU.7]]="A",100,IF(NSi.SE[[#This Row],[KU.7]]="B",89,IF(NSi.SE[[#This Row],[KU.7]]="C",79,IF(NSi.SE[[#This Row],[KU.7]]="D",69,IF(NSi.SE[[#This Row],[KU.7]]="E",0,"-")))))</f>
        <v>-</v>
      </c>
      <c r="DE16" s="73" t="str">
        <f>IF(NSi.SE[[#This Row],[TJ.7]]=1,100,IF(NSi.SE[[#This Row],[TJ.7]]=2,89,IF(NSi.SE[[#This Row],[TJ.7]]=3,79,IF(NSi.SE[[#This Row],[TJ.7]]=4,69,IF(NSi.SE[[#This Row],[TJ.7]]=5,0,"-")))))</f>
        <v>-</v>
      </c>
      <c r="DF16" s="73" t="str">
        <f>IF(NSi.SE[[#This Row],[Ker.7]]=1,100,IF(NSi.SE[[#This Row],[Ker.7]]=2,89,IF(NSi.SE[[#This Row],[Ker.7]]=3,79,IF(NSi.SE[[#This Row],[Ker.7]]=4,69,IF(NSi.SE[[#This Row],[Ker.7]]=5,0,"-")))))</f>
        <v>-</v>
      </c>
      <c r="DG16" s="73" t="str">
        <f>IF(NSi.SE[[#This Row],[Ped.7]]=1,100,IF(NSi.SE[[#This Row],[Ped.7]]=2,89,IF(NSi.SE[[#This Row],[Ped.7]]=3,79,IF(NSi.SE[[#This Row],[Ped.7]]=4,69,IF(NSi.SE[[#This Row],[Ped.7]]=5,0,"-")))))</f>
        <v>-</v>
      </c>
      <c r="DH16" s="73" t="str">
        <f>IF(NSi.SE[[#This Row],[Pro-A.7]]=1,100,IF(NSi.SE[[#This Row],[Pro-A.7]]=2,89,IF(NSi.SE[[#This Row],[Pro-A.7]]=3,79,IF(NSi.SE[[#This Row],[Pro-A.7]]=4,69,IF(NSi.SE[[#This Row],[Pro-A.7]]=5,0,"-")))))</f>
        <v>-</v>
      </c>
      <c r="DI16" s="74" t="str">
        <f>IF(NSi.SE[[#This Row],[KU.8]]="A",100,IF(NSi.SE[[#This Row],[KU.8]]="B",89,IF(NSi.SE[[#This Row],[KU.8]]="C",79,IF(NSi.SE[[#This Row],[KU.8]]="D",69,IF(NSi.SE[[#This Row],[KU.8]]="E",0,"-")))))</f>
        <v>-</v>
      </c>
      <c r="DJ16" s="73" t="str">
        <f>IF(NSi.SE[[#This Row],[TJ.8]]=1,100,IF(NSi.SE[[#This Row],[TJ.8]]=2,89,IF(NSi.SE[[#This Row],[TJ.8]]=3,79,IF(NSi.SE[[#This Row],[TJ.8]]=4,69,IF(NSi.SE[[#This Row],[TJ.8]]=5,0,"-")))))</f>
        <v>-</v>
      </c>
      <c r="DK16" s="73" t="str">
        <f>IF(NSi.SE[[#This Row],[Ker.8]]=1,100,IF(NSi.SE[[#This Row],[Ker.8]]=2,89,IF(NSi.SE[[#This Row],[Ker.8]]=3,79,IF(NSi.SE[[#This Row],[Ker.8]]=4,69,IF(NSi.SE[[#This Row],[Ker.8]]=5,0,"-")))))</f>
        <v>-</v>
      </c>
      <c r="DL16" s="73" t="str">
        <f>IF(NSi.SE[[#This Row],[Ped.8]]=1,100,IF(NSi.SE[[#This Row],[Ped.8]]=2,89,IF(NSi.SE[[#This Row],[Ped.8]]=3,79,IF(NSi.SE[[#This Row],[Ped.8]]=4,69,IF(NSi.SE[[#This Row],[Ped.8]]=5,0,"-")))))</f>
        <v>-</v>
      </c>
      <c r="DM16" s="73" t="str">
        <f>IF(NSi.SE[[#This Row],[Pro-A.8]]=1,100,IF(NSi.SE[[#This Row],[Pro-A.8]]=2,89,IF(NSi.SE[[#This Row],[Pro-A.8]]=3,79,IF(NSi.SE[[#This Row],[Pro-A.8]]=4,69,IF(NSi.SE[[#This Row],[Pro-A.8]]=5,0,"-")))))</f>
        <v>-</v>
      </c>
      <c r="DN16" s="74" t="str">
        <f>IF(NSi.SE[[#This Row],[KU.9]]="A",100,IF(NSi.SE[[#This Row],[KU.9]]="B",89,IF(NSi.SE[[#This Row],[KU.9]]="C",79,IF(NSi.SE[[#This Row],[KU.9]]="D",69,IF(NSi.SE[[#This Row],[KU.9]]="E",0,"-")))))</f>
        <v>-</v>
      </c>
      <c r="DO16" s="73" t="str">
        <f>IF(NSi.SE[[#This Row],[TJ.9]]=1,100,IF(NSi.SE[[#This Row],[TJ.9]]=2,89,IF(NSi.SE[[#This Row],[TJ.9]]=3,79,IF(NSi.SE[[#This Row],[TJ.9]]=4,69,IF(NSi.SE[[#This Row],[TJ.9]]=5,0,"-")))))</f>
        <v>-</v>
      </c>
      <c r="DP16" s="73" t="str">
        <f>IF(NSi.SE[[#This Row],[Ker.9]]=1,100,IF(NSi.SE[[#This Row],[Ker.9]]=2,89,IF(NSi.SE[[#This Row],[Ker.9]]=3,79,IF(NSi.SE[[#This Row],[Ker.9]]=4,69,IF(NSi.SE[[#This Row],[Ker.9]]=5,0,"-")))))</f>
        <v>-</v>
      </c>
      <c r="DQ16" s="73" t="str">
        <f>IF(NSi.SE[[#This Row],[Ped.9]]=1,100,IF(NSi.SE[[#This Row],[Ped.9]]=2,89,IF(NSi.SE[[#This Row],[Ped.9]]=3,79,IF(NSi.SE[[#This Row],[Ped.9]]=4,69,IF(NSi.SE[[#This Row],[Ped.9]]=5,0,"-")))))</f>
        <v>-</v>
      </c>
      <c r="DR16" s="73" t="str">
        <f>IF(NSi.SE[[#This Row],[Pro-A.9]]=1,100,IF(NSi.SE[[#This Row],[Pro-A.9]]=2,89,IF(NSi.SE[[#This Row],[Pro-A.9]]=3,79,IF(NSi.SE[[#This Row],[Pro-A.9]]=4,69,IF(NSi.SE[[#This Row],[Pro-A.9]]=5,0,"-")))))</f>
        <v>-</v>
      </c>
      <c r="DT1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7" spans="1:124" ht="50.1" customHeight="1" x14ac:dyDescent="0.3">
      <c r="A17" s="66" t="str">
        <f>IF(NSi.TS[[#This Row],[No]]=0,"",NSi.TS[[#This Row],[No]])</f>
        <v/>
      </c>
      <c r="B17" s="67" t="str">
        <f>IF(NSi.TS[[#This Row],[Nama Siswa]]=0,"",NSi.TS[[#This Row],[Nama Siswa]])</f>
        <v/>
      </c>
      <c r="C17" s="68" t="str">
        <f>IF(NSi.TS[[#This Row],[Nomor Induk]]=0,"",NSi.TS[[#This Row],[Nomor Induk]])</f>
        <v/>
      </c>
      <c r="D17" s="68" t="str">
        <f>IF(NSi.TS[[#This Row],[NISN]]=0,"",NSi.TS[[#This Row],[NISN]])</f>
        <v/>
      </c>
      <c r="E17" s="68" t="str">
        <f>IF(NSi.TS[[#This Row],[Jurusan]]=0,"",NSi.TS[[#This Row],[Jurusan]])</f>
        <v/>
      </c>
      <c r="F17" s="39" t="str">
        <f>NSi.TS[[#This Row],[Nsi.TS]]</f>
        <v/>
      </c>
      <c r="G17" s="39" t="str">
        <f>IFERROR(ROUND(AVERAGE(CSCR.S[#This Row]),0),"")</f>
        <v/>
      </c>
      <c r="H17" s="39" t="str">
        <f>IFERROR(ROUND(AVERAGE(NSi.SE[[#This Row],[Nsi.TS]:[NS.iS]]),0),"")</f>
        <v/>
      </c>
      <c r="I17" s="41" t="s">
        <v>102</v>
      </c>
      <c r="J17" s="45" t="s">
        <v>102</v>
      </c>
      <c r="K17" s="45" t="s">
        <v>102</v>
      </c>
      <c r="L17" s="45" t="s">
        <v>102</v>
      </c>
      <c r="M17" s="45" t="s">
        <v>102</v>
      </c>
      <c r="N17" s="41" t="s">
        <v>102</v>
      </c>
      <c r="O17" s="45" t="s">
        <v>102</v>
      </c>
      <c r="P17" s="45" t="s">
        <v>102</v>
      </c>
      <c r="Q17" s="45" t="s">
        <v>102</v>
      </c>
      <c r="R17" s="45" t="s">
        <v>102</v>
      </c>
      <c r="S17" s="41" t="s">
        <v>102</v>
      </c>
      <c r="T17" s="45" t="s">
        <v>102</v>
      </c>
      <c r="U17" s="45" t="s">
        <v>102</v>
      </c>
      <c r="V17" s="45" t="s">
        <v>102</v>
      </c>
      <c r="W17" s="45" t="s">
        <v>102</v>
      </c>
      <c r="X17" s="41" t="s">
        <v>102</v>
      </c>
      <c r="Y17" s="45" t="s">
        <v>102</v>
      </c>
      <c r="Z17" s="45" t="s">
        <v>102</v>
      </c>
      <c r="AA17" s="45" t="s">
        <v>102</v>
      </c>
      <c r="AB17" s="45" t="s">
        <v>102</v>
      </c>
      <c r="AC17" s="41" t="s">
        <v>102</v>
      </c>
      <c r="AD17" s="45" t="s">
        <v>102</v>
      </c>
      <c r="AE17" s="45" t="s">
        <v>102</v>
      </c>
      <c r="AF17" s="45" t="s">
        <v>102</v>
      </c>
      <c r="AG17" s="45" t="s">
        <v>102</v>
      </c>
      <c r="AH17" s="41" t="s">
        <v>102</v>
      </c>
      <c r="AI17" s="45" t="s">
        <v>102</v>
      </c>
      <c r="AJ17" s="45" t="s">
        <v>102</v>
      </c>
      <c r="AK17" s="45" t="s">
        <v>102</v>
      </c>
      <c r="AL17" s="45" t="s">
        <v>102</v>
      </c>
      <c r="AM17" s="41" t="s">
        <v>102</v>
      </c>
      <c r="AN17" s="45" t="s">
        <v>102</v>
      </c>
      <c r="AO17" s="45" t="s">
        <v>102</v>
      </c>
      <c r="AP17" s="45" t="s">
        <v>102</v>
      </c>
      <c r="AQ17" s="45" t="s">
        <v>102</v>
      </c>
      <c r="AR17" s="41" t="s">
        <v>102</v>
      </c>
      <c r="AS17" s="45" t="s">
        <v>102</v>
      </c>
      <c r="AT17" s="45" t="s">
        <v>102</v>
      </c>
      <c r="AU17" s="45" t="s">
        <v>102</v>
      </c>
      <c r="AV17" s="45" t="s">
        <v>102</v>
      </c>
      <c r="AW17" s="41" t="s">
        <v>102</v>
      </c>
      <c r="AX17" s="45" t="s">
        <v>102</v>
      </c>
      <c r="AY17" s="45" t="s">
        <v>102</v>
      </c>
      <c r="AZ17" s="45" t="s">
        <v>102</v>
      </c>
      <c r="BA17" s="45" t="s">
        <v>102</v>
      </c>
      <c r="BC17" s="10" t="str">
        <f>CONCATENATE(NSi.SE[[#This Row],[KU.1]],(IF(A.LoE.S[[#This Row],[LE.1]]="-","-",IF(A.LoE.S[[#This Row],[LE.1]]&gt;=90,1,IF(A.LoE.S[[#This Row],[LE.1]]&gt;=80,2,IF(A.LoE.S[[#This Row],[LE.1]]&gt;=70,3,IF(A.LoE.S[[#This Row],[LE.1]]&gt;=1,4,5)))))))</f>
        <v>--</v>
      </c>
      <c r="BD17" s="46" t="str">
        <f>CONCATENATE(NSi.SE[[#This Row],[KU.2]],(IF(A.LoE.S[[#This Row],[LE.2]]="-","-",IF(A.LoE.S[[#This Row],[LE.2]]&gt;=90,1,IF(A.LoE.S[[#This Row],[LE.2]]&gt;=80,2,IF(A.LoE.S[[#This Row],[LE.2]]&gt;=70,3,IF(A.LoE.S[[#This Row],[LE.2]]&gt;=1,4,5)))))))</f>
        <v>--</v>
      </c>
      <c r="BE17" s="46" t="str">
        <f>CONCATENATE(NSi.SE[[#This Row],[KU.3]],(IF(A.LoE.S[[#This Row],[LE.3]]="-","-",IF(A.LoE.S[[#This Row],[LE.3]]&gt;=90,1,IF(A.LoE.S[[#This Row],[LE.3]]&gt;=80,2,IF(A.LoE.S[[#This Row],[LE.3]]&gt;=70,3,IF(A.LoE.S[[#This Row],[LE.3]]&gt;=1,4,5)))))))</f>
        <v>--</v>
      </c>
      <c r="BF17" s="46" t="str">
        <f>CONCATENATE(NSi.SE[[#This Row],[KU.4]],(IF(A.LoE.S[[#This Row],[LE.4]]="-","-",IF(A.LoE.S[[#This Row],[LE.4]]&gt;=90,1,IF(A.LoE.S[[#This Row],[LE.4]]&gt;=80,2,IF(A.LoE.S[[#This Row],[LE.4]]&gt;=70,3,IF(A.LoE.S[[#This Row],[LE.4]]&gt;=1,4,5)))))))</f>
        <v>--</v>
      </c>
      <c r="BG17" s="46" t="str">
        <f>CONCATENATE(NSi.SE[[#This Row],[KU.5]],(IF(A.LoE.S[[#This Row],[LE.5]]="-","-",IF(A.LoE.S[[#This Row],[LE.5]]&gt;=90,1,IF(A.LoE.S[[#This Row],[LE.5]]&gt;=80,2,IF(A.LoE.S[[#This Row],[LE.5]]&gt;=70,3,IF(A.LoE.S[[#This Row],[LE.5]]&gt;=1,4,5)))))))</f>
        <v>--</v>
      </c>
      <c r="BH17" s="46" t="str">
        <f>CONCATENATE(NSi.SE[[#This Row],[KU.6]],(IF(A.LoE.S[[#This Row],[LE.6]]="-","-",IF(A.LoE.S[[#This Row],[LE.6]]&gt;=90,1,IF(A.LoE.S[[#This Row],[LE.6]]&gt;=80,2,IF(A.LoE.S[[#This Row],[LE.6]]&gt;=70,3,IF(A.LoE.S[[#This Row],[LE.6]]&gt;=1,4,5)))))))</f>
        <v>--</v>
      </c>
      <c r="BI17" s="46" t="str">
        <f>CONCATENATE(NSi.SE[[#This Row],[KU.7]],(IF(A.LoE.S[[#This Row],[LE.7]]="-","-",IF(A.LoE.S[[#This Row],[LE.7]]&gt;=90,1,IF(A.LoE.S[[#This Row],[LE.7]]&gt;=80,2,IF(A.LoE.S[[#This Row],[LE.7]]&gt;=70,3,IF(A.LoE.S[[#This Row],[LE.7]]&gt;=1,4,5)))))))</f>
        <v>--</v>
      </c>
      <c r="BJ17" s="46" t="str">
        <f>CONCATENATE(NSi.SE[[#This Row],[KU.8]],(IF(A.LoE.S[[#This Row],[LE.8]]="-","-",IF(A.LoE.S[[#This Row],[LE.8]]&gt;=90,1,IF(A.LoE.S[[#This Row],[LE.8]]&gt;=80,2,IF(A.LoE.S[[#This Row],[LE.8]]&gt;=70,3,IF(A.LoE.S[[#This Row],[LE.8]]&gt;=1,4,5)))))))</f>
        <v>--</v>
      </c>
      <c r="BK17" s="38" t="str">
        <f>CONCATENATE(NSi.SE[[#This Row],[KU.9]],(IF(A.LoE.S[[#This Row],[LE.9]]="-","-",IF(A.LoE.S[[#This Row],[LE.9]]&gt;=90,1,IF(A.LoE.S[[#This Row],[LE.9]]&gt;=80,2,IF(A.LoE.S[[#This Row],[LE.9]]&gt;=70,3,IF(A.LoE.S[[#This Row],[LE.9]]&gt;=1,4,5)))))))</f>
        <v>--</v>
      </c>
      <c r="BM17" s="35" t="str">
        <f>IFERROR(ROUND(AVERAGE(Con.Sk.S[[#This Row],[TJ.1]:[Pro-A.1]]),0),"-")</f>
        <v>-</v>
      </c>
      <c r="BN17" s="24" t="str">
        <f>IFERROR(ROUND(AVERAGE(Con.Sk.S[[#This Row],[TJ.2]:[Pro-A.2]]),0),"-")</f>
        <v>-</v>
      </c>
      <c r="BO17" s="24" t="str">
        <f>IFERROR(ROUND(AVERAGE(Con.Sk.S[[#This Row],[TJ.3]:[Pro-A.3]]),0),"-")</f>
        <v>-</v>
      </c>
      <c r="BP17" s="24" t="str">
        <f>IFERROR(ROUND(AVERAGE(Con.Sk.S[[#This Row],[TJ.4]:[Pro-A.4]]),0),"-")</f>
        <v>-</v>
      </c>
      <c r="BQ17" s="24" t="str">
        <f>IFERROR(ROUND(AVERAGE(Con.Sk.S[[#This Row],[TJ.5]:[Pro-A.5]]),0),"-")</f>
        <v>-</v>
      </c>
      <c r="BR17" s="24" t="str">
        <f>IFERROR(ROUND(AVERAGE(Con.Sk.S[[#This Row],[TJ.6]:[Pro-A.6]]),0),"-")</f>
        <v>-</v>
      </c>
      <c r="BS17" s="24" t="str">
        <f>IFERROR(ROUND(AVERAGE(Con.Sk.S[[#This Row],[TJ.7]:[Pro-A.7]]),0),"-")</f>
        <v>-</v>
      </c>
      <c r="BT17" s="24" t="str">
        <f>IFERROR(ROUND(AVERAGE(Con.Sk.S[[#This Row],[TJ.8]:[Pro-A.8]]),0),"-")</f>
        <v>-</v>
      </c>
      <c r="BU17" s="25" t="str">
        <f>IFERROR(ROUND(AVERAGE(Con.Sk.S[[#This Row],[TJ.9]:[Pro-A.9]]),0),"-")</f>
        <v>-</v>
      </c>
      <c r="BW17" s="47" t="str">
        <f>IFERROR(ROUND(AVERAGE(Con.Sk.S[[#This Row],[KU.1]],Con.Sk.S[[#This Row],[KU.2]],Con.Sk.S[[#This Row],[KU.3]],Con.Sk.S[[#This Row],[KU.4]],Con.Sk.S[[#This Row],[KU.5]],Con.Sk.S[[#This Row],[KU.6]],Con.Sk.S[[#This Row],[KU.7]],Con.Sk.S[[#This Row],[KU.8]],Con.Sk.S[[#This Row],[KU.9]]),0),"")</f>
        <v/>
      </c>
      <c r="BX17" s="48" t="str">
        <f>IFERROR(ROUND(AVERAGE(Con.Sk.S[[#This Row],[TJ.1]:[Pro-A.1]],Con.Sk.S[[#This Row],[TJ.2]:[Pro-A.2]],Con.Sk.S[[#This Row],[TJ.3]:[Pro-A.3]],Con.Sk.S[[#This Row],[TJ.4]:[Pro-A.4]],Con.Sk.S[[#This Row],[TJ.5]:[Pro-A.5]],Con.Sk.S[[#This Row],[TJ.6]:[Pro-A.6]],Con.Sk.S[[#This Row],[TJ.7]:[Pro-A.7]],Con.Sk.S[[#This Row],[TJ.8]:[Pro-A.8]],Con.Sk.S[[#This Row],[TJ.9]:[Pro-A.9]]),0),"")</f>
        <v/>
      </c>
      <c r="BY17" s="3"/>
      <c r="BZ17" s="73" t="str">
        <f>IF(NSi.SE[[#This Row],[KU.1]]="A",100,IF(NSi.SE[[#This Row],[KU.1]]="B",89,IF(NSi.SE[[#This Row],[KU.1]]="C",79,IF(NSi.SE[[#This Row],[KU.1]]="D",69,IF(NSi.SE[[#This Row],[KU.1]]="E",0,"-")))))</f>
        <v>-</v>
      </c>
      <c r="CA17" s="73" t="str">
        <f>IF(NSi.SE[[#This Row],[TJ.1]]=1,100,IF(NSi.SE[[#This Row],[TJ.1]]=2,89,IF(NSi.SE[[#This Row],[TJ.1]]=3,79,IF(NSi.SE[[#This Row],[TJ.1]]=4,69,IF(NSi.SE[[#This Row],[TJ.1]]=5,0,"-")))))</f>
        <v>-</v>
      </c>
      <c r="CB17" s="73" t="str">
        <f>IF(NSi.SE[[#This Row],[Ker.1]]=1,100,IF(NSi.SE[[#This Row],[Ker.1]]=2,89,IF(NSi.SE[[#This Row],[Ker.1]]=3,79,IF(NSi.SE[[#This Row],[Ker.1]]=4,69,IF(NSi.SE[[#This Row],[Ker.1]]=5,0,"-")))))</f>
        <v>-</v>
      </c>
      <c r="CC17" s="73" t="str">
        <f>IF(NSi.SE[[#This Row],[Ped.1]]=1,100,IF(NSi.SE[[#This Row],[Ped.1]]=2,89,IF(NSi.SE[[#This Row],[Ped.1]]=3,79,IF(NSi.SE[[#This Row],[Ped.1]]=4,69,IF(NSi.SE[[#This Row],[Ped.1]]=5,0,"-")))))</f>
        <v>-</v>
      </c>
      <c r="CD17" s="73" t="str">
        <f>IF(NSi.SE[[#This Row],[Pro-A.1]]=1,100,IF(NSi.SE[[#This Row],[Pro-A.1]]=2,89,IF(NSi.SE[[#This Row],[Pro-A.1]]=3,79,IF(NSi.SE[[#This Row],[Pro-A.1]]=4,69,IF(NSi.SE[[#This Row],[Pro-A.1]]=5,0,"-")))))</f>
        <v>-</v>
      </c>
      <c r="CE17" s="73" t="str">
        <f>IF(NSi.SE[[#This Row],[KU.2]]="A",100,IF(NSi.SE[[#This Row],[KU.2]]="B",89,IF(NSi.SE[[#This Row],[KU.2]]="C",79,IF(NSi.SE[[#This Row],[KU.2]]="D",69,IF(NSi.SE[[#This Row],[KU.2]]="E",0,"-")))))</f>
        <v>-</v>
      </c>
      <c r="CF17" s="73" t="str">
        <f>IF(NSi.SE[[#This Row],[TJ.2]]=1,100,IF(NSi.SE[[#This Row],[TJ.2]]=2,89,IF(NSi.SE[[#This Row],[TJ.2]]=3,79,IF(NSi.SE[[#This Row],[TJ.2]]=4,69,IF(NSi.SE[[#This Row],[TJ.2]]=5,0,"-")))))</f>
        <v>-</v>
      </c>
      <c r="CG17" s="73" t="str">
        <f>IF(NSi.SE[[#This Row],[Ker.2]]=1,100,IF(NSi.SE[[#This Row],[Ker.2]]=2,89,IF(NSi.SE[[#This Row],[Ker.2]]=3,79,IF(NSi.SE[[#This Row],[Ker.2]]=4,69,IF(NSi.SE[[#This Row],[Ker.2]]=5,0,"-")))))</f>
        <v>-</v>
      </c>
      <c r="CH17" s="73" t="str">
        <f>IF(NSi.SE[[#This Row],[Ped.2]]=1,100,IF(NSi.SE[[#This Row],[Ped.2]]=2,89,IF(NSi.SE[[#This Row],[Ped.2]]=3,79,IF(NSi.SE[[#This Row],[Ped.2]]=4,69,IF(NSi.SE[[#This Row],[Ped.2]]=5,0,"-")))))</f>
        <v>-</v>
      </c>
      <c r="CI17" s="73" t="str">
        <f>IF(NSi.SE[[#This Row],[Pro-A.2]]=1,100,IF(NSi.SE[[#This Row],[Pro-A.2]]=2,89,IF(NSi.SE[[#This Row],[Pro-A.2]]=3,79,IF(NSi.SE[[#This Row],[Pro-A.2]]=4,69,IF(NSi.SE[[#This Row],[Pro-A.2]]=5,0,"-")))))</f>
        <v>-</v>
      </c>
      <c r="CJ17" s="74" t="str">
        <f>IF(NSi.SE[[#This Row],[KU.3]]="A",100,IF(NSi.SE[[#This Row],[KU.3]]="B",89,IF(NSi.SE[[#This Row],[KU.3]]="C",79,IF(NSi.SE[[#This Row],[KU.3]]="D",69,IF(NSi.SE[[#This Row],[KU.3]]="E",0,"-")))))</f>
        <v>-</v>
      </c>
      <c r="CK17" s="73" t="str">
        <f>IF(NSi.SE[[#This Row],[TJ.3]]=1,100,IF(NSi.SE[[#This Row],[TJ.3]]=2,89,IF(NSi.SE[[#This Row],[TJ.3]]=3,79,IF(NSi.SE[[#This Row],[TJ.3]]=4,69,IF(NSi.SE[[#This Row],[TJ.3]]=5,0,"-")))))</f>
        <v>-</v>
      </c>
      <c r="CL17" s="73" t="str">
        <f>IF(NSi.SE[[#This Row],[Ker.3]]=1,100,IF(NSi.SE[[#This Row],[Ker.3]]=2,89,IF(NSi.SE[[#This Row],[Ker.3]]=3,79,IF(NSi.SE[[#This Row],[Ker.3]]=4,69,IF(NSi.SE[[#This Row],[Ker.3]]=5,0,"-")))))</f>
        <v>-</v>
      </c>
      <c r="CM17" s="73" t="str">
        <f>IF(NSi.SE[[#This Row],[Ped.3]]=1,100,IF(NSi.SE[[#This Row],[Ped.3]]=2,89,IF(NSi.SE[[#This Row],[Ped.3]]=3,79,IF(NSi.SE[[#This Row],[Ped.3]]=4,69,IF(NSi.SE[[#This Row],[Ped.3]]=5,0,"-")))))</f>
        <v>-</v>
      </c>
      <c r="CN17" s="73" t="str">
        <f>IF(NSi.SE[[#This Row],[Pro-A.3]]=1,100,IF(NSi.SE[[#This Row],[Pro-A.3]]=2,89,IF(NSi.SE[[#This Row],[Pro-A.3]]=3,79,IF(NSi.SE[[#This Row],[Pro-A.3]]=4,69,IF(NSi.SE[[#This Row],[Pro-A.3]]=5,0,"-")))))</f>
        <v>-</v>
      </c>
      <c r="CO17" s="74" t="str">
        <f>IF(NSi.SE[[#This Row],[KU.4]]="A",100,IF(NSi.SE[[#This Row],[KU.4]]="B",89,IF(NSi.SE[[#This Row],[KU.4]]="C",79,IF(NSi.SE[[#This Row],[KU.4]]="D",69,IF(NSi.SE[[#This Row],[KU.4]]="E",0,"-")))))</f>
        <v>-</v>
      </c>
      <c r="CP17" s="73" t="str">
        <f>IF(NSi.SE[[#This Row],[TJ.4]]=1,100,IF(NSi.SE[[#This Row],[TJ.4]]=2,89,IF(NSi.SE[[#This Row],[TJ.4]]=3,79,IF(NSi.SE[[#This Row],[TJ.4]]=4,69,IF(NSi.SE[[#This Row],[TJ.4]]=5,0,"-")))))</f>
        <v>-</v>
      </c>
      <c r="CQ17" s="73" t="str">
        <f>IF(NSi.SE[[#This Row],[Ker.4]]=1,100,IF(NSi.SE[[#This Row],[Ker.4]]=2,89,IF(NSi.SE[[#This Row],[Ker.4]]=3,79,IF(NSi.SE[[#This Row],[Ker.4]]=4,69,IF(NSi.SE[[#This Row],[Ker.4]]=5,0,"-")))))</f>
        <v>-</v>
      </c>
      <c r="CR17" s="73" t="str">
        <f>IF(NSi.SE[[#This Row],[Ped.4]]=1,100,IF(NSi.SE[[#This Row],[Ped.4]]=2,89,IF(NSi.SE[[#This Row],[Ped.4]]=3,79,IF(NSi.SE[[#This Row],[Ped.4]]=4,69,IF(NSi.SE[[#This Row],[Ped.4]]=5,0,"-")))))</f>
        <v>-</v>
      </c>
      <c r="CS17" s="73" t="str">
        <f>IF(NSi.SE[[#This Row],[Pro-A.4]]=1,100,IF(NSi.SE[[#This Row],[Pro-A.4]]=2,89,IF(NSi.SE[[#This Row],[Pro-A.4]]=3,79,IF(NSi.SE[[#This Row],[Pro-A.4]]=4,69,IF(NSi.SE[[#This Row],[Pro-A.4]]=5,0,"-")))))</f>
        <v>-</v>
      </c>
      <c r="CT17" s="74" t="str">
        <f>IF(NSi.SE[[#This Row],[KU.5]]="A",100,IF(NSi.SE[[#This Row],[KU.5]]="B",89,IF(NSi.SE[[#This Row],[KU.5]]="C",79,IF(NSi.SE[[#This Row],[KU.5]]="D",69,IF(NSi.SE[[#This Row],[KU.5]]="E",0,"-")))))</f>
        <v>-</v>
      </c>
      <c r="CU17" s="73" t="str">
        <f>IF(NSi.SE[[#This Row],[TJ.5]]=1,100,IF(NSi.SE[[#This Row],[TJ.5]]=2,89,IF(NSi.SE[[#This Row],[TJ.5]]=3,79,IF(NSi.SE[[#This Row],[TJ.5]]=4,69,IF(NSi.SE[[#This Row],[TJ.5]]=5,0,"-")))))</f>
        <v>-</v>
      </c>
      <c r="CV17" s="73" t="str">
        <f>IF(NSi.SE[[#This Row],[Ker.5]]=1,100,IF(NSi.SE[[#This Row],[Ker.5]]=2,89,IF(NSi.SE[[#This Row],[Ker.5]]=3,79,IF(NSi.SE[[#This Row],[Ker.5]]=4,69,IF(NSi.SE[[#This Row],[Ker.5]]=5,0,"-")))))</f>
        <v>-</v>
      </c>
      <c r="CW17" s="73" t="str">
        <f>IF(NSi.SE[[#This Row],[Ped.5]]=1,100,IF(NSi.SE[[#This Row],[Ped.5]]=2,89,IF(NSi.SE[[#This Row],[Ped.5]]=3,79,IF(NSi.SE[[#This Row],[Ped.5]]=4,69,IF(NSi.SE[[#This Row],[Ped.5]]=5,0,"-")))))</f>
        <v>-</v>
      </c>
      <c r="CX17" s="73" t="str">
        <f>IF(NSi.SE[[#This Row],[Pro-A.5]]=1,100,IF(NSi.SE[[#This Row],[Pro-A.5]]=2,89,IF(NSi.SE[[#This Row],[Pro-A.5]]=3,79,IF(NSi.SE[[#This Row],[Pro-A.5]]=4,69,IF(NSi.SE[[#This Row],[Pro-A.5]]=5,0,"-")))))</f>
        <v>-</v>
      </c>
      <c r="CY17" s="74" t="str">
        <f>IF(NSi.SE[[#This Row],[KU.6]]="A",100,IF(NSi.SE[[#This Row],[KU.6]]="B",89,IF(NSi.SE[[#This Row],[KU.6]]="C",79,IF(NSi.SE[[#This Row],[KU.6]]="D",69,IF(NSi.SE[[#This Row],[KU.6]]="E",0,"-")))))</f>
        <v>-</v>
      </c>
      <c r="CZ17" s="73" t="str">
        <f>IF(NSi.SE[[#This Row],[TJ.6]]=1,100,IF(NSi.SE[[#This Row],[TJ.6]]=2,89,IF(NSi.SE[[#This Row],[TJ.6]]=3,79,IF(NSi.SE[[#This Row],[TJ.6]]=4,69,IF(NSi.SE[[#This Row],[TJ.6]]=5,0,"-")))))</f>
        <v>-</v>
      </c>
      <c r="DA17" s="73" t="str">
        <f>IF(NSi.SE[[#This Row],[Ker.6]]=1,100,IF(NSi.SE[[#This Row],[Ker.6]]=2,89,IF(NSi.SE[[#This Row],[Ker.6]]=3,79,IF(NSi.SE[[#This Row],[Ker.6]]=4,69,IF(NSi.SE[[#This Row],[Ker.6]]=5,0,"-")))))</f>
        <v>-</v>
      </c>
      <c r="DB17" s="73" t="str">
        <f>IF(NSi.SE[[#This Row],[Ped.6]]=1,100,IF(NSi.SE[[#This Row],[Ped.6]]=2,89,IF(NSi.SE[[#This Row],[Ped.6]]=3,79,IF(NSi.SE[[#This Row],[Ped.6]]=4,69,IF(NSi.SE[[#This Row],[Ped.6]]=5,0,"-")))))</f>
        <v>-</v>
      </c>
      <c r="DC17" s="73" t="str">
        <f>IF(NSi.SE[[#This Row],[Pro-A.6]]=1,100,IF(NSi.SE[[#This Row],[Pro-A.6]]=2,89,IF(NSi.SE[[#This Row],[Pro-A.6]]=3,79,IF(NSi.SE[[#This Row],[Pro-A.6]]=4,69,IF(NSi.SE[[#This Row],[Pro-A.6]]=5,0,"-")))))</f>
        <v>-</v>
      </c>
      <c r="DD17" s="74" t="str">
        <f>IF(NSi.SE[[#This Row],[KU.7]]="A",100,IF(NSi.SE[[#This Row],[KU.7]]="B",89,IF(NSi.SE[[#This Row],[KU.7]]="C",79,IF(NSi.SE[[#This Row],[KU.7]]="D",69,IF(NSi.SE[[#This Row],[KU.7]]="E",0,"-")))))</f>
        <v>-</v>
      </c>
      <c r="DE17" s="73" t="str">
        <f>IF(NSi.SE[[#This Row],[TJ.7]]=1,100,IF(NSi.SE[[#This Row],[TJ.7]]=2,89,IF(NSi.SE[[#This Row],[TJ.7]]=3,79,IF(NSi.SE[[#This Row],[TJ.7]]=4,69,IF(NSi.SE[[#This Row],[TJ.7]]=5,0,"-")))))</f>
        <v>-</v>
      </c>
      <c r="DF17" s="73" t="str">
        <f>IF(NSi.SE[[#This Row],[Ker.7]]=1,100,IF(NSi.SE[[#This Row],[Ker.7]]=2,89,IF(NSi.SE[[#This Row],[Ker.7]]=3,79,IF(NSi.SE[[#This Row],[Ker.7]]=4,69,IF(NSi.SE[[#This Row],[Ker.7]]=5,0,"-")))))</f>
        <v>-</v>
      </c>
      <c r="DG17" s="73" t="str">
        <f>IF(NSi.SE[[#This Row],[Ped.7]]=1,100,IF(NSi.SE[[#This Row],[Ped.7]]=2,89,IF(NSi.SE[[#This Row],[Ped.7]]=3,79,IF(NSi.SE[[#This Row],[Ped.7]]=4,69,IF(NSi.SE[[#This Row],[Ped.7]]=5,0,"-")))))</f>
        <v>-</v>
      </c>
      <c r="DH17" s="73" t="str">
        <f>IF(NSi.SE[[#This Row],[Pro-A.7]]=1,100,IF(NSi.SE[[#This Row],[Pro-A.7]]=2,89,IF(NSi.SE[[#This Row],[Pro-A.7]]=3,79,IF(NSi.SE[[#This Row],[Pro-A.7]]=4,69,IF(NSi.SE[[#This Row],[Pro-A.7]]=5,0,"-")))))</f>
        <v>-</v>
      </c>
      <c r="DI17" s="74" t="str">
        <f>IF(NSi.SE[[#This Row],[KU.8]]="A",100,IF(NSi.SE[[#This Row],[KU.8]]="B",89,IF(NSi.SE[[#This Row],[KU.8]]="C",79,IF(NSi.SE[[#This Row],[KU.8]]="D",69,IF(NSi.SE[[#This Row],[KU.8]]="E",0,"-")))))</f>
        <v>-</v>
      </c>
      <c r="DJ17" s="73" t="str">
        <f>IF(NSi.SE[[#This Row],[TJ.8]]=1,100,IF(NSi.SE[[#This Row],[TJ.8]]=2,89,IF(NSi.SE[[#This Row],[TJ.8]]=3,79,IF(NSi.SE[[#This Row],[TJ.8]]=4,69,IF(NSi.SE[[#This Row],[TJ.8]]=5,0,"-")))))</f>
        <v>-</v>
      </c>
      <c r="DK17" s="73" t="str">
        <f>IF(NSi.SE[[#This Row],[Ker.8]]=1,100,IF(NSi.SE[[#This Row],[Ker.8]]=2,89,IF(NSi.SE[[#This Row],[Ker.8]]=3,79,IF(NSi.SE[[#This Row],[Ker.8]]=4,69,IF(NSi.SE[[#This Row],[Ker.8]]=5,0,"-")))))</f>
        <v>-</v>
      </c>
      <c r="DL17" s="73" t="str">
        <f>IF(NSi.SE[[#This Row],[Ped.8]]=1,100,IF(NSi.SE[[#This Row],[Ped.8]]=2,89,IF(NSi.SE[[#This Row],[Ped.8]]=3,79,IF(NSi.SE[[#This Row],[Ped.8]]=4,69,IF(NSi.SE[[#This Row],[Ped.8]]=5,0,"-")))))</f>
        <v>-</v>
      </c>
      <c r="DM17" s="73" t="str">
        <f>IF(NSi.SE[[#This Row],[Pro-A.8]]=1,100,IF(NSi.SE[[#This Row],[Pro-A.8]]=2,89,IF(NSi.SE[[#This Row],[Pro-A.8]]=3,79,IF(NSi.SE[[#This Row],[Pro-A.8]]=4,69,IF(NSi.SE[[#This Row],[Pro-A.8]]=5,0,"-")))))</f>
        <v>-</v>
      </c>
      <c r="DN17" s="74" t="str">
        <f>IF(NSi.SE[[#This Row],[KU.9]]="A",100,IF(NSi.SE[[#This Row],[KU.9]]="B",89,IF(NSi.SE[[#This Row],[KU.9]]="C",79,IF(NSi.SE[[#This Row],[KU.9]]="D",69,IF(NSi.SE[[#This Row],[KU.9]]="E",0,"-")))))</f>
        <v>-</v>
      </c>
      <c r="DO17" s="73" t="str">
        <f>IF(NSi.SE[[#This Row],[TJ.9]]=1,100,IF(NSi.SE[[#This Row],[TJ.9]]=2,89,IF(NSi.SE[[#This Row],[TJ.9]]=3,79,IF(NSi.SE[[#This Row],[TJ.9]]=4,69,IF(NSi.SE[[#This Row],[TJ.9]]=5,0,"-")))))</f>
        <v>-</v>
      </c>
      <c r="DP17" s="73" t="str">
        <f>IF(NSi.SE[[#This Row],[Ker.9]]=1,100,IF(NSi.SE[[#This Row],[Ker.9]]=2,89,IF(NSi.SE[[#This Row],[Ker.9]]=3,79,IF(NSi.SE[[#This Row],[Ker.9]]=4,69,IF(NSi.SE[[#This Row],[Ker.9]]=5,0,"-")))))</f>
        <v>-</v>
      </c>
      <c r="DQ17" s="73" t="str">
        <f>IF(NSi.SE[[#This Row],[Ped.9]]=1,100,IF(NSi.SE[[#This Row],[Ped.9]]=2,89,IF(NSi.SE[[#This Row],[Ped.9]]=3,79,IF(NSi.SE[[#This Row],[Ped.9]]=4,69,IF(NSi.SE[[#This Row],[Ped.9]]=5,0,"-")))))</f>
        <v>-</v>
      </c>
      <c r="DR17" s="73" t="str">
        <f>IF(NSi.SE[[#This Row],[Pro-A.9]]=1,100,IF(NSi.SE[[#This Row],[Pro-A.9]]=2,89,IF(NSi.SE[[#This Row],[Pro-A.9]]=3,79,IF(NSi.SE[[#This Row],[Pro-A.9]]=4,69,IF(NSi.SE[[#This Row],[Pro-A.9]]=5,0,"-")))))</f>
        <v>-</v>
      </c>
      <c r="DT17"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8" spans="1:124" ht="50.1" customHeight="1" x14ac:dyDescent="0.3">
      <c r="A18" s="66" t="str">
        <f>IF(NSi.TS[[#This Row],[No]]=0,"",NSi.TS[[#This Row],[No]])</f>
        <v/>
      </c>
      <c r="B18" s="67" t="str">
        <f>IF(NSi.TS[[#This Row],[Nama Siswa]]=0,"",NSi.TS[[#This Row],[Nama Siswa]])</f>
        <v/>
      </c>
      <c r="C18" s="68" t="str">
        <f>IF(NSi.TS[[#This Row],[Nomor Induk]]=0,"",NSi.TS[[#This Row],[Nomor Induk]])</f>
        <v/>
      </c>
      <c r="D18" s="68" t="str">
        <f>IF(NSi.TS[[#This Row],[NISN]]=0,"",NSi.TS[[#This Row],[NISN]])</f>
        <v/>
      </c>
      <c r="E18" s="68" t="str">
        <f>IF(NSi.TS[[#This Row],[Jurusan]]=0,"",NSi.TS[[#This Row],[Jurusan]])</f>
        <v/>
      </c>
      <c r="F18" s="39" t="str">
        <f>NSi.TS[[#This Row],[Nsi.TS]]</f>
        <v/>
      </c>
      <c r="G18" s="39" t="str">
        <f>IFERROR(ROUND(AVERAGE(CSCR.S[#This Row]),0),"")</f>
        <v/>
      </c>
      <c r="H18" s="39" t="str">
        <f>IFERROR(ROUND(AVERAGE(NSi.SE[[#This Row],[Nsi.TS]:[NS.iS]]),0),"")</f>
        <v/>
      </c>
      <c r="I18" s="41" t="s">
        <v>102</v>
      </c>
      <c r="J18" s="45" t="s">
        <v>102</v>
      </c>
      <c r="K18" s="45" t="s">
        <v>102</v>
      </c>
      <c r="L18" s="45" t="s">
        <v>102</v>
      </c>
      <c r="M18" s="45" t="s">
        <v>102</v>
      </c>
      <c r="N18" s="41" t="s">
        <v>102</v>
      </c>
      <c r="O18" s="45" t="s">
        <v>102</v>
      </c>
      <c r="P18" s="45" t="s">
        <v>102</v>
      </c>
      <c r="Q18" s="45" t="s">
        <v>102</v>
      </c>
      <c r="R18" s="45" t="s">
        <v>102</v>
      </c>
      <c r="S18" s="41" t="s">
        <v>102</v>
      </c>
      <c r="T18" s="45" t="s">
        <v>102</v>
      </c>
      <c r="U18" s="45" t="s">
        <v>102</v>
      </c>
      <c r="V18" s="45" t="s">
        <v>102</v>
      </c>
      <c r="W18" s="45" t="s">
        <v>102</v>
      </c>
      <c r="X18" s="41" t="s">
        <v>102</v>
      </c>
      <c r="Y18" s="45" t="s">
        <v>102</v>
      </c>
      <c r="Z18" s="45" t="s">
        <v>102</v>
      </c>
      <c r="AA18" s="45" t="s">
        <v>102</v>
      </c>
      <c r="AB18" s="45" t="s">
        <v>102</v>
      </c>
      <c r="AC18" s="41" t="s">
        <v>102</v>
      </c>
      <c r="AD18" s="45" t="s">
        <v>102</v>
      </c>
      <c r="AE18" s="45" t="s">
        <v>102</v>
      </c>
      <c r="AF18" s="45" t="s">
        <v>102</v>
      </c>
      <c r="AG18" s="45" t="s">
        <v>102</v>
      </c>
      <c r="AH18" s="41" t="s">
        <v>102</v>
      </c>
      <c r="AI18" s="45" t="s">
        <v>102</v>
      </c>
      <c r="AJ18" s="45" t="s">
        <v>102</v>
      </c>
      <c r="AK18" s="45" t="s">
        <v>102</v>
      </c>
      <c r="AL18" s="45" t="s">
        <v>102</v>
      </c>
      <c r="AM18" s="41" t="s">
        <v>102</v>
      </c>
      <c r="AN18" s="45" t="s">
        <v>102</v>
      </c>
      <c r="AO18" s="45" t="s">
        <v>102</v>
      </c>
      <c r="AP18" s="45" t="s">
        <v>102</v>
      </c>
      <c r="AQ18" s="45" t="s">
        <v>102</v>
      </c>
      <c r="AR18" s="41" t="s">
        <v>102</v>
      </c>
      <c r="AS18" s="45" t="s">
        <v>102</v>
      </c>
      <c r="AT18" s="45" t="s">
        <v>102</v>
      </c>
      <c r="AU18" s="45" t="s">
        <v>102</v>
      </c>
      <c r="AV18" s="45" t="s">
        <v>102</v>
      </c>
      <c r="AW18" s="41" t="s">
        <v>102</v>
      </c>
      <c r="AX18" s="45" t="s">
        <v>102</v>
      </c>
      <c r="AY18" s="45" t="s">
        <v>102</v>
      </c>
      <c r="AZ18" s="45" t="s">
        <v>102</v>
      </c>
      <c r="BA18" s="45" t="s">
        <v>102</v>
      </c>
      <c r="BC18" s="10" t="str">
        <f>CONCATENATE(NSi.SE[[#This Row],[KU.1]],(IF(A.LoE.S[[#This Row],[LE.1]]="-","-",IF(A.LoE.S[[#This Row],[LE.1]]&gt;=90,1,IF(A.LoE.S[[#This Row],[LE.1]]&gt;=80,2,IF(A.LoE.S[[#This Row],[LE.1]]&gt;=70,3,IF(A.LoE.S[[#This Row],[LE.1]]&gt;=1,4,5)))))))</f>
        <v>--</v>
      </c>
      <c r="BD18" s="46" t="str">
        <f>CONCATENATE(NSi.SE[[#This Row],[KU.2]],(IF(A.LoE.S[[#This Row],[LE.2]]="-","-",IF(A.LoE.S[[#This Row],[LE.2]]&gt;=90,1,IF(A.LoE.S[[#This Row],[LE.2]]&gt;=80,2,IF(A.LoE.S[[#This Row],[LE.2]]&gt;=70,3,IF(A.LoE.S[[#This Row],[LE.2]]&gt;=1,4,5)))))))</f>
        <v>--</v>
      </c>
      <c r="BE18" s="46" t="str">
        <f>CONCATENATE(NSi.SE[[#This Row],[KU.3]],(IF(A.LoE.S[[#This Row],[LE.3]]="-","-",IF(A.LoE.S[[#This Row],[LE.3]]&gt;=90,1,IF(A.LoE.S[[#This Row],[LE.3]]&gt;=80,2,IF(A.LoE.S[[#This Row],[LE.3]]&gt;=70,3,IF(A.LoE.S[[#This Row],[LE.3]]&gt;=1,4,5)))))))</f>
        <v>--</v>
      </c>
      <c r="BF18" s="46" t="str">
        <f>CONCATENATE(NSi.SE[[#This Row],[KU.4]],(IF(A.LoE.S[[#This Row],[LE.4]]="-","-",IF(A.LoE.S[[#This Row],[LE.4]]&gt;=90,1,IF(A.LoE.S[[#This Row],[LE.4]]&gt;=80,2,IF(A.LoE.S[[#This Row],[LE.4]]&gt;=70,3,IF(A.LoE.S[[#This Row],[LE.4]]&gt;=1,4,5)))))))</f>
        <v>--</v>
      </c>
      <c r="BG18" s="46" t="str">
        <f>CONCATENATE(NSi.SE[[#This Row],[KU.5]],(IF(A.LoE.S[[#This Row],[LE.5]]="-","-",IF(A.LoE.S[[#This Row],[LE.5]]&gt;=90,1,IF(A.LoE.S[[#This Row],[LE.5]]&gt;=80,2,IF(A.LoE.S[[#This Row],[LE.5]]&gt;=70,3,IF(A.LoE.S[[#This Row],[LE.5]]&gt;=1,4,5)))))))</f>
        <v>--</v>
      </c>
      <c r="BH18" s="46" t="str">
        <f>CONCATENATE(NSi.SE[[#This Row],[KU.6]],(IF(A.LoE.S[[#This Row],[LE.6]]="-","-",IF(A.LoE.S[[#This Row],[LE.6]]&gt;=90,1,IF(A.LoE.S[[#This Row],[LE.6]]&gt;=80,2,IF(A.LoE.S[[#This Row],[LE.6]]&gt;=70,3,IF(A.LoE.S[[#This Row],[LE.6]]&gt;=1,4,5)))))))</f>
        <v>--</v>
      </c>
      <c r="BI18" s="46" t="str">
        <f>CONCATENATE(NSi.SE[[#This Row],[KU.7]],(IF(A.LoE.S[[#This Row],[LE.7]]="-","-",IF(A.LoE.S[[#This Row],[LE.7]]&gt;=90,1,IF(A.LoE.S[[#This Row],[LE.7]]&gt;=80,2,IF(A.LoE.S[[#This Row],[LE.7]]&gt;=70,3,IF(A.LoE.S[[#This Row],[LE.7]]&gt;=1,4,5)))))))</f>
        <v>--</v>
      </c>
      <c r="BJ18" s="46" t="str">
        <f>CONCATENATE(NSi.SE[[#This Row],[KU.8]],(IF(A.LoE.S[[#This Row],[LE.8]]="-","-",IF(A.LoE.S[[#This Row],[LE.8]]&gt;=90,1,IF(A.LoE.S[[#This Row],[LE.8]]&gt;=80,2,IF(A.LoE.S[[#This Row],[LE.8]]&gt;=70,3,IF(A.LoE.S[[#This Row],[LE.8]]&gt;=1,4,5)))))))</f>
        <v>--</v>
      </c>
      <c r="BK18" s="38" t="str">
        <f>CONCATENATE(NSi.SE[[#This Row],[KU.9]],(IF(A.LoE.S[[#This Row],[LE.9]]="-","-",IF(A.LoE.S[[#This Row],[LE.9]]&gt;=90,1,IF(A.LoE.S[[#This Row],[LE.9]]&gt;=80,2,IF(A.LoE.S[[#This Row],[LE.9]]&gt;=70,3,IF(A.LoE.S[[#This Row],[LE.9]]&gt;=1,4,5)))))))</f>
        <v>--</v>
      </c>
      <c r="BM18" s="35" t="str">
        <f>IFERROR(ROUND(AVERAGE(Con.Sk.S[[#This Row],[TJ.1]:[Pro-A.1]]),0),"-")</f>
        <v>-</v>
      </c>
      <c r="BN18" s="24" t="str">
        <f>IFERROR(ROUND(AVERAGE(Con.Sk.S[[#This Row],[TJ.2]:[Pro-A.2]]),0),"-")</f>
        <v>-</v>
      </c>
      <c r="BO18" s="24" t="str">
        <f>IFERROR(ROUND(AVERAGE(Con.Sk.S[[#This Row],[TJ.3]:[Pro-A.3]]),0),"-")</f>
        <v>-</v>
      </c>
      <c r="BP18" s="24" t="str">
        <f>IFERROR(ROUND(AVERAGE(Con.Sk.S[[#This Row],[TJ.4]:[Pro-A.4]]),0),"-")</f>
        <v>-</v>
      </c>
      <c r="BQ18" s="24" t="str">
        <f>IFERROR(ROUND(AVERAGE(Con.Sk.S[[#This Row],[TJ.5]:[Pro-A.5]]),0),"-")</f>
        <v>-</v>
      </c>
      <c r="BR18" s="24" t="str">
        <f>IFERROR(ROUND(AVERAGE(Con.Sk.S[[#This Row],[TJ.6]:[Pro-A.6]]),0),"-")</f>
        <v>-</v>
      </c>
      <c r="BS18" s="24" t="str">
        <f>IFERROR(ROUND(AVERAGE(Con.Sk.S[[#This Row],[TJ.7]:[Pro-A.7]]),0),"-")</f>
        <v>-</v>
      </c>
      <c r="BT18" s="24" t="str">
        <f>IFERROR(ROUND(AVERAGE(Con.Sk.S[[#This Row],[TJ.8]:[Pro-A.8]]),0),"-")</f>
        <v>-</v>
      </c>
      <c r="BU18" s="25" t="str">
        <f>IFERROR(ROUND(AVERAGE(Con.Sk.S[[#This Row],[TJ.9]:[Pro-A.9]]),0),"-")</f>
        <v>-</v>
      </c>
      <c r="BW18" s="47" t="str">
        <f>IFERROR(ROUND(AVERAGE(Con.Sk.S[[#This Row],[KU.1]],Con.Sk.S[[#This Row],[KU.2]],Con.Sk.S[[#This Row],[KU.3]],Con.Sk.S[[#This Row],[KU.4]],Con.Sk.S[[#This Row],[KU.5]],Con.Sk.S[[#This Row],[KU.6]],Con.Sk.S[[#This Row],[KU.7]],Con.Sk.S[[#This Row],[KU.8]],Con.Sk.S[[#This Row],[KU.9]]),0),"")</f>
        <v/>
      </c>
      <c r="BX18" s="48" t="str">
        <f>IFERROR(ROUND(AVERAGE(Con.Sk.S[[#This Row],[TJ.1]:[Pro-A.1]],Con.Sk.S[[#This Row],[TJ.2]:[Pro-A.2]],Con.Sk.S[[#This Row],[TJ.3]:[Pro-A.3]],Con.Sk.S[[#This Row],[TJ.4]:[Pro-A.4]],Con.Sk.S[[#This Row],[TJ.5]:[Pro-A.5]],Con.Sk.S[[#This Row],[TJ.6]:[Pro-A.6]],Con.Sk.S[[#This Row],[TJ.7]:[Pro-A.7]],Con.Sk.S[[#This Row],[TJ.8]:[Pro-A.8]],Con.Sk.S[[#This Row],[TJ.9]:[Pro-A.9]]),0),"")</f>
        <v/>
      </c>
      <c r="BY18" s="3"/>
      <c r="BZ18" s="73" t="str">
        <f>IF(NSi.SE[[#This Row],[KU.1]]="A",100,IF(NSi.SE[[#This Row],[KU.1]]="B",89,IF(NSi.SE[[#This Row],[KU.1]]="C",79,IF(NSi.SE[[#This Row],[KU.1]]="D",69,IF(NSi.SE[[#This Row],[KU.1]]="E",0,"-")))))</f>
        <v>-</v>
      </c>
      <c r="CA18" s="73" t="str">
        <f>IF(NSi.SE[[#This Row],[TJ.1]]=1,100,IF(NSi.SE[[#This Row],[TJ.1]]=2,89,IF(NSi.SE[[#This Row],[TJ.1]]=3,79,IF(NSi.SE[[#This Row],[TJ.1]]=4,69,IF(NSi.SE[[#This Row],[TJ.1]]=5,0,"-")))))</f>
        <v>-</v>
      </c>
      <c r="CB18" s="73" t="str">
        <f>IF(NSi.SE[[#This Row],[Ker.1]]=1,100,IF(NSi.SE[[#This Row],[Ker.1]]=2,89,IF(NSi.SE[[#This Row],[Ker.1]]=3,79,IF(NSi.SE[[#This Row],[Ker.1]]=4,69,IF(NSi.SE[[#This Row],[Ker.1]]=5,0,"-")))))</f>
        <v>-</v>
      </c>
      <c r="CC18" s="73" t="str">
        <f>IF(NSi.SE[[#This Row],[Ped.1]]=1,100,IF(NSi.SE[[#This Row],[Ped.1]]=2,89,IF(NSi.SE[[#This Row],[Ped.1]]=3,79,IF(NSi.SE[[#This Row],[Ped.1]]=4,69,IF(NSi.SE[[#This Row],[Ped.1]]=5,0,"-")))))</f>
        <v>-</v>
      </c>
      <c r="CD18" s="73" t="str">
        <f>IF(NSi.SE[[#This Row],[Pro-A.1]]=1,100,IF(NSi.SE[[#This Row],[Pro-A.1]]=2,89,IF(NSi.SE[[#This Row],[Pro-A.1]]=3,79,IF(NSi.SE[[#This Row],[Pro-A.1]]=4,69,IF(NSi.SE[[#This Row],[Pro-A.1]]=5,0,"-")))))</f>
        <v>-</v>
      </c>
      <c r="CE18" s="73" t="str">
        <f>IF(NSi.SE[[#This Row],[KU.2]]="A",100,IF(NSi.SE[[#This Row],[KU.2]]="B",89,IF(NSi.SE[[#This Row],[KU.2]]="C",79,IF(NSi.SE[[#This Row],[KU.2]]="D",69,IF(NSi.SE[[#This Row],[KU.2]]="E",0,"-")))))</f>
        <v>-</v>
      </c>
      <c r="CF18" s="73" t="str">
        <f>IF(NSi.SE[[#This Row],[TJ.2]]=1,100,IF(NSi.SE[[#This Row],[TJ.2]]=2,89,IF(NSi.SE[[#This Row],[TJ.2]]=3,79,IF(NSi.SE[[#This Row],[TJ.2]]=4,69,IF(NSi.SE[[#This Row],[TJ.2]]=5,0,"-")))))</f>
        <v>-</v>
      </c>
      <c r="CG18" s="73" t="str">
        <f>IF(NSi.SE[[#This Row],[Ker.2]]=1,100,IF(NSi.SE[[#This Row],[Ker.2]]=2,89,IF(NSi.SE[[#This Row],[Ker.2]]=3,79,IF(NSi.SE[[#This Row],[Ker.2]]=4,69,IF(NSi.SE[[#This Row],[Ker.2]]=5,0,"-")))))</f>
        <v>-</v>
      </c>
      <c r="CH18" s="73" t="str">
        <f>IF(NSi.SE[[#This Row],[Ped.2]]=1,100,IF(NSi.SE[[#This Row],[Ped.2]]=2,89,IF(NSi.SE[[#This Row],[Ped.2]]=3,79,IF(NSi.SE[[#This Row],[Ped.2]]=4,69,IF(NSi.SE[[#This Row],[Ped.2]]=5,0,"-")))))</f>
        <v>-</v>
      </c>
      <c r="CI18" s="73" t="str">
        <f>IF(NSi.SE[[#This Row],[Pro-A.2]]=1,100,IF(NSi.SE[[#This Row],[Pro-A.2]]=2,89,IF(NSi.SE[[#This Row],[Pro-A.2]]=3,79,IF(NSi.SE[[#This Row],[Pro-A.2]]=4,69,IF(NSi.SE[[#This Row],[Pro-A.2]]=5,0,"-")))))</f>
        <v>-</v>
      </c>
      <c r="CJ18" s="74" t="str">
        <f>IF(NSi.SE[[#This Row],[KU.3]]="A",100,IF(NSi.SE[[#This Row],[KU.3]]="B",89,IF(NSi.SE[[#This Row],[KU.3]]="C",79,IF(NSi.SE[[#This Row],[KU.3]]="D",69,IF(NSi.SE[[#This Row],[KU.3]]="E",0,"-")))))</f>
        <v>-</v>
      </c>
      <c r="CK18" s="73" t="str">
        <f>IF(NSi.SE[[#This Row],[TJ.3]]=1,100,IF(NSi.SE[[#This Row],[TJ.3]]=2,89,IF(NSi.SE[[#This Row],[TJ.3]]=3,79,IF(NSi.SE[[#This Row],[TJ.3]]=4,69,IF(NSi.SE[[#This Row],[TJ.3]]=5,0,"-")))))</f>
        <v>-</v>
      </c>
      <c r="CL18" s="73" t="str">
        <f>IF(NSi.SE[[#This Row],[Ker.3]]=1,100,IF(NSi.SE[[#This Row],[Ker.3]]=2,89,IF(NSi.SE[[#This Row],[Ker.3]]=3,79,IF(NSi.SE[[#This Row],[Ker.3]]=4,69,IF(NSi.SE[[#This Row],[Ker.3]]=5,0,"-")))))</f>
        <v>-</v>
      </c>
      <c r="CM18" s="73" t="str">
        <f>IF(NSi.SE[[#This Row],[Ped.3]]=1,100,IF(NSi.SE[[#This Row],[Ped.3]]=2,89,IF(NSi.SE[[#This Row],[Ped.3]]=3,79,IF(NSi.SE[[#This Row],[Ped.3]]=4,69,IF(NSi.SE[[#This Row],[Ped.3]]=5,0,"-")))))</f>
        <v>-</v>
      </c>
      <c r="CN18" s="73" t="str">
        <f>IF(NSi.SE[[#This Row],[Pro-A.3]]=1,100,IF(NSi.SE[[#This Row],[Pro-A.3]]=2,89,IF(NSi.SE[[#This Row],[Pro-A.3]]=3,79,IF(NSi.SE[[#This Row],[Pro-A.3]]=4,69,IF(NSi.SE[[#This Row],[Pro-A.3]]=5,0,"-")))))</f>
        <v>-</v>
      </c>
      <c r="CO18" s="74" t="str">
        <f>IF(NSi.SE[[#This Row],[KU.4]]="A",100,IF(NSi.SE[[#This Row],[KU.4]]="B",89,IF(NSi.SE[[#This Row],[KU.4]]="C",79,IF(NSi.SE[[#This Row],[KU.4]]="D",69,IF(NSi.SE[[#This Row],[KU.4]]="E",0,"-")))))</f>
        <v>-</v>
      </c>
      <c r="CP18" s="73" t="str">
        <f>IF(NSi.SE[[#This Row],[TJ.4]]=1,100,IF(NSi.SE[[#This Row],[TJ.4]]=2,89,IF(NSi.SE[[#This Row],[TJ.4]]=3,79,IF(NSi.SE[[#This Row],[TJ.4]]=4,69,IF(NSi.SE[[#This Row],[TJ.4]]=5,0,"-")))))</f>
        <v>-</v>
      </c>
      <c r="CQ18" s="73" t="str">
        <f>IF(NSi.SE[[#This Row],[Ker.4]]=1,100,IF(NSi.SE[[#This Row],[Ker.4]]=2,89,IF(NSi.SE[[#This Row],[Ker.4]]=3,79,IF(NSi.SE[[#This Row],[Ker.4]]=4,69,IF(NSi.SE[[#This Row],[Ker.4]]=5,0,"-")))))</f>
        <v>-</v>
      </c>
      <c r="CR18" s="73" t="str">
        <f>IF(NSi.SE[[#This Row],[Ped.4]]=1,100,IF(NSi.SE[[#This Row],[Ped.4]]=2,89,IF(NSi.SE[[#This Row],[Ped.4]]=3,79,IF(NSi.SE[[#This Row],[Ped.4]]=4,69,IF(NSi.SE[[#This Row],[Ped.4]]=5,0,"-")))))</f>
        <v>-</v>
      </c>
      <c r="CS18" s="73" t="str">
        <f>IF(NSi.SE[[#This Row],[Pro-A.4]]=1,100,IF(NSi.SE[[#This Row],[Pro-A.4]]=2,89,IF(NSi.SE[[#This Row],[Pro-A.4]]=3,79,IF(NSi.SE[[#This Row],[Pro-A.4]]=4,69,IF(NSi.SE[[#This Row],[Pro-A.4]]=5,0,"-")))))</f>
        <v>-</v>
      </c>
      <c r="CT18" s="74" t="str">
        <f>IF(NSi.SE[[#This Row],[KU.5]]="A",100,IF(NSi.SE[[#This Row],[KU.5]]="B",89,IF(NSi.SE[[#This Row],[KU.5]]="C",79,IF(NSi.SE[[#This Row],[KU.5]]="D",69,IF(NSi.SE[[#This Row],[KU.5]]="E",0,"-")))))</f>
        <v>-</v>
      </c>
      <c r="CU18" s="73" t="str">
        <f>IF(NSi.SE[[#This Row],[TJ.5]]=1,100,IF(NSi.SE[[#This Row],[TJ.5]]=2,89,IF(NSi.SE[[#This Row],[TJ.5]]=3,79,IF(NSi.SE[[#This Row],[TJ.5]]=4,69,IF(NSi.SE[[#This Row],[TJ.5]]=5,0,"-")))))</f>
        <v>-</v>
      </c>
      <c r="CV18" s="73" t="str">
        <f>IF(NSi.SE[[#This Row],[Ker.5]]=1,100,IF(NSi.SE[[#This Row],[Ker.5]]=2,89,IF(NSi.SE[[#This Row],[Ker.5]]=3,79,IF(NSi.SE[[#This Row],[Ker.5]]=4,69,IF(NSi.SE[[#This Row],[Ker.5]]=5,0,"-")))))</f>
        <v>-</v>
      </c>
      <c r="CW18" s="73" t="str">
        <f>IF(NSi.SE[[#This Row],[Ped.5]]=1,100,IF(NSi.SE[[#This Row],[Ped.5]]=2,89,IF(NSi.SE[[#This Row],[Ped.5]]=3,79,IF(NSi.SE[[#This Row],[Ped.5]]=4,69,IF(NSi.SE[[#This Row],[Ped.5]]=5,0,"-")))))</f>
        <v>-</v>
      </c>
      <c r="CX18" s="73" t="str">
        <f>IF(NSi.SE[[#This Row],[Pro-A.5]]=1,100,IF(NSi.SE[[#This Row],[Pro-A.5]]=2,89,IF(NSi.SE[[#This Row],[Pro-A.5]]=3,79,IF(NSi.SE[[#This Row],[Pro-A.5]]=4,69,IF(NSi.SE[[#This Row],[Pro-A.5]]=5,0,"-")))))</f>
        <v>-</v>
      </c>
      <c r="CY18" s="74" t="str">
        <f>IF(NSi.SE[[#This Row],[KU.6]]="A",100,IF(NSi.SE[[#This Row],[KU.6]]="B",89,IF(NSi.SE[[#This Row],[KU.6]]="C",79,IF(NSi.SE[[#This Row],[KU.6]]="D",69,IF(NSi.SE[[#This Row],[KU.6]]="E",0,"-")))))</f>
        <v>-</v>
      </c>
      <c r="CZ18" s="73" t="str">
        <f>IF(NSi.SE[[#This Row],[TJ.6]]=1,100,IF(NSi.SE[[#This Row],[TJ.6]]=2,89,IF(NSi.SE[[#This Row],[TJ.6]]=3,79,IF(NSi.SE[[#This Row],[TJ.6]]=4,69,IF(NSi.SE[[#This Row],[TJ.6]]=5,0,"-")))))</f>
        <v>-</v>
      </c>
      <c r="DA18" s="73" t="str">
        <f>IF(NSi.SE[[#This Row],[Ker.6]]=1,100,IF(NSi.SE[[#This Row],[Ker.6]]=2,89,IF(NSi.SE[[#This Row],[Ker.6]]=3,79,IF(NSi.SE[[#This Row],[Ker.6]]=4,69,IF(NSi.SE[[#This Row],[Ker.6]]=5,0,"-")))))</f>
        <v>-</v>
      </c>
      <c r="DB18" s="73" t="str">
        <f>IF(NSi.SE[[#This Row],[Ped.6]]=1,100,IF(NSi.SE[[#This Row],[Ped.6]]=2,89,IF(NSi.SE[[#This Row],[Ped.6]]=3,79,IF(NSi.SE[[#This Row],[Ped.6]]=4,69,IF(NSi.SE[[#This Row],[Ped.6]]=5,0,"-")))))</f>
        <v>-</v>
      </c>
      <c r="DC18" s="73" t="str">
        <f>IF(NSi.SE[[#This Row],[Pro-A.6]]=1,100,IF(NSi.SE[[#This Row],[Pro-A.6]]=2,89,IF(NSi.SE[[#This Row],[Pro-A.6]]=3,79,IF(NSi.SE[[#This Row],[Pro-A.6]]=4,69,IF(NSi.SE[[#This Row],[Pro-A.6]]=5,0,"-")))))</f>
        <v>-</v>
      </c>
      <c r="DD18" s="74" t="str">
        <f>IF(NSi.SE[[#This Row],[KU.7]]="A",100,IF(NSi.SE[[#This Row],[KU.7]]="B",89,IF(NSi.SE[[#This Row],[KU.7]]="C",79,IF(NSi.SE[[#This Row],[KU.7]]="D",69,IF(NSi.SE[[#This Row],[KU.7]]="E",0,"-")))))</f>
        <v>-</v>
      </c>
      <c r="DE18" s="73" t="str">
        <f>IF(NSi.SE[[#This Row],[TJ.7]]=1,100,IF(NSi.SE[[#This Row],[TJ.7]]=2,89,IF(NSi.SE[[#This Row],[TJ.7]]=3,79,IF(NSi.SE[[#This Row],[TJ.7]]=4,69,IF(NSi.SE[[#This Row],[TJ.7]]=5,0,"-")))))</f>
        <v>-</v>
      </c>
      <c r="DF18" s="73" t="str">
        <f>IF(NSi.SE[[#This Row],[Ker.7]]=1,100,IF(NSi.SE[[#This Row],[Ker.7]]=2,89,IF(NSi.SE[[#This Row],[Ker.7]]=3,79,IF(NSi.SE[[#This Row],[Ker.7]]=4,69,IF(NSi.SE[[#This Row],[Ker.7]]=5,0,"-")))))</f>
        <v>-</v>
      </c>
      <c r="DG18" s="73" t="str">
        <f>IF(NSi.SE[[#This Row],[Ped.7]]=1,100,IF(NSi.SE[[#This Row],[Ped.7]]=2,89,IF(NSi.SE[[#This Row],[Ped.7]]=3,79,IF(NSi.SE[[#This Row],[Ped.7]]=4,69,IF(NSi.SE[[#This Row],[Ped.7]]=5,0,"-")))))</f>
        <v>-</v>
      </c>
      <c r="DH18" s="73" t="str">
        <f>IF(NSi.SE[[#This Row],[Pro-A.7]]=1,100,IF(NSi.SE[[#This Row],[Pro-A.7]]=2,89,IF(NSi.SE[[#This Row],[Pro-A.7]]=3,79,IF(NSi.SE[[#This Row],[Pro-A.7]]=4,69,IF(NSi.SE[[#This Row],[Pro-A.7]]=5,0,"-")))))</f>
        <v>-</v>
      </c>
      <c r="DI18" s="74" t="str">
        <f>IF(NSi.SE[[#This Row],[KU.8]]="A",100,IF(NSi.SE[[#This Row],[KU.8]]="B",89,IF(NSi.SE[[#This Row],[KU.8]]="C",79,IF(NSi.SE[[#This Row],[KU.8]]="D",69,IF(NSi.SE[[#This Row],[KU.8]]="E",0,"-")))))</f>
        <v>-</v>
      </c>
      <c r="DJ18" s="73" t="str">
        <f>IF(NSi.SE[[#This Row],[TJ.8]]=1,100,IF(NSi.SE[[#This Row],[TJ.8]]=2,89,IF(NSi.SE[[#This Row],[TJ.8]]=3,79,IF(NSi.SE[[#This Row],[TJ.8]]=4,69,IF(NSi.SE[[#This Row],[TJ.8]]=5,0,"-")))))</f>
        <v>-</v>
      </c>
      <c r="DK18" s="73" t="str">
        <f>IF(NSi.SE[[#This Row],[Ker.8]]=1,100,IF(NSi.SE[[#This Row],[Ker.8]]=2,89,IF(NSi.SE[[#This Row],[Ker.8]]=3,79,IF(NSi.SE[[#This Row],[Ker.8]]=4,69,IF(NSi.SE[[#This Row],[Ker.8]]=5,0,"-")))))</f>
        <v>-</v>
      </c>
      <c r="DL18" s="73" t="str">
        <f>IF(NSi.SE[[#This Row],[Ped.8]]=1,100,IF(NSi.SE[[#This Row],[Ped.8]]=2,89,IF(NSi.SE[[#This Row],[Ped.8]]=3,79,IF(NSi.SE[[#This Row],[Ped.8]]=4,69,IF(NSi.SE[[#This Row],[Ped.8]]=5,0,"-")))))</f>
        <v>-</v>
      </c>
      <c r="DM18" s="73" t="str">
        <f>IF(NSi.SE[[#This Row],[Pro-A.8]]=1,100,IF(NSi.SE[[#This Row],[Pro-A.8]]=2,89,IF(NSi.SE[[#This Row],[Pro-A.8]]=3,79,IF(NSi.SE[[#This Row],[Pro-A.8]]=4,69,IF(NSi.SE[[#This Row],[Pro-A.8]]=5,0,"-")))))</f>
        <v>-</v>
      </c>
      <c r="DN18" s="74" t="str">
        <f>IF(NSi.SE[[#This Row],[KU.9]]="A",100,IF(NSi.SE[[#This Row],[KU.9]]="B",89,IF(NSi.SE[[#This Row],[KU.9]]="C",79,IF(NSi.SE[[#This Row],[KU.9]]="D",69,IF(NSi.SE[[#This Row],[KU.9]]="E",0,"-")))))</f>
        <v>-</v>
      </c>
      <c r="DO18" s="73" t="str">
        <f>IF(NSi.SE[[#This Row],[TJ.9]]=1,100,IF(NSi.SE[[#This Row],[TJ.9]]=2,89,IF(NSi.SE[[#This Row],[TJ.9]]=3,79,IF(NSi.SE[[#This Row],[TJ.9]]=4,69,IF(NSi.SE[[#This Row],[TJ.9]]=5,0,"-")))))</f>
        <v>-</v>
      </c>
      <c r="DP18" s="73" t="str">
        <f>IF(NSi.SE[[#This Row],[Ker.9]]=1,100,IF(NSi.SE[[#This Row],[Ker.9]]=2,89,IF(NSi.SE[[#This Row],[Ker.9]]=3,79,IF(NSi.SE[[#This Row],[Ker.9]]=4,69,IF(NSi.SE[[#This Row],[Ker.9]]=5,0,"-")))))</f>
        <v>-</v>
      </c>
      <c r="DQ18" s="73" t="str">
        <f>IF(NSi.SE[[#This Row],[Ped.9]]=1,100,IF(NSi.SE[[#This Row],[Ped.9]]=2,89,IF(NSi.SE[[#This Row],[Ped.9]]=3,79,IF(NSi.SE[[#This Row],[Ped.9]]=4,69,IF(NSi.SE[[#This Row],[Ped.9]]=5,0,"-")))))</f>
        <v>-</v>
      </c>
      <c r="DR18" s="73" t="str">
        <f>IF(NSi.SE[[#This Row],[Pro-A.9]]=1,100,IF(NSi.SE[[#This Row],[Pro-A.9]]=2,89,IF(NSi.SE[[#This Row],[Pro-A.9]]=3,79,IF(NSi.SE[[#This Row],[Pro-A.9]]=4,69,IF(NSi.SE[[#This Row],[Pro-A.9]]=5,0,"-")))))</f>
        <v>-</v>
      </c>
      <c r="DT18"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19" spans="1:124" ht="50.1" customHeight="1" x14ac:dyDescent="0.3">
      <c r="A19" s="66" t="str">
        <f>IF(NSi.TS[[#This Row],[No]]=0,"",NSi.TS[[#This Row],[No]])</f>
        <v/>
      </c>
      <c r="B19" s="67" t="str">
        <f>IF(NSi.TS[[#This Row],[Nama Siswa]]=0,"",NSi.TS[[#This Row],[Nama Siswa]])</f>
        <v/>
      </c>
      <c r="C19" s="68" t="str">
        <f>IF(NSi.TS[[#This Row],[Nomor Induk]]=0,"",NSi.TS[[#This Row],[Nomor Induk]])</f>
        <v/>
      </c>
      <c r="D19" s="68" t="str">
        <f>IF(NSi.TS[[#This Row],[NISN]]=0,"",NSi.TS[[#This Row],[NISN]])</f>
        <v/>
      </c>
      <c r="E19" s="68" t="str">
        <f>IF(NSi.TS[[#This Row],[Jurusan]]=0,"",NSi.TS[[#This Row],[Jurusan]])</f>
        <v/>
      </c>
      <c r="F19" s="39" t="str">
        <f>NSi.TS[[#This Row],[Nsi.TS]]</f>
        <v/>
      </c>
      <c r="G19" s="39" t="str">
        <f>IFERROR(ROUND(AVERAGE(CSCR.S[#This Row]),0),"")</f>
        <v/>
      </c>
      <c r="H19" s="39" t="str">
        <f>IFERROR(ROUND(AVERAGE(NSi.SE[[#This Row],[Nsi.TS]:[NS.iS]]),0),"")</f>
        <v/>
      </c>
      <c r="I19" s="41" t="s">
        <v>102</v>
      </c>
      <c r="J19" s="45" t="s">
        <v>102</v>
      </c>
      <c r="K19" s="45" t="s">
        <v>102</v>
      </c>
      <c r="L19" s="45" t="s">
        <v>102</v>
      </c>
      <c r="M19" s="45" t="s">
        <v>102</v>
      </c>
      <c r="N19" s="41" t="s">
        <v>102</v>
      </c>
      <c r="O19" s="45" t="s">
        <v>102</v>
      </c>
      <c r="P19" s="45" t="s">
        <v>102</v>
      </c>
      <c r="Q19" s="45" t="s">
        <v>102</v>
      </c>
      <c r="R19" s="45" t="s">
        <v>102</v>
      </c>
      <c r="S19" s="41" t="s">
        <v>102</v>
      </c>
      <c r="T19" s="45" t="s">
        <v>102</v>
      </c>
      <c r="U19" s="45" t="s">
        <v>102</v>
      </c>
      <c r="V19" s="45" t="s">
        <v>102</v>
      </c>
      <c r="W19" s="45" t="s">
        <v>102</v>
      </c>
      <c r="X19" s="41" t="s">
        <v>102</v>
      </c>
      <c r="Y19" s="45" t="s">
        <v>102</v>
      </c>
      <c r="Z19" s="45" t="s">
        <v>102</v>
      </c>
      <c r="AA19" s="45" t="s">
        <v>102</v>
      </c>
      <c r="AB19" s="45" t="s">
        <v>102</v>
      </c>
      <c r="AC19" s="41" t="s">
        <v>102</v>
      </c>
      <c r="AD19" s="45" t="s">
        <v>102</v>
      </c>
      <c r="AE19" s="45" t="s">
        <v>102</v>
      </c>
      <c r="AF19" s="45" t="s">
        <v>102</v>
      </c>
      <c r="AG19" s="45" t="s">
        <v>102</v>
      </c>
      <c r="AH19" s="41" t="s">
        <v>102</v>
      </c>
      <c r="AI19" s="45" t="s">
        <v>102</v>
      </c>
      <c r="AJ19" s="45" t="s">
        <v>102</v>
      </c>
      <c r="AK19" s="45" t="s">
        <v>102</v>
      </c>
      <c r="AL19" s="45" t="s">
        <v>102</v>
      </c>
      <c r="AM19" s="41" t="s">
        <v>102</v>
      </c>
      <c r="AN19" s="45" t="s">
        <v>102</v>
      </c>
      <c r="AO19" s="45" t="s">
        <v>102</v>
      </c>
      <c r="AP19" s="45" t="s">
        <v>102</v>
      </c>
      <c r="AQ19" s="45" t="s">
        <v>102</v>
      </c>
      <c r="AR19" s="41" t="s">
        <v>102</v>
      </c>
      <c r="AS19" s="45" t="s">
        <v>102</v>
      </c>
      <c r="AT19" s="45" t="s">
        <v>102</v>
      </c>
      <c r="AU19" s="45" t="s">
        <v>102</v>
      </c>
      <c r="AV19" s="45" t="s">
        <v>102</v>
      </c>
      <c r="AW19" s="41" t="s">
        <v>102</v>
      </c>
      <c r="AX19" s="45" t="s">
        <v>102</v>
      </c>
      <c r="AY19" s="45" t="s">
        <v>102</v>
      </c>
      <c r="AZ19" s="45" t="s">
        <v>102</v>
      </c>
      <c r="BA19" s="45" t="s">
        <v>102</v>
      </c>
      <c r="BC19" s="10" t="str">
        <f>CONCATENATE(NSi.SE[[#This Row],[KU.1]],(IF(A.LoE.S[[#This Row],[LE.1]]="-","-",IF(A.LoE.S[[#This Row],[LE.1]]&gt;=90,1,IF(A.LoE.S[[#This Row],[LE.1]]&gt;=80,2,IF(A.LoE.S[[#This Row],[LE.1]]&gt;=70,3,IF(A.LoE.S[[#This Row],[LE.1]]&gt;=1,4,5)))))))</f>
        <v>--</v>
      </c>
      <c r="BD19" s="46" t="str">
        <f>CONCATENATE(NSi.SE[[#This Row],[KU.2]],(IF(A.LoE.S[[#This Row],[LE.2]]="-","-",IF(A.LoE.S[[#This Row],[LE.2]]&gt;=90,1,IF(A.LoE.S[[#This Row],[LE.2]]&gt;=80,2,IF(A.LoE.S[[#This Row],[LE.2]]&gt;=70,3,IF(A.LoE.S[[#This Row],[LE.2]]&gt;=1,4,5)))))))</f>
        <v>--</v>
      </c>
      <c r="BE19" s="46" t="str">
        <f>CONCATENATE(NSi.SE[[#This Row],[KU.3]],(IF(A.LoE.S[[#This Row],[LE.3]]="-","-",IF(A.LoE.S[[#This Row],[LE.3]]&gt;=90,1,IF(A.LoE.S[[#This Row],[LE.3]]&gt;=80,2,IF(A.LoE.S[[#This Row],[LE.3]]&gt;=70,3,IF(A.LoE.S[[#This Row],[LE.3]]&gt;=1,4,5)))))))</f>
        <v>--</v>
      </c>
      <c r="BF19" s="46" t="str">
        <f>CONCATENATE(NSi.SE[[#This Row],[KU.4]],(IF(A.LoE.S[[#This Row],[LE.4]]="-","-",IF(A.LoE.S[[#This Row],[LE.4]]&gt;=90,1,IF(A.LoE.S[[#This Row],[LE.4]]&gt;=80,2,IF(A.LoE.S[[#This Row],[LE.4]]&gt;=70,3,IF(A.LoE.S[[#This Row],[LE.4]]&gt;=1,4,5)))))))</f>
        <v>--</v>
      </c>
      <c r="BG19" s="46" t="str">
        <f>CONCATENATE(NSi.SE[[#This Row],[KU.5]],(IF(A.LoE.S[[#This Row],[LE.5]]="-","-",IF(A.LoE.S[[#This Row],[LE.5]]&gt;=90,1,IF(A.LoE.S[[#This Row],[LE.5]]&gt;=80,2,IF(A.LoE.S[[#This Row],[LE.5]]&gt;=70,3,IF(A.LoE.S[[#This Row],[LE.5]]&gt;=1,4,5)))))))</f>
        <v>--</v>
      </c>
      <c r="BH19" s="46" t="str">
        <f>CONCATENATE(NSi.SE[[#This Row],[KU.6]],(IF(A.LoE.S[[#This Row],[LE.6]]="-","-",IF(A.LoE.S[[#This Row],[LE.6]]&gt;=90,1,IF(A.LoE.S[[#This Row],[LE.6]]&gt;=80,2,IF(A.LoE.S[[#This Row],[LE.6]]&gt;=70,3,IF(A.LoE.S[[#This Row],[LE.6]]&gt;=1,4,5)))))))</f>
        <v>--</v>
      </c>
      <c r="BI19" s="46" t="str">
        <f>CONCATENATE(NSi.SE[[#This Row],[KU.7]],(IF(A.LoE.S[[#This Row],[LE.7]]="-","-",IF(A.LoE.S[[#This Row],[LE.7]]&gt;=90,1,IF(A.LoE.S[[#This Row],[LE.7]]&gt;=80,2,IF(A.LoE.S[[#This Row],[LE.7]]&gt;=70,3,IF(A.LoE.S[[#This Row],[LE.7]]&gt;=1,4,5)))))))</f>
        <v>--</v>
      </c>
      <c r="BJ19" s="46" t="str">
        <f>CONCATENATE(NSi.SE[[#This Row],[KU.8]],(IF(A.LoE.S[[#This Row],[LE.8]]="-","-",IF(A.LoE.S[[#This Row],[LE.8]]&gt;=90,1,IF(A.LoE.S[[#This Row],[LE.8]]&gt;=80,2,IF(A.LoE.S[[#This Row],[LE.8]]&gt;=70,3,IF(A.LoE.S[[#This Row],[LE.8]]&gt;=1,4,5)))))))</f>
        <v>--</v>
      </c>
      <c r="BK19" s="38" t="str">
        <f>CONCATENATE(NSi.SE[[#This Row],[KU.9]],(IF(A.LoE.S[[#This Row],[LE.9]]="-","-",IF(A.LoE.S[[#This Row],[LE.9]]&gt;=90,1,IF(A.LoE.S[[#This Row],[LE.9]]&gt;=80,2,IF(A.LoE.S[[#This Row],[LE.9]]&gt;=70,3,IF(A.LoE.S[[#This Row],[LE.9]]&gt;=1,4,5)))))))</f>
        <v>--</v>
      </c>
      <c r="BM19" s="35" t="str">
        <f>IFERROR(ROUND(AVERAGE(Con.Sk.S[[#This Row],[TJ.1]:[Pro-A.1]]),0),"-")</f>
        <v>-</v>
      </c>
      <c r="BN19" s="24" t="str">
        <f>IFERROR(ROUND(AVERAGE(Con.Sk.S[[#This Row],[TJ.2]:[Pro-A.2]]),0),"-")</f>
        <v>-</v>
      </c>
      <c r="BO19" s="24" t="str">
        <f>IFERROR(ROUND(AVERAGE(Con.Sk.S[[#This Row],[TJ.3]:[Pro-A.3]]),0),"-")</f>
        <v>-</v>
      </c>
      <c r="BP19" s="24" t="str">
        <f>IFERROR(ROUND(AVERAGE(Con.Sk.S[[#This Row],[TJ.4]:[Pro-A.4]]),0),"-")</f>
        <v>-</v>
      </c>
      <c r="BQ19" s="24" t="str">
        <f>IFERROR(ROUND(AVERAGE(Con.Sk.S[[#This Row],[TJ.5]:[Pro-A.5]]),0),"-")</f>
        <v>-</v>
      </c>
      <c r="BR19" s="24" t="str">
        <f>IFERROR(ROUND(AVERAGE(Con.Sk.S[[#This Row],[TJ.6]:[Pro-A.6]]),0),"-")</f>
        <v>-</v>
      </c>
      <c r="BS19" s="24" t="str">
        <f>IFERROR(ROUND(AVERAGE(Con.Sk.S[[#This Row],[TJ.7]:[Pro-A.7]]),0),"-")</f>
        <v>-</v>
      </c>
      <c r="BT19" s="24" t="str">
        <f>IFERROR(ROUND(AVERAGE(Con.Sk.S[[#This Row],[TJ.8]:[Pro-A.8]]),0),"-")</f>
        <v>-</v>
      </c>
      <c r="BU19" s="25" t="str">
        <f>IFERROR(ROUND(AVERAGE(Con.Sk.S[[#This Row],[TJ.9]:[Pro-A.9]]),0),"-")</f>
        <v>-</v>
      </c>
      <c r="BW19" s="47" t="str">
        <f>IFERROR(ROUND(AVERAGE(Con.Sk.S[[#This Row],[KU.1]],Con.Sk.S[[#This Row],[KU.2]],Con.Sk.S[[#This Row],[KU.3]],Con.Sk.S[[#This Row],[KU.4]],Con.Sk.S[[#This Row],[KU.5]],Con.Sk.S[[#This Row],[KU.6]],Con.Sk.S[[#This Row],[KU.7]],Con.Sk.S[[#This Row],[KU.8]],Con.Sk.S[[#This Row],[KU.9]]),0),"")</f>
        <v/>
      </c>
      <c r="BX19" s="48" t="str">
        <f>IFERROR(ROUND(AVERAGE(Con.Sk.S[[#This Row],[TJ.1]:[Pro-A.1]],Con.Sk.S[[#This Row],[TJ.2]:[Pro-A.2]],Con.Sk.S[[#This Row],[TJ.3]:[Pro-A.3]],Con.Sk.S[[#This Row],[TJ.4]:[Pro-A.4]],Con.Sk.S[[#This Row],[TJ.5]:[Pro-A.5]],Con.Sk.S[[#This Row],[TJ.6]:[Pro-A.6]],Con.Sk.S[[#This Row],[TJ.7]:[Pro-A.7]],Con.Sk.S[[#This Row],[TJ.8]:[Pro-A.8]],Con.Sk.S[[#This Row],[TJ.9]:[Pro-A.9]]),0),"")</f>
        <v/>
      </c>
      <c r="BY19" s="3"/>
      <c r="BZ19" s="73" t="str">
        <f>IF(NSi.SE[[#This Row],[KU.1]]="A",100,IF(NSi.SE[[#This Row],[KU.1]]="B",89,IF(NSi.SE[[#This Row],[KU.1]]="C",79,IF(NSi.SE[[#This Row],[KU.1]]="D",69,IF(NSi.SE[[#This Row],[KU.1]]="E",0,"-")))))</f>
        <v>-</v>
      </c>
      <c r="CA19" s="73" t="str">
        <f>IF(NSi.SE[[#This Row],[TJ.1]]=1,100,IF(NSi.SE[[#This Row],[TJ.1]]=2,89,IF(NSi.SE[[#This Row],[TJ.1]]=3,79,IF(NSi.SE[[#This Row],[TJ.1]]=4,69,IF(NSi.SE[[#This Row],[TJ.1]]=5,0,"-")))))</f>
        <v>-</v>
      </c>
      <c r="CB19" s="73" t="str">
        <f>IF(NSi.SE[[#This Row],[Ker.1]]=1,100,IF(NSi.SE[[#This Row],[Ker.1]]=2,89,IF(NSi.SE[[#This Row],[Ker.1]]=3,79,IF(NSi.SE[[#This Row],[Ker.1]]=4,69,IF(NSi.SE[[#This Row],[Ker.1]]=5,0,"-")))))</f>
        <v>-</v>
      </c>
      <c r="CC19" s="73" t="str">
        <f>IF(NSi.SE[[#This Row],[Ped.1]]=1,100,IF(NSi.SE[[#This Row],[Ped.1]]=2,89,IF(NSi.SE[[#This Row],[Ped.1]]=3,79,IF(NSi.SE[[#This Row],[Ped.1]]=4,69,IF(NSi.SE[[#This Row],[Ped.1]]=5,0,"-")))))</f>
        <v>-</v>
      </c>
      <c r="CD19" s="73" t="str">
        <f>IF(NSi.SE[[#This Row],[Pro-A.1]]=1,100,IF(NSi.SE[[#This Row],[Pro-A.1]]=2,89,IF(NSi.SE[[#This Row],[Pro-A.1]]=3,79,IF(NSi.SE[[#This Row],[Pro-A.1]]=4,69,IF(NSi.SE[[#This Row],[Pro-A.1]]=5,0,"-")))))</f>
        <v>-</v>
      </c>
      <c r="CE19" s="73" t="str">
        <f>IF(NSi.SE[[#This Row],[KU.2]]="A",100,IF(NSi.SE[[#This Row],[KU.2]]="B",89,IF(NSi.SE[[#This Row],[KU.2]]="C",79,IF(NSi.SE[[#This Row],[KU.2]]="D",69,IF(NSi.SE[[#This Row],[KU.2]]="E",0,"-")))))</f>
        <v>-</v>
      </c>
      <c r="CF19" s="73" t="str">
        <f>IF(NSi.SE[[#This Row],[TJ.2]]=1,100,IF(NSi.SE[[#This Row],[TJ.2]]=2,89,IF(NSi.SE[[#This Row],[TJ.2]]=3,79,IF(NSi.SE[[#This Row],[TJ.2]]=4,69,IF(NSi.SE[[#This Row],[TJ.2]]=5,0,"-")))))</f>
        <v>-</v>
      </c>
      <c r="CG19" s="73" t="str">
        <f>IF(NSi.SE[[#This Row],[Ker.2]]=1,100,IF(NSi.SE[[#This Row],[Ker.2]]=2,89,IF(NSi.SE[[#This Row],[Ker.2]]=3,79,IF(NSi.SE[[#This Row],[Ker.2]]=4,69,IF(NSi.SE[[#This Row],[Ker.2]]=5,0,"-")))))</f>
        <v>-</v>
      </c>
      <c r="CH19" s="73" t="str">
        <f>IF(NSi.SE[[#This Row],[Ped.2]]=1,100,IF(NSi.SE[[#This Row],[Ped.2]]=2,89,IF(NSi.SE[[#This Row],[Ped.2]]=3,79,IF(NSi.SE[[#This Row],[Ped.2]]=4,69,IF(NSi.SE[[#This Row],[Ped.2]]=5,0,"-")))))</f>
        <v>-</v>
      </c>
      <c r="CI19" s="73" t="str">
        <f>IF(NSi.SE[[#This Row],[Pro-A.2]]=1,100,IF(NSi.SE[[#This Row],[Pro-A.2]]=2,89,IF(NSi.SE[[#This Row],[Pro-A.2]]=3,79,IF(NSi.SE[[#This Row],[Pro-A.2]]=4,69,IF(NSi.SE[[#This Row],[Pro-A.2]]=5,0,"-")))))</f>
        <v>-</v>
      </c>
      <c r="CJ19" s="74" t="str">
        <f>IF(NSi.SE[[#This Row],[KU.3]]="A",100,IF(NSi.SE[[#This Row],[KU.3]]="B",89,IF(NSi.SE[[#This Row],[KU.3]]="C",79,IF(NSi.SE[[#This Row],[KU.3]]="D",69,IF(NSi.SE[[#This Row],[KU.3]]="E",0,"-")))))</f>
        <v>-</v>
      </c>
      <c r="CK19" s="73" t="str">
        <f>IF(NSi.SE[[#This Row],[TJ.3]]=1,100,IF(NSi.SE[[#This Row],[TJ.3]]=2,89,IF(NSi.SE[[#This Row],[TJ.3]]=3,79,IF(NSi.SE[[#This Row],[TJ.3]]=4,69,IF(NSi.SE[[#This Row],[TJ.3]]=5,0,"-")))))</f>
        <v>-</v>
      </c>
      <c r="CL19" s="73" t="str">
        <f>IF(NSi.SE[[#This Row],[Ker.3]]=1,100,IF(NSi.SE[[#This Row],[Ker.3]]=2,89,IF(NSi.SE[[#This Row],[Ker.3]]=3,79,IF(NSi.SE[[#This Row],[Ker.3]]=4,69,IF(NSi.SE[[#This Row],[Ker.3]]=5,0,"-")))))</f>
        <v>-</v>
      </c>
      <c r="CM19" s="73" t="str">
        <f>IF(NSi.SE[[#This Row],[Ped.3]]=1,100,IF(NSi.SE[[#This Row],[Ped.3]]=2,89,IF(NSi.SE[[#This Row],[Ped.3]]=3,79,IF(NSi.SE[[#This Row],[Ped.3]]=4,69,IF(NSi.SE[[#This Row],[Ped.3]]=5,0,"-")))))</f>
        <v>-</v>
      </c>
      <c r="CN19" s="73" t="str">
        <f>IF(NSi.SE[[#This Row],[Pro-A.3]]=1,100,IF(NSi.SE[[#This Row],[Pro-A.3]]=2,89,IF(NSi.SE[[#This Row],[Pro-A.3]]=3,79,IF(NSi.SE[[#This Row],[Pro-A.3]]=4,69,IF(NSi.SE[[#This Row],[Pro-A.3]]=5,0,"-")))))</f>
        <v>-</v>
      </c>
      <c r="CO19" s="74" t="str">
        <f>IF(NSi.SE[[#This Row],[KU.4]]="A",100,IF(NSi.SE[[#This Row],[KU.4]]="B",89,IF(NSi.SE[[#This Row],[KU.4]]="C",79,IF(NSi.SE[[#This Row],[KU.4]]="D",69,IF(NSi.SE[[#This Row],[KU.4]]="E",0,"-")))))</f>
        <v>-</v>
      </c>
      <c r="CP19" s="73" t="str">
        <f>IF(NSi.SE[[#This Row],[TJ.4]]=1,100,IF(NSi.SE[[#This Row],[TJ.4]]=2,89,IF(NSi.SE[[#This Row],[TJ.4]]=3,79,IF(NSi.SE[[#This Row],[TJ.4]]=4,69,IF(NSi.SE[[#This Row],[TJ.4]]=5,0,"-")))))</f>
        <v>-</v>
      </c>
      <c r="CQ19" s="73" t="str">
        <f>IF(NSi.SE[[#This Row],[Ker.4]]=1,100,IF(NSi.SE[[#This Row],[Ker.4]]=2,89,IF(NSi.SE[[#This Row],[Ker.4]]=3,79,IF(NSi.SE[[#This Row],[Ker.4]]=4,69,IF(NSi.SE[[#This Row],[Ker.4]]=5,0,"-")))))</f>
        <v>-</v>
      </c>
      <c r="CR19" s="73" t="str">
        <f>IF(NSi.SE[[#This Row],[Ped.4]]=1,100,IF(NSi.SE[[#This Row],[Ped.4]]=2,89,IF(NSi.SE[[#This Row],[Ped.4]]=3,79,IF(NSi.SE[[#This Row],[Ped.4]]=4,69,IF(NSi.SE[[#This Row],[Ped.4]]=5,0,"-")))))</f>
        <v>-</v>
      </c>
      <c r="CS19" s="73" t="str">
        <f>IF(NSi.SE[[#This Row],[Pro-A.4]]=1,100,IF(NSi.SE[[#This Row],[Pro-A.4]]=2,89,IF(NSi.SE[[#This Row],[Pro-A.4]]=3,79,IF(NSi.SE[[#This Row],[Pro-A.4]]=4,69,IF(NSi.SE[[#This Row],[Pro-A.4]]=5,0,"-")))))</f>
        <v>-</v>
      </c>
      <c r="CT19" s="74" t="str">
        <f>IF(NSi.SE[[#This Row],[KU.5]]="A",100,IF(NSi.SE[[#This Row],[KU.5]]="B",89,IF(NSi.SE[[#This Row],[KU.5]]="C",79,IF(NSi.SE[[#This Row],[KU.5]]="D",69,IF(NSi.SE[[#This Row],[KU.5]]="E",0,"-")))))</f>
        <v>-</v>
      </c>
      <c r="CU19" s="73" t="str">
        <f>IF(NSi.SE[[#This Row],[TJ.5]]=1,100,IF(NSi.SE[[#This Row],[TJ.5]]=2,89,IF(NSi.SE[[#This Row],[TJ.5]]=3,79,IF(NSi.SE[[#This Row],[TJ.5]]=4,69,IF(NSi.SE[[#This Row],[TJ.5]]=5,0,"-")))))</f>
        <v>-</v>
      </c>
      <c r="CV19" s="73" t="str">
        <f>IF(NSi.SE[[#This Row],[Ker.5]]=1,100,IF(NSi.SE[[#This Row],[Ker.5]]=2,89,IF(NSi.SE[[#This Row],[Ker.5]]=3,79,IF(NSi.SE[[#This Row],[Ker.5]]=4,69,IF(NSi.SE[[#This Row],[Ker.5]]=5,0,"-")))))</f>
        <v>-</v>
      </c>
      <c r="CW19" s="73" t="str">
        <f>IF(NSi.SE[[#This Row],[Ped.5]]=1,100,IF(NSi.SE[[#This Row],[Ped.5]]=2,89,IF(NSi.SE[[#This Row],[Ped.5]]=3,79,IF(NSi.SE[[#This Row],[Ped.5]]=4,69,IF(NSi.SE[[#This Row],[Ped.5]]=5,0,"-")))))</f>
        <v>-</v>
      </c>
      <c r="CX19" s="73" t="str">
        <f>IF(NSi.SE[[#This Row],[Pro-A.5]]=1,100,IF(NSi.SE[[#This Row],[Pro-A.5]]=2,89,IF(NSi.SE[[#This Row],[Pro-A.5]]=3,79,IF(NSi.SE[[#This Row],[Pro-A.5]]=4,69,IF(NSi.SE[[#This Row],[Pro-A.5]]=5,0,"-")))))</f>
        <v>-</v>
      </c>
      <c r="CY19" s="74" t="str">
        <f>IF(NSi.SE[[#This Row],[KU.6]]="A",100,IF(NSi.SE[[#This Row],[KU.6]]="B",89,IF(NSi.SE[[#This Row],[KU.6]]="C",79,IF(NSi.SE[[#This Row],[KU.6]]="D",69,IF(NSi.SE[[#This Row],[KU.6]]="E",0,"-")))))</f>
        <v>-</v>
      </c>
      <c r="CZ19" s="73" t="str">
        <f>IF(NSi.SE[[#This Row],[TJ.6]]=1,100,IF(NSi.SE[[#This Row],[TJ.6]]=2,89,IF(NSi.SE[[#This Row],[TJ.6]]=3,79,IF(NSi.SE[[#This Row],[TJ.6]]=4,69,IF(NSi.SE[[#This Row],[TJ.6]]=5,0,"-")))))</f>
        <v>-</v>
      </c>
      <c r="DA19" s="73" t="str">
        <f>IF(NSi.SE[[#This Row],[Ker.6]]=1,100,IF(NSi.SE[[#This Row],[Ker.6]]=2,89,IF(NSi.SE[[#This Row],[Ker.6]]=3,79,IF(NSi.SE[[#This Row],[Ker.6]]=4,69,IF(NSi.SE[[#This Row],[Ker.6]]=5,0,"-")))))</f>
        <v>-</v>
      </c>
      <c r="DB19" s="73" t="str">
        <f>IF(NSi.SE[[#This Row],[Ped.6]]=1,100,IF(NSi.SE[[#This Row],[Ped.6]]=2,89,IF(NSi.SE[[#This Row],[Ped.6]]=3,79,IF(NSi.SE[[#This Row],[Ped.6]]=4,69,IF(NSi.SE[[#This Row],[Ped.6]]=5,0,"-")))))</f>
        <v>-</v>
      </c>
      <c r="DC19" s="73" t="str">
        <f>IF(NSi.SE[[#This Row],[Pro-A.6]]=1,100,IF(NSi.SE[[#This Row],[Pro-A.6]]=2,89,IF(NSi.SE[[#This Row],[Pro-A.6]]=3,79,IF(NSi.SE[[#This Row],[Pro-A.6]]=4,69,IF(NSi.SE[[#This Row],[Pro-A.6]]=5,0,"-")))))</f>
        <v>-</v>
      </c>
      <c r="DD19" s="74" t="str">
        <f>IF(NSi.SE[[#This Row],[KU.7]]="A",100,IF(NSi.SE[[#This Row],[KU.7]]="B",89,IF(NSi.SE[[#This Row],[KU.7]]="C",79,IF(NSi.SE[[#This Row],[KU.7]]="D",69,IF(NSi.SE[[#This Row],[KU.7]]="E",0,"-")))))</f>
        <v>-</v>
      </c>
      <c r="DE19" s="73" t="str">
        <f>IF(NSi.SE[[#This Row],[TJ.7]]=1,100,IF(NSi.SE[[#This Row],[TJ.7]]=2,89,IF(NSi.SE[[#This Row],[TJ.7]]=3,79,IF(NSi.SE[[#This Row],[TJ.7]]=4,69,IF(NSi.SE[[#This Row],[TJ.7]]=5,0,"-")))))</f>
        <v>-</v>
      </c>
      <c r="DF19" s="73" t="str">
        <f>IF(NSi.SE[[#This Row],[Ker.7]]=1,100,IF(NSi.SE[[#This Row],[Ker.7]]=2,89,IF(NSi.SE[[#This Row],[Ker.7]]=3,79,IF(NSi.SE[[#This Row],[Ker.7]]=4,69,IF(NSi.SE[[#This Row],[Ker.7]]=5,0,"-")))))</f>
        <v>-</v>
      </c>
      <c r="DG19" s="73" t="str">
        <f>IF(NSi.SE[[#This Row],[Ped.7]]=1,100,IF(NSi.SE[[#This Row],[Ped.7]]=2,89,IF(NSi.SE[[#This Row],[Ped.7]]=3,79,IF(NSi.SE[[#This Row],[Ped.7]]=4,69,IF(NSi.SE[[#This Row],[Ped.7]]=5,0,"-")))))</f>
        <v>-</v>
      </c>
      <c r="DH19" s="73" t="str">
        <f>IF(NSi.SE[[#This Row],[Pro-A.7]]=1,100,IF(NSi.SE[[#This Row],[Pro-A.7]]=2,89,IF(NSi.SE[[#This Row],[Pro-A.7]]=3,79,IF(NSi.SE[[#This Row],[Pro-A.7]]=4,69,IF(NSi.SE[[#This Row],[Pro-A.7]]=5,0,"-")))))</f>
        <v>-</v>
      </c>
      <c r="DI19" s="74" t="str">
        <f>IF(NSi.SE[[#This Row],[KU.8]]="A",100,IF(NSi.SE[[#This Row],[KU.8]]="B",89,IF(NSi.SE[[#This Row],[KU.8]]="C",79,IF(NSi.SE[[#This Row],[KU.8]]="D",69,IF(NSi.SE[[#This Row],[KU.8]]="E",0,"-")))))</f>
        <v>-</v>
      </c>
      <c r="DJ19" s="73" t="str">
        <f>IF(NSi.SE[[#This Row],[TJ.8]]=1,100,IF(NSi.SE[[#This Row],[TJ.8]]=2,89,IF(NSi.SE[[#This Row],[TJ.8]]=3,79,IF(NSi.SE[[#This Row],[TJ.8]]=4,69,IF(NSi.SE[[#This Row],[TJ.8]]=5,0,"-")))))</f>
        <v>-</v>
      </c>
      <c r="DK19" s="73" t="str">
        <f>IF(NSi.SE[[#This Row],[Ker.8]]=1,100,IF(NSi.SE[[#This Row],[Ker.8]]=2,89,IF(NSi.SE[[#This Row],[Ker.8]]=3,79,IF(NSi.SE[[#This Row],[Ker.8]]=4,69,IF(NSi.SE[[#This Row],[Ker.8]]=5,0,"-")))))</f>
        <v>-</v>
      </c>
      <c r="DL19" s="73" t="str">
        <f>IF(NSi.SE[[#This Row],[Ped.8]]=1,100,IF(NSi.SE[[#This Row],[Ped.8]]=2,89,IF(NSi.SE[[#This Row],[Ped.8]]=3,79,IF(NSi.SE[[#This Row],[Ped.8]]=4,69,IF(NSi.SE[[#This Row],[Ped.8]]=5,0,"-")))))</f>
        <v>-</v>
      </c>
      <c r="DM19" s="73" t="str">
        <f>IF(NSi.SE[[#This Row],[Pro-A.8]]=1,100,IF(NSi.SE[[#This Row],[Pro-A.8]]=2,89,IF(NSi.SE[[#This Row],[Pro-A.8]]=3,79,IF(NSi.SE[[#This Row],[Pro-A.8]]=4,69,IF(NSi.SE[[#This Row],[Pro-A.8]]=5,0,"-")))))</f>
        <v>-</v>
      </c>
      <c r="DN19" s="74" t="str">
        <f>IF(NSi.SE[[#This Row],[KU.9]]="A",100,IF(NSi.SE[[#This Row],[KU.9]]="B",89,IF(NSi.SE[[#This Row],[KU.9]]="C",79,IF(NSi.SE[[#This Row],[KU.9]]="D",69,IF(NSi.SE[[#This Row],[KU.9]]="E",0,"-")))))</f>
        <v>-</v>
      </c>
      <c r="DO19" s="73" t="str">
        <f>IF(NSi.SE[[#This Row],[TJ.9]]=1,100,IF(NSi.SE[[#This Row],[TJ.9]]=2,89,IF(NSi.SE[[#This Row],[TJ.9]]=3,79,IF(NSi.SE[[#This Row],[TJ.9]]=4,69,IF(NSi.SE[[#This Row],[TJ.9]]=5,0,"-")))))</f>
        <v>-</v>
      </c>
      <c r="DP19" s="73" t="str">
        <f>IF(NSi.SE[[#This Row],[Ker.9]]=1,100,IF(NSi.SE[[#This Row],[Ker.9]]=2,89,IF(NSi.SE[[#This Row],[Ker.9]]=3,79,IF(NSi.SE[[#This Row],[Ker.9]]=4,69,IF(NSi.SE[[#This Row],[Ker.9]]=5,0,"-")))))</f>
        <v>-</v>
      </c>
      <c r="DQ19" s="73" t="str">
        <f>IF(NSi.SE[[#This Row],[Ped.9]]=1,100,IF(NSi.SE[[#This Row],[Ped.9]]=2,89,IF(NSi.SE[[#This Row],[Ped.9]]=3,79,IF(NSi.SE[[#This Row],[Ped.9]]=4,69,IF(NSi.SE[[#This Row],[Ped.9]]=5,0,"-")))))</f>
        <v>-</v>
      </c>
      <c r="DR19" s="73" t="str">
        <f>IF(NSi.SE[[#This Row],[Pro-A.9]]=1,100,IF(NSi.SE[[#This Row],[Pro-A.9]]=2,89,IF(NSi.SE[[#This Row],[Pro-A.9]]=3,79,IF(NSi.SE[[#This Row],[Pro-A.9]]=4,69,IF(NSi.SE[[#This Row],[Pro-A.9]]=5,0,"-")))))</f>
        <v>-</v>
      </c>
      <c r="DT19"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0" spans="1:124" ht="50.1" customHeight="1" x14ac:dyDescent="0.3">
      <c r="A20" s="66" t="str">
        <f>IF(NSi.TS[[#This Row],[No]]=0,"",NSi.TS[[#This Row],[No]])</f>
        <v/>
      </c>
      <c r="B20" s="67" t="str">
        <f>IF(NSi.TS[[#This Row],[Nama Siswa]]=0,"",NSi.TS[[#This Row],[Nama Siswa]])</f>
        <v/>
      </c>
      <c r="C20" s="68" t="str">
        <f>IF(NSi.TS[[#This Row],[Nomor Induk]]=0,"",NSi.TS[[#This Row],[Nomor Induk]])</f>
        <v/>
      </c>
      <c r="D20" s="68" t="str">
        <f>IF(NSi.TS[[#This Row],[NISN]]=0,"",NSi.TS[[#This Row],[NISN]])</f>
        <v/>
      </c>
      <c r="E20" s="68" t="str">
        <f>IF(NSi.TS[[#This Row],[Jurusan]]=0,"",NSi.TS[[#This Row],[Jurusan]])</f>
        <v/>
      </c>
      <c r="F20" s="39" t="str">
        <f>NSi.TS[[#This Row],[Nsi.TS]]</f>
        <v/>
      </c>
      <c r="G20" s="39" t="str">
        <f>IFERROR(ROUND(AVERAGE(CSCR.S[#This Row]),0),"")</f>
        <v/>
      </c>
      <c r="H20" s="39" t="str">
        <f>IFERROR(ROUND(AVERAGE(NSi.SE[[#This Row],[Nsi.TS]:[NS.iS]]),0),"")</f>
        <v/>
      </c>
      <c r="I20" s="41" t="s">
        <v>102</v>
      </c>
      <c r="J20" s="45" t="s">
        <v>102</v>
      </c>
      <c r="K20" s="45" t="s">
        <v>102</v>
      </c>
      <c r="L20" s="45" t="s">
        <v>102</v>
      </c>
      <c r="M20" s="45" t="s">
        <v>102</v>
      </c>
      <c r="N20" s="41" t="s">
        <v>102</v>
      </c>
      <c r="O20" s="45" t="s">
        <v>102</v>
      </c>
      <c r="P20" s="45" t="s">
        <v>102</v>
      </c>
      <c r="Q20" s="45" t="s">
        <v>102</v>
      </c>
      <c r="R20" s="45" t="s">
        <v>102</v>
      </c>
      <c r="S20" s="41" t="s">
        <v>102</v>
      </c>
      <c r="T20" s="45" t="s">
        <v>102</v>
      </c>
      <c r="U20" s="45" t="s">
        <v>102</v>
      </c>
      <c r="V20" s="45" t="s">
        <v>102</v>
      </c>
      <c r="W20" s="45" t="s">
        <v>102</v>
      </c>
      <c r="X20" s="41" t="s">
        <v>102</v>
      </c>
      <c r="Y20" s="45" t="s">
        <v>102</v>
      </c>
      <c r="Z20" s="45" t="s">
        <v>102</v>
      </c>
      <c r="AA20" s="45" t="s">
        <v>102</v>
      </c>
      <c r="AB20" s="45" t="s">
        <v>102</v>
      </c>
      <c r="AC20" s="41" t="s">
        <v>102</v>
      </c>
      <c r="AD20" s="45" t="s">
        <v>102</v>
      </c>
      <c r="AE20" s="45" t="s">
        <v>102</v>
      </c>
      <c r="AF20" s="45" t="s">
        <v>102</v>
      </c>
      <c r="AG20" s="45" t="s">
        <v>102</v>
      </c>
      <c r="AH20" s="41" t="s">
        <v>102</v>
      </c>
      <c r="AI20" s="45" t="s">
        <v>102</v>
      </c>
      <c r="AJ20" s="45" t="s">
        <v>102</v>
      </c>
      <c r="AK20" s="45" t="s">
        <v>102</v>
      </c>
      <c r="AL20" s="45" t="s">
        <v>102</v>
      </c>
      <c r="AM20" s="41" t="s">
        <v>102</v>
      </c>
      <c r="AN20" s="45" t="s">
        <v>102</v>
      </c>
      <c r="AO20" s="45" t="s">
        <v>102</v>
      </c>
      <c r="AP20" s="45" t="s">
        <v>102</v>
      </c>
      <c r="AQ20" s="45" t="s">
        <v>102</v>
      </c>
      <c r="AR20" s="41" t="s">
        <v>102</v>
      </c>
      <c r="AS20" s="45" t="s">
        <v>102</v>
      </c>
      <c r="AT20" s="45" t="s">
        <v>102</v>
      </c>
      <c r="AU20" s="45" t="s">
        <v>102</v>
      </c>
      <c r="AV20" s="45" t="s">
        <v>102</v>
      </c>
      <c r="AW20" s="41" t="s">
        <v>102</v>
      </c>
      <c r="AX20" s="45" t="s">
        <v>102</v>
      </c>
      <c r="AY20" s="45" t="s">
        <v>102</v>
      </c>
      <c r="AZ20" s="45" t="s">
        <v>102</v>
      </c>
      <c r="BA20" s="45" t="s">
        <v>102</v>
      </c>
      <c r="BC20" s="10" t="str">
        <f>CONCATENATE(NSi.SE[[#This Row],[KU.1]],(IF(A.LoE.S[[#This Row],[LE.1]]="-","-",IF(A.LoE.S[[#This Row],[LE.1]]&gt;=90,1,IF(A.LoE.S[[#This Row],[LE.1]]&gt;=80,2,IF(A.LoE.S[[#This Row],[LE.1]]&gt;=70,3,IF(A.LoE.S[[#This Row],[LE.1]]&gt;=1,4,5)))))))</f>
        <v>--</v>
      </c>
      <c r="BD20" s="46" t="str">
        <f>CONCATENATE(NSi.SE[[#This Row],[KU.2]],(IF(A.LoE.S[[#This Row],[LE.2]]="-","-",IF(A.LoE.S[[#This Row],[LE.2]]&gt;=90,1,IF(A.LoE.S[[#This Row],[LE.2]]&gt;=80,2,IF(A.LoE.S[[#This Row],[LE.2]]&gt;=70,3,IF(A.LoE.S[[#This Row],[LE.2]]&gt;=1,4,5)))))))</f>
        <v>--</v>
      </c>
      <c r="BE20" s="46" t="str">
        <f>CONCATENATE(NSi.SE[[#This Row],[KU.3]],(IF(A.LoE.S[[#This Row],[LE.3]]="-","-",IF(A.LoE.S[[#This Row],[LE.3]]&gt;=90,1,IF(A.LoE.S[[#This Row],[LE.3]]&gt;=80,2,IF(A.LoE.S[[#This Row],[LE.3]]&gt;=70,3,IF(A.LoE.S[[#This Row],[LE.3]]&gt;=1,4,5)))))))</f>
        <v>--</v>
      </c>
      <c r="BF20" s="46" t="str">
        <f>CONCATENATE(NSi.SE[[#This Row],[KU.4]],(IF(A.LoE.S[[#This Row],[LE.4]]="-","-",IF(A.LoE.S[[#This Row],[LE.4]]&gt;=90,1,IF(A.LoE.S[[#This Row],[LE.4]]&gt;=80,2,IF(A.LoE.S[[#This Row],[LE.4]]&gt;=70,3,IF(A.LoE.S[[#This Row],[LE.4]]&gt;=1,4,5)))))))</f>
        <v>--</v>
      </c>
      <c r="BG20" s="46" t="str">
        <f>CONCATENATE(NSi.SE[[#This Row],[KU.5]],(IF(A.LoE.S[[#This Row],[LE.5]]="-","-",IF(A.LoE.S[[#This Row],[LE.5]]&gt;=90,1,IF(A.LoE.S[[#This Row],[LE.5]]&gt;=80,2,IF(A.LoE.S[[#This Row],[LE.5]]&gt;=70,3,IF(A.LoE.S[[#This Row],[LE.5]]&gt;=1,4,5)))))))</f>
        <v>--</v>
      </c>
      <c r="BH20" s="46" t="str">
        <f>CONCATENATE(NSi.SE[[#This Row],[KU.6]],(IF(A.LoE.S[[#This Row],[LE.6]]="-","-",IF(A.LoE.S[[#This Row],[LE.6]]&gt;=90,1,IF(A.LoE.S[[#This Row],[LE.6]]&gt;=80,2,IF(A.LoE.S[[#This Row],[LE.6]]&gt;=70,3,IF(A.LoE.S[[#This Row],[LE.6]]&gt;=1,4,5)))))))</f>
        <v>--</v>
      </c>
      <c r="BI20" s="46" t="str">
        <f>CONCATENATE(NSi.SE[[#This Row],[KU.7]],(IF(A.LoE.S[[#This Row],[LE.7]]="-","-",IF(A.LoE.S[[#This Row],[LE.7]]&gt;=90,1,IF(A.LoE.S[[#This Row],[LE.7]]&gt;=80,2,IF(A.LoE.S[[#This Row],[LE.7]]&gt;=70,3,IF(A.LoE.S[[#This Row],[LE.7]]&gt;=1,4,5)))))))</f>
        <v>--</v>
      </c>
      <c r="BJ20" s="46" t="str">
        <f>CONCATENATE(NSi.SE[[#This Row],[KU.8]],(IF(A.LoE.S[[#This Row],[LE.8]]="-","-",IF(A.LoE.S[[#This Row],[LE.8]]&gt;=90,1,IF(A.LoE.S[[#This Row],[LE.8]]&gt;=80,2,IF(A.LoE.S[[#This Row],[LE.8]]&gt;=70,3,IF(A.LoE.S[[#This Row],[LE.8]]&gt;=1,4,5)))))))</f>
        <v>--</v>
      </c>
      <c r="BK20" s="38" t="str">
        <f>CONCATENATE(NSi.SE[[#This Row],[KU.9]],(IF(A.LoE.S[[#This Row],[LE.9]]="-","-",IF(A.LoE.S[[#This Row],[LE.9]]&gt;=90,1,IF(A.LoE.S[[#This Row],[LE.9]]&gt;=80,2,IF(A.LoE.S[[#This Row],[LE.9]]&gt;=70,3,IF(A.LoE.S[[#This Row],[LE.9]]&gt;=1,4,5)))))))</f>
        <v>--</v>
      </c>
      <c r="BM20" s="35" t="str">
        <f>IFERROR(ROUND(AVERAGE(Con.Sk.S[[#This Row],[TJ.1]:[Pro-A.1]]),0),"-")</f>
        <v>-</v>
      </c>
      <c r="BN20" s="24" t="str">
        <f>IFERROR(ROUND(AVERAGE(Con.Sk.S[[#This Row],[TJ.2]:[Pro-A.2]]),0),"-")</f>
        <v>-</v>
      </c>
      <c r="BO20" s="24" t="str">
        <f>IFERROR(ROUND(AVERAGE(Con.Sk.S[[#This Row],[TJ.3]:[Pro-A.3]]),0),"-")</f>
        <v>-</v>
      </c>
      <c r="BP20" s="24" t="str">
        <f>IFERROR(ROUND(AVERAGE(Con.Sk.S[[#This Row],[TJ.4]:[Pro-A.4]]),0),"-")</f>
        <v>-</v>
      </c>
      <c r="BQ20" s="24" t="str">
        <f>IFERROR(ROUND(AVERAGE(Con.Sk.S[[#This Row],[TJ.5]:[Pro-A.5]]),0),"-")</f>
        <v>-</v>
      </c>
      <c r="BR20" s="24" t="str">
        <f>IFERROR(ROUND(AVERAGE(Con.Sk.S[[#This Row],[TJ.6]:[Pro-A.6]]),0),"-")</f>
        <v>-</v>
      </c>
      <c r="BS20" s="24" t="str">
        <f>IFERROR(ROUND(AVERAGE(Con.Sk.S[[#This Row],[TJ.7]:[Pro-A.7]]),0),"-")</f>
        <v>-</v>
      </c>
      <c r="BT20" s="24" t="str">
        <f>IFERROR(ROUND(AVERAGE(Con.Sk.S[[#This Row],[TJ.8]:[Pro-A.8]]),0),"-")</f>
        <v>-</v>
      </c>
      <c r="BU20" s="25" t="str">
        <f>IFERROR(ROUND(AVERAGE(Con.Sk.S[[#This Row],[TJ.9]:[Pro-A.9]]),0),"-")</f>
        <v>-</v>
      </c>
      <c r="BW20" s="47" t="str">
        <f>IFERROR(ROUND(AVERAGE(Con.Sk.S[[#This Row],[KU.1]],Con.Sk.S[[#This Row],[KU.2]],Con.Sk.S[[#This Row],[KU.3]],Con.Sk.S[[#This Row],[KU.4]],Con.Sk.S[[#This Row],[KU.5]],Con.Sk.S[[#This Row],[KU.6]],Con.Sk.S[[#This Row],[KU.7]],Con.Sk.S[[#This Row],[KU.8]],Con.Sk.S[[#This Row],[KU.9]]),0),"")</f>
        <v/>
      </c>
      <c r="BX20" s="48" t="str">
        <f>IFERROR(ROUND(AVERAGE(Con.Sk.S[[#This Row],[TJ.1]:[Pro-A.1]],Con.Sk.S[[#This Row],[TJ.2]:[Pro-A.2]],Con.Sk.S[[#This Row],[TJ.3]:[Pro-A.3]],Con.Sk.S[[#This Row],[TJ.4]:[Pro-A.4]],Con.Sk.S[[#This Row],[TJ.5]:[Pro-A.5]],Con.Sk.S[[#This Row],[TJ.6]:[Pro-A.6]],Con.Sk.S[[#This Row],[TJ.7]:[Pro-A.7]],Con.Sk.S[[#This Row],[TJ.8]:[Pro-A.8]],Con.Sk.S[[#This Row],[TJ.9]:[Pro-A.9]]),0),"")</f>
        <v/>
      </c>
      <c r="BY20" s="3"/>
      <c r="BZ20" s="73" t="str">
        <f>IF(NSi.SE[[#This Row],[KU.1]]="A",100,IF(NSi.SE[[#This Row],[KU.1]]="B",89,IF(NSi.SE[[#This Row],[KU.1]]="C",79,IF(NSi.SE[[#This Row],[KU.1]]="D",69,IF(NSi.SE[[#This Row],[KU.1]]="E",0,"-")))))</f>
        <v>-</v>
      </c>
      <c r="CA20" s="73" t="str">
        <f>IF(NSi.SE[[#This Row],[TJ.1]]=1,100,IF(NSi.SE[[#This Row],[TJ.1]]=2,89,IF(NSi.SE[[#This Row],[TJ.1]]=3,79,IF(NSi.SE[[#This Row],[TJ.1]]=4,69,IF(NSi.SE[[#This Row],[TJ.1]]=5,0,"-")))))</f>
        <v>-</v>
      </c>
      <c r="CB20" s="73" t="str">
        <f>IF(NSi.SE[[#This Row],[Ker.1]]=1,100,IF(NSi.SE[[#This Row],[Ker.1]]=2,89,IF(NSi.SE[[#This Row],[Ker.1]]=3,79,IF(NSi.SE[[#This Row],[Ker.1]]=4,69,IF(NSi.SE[[#This Row],[Ker.1]]=5,0,"-")))))</f>
        <v>-</v>
      </c>
      <c r="CC20" s="73" t="str">
        <f>IF(NSi.SE[[#This Row],[Ped.1]]=1,100,IF(NSi.SE[[#This Row],[Ped.1]]=2,89,IF(NSi.SE[[#This Row],[Ped.1]]=3,79,IF(NSi.SE[[#This Row],[Ped.1]]=4,69,IF(NSi.SE[[#This Row],[Ped.1]]=5,0,"-")))))</f>
        <v>-</v>
      </c>
      <c r="CD20" s="73" t="str">
        <f>IF(NSi.SE[[#This Row],[Pro-A.1]]=1,100,IF(NSi.SE[[#This Row],[Pro-A.1]]=2,89,IF(NSi.SE[[#This Row],[Pro-A.1]]=3,79,IF(NSi.SE[[#This Row],[Pro-A.1]]=4,69,IF(NSi.SE[[#This Row],[Pro-A.1]]=5,0,"-")))))</f>
        <v>-</v>
      </c>
      <c r="CE20" s="73" t="str">
        <f>IF(NSi.SE[[#This Row],[KU.2]]="A",100,IF(NSi.SE[[#This Row],[KU.2]]="B",89,IF(NSi.SE[[#This Row],[KU.2]]="C",79,IF(NSi.SE[[#This Row],[KU.2]]="D",69,IF(NSi.SE[[#This Row],[KU.2]]="E",0,"-")))))</f>
        <v>-</v>
      </c>
      <c r="CF20" s="73" t="str">
        <f>IF(NSi.SE[[#This Row],[TJ.2]]=1,100,IF(NSi.SE[[#This Row],[TJ.2]]=2,89,IF(NSi.SE[[#This Row],[TJ.2]]=3,79,IF(NSi.SE[[#This Row],[TJ.2]]=4,69,IF(NSi.SE[[#This Row],[TJ.2]]=5,0,"-")))))</f>
        <v>-</v>
      </c>
      <c r="CG20" s="73" t="str">
        <f>IF(NSi.SE[[#This Row],[Ker.2]]=1,100,IF(NSi.SE[[#This Row],[Ker.2]]=2,89,IF(NSi.SE[[#This Row],[Ker.2]]=3,79,IF(NSi.SE[[#This Row],[Ker.2]]=4,69,IF(NSi.SE[[#This Row],[Ker.2]]=5,0,"-")))))</f>
        <v>-</v>
      </c>
      <c r="CH20" s="73" t="str">
        <f>IF(NSi.SE[[#This Row],[Ped.2]]=1,100,IF(NSi.SE[[#This Row],[Ped.2]]=2,89,IF(NSi.SE[[#This Row],[Ped.2]]=3,79,IF(NSi.SE[[#This Row],[Ped.2]]=4,69,IF(NSi.SE[[#This Row],[Ped.2]]=5,0,"-")))))</f>
        <v>-</v>
      </c>
      <c r="CI20" s="73" t="str">
        <f>IF(NSi.SE[[#This Row],[Pro-A.2]]=1,100,IF(NSi.SE[[#This Row],[Pro-A.2]]=2,89,IF(NSi.SE[[#This Row],[Pro-A.2]]=3,79,IF(NSi.SE[[#This Row],[Pro-A.2]]=4,69,IF(NSi.SE[[#This Row],[Pro-A.2]]=5,0,"-")))))</f>
        <v>-</v>
      </c>
      <c r="CJ20" s="74" t="str">
        <f>IF(NSi.SE[[#This Row],[KU.3]]="A",100,IF(NSi.SE[[#This Row],[KU.3]]="B",89,IF(NSi.SE[[#This Row],[KU.3]]="C",79,IF(NSi.SE[[#This Row],[KU.3]]="D",69,IF(NSi.SE[[#This Row],[KU.3]]="E",0,"-")))))</f>
        <v>-</v>
      </c>
      <c r="CK20" s="73" t="str">
        <f>IF(NSi.SE[[#This Row],[TJ.3]]=1,100,IF(NSi.SE[[#This Row],[TJ.3]]=2,89,IF(NSi.SE[[#This Row],[TJ.3]]=3,79,IF(NSi.SE[[#This Row],[TJ.3]]=4,69,IF(NSi.SE[[#This Row],[TJ.3]]=5,0,"-")))))</f>
        <v>-</v>
      </c>
      <c r="CL20" s="73" t="str">
        <f>IF(NSi.SE[[#This Row],[Ker.3]]=1,100,IF(NSi.SE[[#This Row],[Ker.3]]=2,89,IF(NSi.SE[[#This Row],[Ker.3]]=3,79,IF(NSi.SE[[#This Row],[Ker.3]]=4,69,IF(NSi.SE[[#This Row],[Ker.3]]=5,0,"-")))))</f>
        <v>-</v>
      </c>
      <c r="CM20" s="73" t="str">
        <f>IF(NSi.SE[[#This Row],[Ped.3]]=1,100,IF(NSi.SE[[#This Row],[Ped.3]]=2,89,IF(NSi.SE[[#This Row],[Ped.3]]=3,79,IF(NSi.SE[[#This Row],[Ped.3]]=4,69,IF(NSi.SE[[#This Row],[Ped.3]]=5,0,"-")))))</f>
        <v>-</v>
      </c>
      <c r="CN20" s="73" t="str">
        <f>IF(NSi.SE[[#This Row],[Pro-A.3]]=1,100,IF(NSi.SE[[#This Row],[Pro-A.3]]=2,89,IF(NSi.SE[[#This Row],[Pro-A.3]]=3,79,IF(NSi.SE[[#This Row],[Pro-A.3]]=4,69,IF(NSi.SE[[#This Row],[Pro-A.3]]=5,0,"-")))))</f>
        <v>-</v>
      </c>
      <c r="CO20" s="74" t="str">
        <f>IF(NSi.SE[[#This Row],[KU.4]]="A",100,IF(NSi.SE[[#This Row],[KU.4]]="B",89,IF(NSi.SE[[#This Row],[KU.4]]="C",79,IF(NSi.SE[[#This Row],[KU.4]]="D",69,IF(NSi.SE[[#This Row],[KU.4]]="E",0,"-")))))</f>
        <v>-</v>
      </c>
      <c r="CP20" s="73" t="str">
        <f>IF(NSi.SE[[#This Row],[TJ.4]]=1,100,IF(NSi.SE[[#This Row],[TJ.4]]=2,89,IF(NSi.SE[[#This Row],[TJ.4]]=3,79,IF(NSi.SE[[#This Row],[TJ.4]]=4,69,IF(NSi.SE[[#This Row],[TJ.4]]=5,0,"-")))))</f>
        <v>-</v>
      </c>
      <c r="CQ20" s="73" t="str">
        <f>IF(NSi.SE[[#This Row],[Ker.4]]=1,100,IF(NSi.SE[[#This Row],[Ker.4]]=2,89,IF(NSi.SE[[#This Row],[Ker.4]]=3,79,IF(NSi.SE[[#This Row],[Ker.4]]=4,69,IF(NSi.SE[[#This Row],[Ker.4]]=5,0,"-")))))</f>
        <v>-</v>
      </c>
      <c r="CR20" s="73" t="str">
        <f>IF(NSi.SE[[#This Row],[Ped.4]]=1,100,IF(NSi.SE[[#This Row],[Ped.4]]=2,89,IF(NSi.SE[[#This Row],[Ped.4]]=3,79,IF(NSi.SE[[#This Row],[Ped.4]]=4,69,IF(NSi.SE[[#This Row],[Ped.4]]=5,0,"-")))))</f>
        <v>-</v>
      </c>
      <c r="CS20" s="73" t="str">
        <f>IF(NSi.SE[[#This Row],[Pro-A.4]]=1,100,IF(NSi.SE[[#This Row],[Pro-A.4]]=2,89,IF(NSi.SE[[#This Row],[Pro-A.4]]=3,79,IF(NSi.SE[[#This Row],[Pro-A.4]]=4,69,IF(NSi.SE[[#This Row],[Pro-A.4]]=5,0,"-")))))</f>
        <v>-</v>
      </c>
      <c r="CT20" s="74" t="str">
        <f>IF(NSi.SE[[#This Row],[KU.5]]="A",100,IF(NSi.SE[[#This Row],[KU.5]]="B",89,IF(NSi.SE[[#This Row],[KU.5]]="C",79,IF(NSi.SE[[#This Row],[KU.5]]="D",69,IF(NSi.SE[[#This Row],[KU.5]]="E",0,"-")))))</f>
        <v>-</v>
      </c>
      <c r="CU20" s="73" t="str">
        <f>IF(NSi.SE[[#This Row],[TJ.5]]=1,100,IF(NSi.SE[[#This Row],[TJ.5]]=2,89,IF(NSi.SE[[#This Row],[TJ.5]]=3,79,IF(NSi.SE[[#This Row],[TJ.5]]=4,69,IF(NSi.SE[[#This Row],[TJ.5]]=5,0,"-")))))</f>
        <v>-</v>
      </c>
      <c r="CV20" s="73" t="str">
        <f>IF(NSi.SE[[#This Row],[Ker.5]]=1,100,IF(NSi.SE[[#This Row],[Ker.5]]=2,89,IF(NSi.SE[[#This Row],[Ker.5]]=3,79,IF(NSi.SE[[#This Row],[Ker.5]]=4,69,IF(NSi.SE[[#This Row],[Ker.5]]=5,0,"-")))))</f>
        <v>-</v>
      </c>
      <c r="CW20" s="73" t="str">
        <f>IF(NSi.SE[[#This Row],[Ped.5]]=1,100,IF(NSi.SE[[#This Row],[Ped.5]]=2,89,IF(NSi.SE[[#This Row],[Ped.5]]=3,79,IF(NSi.SE[[#This Row],[Ped.5]]=4,69,IF(NSi.SE[[#This Row],[Ped.5]]=5,0,"-")))))</f>
        <v>-</v>
      </c>
      <c r="CX20" s="73" t="str">
        <f>IF(NSi.SE[[#This Row],[Pro-A.5]]=1,100,IF(NSi.SE[[#This Row],[Pro-A.5]]=2,89,IF(NSi.SE[[#This Row],[Pro-A.5]]=3,79,IF(NSi.SE[[#This Row],[Pro-A.5]]=4,69,IF(NSi.SE[[#This Row],[Pro-A.5]]=5,0,"-")))))</f>
        <v>-</v>
      </c>
      <c r="CY20" s="74" t="str">
        <f>IF(NSi.SE[[#This Row],[KU.6]]="A",100,IF(NSi.SE[[#This Row],[KU.6]]="B",89,IF(NSi.SE[[#This Row],[KU.6]]="C",79,IF(NSi.SE[[#This Row],[KU.6]]="D",69,IF(NSi.SE[[#This Row],[KU.6]]="E",0,"-")))))</f>
        <v>-</v>
      </c>
      <c r="CZ20" s="73" t="str">
        <f>IF(NSi.SE[[#This Row],[TJ.6]]=1,100,IF(NSi.SE[[#This Row],[TJ.6]]=2,89,IF(NSi.SE[[#This Row],[TJ.6]]=3,79,IF(NSi.SE[[#This Row],[TJ.6]]=4,69,IF(NSi.SE[[#This Row],[TJ.6]]=5,0,"-")))))</f>
        <v>-</v>
      </c>
      <c r="DA20" s="73" t="str">
        <f>IF(NSi.SE[[#This Row],[Ker.6]]=1,100,IF(NSi.SE[[#This Row],[Ker.6]]=2,89,IF(NSi.SE[[#This Row],[Ker.6]]=3,79,IF(NSi.SE[[#This Row],[Ker.6]]=4,69,IF(NSi.SE[[#This Row],[Ker.6]]=5,0,"-")))))</f>
        <v>-</v>
      </c>
      <c r="DB20" s="73" t="str">
        <f>IF(NSi.SE[[#This Row],[Ped.6]]=1,100,IF(NSi.SE[[#This Row],[Ped.6]]=2,89,IF(NSi.SE[[#This Row],[Ped.6]]=3,79,IF(NSi.SE[[#This Row],[Ped.6]]=4,69,IF(NSi.SE[[#This Row],[Ped.6]]=5,0,"-")))))</f>
        <v>-</v>
      </c>
      <c r="DC20" s="73" t="str">
        <f>IF(NSi.SE[[#This Row],[Pro-A.6]]=1,100,IF(NSi.SE[[#This Row],[Pro-A.6]]=2,89,IF(NSi.SE[[#This Row],[Pro-A.6]]=3,79,IF(NSi.SE[[#This Row],[Pro-A.6]]=4,69,IF(NSi.SE[[#This Row],[Pro-A.6]]=5,0,"-")))))</f>
        <v>-</v>
      </c>
      <c r="DD20" s="74" t="str">
        <f>IF(NSi.SE[[#This Row],[KU.7]]="A",100,IF(NSi.SE[[#This Row],[KU.7]]="B",89,IF(NSi.SE[[#This Row],[KU.7]]="C",79,IF(NSi.SE[[#This Row],[KU.7]]="D",69,IF(NSi.SE[[#This Row],[KU.7]]="E",0,"-")))))</f>
        <v>-</v>
      </c>
      <c r="DE20" s="73" t="str">
        <f>IF(NSi.SE[[#This Row],[TJ.7]]=1,100,IF(NSi.SE[[#This Row],[TJ.7]]=2,89,IF(NSi.SE[[#This Row],[TJ.7]]=3,79,IF(NSi.SE[[#This Row],[TJ.7]]=4,69,IF(NSi.SE[[#This Row],[TJ.7]]=5,0,"-")))))</f>
        <v>-</v>
      </c>
      <c r="DF20" s="73" t="str">
        <f>IF(NSi.SE[[#This Row],[Ker.7]]=1,100,IF(NSi.SE[[#This Row],[Ker.7]]=2,89,IF(NSi.SE[[#This Row],[Ker.7]]=3,79,IF(NSi.SE[[#This Row],[Ker.7]]=4,69,IF(NSi.SE[[#This Row],[Ker.7]]=5,0,"-")))))</f>
        <v>-</v>
      </c>
      <c r="DG20" s="73" t="str">
        <f>IF(NSi.SE[[#This Row],[Ped.7]]=1,100,IF(NSi.SE[[#This Row],[Ped.7]]=2,89,IF(NSi.SE[[#This Row],[Ped.7]]=3,79,IF(NSi.SE[[#This Row],[Ped.7]]=4,69,IF(NSi.SE[[#This Row],[Ped.7]]=5,0,"-")))))</f>
        <v>-</v>
      </c>
      <c r="DH20" s="73" t="str">
        <f>IF(NSi.SE[[#This Row],[Pro-A.7]]=1,100,IF(NSi.SE[[#This Row],[Pro-A.7]]=2,89,IF(NSi.SE[[#This Row],[Pro-A.7]]=3,79,IF(NSi.SE[[#This Row],[Pro-A.7]]=4,69,IF(NSi.SE[[#This Row],[Pro-A.7]]=5,0,"-")))))</f>
        <v>-</v>
      </c>
      <c r="DI20" s="74" t="str">
        <f>IF(NSi.SE[[#This Row],[KU.8]]="A",100,IF(NSi.SE[[#This Row],[KU.8]]="B",89,IF(NSi.SE[[#This Row],[KU.8]]="C",79,IF(NSi.SE[[#This Row],[KU.8]]="D",69,IF(NSi.SE[[#This Row],[KU.8]]="E",0,"-")))))</f>
        <v>-</v>
      </c>
      <c r="DJ20" s="73" t="str">
        <f>IF(NSi.SE[[#This Row],[TJ.8]]=1,100,IF(NSi.SE[[#This Row],[TJ.8]]=2,89,IF(NSi.SE[[#This Row],[TJ.8]]=3,79,IF(NSi.SE[[#This Row],[TJ.8]]=4,69,IF(NSi.SE[[#This Row],[TJ.8]]=5,0,"-")))))</f>
        <v>-</v>
      </c>
      <c r="DK20" s="73" t="str">
        <f>IF(NSi.SE[[#This Row],[Ker.8]]=1,100,IF(NSi.SE[[#This Row],[Ker.8]]=2,89,IF(NSi.SE[[#This Row],[Ker.8]]=3,79,IF(NSi.SE[[#This Row],[Ker.8]]=4,69,IF(NSi.SE[[#This Row],[Ker.8]]=5,0,"-")))))</f>
        <v>-</v>
      </c>
      <c r="DL20" s="73" t="str">
        <f>IF(NSi.SE[[#This Row],[Ped.8]]=1,100,IF(NSi.SE[[#This Row],[Ped.8]]=2,89,IF(NSi.SE[[#This Row],[Ped.8]]=3,79,IF(NSi.SE[[#This Row],[Ped.8]]=4,69,IF(NSi.SE[[#This Row],[Ped.8]]=5,0,"-")))))</f>
        <v>-</v>
      </c>
      <c r="DM20" s="73" t="str">
        <f>IF(NSi.SE[[#This Row],[Pro-A.8]]=1,100,IF(NSi.SE[[#This Row],[Pro-A.8]]=2,89,IF(NSi.SE[[#This Row],[Pro-A.8]]=3,79,IF(NSi.SE[[#This Row],[Pro-A.8]]=4,69,IF(NSi.SE[[#This Row],[Pro-A.8]]=5,0,"-")))))</f>
        <v>-</v>
      </c>
      <c r="DN20" s="74" t="str">
        <f>IF(NSi.SE[[#This Row],[KU.9]]="A",100,IF(NSi.SE[[#This Row],[KU.9]]="B",89,IF(NSi.SE[[#This Row],[KU.9]]="C",79,IF(NSi.SE[[#This Row],[KU.9]]="D",69,IF(NSi.SE[[#This Row],[KU.9]]="E",0,"-")))))</f>
        <v>-</v>
      </c>
      <c r="DO20" s="73" t="str">
        <f>IF(NSi.SE[[#This Row],[TJ.9]]=1,100,IF(NSi.SE[[#This Row],[TJ.9]]=2,89,IF(NSi.SE[[#This Row],[TJ.9]]=3,79,IF(NSi.SE[[#This Row],[TJ.9]]=4,69,IF(NSi.SE[[#This Row],[TJ.9]]=5,0,"-")))))</f>
        <v>-</v>
      </c>
      <c r="DP20" s="73" t="str">
        <f>IF(NSi.SE[[#This Row],[Ker.9]]=1,100,IF(NSi.SE[[#This Row],[Ker.9]]=2,89,IF(NSi.SE[[#This Row],[Ker.9]]=3,79,IF(NSi.SE[[#This Row],[Ker.9]]=4,69,IF(NSi.SE[[#This Row],[Ker.9]]=5,0,"-")))))</f>
        <v>-</v>
      </c>
      <c r="DQ20" s="73" t="str">
        <f>IF(NSi.SE[[#This Row],[Ped.9]]=1,100,IF(NSi.SE[[#This Row],[Ped.9]]=2,89,IF(NSi.SE[[#This Row],[Ped.9]]=3,79,IF(NSi.SE[[#This Row],[Ped.9]]=4,69,IF(NSi.SE[[#This Row],[Ped.9]]=5,0,"-")))))</f>
        <v>-</v>
      </c>
      <c r="DR20" s="73" t="str">
        <f>IF(NSi.SE[[#This Row],[Pro-A.9]]=1,100,IF(NSi.SE[[#This Row],[Pro-A.9]]=2,89,IF(NSi.SE[[#This Row],[Pro-A.9]]=3,79,IF(NSi.SE[[#This Row],[Pro-A.9]]=4,69,IF(NSi.SE[[#This Row],[Pro-A.9]]=5,0,"-")))))</f>
        <v>-</v>
      </c>
      <c r="DT20"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1" spans="1:124" ht="50.1" customHeight="1" x14ac:dyDescent="0.3">
      <c r="A21" s="66" t="str">
        <f>IF(NSi.TS[[#This Row],[No]]=0,"",NSi.TS[[#This Row],[No]])</f>
        <v/>
      </c>
      <c r="B21" s="67" t="str">
        <f>IF(NSi.TS[[#This Row],[Nama Siswa]]=0,"",NSi.TS[[#This Row],[Nama Siswa]])</f>
        <v/>
      </c>
      <c r="C21" s="68" t="str">
        <f>IF(NSi.TS[[#This Row],[Nomor Induk]]=0,"",NSi.TS[[#This Row],[Nomor Induk]])</f>
        <v/>
      </c>
      <c r="D21" s="68" t="str">
        <f>IF(NSi.TS[[#This Row],[NISN]]=0,"",NSi.TS[[#This Row],[NISN]])</f>
        <v/>
      </c>
      <c r="E21" s="68" t="str">
        <f>IF(NSi.TS[[#This Row],[Jurusan]]=0,"",NSi.TS[[#This Row],[Jurusan]])</f>
        <v/>
      </c>
      <c r="F21" s="39" t="str">
        <f>NSi.TS[[#This Row],[Nsi.TS]]</f>
        <v/>
      </c>
      <c r="G21" s="39" t="str">
        <f>IFERROR(ROUND(AVERAGE(CSCR.S[#This Row]),0),"")</f>
        <v/>
      </c>
      <c r="H21" s="39" t="str">
        <f>IFERROR(ROUND(AVERAGE(NSi.SE[[#This Row],[Nsi.TS]:[NS.iS]]),0),"")</f>
        <v/>
      </c>
      <c r="I21" s="41" t="s">
        <v>102</v>
      </c>
      <c r="J21" s="45" t="s">
        <v>102</v>
      </c>
      <c r="K21" s="45" t="s">
        <v>102</v>
      </c>
      <c r="L21" s="45" t="s">
        <v>102</v>
      </c>
      <c r="M21" s="45" t="s">
        <v>102</v>
      </c>
      <c r="N21" s="41" t="s">
        <v>102</v>
      </c>
      <c r="O21" s="45" t="s">
        <v>102</v>
      </c>
      <c r="P21" s="45" t="s">
        <v>102</v>
      </c>
      <c r="Q21" s="45" t="s">
        <v>102</v>
      </c>
      <c r="R21" s="45" t="s">
        <v>102</v>
      </c>
      <c r="S21" s="41" t="s">
        <v>102</v>
      </c>
      <c r="T21" s="45" t="s">
        <v>102</v>
      </c>
      <c r="U21" s="45" t="s">
        <v>102</v>
      </c>
      <c r="V21" s="45" t="s">
        <v>102</v>
      </c>
      <c r="W21" s="45" t="s">
        <v>102</v>
      </c>
      <c r="X21" s="41" t="s">
        <v>102</v>
      </c>
      <c r="Y21" s="45" t="s">
        <v>102</v>
      </c>
      <c r="Z21" s="45" t="s">
        <v>102</v>
      </c>
      <c r="AA21" s="45" t="s">
        <v>102</v>
      </c>
      <c r="AB21" s="45" t="s">
        <v>102</v>
      </c>
      <c r="AC21" s="41" t="s">
        <v>102</v>
      </c>
      <c r="AD21" s="45" t="s">
        <v>102</v>
      </c>
      <c r="AE21" s="45" t="s">
        <v>102</v>
      </c>
      <c r="AF21" s="45" t="s">
        <v>102</v>
      </c>
      <c r="AG21" s="45" t="s">
        <v>102</v>
      </c>
      <c r="AH21" s="41" t="s">
        <v>102</v>
      </c>
      <c r="AI21" s="45" t="s">
        <v>102</v>
      </c>
      <c r="AJ21" s="45" t="s">
        <v>102</v>
      </c>
      <c r="AK21" s="45" t="s">
        <v>102</v>
      </c>
      <c r="AL21" s="45" t="s">
        <v>102</v>
      </c>
      <c r="AM21" s="41" t="s">
        <v>102</v>
      </c>
      <c r="AN21" s="45" t="s">
        <v>102</v>
      </c>
      <c r="AO21" s="45" t="s">
        <v>102</v>
      </c>
      <c r="AP21" s="45" t="s">
        <v>102</v>
      </c>
      <c r="AQ21" s="45" t="s">
        <v>102</v>
      </c>
      <c r="AR21" s="41" t="s">
        <v>102</v>
      </c>
      <c r="AS21" s="45" t="s">
        <v>102</v>
      </c>
      <c r="AT21" s="45" t="s">
        <v>102</v>
      </c>
      <c r="AU21" s="45" t="s">
        <v>102</v>
      </c>
      <c r="AV21" s="45" t="s">
        <v>102</v>
      </c>
      <c r="AW21" s="41" t="s">
        <v>102</v>
      </c>
      <c r="AX21" s="45" t="s">
        <v>102</v>
      </c>
      <c r="AY21" s="45" t="s">
        <v>102</v>
      </c>
      <c r="AZ21" s="45" t="s">
        <v>102</v>
      </c>
      <c r="BA21" s="45" t="s">
        <v>102</v>
      </c>
      <c r="BC21" s="10" t="str">
        <f>CONCATENATE(NSi.SE[[#This Row],[KU.1]],(IF(A.LoE.S[[#This Row],[LE.1]]="-","-",IF(A.LoE.S[[#This Row],[LE.1]]&gt;=90,1,IF(A.LoE.S[[#This Row],[LE.1]]&gt;=80,2,IF(A.LoE.S[[#This Row],[LE.1]]&gt;=70,3,IF(A.LoE.S[[#This Row],[LE.1]]&gt;=1,4,5)))))))</f>
        <v>--</v>
      </c>
      <c r="BD21" s="46" t="str">
        <f>CONCATENATE(NSi.SE[[#This Row],[KU.2]],(IF(A.LoE.S[[#This Row],[LE.2]]="-","-",IF(A.LoE.S[[#This Row],[LE.2]]&gt;=90,1,IF(A.LoE.S[[#This Row],[LE.2]]&gt;=80,2,IF(A.LoE.S[[#This Row],[LE.2]]&gt;=70,3,IF(A.LoE.S[[#This Row],[LE.2]]&gt;=1,4,5)))))))</f>
        <v>--</v>
      </c>
      <c r="BE21" s="46" t="str">
        <f>CONCATENATE(NSi.SE[[#This Row],[KU.3]],(IF(A.LoE.S[[#This Row],[LE.3]]="-","-",IF(A.LoE.S[[#This Row],[LE.3]]&gt;=90,1,IF(A.LoE.S[[#This Row],[LE.3]]&gt;=80,2,IF(A.LoE.S[[#This Row],[LE.3]]&gt;=70,3,IF(A.LoE.S[[#This Row],[LE.3]]&gt;=1,4,5)))))))</f>
        <v>--</v>
      </c>
      <c r="BF21" s="46" t="str">
        <f>CONCATENATE(NSi.SE[[#This Row],[KU.4]],(IF(A.LoE.S[[#This Row],[LE.4]]="-","-",IF(A.LoE.S[[#This Row],[LE.4]]&gt;=90,1,IF(A.LoE.S[[#This Row],[LE.4]]&gt;=80,2,IF(A.LoE.S[[#This Row],[LE.4]]&gt;=70,3,IF(A.LoE.S[[#This Row],[LE.4]]&gt;=1,4,5)))))))</f>
        <v>--</v>
      </c>
      <c r="BG21" s="46" t="str">
        <f>CONCATENATE(NSi.SE[[#This Row],[KU.5]],(IF(A.LoE.S[[#This Row],[LE.5]]="-","-",IF(A.LoE.S[[#This Row],[LE.5]]&gt;=90,1,IF(A.LoE.S[[#This Row],[LE.5]]&gt;=80,2,IF(A.LoE.S[[#This Row],[LE.5]]&gt;=70,3,IF(A.LoE.S[[#This Row],[LE.5]]&gt;=1,4,5)))))))</f>
        <v>--</v>
      </c>
      <c r="BH21" s="46" t="str">
        <f>CONCATENATE(NSi.SE[[#This Row],[KU.6]],(IF(A.LoE.S[[#This Row],[LE.6]]="-","-",IF(A.LoE.S[[#This Row],[LE.6]]&gt;=90,1,IF(A.LoE.S[[#This Row],[LE.6]]&gt;=80,2,IF(A.LoE.S[[#This Row],[LE.6]]&gt;=70,3,IF(A.LoE.S[[#This Row],[LE.6]]&gt;=1,4,5)))))))</f>
        <v>--</v>
      </c>
      <c r="BI21" s="46" t="str">
        <f>CONCATENATE(NSi.SE[[#This Row],[KU.7]],(IF(A.LoE.S[[#This Row],[LE.7]]="-","-",IF(A.LoE.S[[#This Row],[LE.7]]&gt;=90,1,IF(A.LoE.S[[#This Row],[LE.7]]&gt;=80,2,IF(A.LoE.S[[#This Row],[LE.7]]&gt;=70,3,IF(A.LoE.S[[#This Row],[LE.7]]&gt;=1,4,5)))))))</f>
        <v>--</v>
      </c>
      <c r="BJ21" s="46" t="str">
        <f>CONCATENATE(NSi.SE[[#This Row],[KU.8]],(IF(A.LoE.S[[#This Row],[LE.8]]="-","-",IF(A.LoE.S[[#This Row],[LE.8]]&gt;=90,1,IF(A.LoE.S[[#This Row],[LE.8]]&gt;=80,2,IF(A.LoE.S[[#This Row],[LE.8]]&gt;=70,3,IF(A.LoE.S[[#This Row],[LE.8]]&gt;=1,4,5)))))))</f>
        <v>--</v>
      </c>
      <c r="BK21" s="38" t="str">
        <f>CONCATENATE(NSi.SE[[#This Row],[KU.9]],(IF(A.LoE.S[[#This Row],[LE.9]]="-","-",IF(A.LoE.S[[#This Row],[LE.9]]&gt;=90,1,IF(A.LoE.S[[#This Row],[LE.9]]&gt;=80,2,IF(A.LoE.S[[#This Row],[LE.9]]&gt;=70,3,IF(A.LoE.S[[#This Row],[LE.9]]&gt;=1,4,5)))))))</f>
        <v>--</v>
      </c>
      <c r="BM21" s="35" t="str">
        <f>IFERROR(ROUND(AVERAGE(Con.Sk.S[[#This Row],[TJ.1]:[Pro-A.1]]),0),"-")</f>
        <v>-</v>
      </c>
      <c r="BN21" s="24" t="str">
        <f>IFERROR(ROUND(AVERAGE(Con.Sk.S[[#This Row],[TJ.2]:[Pro-A.2]]),0),"-")</f>
        <v>-</v>
      </c>
      <c r="BO21" s="24" t="str">
        <f>IFERROR(ROUND(AVERAGE(Con.Sk.S[[#This Row],[TJ.3]:[Pro-A.3]]),0),"-")</f>
        <v>-</v>
      </c>
      <c r="BP21" s="24" t="str">
        <f>IFERROR(ROUND(AVERAGE(Con.Sk.S[[#This Row],[TJ.4]:[Pro-A.4]]),0),"-")</f>
        <v>-</v>
      </c>
      <c r="BQ21" s="24" t="str">
        <f>IFERROR(ROUND(AVERAGE(Con.Sk.S[[#This Row],[TJ.5]:[Pro-A.5]]),0),"-")</f>
        <v>-</v>
      </c>
      <c r="BR21" s="24" t="str">
        <f>IFERROR(ROUND(AVERAGE(Con.Sk.S[[#This Row],[TJ.6]:[Pro-A.6]]),0),"-")</f>
        <v>-</v>
      </c>
      <c r="BS21" s="24" t="str">
        <f>IFERROR(ROUND(AVERAGE(Con.Sk.S[[#This Row],[TJ.7]:[Pro-A.7]]),0),"-")</f>
        <v>-</v>
      </c>
      <c r="BT21" s="24" t="str">
        <f>IFERROR(ROUND(AVERAGE(Con.Sk.S[[#This Row],[TJ.8]:[Pro-A.8]]),0),"-")</f>
        <v>-</v>
      </c>
      <c r="BU21" s="25" t="str">
        <f>IFERROR(ROUND(AVERAGE(Con.Sk.S[[#This Row],[TJ.9]:[Pro-A.9]]),0),"-")</f>
        <v>-</v>
      </c>
      <c r="BW21" s="47" t="str">
        <f>IFERROR(ROUND(AVERAGE(Con.Sk.S[[#This Row],[KU.1]],Con.Sk.S[[#This Row],[KU.2]],Con.Sk.S[[#This Row],[KU.3]],Con.Sk.S[[#This Row],[KU.4]],Con.Sk.S[[#This Row],[KU.5]],Con.Sk.S[[#This Row],[KU.6]],Con.Sk.S[[#This Row],[KU.7]],Con.Sk.S[[#This Row],[KU.8]],Con.Sk.S[[#This Row],[KU.9]]),0),"")</f>
        <v/>
      </c>
      <c r="BX21" s="48" t="str">
        <f>IFERROR(ROUND(AVERAGE(Con.Sk.S[[#This Row],[TJ.1]:[Pro-A.1]],Con.Sk.S[[#This Row],[TJ.2]:[Pro-A.2]],Con.Sk.S[[#This Row],[TJ.3]:[Pro-A.3]],Con.Sk.S[[#This Row],[TJ.4]:[Pro-A.4]],Con.Sk.S[[#This Row],[TJ.5]:[Pro-A.5]],Con.Sk.S[[#This Row],[TJ.6]:[Pro-A.6]],Con.Sk.S[[#This Row],[TJ.7]:[Pro-A.7]],Con.Sk.S[[#This Row],[TJ.8]:[Pro-A.8]],Con.Sk.S[[#This Row],[TJ.9]:[Pro-A.9]]),0),"")</f>
        <v/>
      </c>
      <c r="BY21" s="3"/>
      <c r="BZ21" s="73" t="str">
        <f>IF(NSi.SE[[#This Row],[KU.1]]="A",100,IF(NSi.SE[[#This Row],[KU.1]]="B",89,IF(NSi.SE[[#This Row],[KU.1]]="C",79,IF(NSi.SE[[#This Row],[KU.1]]="D",69,IF(NSi.SE[[#This Row],[KU.1]]="E",0,"-")))))</f>
        <v>-</v>
      </c>
      <c r="CA21" s="73" t="str">
        <f>IF(NSi.SE[[#This Row],[TJ.1]]=1,100,IF(NSi.SE[[#This Row],[TJ.1]]=2,89,IF(NSi.SE[[#This Row],[TJ.1]]=3,79,IF(NSi.SE[[#This Row],[TJ.1]]=4,69,IF(NSi.SE[[#This Row],[TJ.1]]=5,0,"-")))))</f>
        <v>-</v>
      </c>
      <c r="CB21" s="73" t="str">
        <f>IF(NSi.SE[[#This Row],[Ker.1]]=1,100,IF(NSi.SE[[#This Row],[Ker.1]]=2,89,IF(NSi.SE[[#This Row],[Ker.1]]=3,79,IF(NSi.SE[[#This Row],[Ker.1]]=4,69,IF(NSi.SE[[#This Row],[Ker.1]]=5,0,"-")))))</f>
        <v>-</v>
      </c>
      <c r="CC21" s="73" t="str">
        <f>IF(NSi.SE[[#This Row],[Ped.1]]=1,100,IF(NSi.SE[[#This Row],[Ped.1]]=2,89,IF(NSi.SE[[#This Row],[Ped.1]]=3,79,IF(NSi.SE[[#This Row],[Ped.1]]=4,69,IF(NSi.SE[[#This Row],[Ped.1]]=5,0,"-")))))</f>
        <v>-</v>
      </c>
      <c r="CD21" s="73" t="str">
        <f>IF(NSi.SE[[#This Row],[Pro-A.1]]=1,100,IF(NSi.SE[[#This Row],[Pro-A.1]]=2,89,IF(NSi.SE[[#This Row],[Pro-A.1]]=3,79,IF(NSi.SE[[#This Row],[Pro-A.1]]=4,69,IF(NSi.SE[[#This Row],[Pro-A.1]]=5,0,"-")))))</f>
        <v>-</v>
      </c>
      <c r="CE21" s="73" t="str">
        <f>IF(NSi.SE[[#This Row],[KU.2]]="A",100,IF(NSi.SE[[#This Row],[KU.2]]="B",89,IF(NSi.SE[[#This Row],[KU.2]]="C",79,IF(NSi.SE[[#This Row],[KU.2]]="D",69,IF(NSi.SE[[#This Row],[KU.2]]="E",0,"-")))))</f>
        <v>-</v>
      </c>
      <c r="CF21" s="73" t="str">
        <f>IF(NSi.SE[[#This Row],[TJ.2]]=1,100,IF(NSi.SE[[#This Row],[TJ.2]]=2,89,IF(NSi.SE[[#This Row],[TJ.2]]=3,79,IF(NSi.SE[[#This Row],[TJ.2]]=4,69,IF(NSi.SE[[#This Row],[TJ.2]]=5,0,"-")))))</f>
        <v>-</v>
      </c>
      <c r="CG21" s="73" t="str">
        <f>IF(NSi.SE[[#This Row],[Ker.2]]=1,100,IF(NSi.SE[[#This Row],[Ker.2]]=2,89,IF(NSi.SE[[#This Row],[Ker.2]]=3,79,IF(NSi.SE[[#This Row],[Ker.2]]=4,69,IF(NSi.SE[[#This Row],[Ker.2]]=5,0,"-")))))</f>
        <v>-</v>
      </c>
      <c r="CH21" s="73" t="str">
        <f>IF(NSi.SE[[#This Row],[Ped.2]]=1,100,IF(NSi.SE[[#This Row],[Ped.2]]=2,89,IF(NSi.SE[[#This Row],[Ped.2]]=3,79,IF(NSi.SE[[#This Row],[Ped.2]]=4,69,IF(NSi.SE[[#This Row],[Ped.2]]=5,0,"-")))))</f>
        <v>-</v>
      </c>
      <c r="CI21" s="73" t="str">
        <f>IF(NSi.SE[[#This Row],[Pro-A.2]]=1,100,IF(NSi.SE[[#This Row],[Pro-A.2]]=2,89,IF(NSi.SE[[#This Row],[Pro-A.2]]=3,79,IF(NSi.SE[[#This Row],[Pro-A.2]]=4,69,IF(NSi.SE[[#This Row],[Pro-A.2]]=5,0,"-")))))</f>
        <v>-</v>
      </c>
      <c r="CJ21" s="74" t="str">
        <f>IF(NSi.SE[[#This Row],[KU.3]]="A",100,IF(NSi.SE[[#This Row],[KU.3]]="B",89,IF(NSi.SE[[#This Row],[KU.3]]="C",79,IF(NSi.SE[[#This Row],[KU.3]]="D",69,IF(NSi.SE[[#This Row],[KU.3]]="E",0,"-")))))</f>
        <v>-</v>
      </c>
      <c r="CK21" s="73" t="str">
        <f>IF(NSi.SE[[#This Row],[TJ.3]]=1,100,IF(NSi.SE[[#This Row],[TJ.3]]=2,89,IF(NSi.SE[[#This Row],[TJ.3]]=3,79,IF(NSi.SE[[#This Row],[TJ.3]]=4,69,IF(NSi.SE[[#This Row],[TJ.3]]=5,0,"-")))))</f>
        <v>-</v>
      </c>
      <c r="CL21" s="73" t="str">
        <f>IF(NSi.SE[[#This Row],[Ker.3]]=1,100,IF(NSi.SE[[#This Row],[Ker.3]]=2,89,IF(NSi.SE[[#This Row],[Ker.3]]=3,79,IF(NSi.SE[[#This Row],[Ker.3]]=4,69,IF(NSi.SE[[#This Row],[Ker.3]]=5,0,"-")))))</f>
        <v>-</v>
      </c>
      <c r="CM21" s="73" t="str">
        <f>IF(NSi.SE[[#This Row],[Ped.3]]=1,100,IF(NSi.SE[[#This Row],[Ped.3]]=2,89,IF(NSi.SE[[#This Row],[Ped.3]]=3,79,IF(NSi.SE[[#This Row],[Ped.3]]=4,69,IF(NSi.SE[[#This Row],[Ped.3]]=5,0,"-")))))</f>
        <v>-</v>
      </c>
      <c r="CN21" s="73" t="str">
        <f>IF(NSi.SE[[#This Row],[Pro-A.3]]=1,100,IF(NSi.SE[[#This Row],[Pro-A.3]]=2,89,IF(NSi.SE[[#This Row],[Pro-A.3]]=3,79,IF(NSi.SE[[#This Row],[Pro-A.3]]=4,69,IF(NSi.SE[[#This Row],[Pro-A.3]]=5,0,"-")))))</f>
        <v>-</v>
      </c>
      <c r="CO21" s="74" t="str">
        <f>IF(NSi.SE[[#This Row],[KU.4]]="A",100,IF(NSi.SE[[#This Row],[KU.4]]="B",89,IF(NSi.SE[[#This Row],[KU.4]]="C",79,IF(NSi.SE[[#This Row],[KU.4]]="D",69,IF(NSi.SE[[#This Row],[KU.4]]="E",0,"-")))))</f>
        <v>-</v>
      </c>
      <c r="CP21" s="73" t="str">
        <f>IF(NSi.SE[[#This Row],[TJ.4]]=1,100,IF(NSi.SE[[#This Row],[TJ.4]]=2,89,IF(NSi.SE[[#This Row],[TJ.4]]=3,79,IF(NSi.SE[[#This Row],[TJ.4]]=4,69,IF(NSi.SE[[#This Row],[TJ.4]]=5,0,"-")))))</f>
        <v>-</v>
      </c>
      <c r="CQ21" s="73" t="str">
        <f>IF(NSi.SE[[#This Row],[Ker.4]]=1,100,IF(NSi.SE[[#This Row],[Ker.4]]=2,89,IF(NSi.SE[[#This Row],[Ker.4]]=3,79,IF(NSi.SE[[#This Row],[Ker.4]]=4,69,IF(NSi.SE[[#This Row],[Ker.4]]=5,0,"-")))))</f>
        <v>-</v>
      </c>
      <c r="CR21" s="73" t="str">
        <f>IF(NSi.SE[[#This Row],[Ped.4]]=1,100,IF(NSi.SE[[#This Row],[Ped.4]]=2,89,IF(NSi.SE[[#This Row],[Ped.4]]=3,79,IF(NSi.SE[[#This Row],[Ped.4]]=4,69,IF(NSi.SE[[#This Row],[Ped.4]]=5,0,"-")))))</f>
        <v>-</v>
      </c>
      <c r="CS21" s="73" t="str">
        <f>IF(NSi.SE[[#This Row],[Pro-A.4]]=1,100,IF(NSi.SE[[#This Row],[Pro-A.4]]=2,89,IF(NSi.SE[[#This Row],[Pro-A.4]]=3,79,IF(NSi.SE[[#This Row],[Pro-A.4]]=4,69,IF(NSi.SE[[#This Row],[Pro-A.4]]=5,0,"-")))))</f>
        <v>-</v>
      </c>
      <c r="CT21" s="74" t="str">
        <f>IF(NSi.SE[[#This Row],[KU.5]]="A",100,IF(NSi.SE[[#This Row],[KU.5]]="B",89,IF(NSi.SE[[#This Row],[KU.5]]="C",79,IF(NSi.SE[[#This Row],[KU.5]]="D",69,IF(NSi.SE[[#This Row],[KU.5]]="E",0,"-")))))</f>
        <v>-</v>
      </c>
      <c r="CU21" s="73" t="str">
        <f>IF(NSi.SE[[#This Row],[TJ.5]]=1,100,IF(NSi.SE[[#This Row],[TJ.5]]=2,89,IF(NSi.SE[[#This Row],[TJ.5]]=3,79,IF(NSi.SE[[#This Row],[TJ.5]]=4,69,IF(NSi.SE[[#This Row],[TJ.5]]=5,0,"-")))))</f>
        <v>-</v>
      </c>
      <c r="CV21" s="73" t="str">
        <f>IF(NSi.SE[[#This Row],[Ker.5]]=1,100,IF(NSi.SE[[#This Row],[Ker.5]]=2,89,IF(NSi.SE[[#This Row],[Ker.5]]=3,79,IF(NSi.SE[[#This Row],[Ker.5]]=4,69,IF(NSi.SE[[#This Row],[Ker.5]]=5,0,"-")))))</f>
        <v>-</v>
      </c>
      <c r="CW21" s="73" t="str">
        <f>IF(NSi.SE[[#This Row],[Ped.5]]=1,100,IF(NSi.SE[[#This Row],[Ped.5]]=2,89,IF(NSi.SE[[#This Row],[Ped.5]]=3,79,IF(NSi.SE[[#This Row],[Ped.5]]=4,69,IF(NSi.SE[[#This Row],[Ped.5]]=5,0,"-")))))</f>
        <v>-</v>
      </c>
      <c r="CX21" s="73" t="str">
        <f>IF(NSi.SE[[#This Row],[Pro-A.5]]=1,100,IF(NSi.SE[[#This Row],[Pro-A.5]]=2,89,IF(NSi.SE[[#This Row],[Pro-A.5]]=3,79,IF(NSi.SE[[#This Row],[Pro-A.5]]=4,69,IF(NSi.SE[[#This Row],[Pro-A.5]]=5,0,"-")))))</f>
        <v>-</v>
      </c>
      <c r="CY21" s="74" t="str">
        <f>IF(NSi.SE[[#This Row],[KU.6]]="A",100,IF(NSi.SE[[#This Row],[KU.6]]="B",89,IF(NSi.SE[[#This Row],[KU.6]]="C",79,IF(NSi.SE[[#This Row],[KU.6]]="D",69,IF(NSi.SE[[#This Row],[KU.6]]="E",0,"-")))))</f>
        <v>-</v>
      </c>
      <c r="CZ21" s="73" t="str">
        <f>IF(NSi.SE[[#This Row],[TJ.6]]=1,100,IF(NSi.SE[[#This Row],[TJ.6]]=2,89,IF(NSi.SE[[#This Row],[TJ.6]]=3,79,IF(NSi.SE[[#This Row],[TJ.6]]=4,69,IF(NSi.SE[[#This Row],[TJ.6]]=5,0,"-")))))</f>
        <v>-</v>
      </c>
      <c r="DA21" s="73" t="str">
        <f>IF(NSi.SE[[#This Row],[Ker.6]]=1,100,IF(NSi.SE[[#This Row],[Ker.6]]=2,89,IF(NSi.SE[[#This Row],[Ker.6]]=3,79,IF(NSi.SE[[#This Row],[Ker.6]]=4,69,IF(NSi.SE[[#This Row],[Ker.6]]=5,0,"-")))))</f>
        <v>-</v>
      </c>
      <c r="DB21" s="73" t="str">
        <f>IF(NSi.SE[[#This Row],[Ped.6]]=1,100,IF(NSi.SE[[#This Row],[Ped.6]]=2,89,IF(NSi.SE[[#This Row],[Ped.6]]=3,79,IF(NSi.SE[[#This Row],[Ped.6]]=4,69,IF(NSi.SE[[#This Row],[Ped.6]]=5,0,"-")))))</f>
        <v>-</v>
      </c>
      <c r="DC21" s="73" t="str">
        <f>IF(NSi.SE[[#This Row],[Pro-A.6]]=1,100,IF(NSi.SE[[#This Row],[Pro-A.6]]=2,89,IF(NSi.SE[[#This Row],[Pro-A.6]]=3,79,IF(NSi.SE[[#This Row],[Pro-A.6]]=4,69,IF(NSi.SE[[#This Row],[Pro-A.6]]=5,0,"-")))))</f>
        <v>-</v>
      </c>
      <c r="DD21" s="74" t="str">
        <f>IF(NSi.SE[[#This Row],[KU.7]]="A",100,IF(NSi.SE[[#This Row],[KU.7]]="B",89,IF(NSi.SE[[#This Row],[KU.7]]="C",79,IF(NSi.SE[[#This Row],[KU.7]]="D",69,IF(NSi.SE[[#This Row],[KU.7]]="E",0,"-")))))</f>
        <v>-</v>
      </c>
      <c r="DE21" s="73" t="str">
        <f>IF(NSi.SE[[#This Row],[TJ.7]]=1,100,IF(NSi.SE[[#This Row],[TJ.7]]=2,89,IF(NSi.SE[[#This Row],[TJ.7]]=3,79,IF(NSi.SE[[#This Row],[TJ.7]]=4,69,IF(NSi.SE[[#This Row],[TJ.7]]=5,0,"-")))))</f>
        <v>-</v>
      </c>
      <c r="DF21" s="73" t="str">
        <f>IF(NSi.SE[[#This Row],[Ker.7]]=1,100,IF(NSi.SE[[#This Row],[Ker.7]]=2,89,IF(NSi.SE[[#This Row],[Ker.7]]=3,79,IF(NSi.SE[[#This Row],[Ker.7]]=4,69,IF(NSi.SE[[#This Row],[Ker.7]]=5,0,"-")))))</f>
        <v>-</v>
      </c>
      <c r="DG21" s="73" t="str">
        <f>IF(NSi.SE[[#This Row],[Ped.7]]=1,100,IF(NSi.SE[[#This Row],[Ped.7]]=2,89,IF(NSi.SE[[#This Row],[Ped.7]]=3,79,IF(NSi.SE[[#This Row],[Ped.7]]=4,69,IF(NSi.SE[[#This Row],[Ped.7]]=5,0,"-")))))</f>
        <v>-</v>
      </c>
      <c r="DH21" s="73" t="str">
        <f>IF(NSi.SE[[#This Row],[Pro-A.7]]=1,100,IF(NSi.SE[[#This Row],[Pro-A.7]]=2,89,IF(NSi.SE[[#This Row],[Pro-A.7]]=3,79,IF(NSi.SE[[#This Row],[Pro-A.7]]=4,69,IF(NSi.SE[[#This Row],[Pro-A.7]]=5,0,"-")))))</f>
        <v>-</v>
      </c>
      <c r="DI21" s="74" t="str">
        <f>IF(NSi.SE[[#This Row],[KU.8]]="A",100,IF(NSi.SE[[#This Row],[KU.8]]="B",89,IF(NSi.SE[[#This Row],[KU.8]]="C",79,IF(NSi.SE[[#This Row],[KU.8]]="D",69,IF(NSi.SE[[#This Row],[KU.8]]="E",0,"-")))))</f>
        <v>-</v>
      </c>
      <c r="DJ21" s="73" t="str">
        <f>IF(NSi.SE[[#This Row],[TJ.8]]=1,100,IF(NSi.SE[[#This Row],[TJ.8]]=2,89,IF(NSi.SE[[#This Row],[TJ.8]]=3,79,IF(NSi.SE[[#This Row],[TJ.8]]=4,69,IF(NSi.SE[[#This Row],[TJ.8]]=5,0,"-")))))</f>
        <v>-</v>
      </c>
      <c r="DK21" s="73" t="str">
        <f>IF(NSi.SE[[#This Row],[Ker.8]]=1,100,IF(NSi.SE[[#This Row],[Ker.8]]=2,89,IF(NSi.SE[[#This Row],[Ker.8]]=3,79,IF(NSi.SE[[#This Row],[Ker.8]]=4,69,IF(NSi.SE[[#This Row],[Ker.8]]=5,0,"-")))))</f>
        <v>-</v>
      </c>
      <c r="DL21" s="73" t="str">
        <f>IF(NSi.SE[[#This Row],[Ped.8]]=1,100,IF(NSi.SE[[#This Row],[Ped.8]]=2,89,IF(NSi.SE[[#This Row],[Ped.8]]=3,79,IF(NSi.SE[[#This Row],[Ped.8]]=4,69,IF(NSi.SE[[#This Row],[Ped.8]]=5,0,"-")))))</f>
        <v>-</v>
      </c>
      <c r="DM21" s="73" t="str">
        <f>IF(NSi.SE[[#This Row],[Pro-A.8]]=1,100,IF(NSi.SE[[#This Row],[Pro-A.8]]=2,89,IF(NSi.SE[[#This Row],[Pro-A.8]]=3,79,IF(NSi.SE[[#This Row],[Pro-A.8]]=4,69,IF(NSi.SE[[#This Row],[Pro-A.8]]=5,0,"-")))))</f>
        <v>-</v>
      </c>
      <c r="DN21" s="74" t="str">
        <f>IF(NSi.SE[[#This Row],[KU.9]]="A",100,IF(NSi.SE[[#This Row],[KU.9]]="B",89,IF(NSi.SE[[#This Row],[KU.9]]="C",79,IF(NSi.SE[[#This Row],[KU.9]]="D",69,IF(NSi.SE[[#This Row],[KU.9]]="E",0,"-")))))</f>
        <v>-</v>
      </c>
      <c r="DO21" s="73" t="str">
        <f>IF(NSi.SE[[#This Row],[TJ.9]]=1,100,IF(NSi.SE[[#This Row],[TJ.9]]=2,89,IF(NSi.SE[[#This Row],[TJ.9]]=3,79,IF(NSi.SE[[#This Row],[TJ.9]]=4,69,IF(NSi.SE[[#This Row],[TJ.9]]=5,0,"-")))))</f>
        <v>-</v>
      </c>
      <c r="DP21" s="73" t="str">
        <f>IF(NSi.SE[[#This Row],[Ker.9]]=1,100,IF(NSi.SE[[#This Row],[Ker.9]]=2,89,IF(NSi.SE[[#This Row],[Ker.9]]=3,79,IF(NSi.SE[[#This Row],[Ker.9]]=4,69,IF(NSi.SE[[#This Row],[Ker.9]]=5,0,"-")))))</f>
        <v>-</v>
      </c>
      <c r="DQ21" s="73" t="str">
        <f>IF(NSi.SE[[#This Row],[Ped.9]]=1,100,IF(NSi.SE[[#This Row],[Ped.9]]=2,89,IF(NSi.SE[[#This Row],[Ped.9]]=3,79,IF(NSi.SE[[#This Row],[Ped.9]]=4,69,IF(NSi.SE[[#This Row],[Ped.9]]=5,0,"-")))))</f>
        <v>-</v>
      </c>
      <c r="DR21" s="73" t="str">
        <f>IF(NSi.SE[[#This Row],[Pro-A.9]]=1,100,IF(NSi.SE[[#This Row],[Pro-A.9]]=2,89,IF(NSi.SE[[#This Row],[Pro-A.9]]=3,79,IF(NSi.SE[[#This Row],[Pro-A.9]]=4,69,IF(NSi.SE[[#This Row],[Pro-A.9]]=5,0,"-")))))</f>
        <v>-</v>
      </c>
      <c r="DT21"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2" spans="1:124" ht="50.1" customHeight="1" x14ac:dyDescent="0.3">
      <c r="A22" s="66" t="str">
        <f>IF(NSi.TS[[#This Row],[No]]=0,"",NSi.TS[[#This Row],[No]])</f>
        <v/>
      </c>
      <c r="B22" s="67" t="str">
        <f>IF(NSi.TS[[#This Row],[Nama Siswa]]=0,"",NSi.TS[[#This Row],[Nama Siswa]])</f>
        <v/>
      </c>
      <c r="C22" s="68" t="str">
        <f>IF(NSi.TS[[#This Row],[Nomor Induk]]=0,"",NSi.TS[[#This Row],[Nomor Induk]])</f>
        <v/>
      </c>
      <c r="D22" s="68" t="str">
        <f>IF(NSi.TS[[#This Row],[NISN]]=0,"",NSi.TS[[#This Row],[NISN]])</f>
        <v/>
      </c>
      <c r="E22" s="68" t="str">
        <f>IF(NSi.TS[[#This Row],[Jurusan]]=0,"",NSi.TS[[#This Row],[Jurusan]])</f>
        <v/>
      </c>
      <c r="F22" s="39" t="str">
        <f>NSi.TS[[#This Row],[Nsi.TS]]</f>
        <v/>
      </c>
      <c r="G22" s="39" t="str">
        <f>IFERROR(ROUND(AVERAGE(CSCR.S[#This Row]),0),"")</f>
        <v/>
      </c>
      <c r="H22" s="39" t="str">
        <f>IFERROR(ROUND(AVERAGE(NSi.SE[[#This Row],[Nsi.TS]:[NS.iS]]),0),"")</f>
        <v/>
      </c>
      <c r="I22" s="41" t="s">
        <v>102</v>
      </c>
      <c r="J22" s="45" t="s">
        <v>102</v>
      </c>
      <c r="K22" s="45" t="s">
        <v>102</v>
      </c>
      <c r="L22" s="45" t="s">
        <v>102</v>
      </c>
      <c r="M22" s="45" t="s">
        <v>102</v>
      </c>
      <c r="N22" s="41" t="s">
        <v>102</v>
      </c>
      <c r="O22" s="45" t="s">
        <v>102</v>
      </c>
      <c r="P22" s="45" t="s">
        <v>102</v>
      </c>
      <c r="Q22" s="45" t="s">
        <v>102</v>
      </c>
      <c r="R22" s="45" t="s">
        <v>102</v>
      </c>
      <c r="S22" s="41" t="s">
        <v>102</v>
      </c>
      <c r="T22" s="45" t="s">
        <v>102</v>
      </c>
      <c r="U22" s="45" t="s">
        <v>102</v>
      </c>
      <c r="V22" s="45" t="s">
        <v>102</v>
      </c>
      <c r="W22" s="45" t="s">
        <v>102</v>
      </c>
      <c r="X22" s="41" t="s">
        <v>102</v>
      </c>
      <c r="Y22" s="45" t="s">
        <v>102</v>
      </c>
      <c r="Z22" s="45" t="s">
        <v>102</v>
      </c>
      <c r="AA22" s="45" t="s">
        <v>102</v>
      </c>
      <c r="AB22" s="45" t="s">
        <v>102</v>
      </c>
      <c r="AC22" s="41" t="s">
        <v>102</v>
      </c>
      <c r="AD22" s="45" t="s">
        <v>102</v>
      </c>
      <c r="AE22" s="45" t="s">
        <v>102</v>
      </c>
      <c r="AF22" s="45" t="s">
        <v>102</v>
      </c>
      <c r="AG22" s="45" t="s">
        <v>102</v>
      </c>
      <c r="AH22" s="41" t="s">
        <v>102</v>
      </c>
      <c r="AI22" s="45" t="s">
        <v>102</v>
      </c>
      <c r="AJ22" s="45" t="s">
        <v>102</v>
      </c>
      <c r="AK22" s="45" t="s">
        <v>102</v>
      </c>
      <c r="AL22" s="45" t="s">
        <v>102</v>
      </c>
      <c r="AM22" s="41" t="s">
        <v>102</v>
      </c>
      <c r="AN22" s="45" t="s">
        <v>102</v>
      </c>
      <c r="AO22" s="45" t="s">
        <v>102</v>
      </c>
      <c r="AP22" s="45" t="s">
        <v>102</v>
      </c>
      <c r="AQ22" s="45" t="s">
        <v>102</v>
      </c>
      <c r="AR22" s="41" t="s">
        <v>102</v>
      </c>
      <c r="AS22" s="45" t="s">
        <v>102</v>
      </c>
      <c r="AT22" s="45" t="s">
        <v>102</v>
      </c>
      <c r="AU22" s="45" t="s">
        <v>102</v>
      </c>
      <c r="AV22" s="45" t="s">
        <v>102</v>
      </c>
      <c r="AW22" s="41" t="s">
        <v>102</v>
      </c>
      <c r="AX22" s="45" t="s">
        <v>102</v>
      </c>
      <c r="AY22" s="45" t="s">
        <v>102</v>
      </c>
      <c r="AZ22" s="45" t="s">
        <v>102</v>
      </c>
      <c r="BA22" s="45" t="s">
        <v>102</v>
      </c>
      <c r="BC22" s="10" t="str">
        <f>CONCATENATE(NSi.SE[[#This Row],[KU.1]],(IF(A.LoE.S[[#This Row],[LE.1]]="-","-",IF(A.LoE.S[[#This Row],[LE.1]]&gt;=90,1,IF(A.LoE.S[[#This Row],[LE.1]]&gt;=80,2,IF(A.LoE.S[[#This Row],[LE.1]]&gt;=70,3,IF(A.LoE.S[[#This Row],[LE.1]]&gt;=1,4,5)))))))</f>
        <v>--</v>
      </c>
      <c r="BD22" s="46" t="str">
        <f>CONCATENATE(NSi.SE[[#This Row],[KU.2]],(IF(A.LoE.S[[#This Row],[LE.2]]="-","-",IF(A.LoE.S[[#This Row],[LE.2]]&gt;=90,1,IF(A.LoE.S[[#This Row],[LE.2]]&gt;=80,2,IF(A.LoE.S[[#This Row],[LE.2]]&gt;=70,3,IF(A.LoE.S[[#This Row],[LE.2]]&gt;=1,4,5)))))))</f>
        <v>--</v>
      </c>
      <c r="BE22" s="46" t="str">
        <f>CONCATENATE(NSi.SE[[#This Row],[KU.3]],(IF(A.LoE.S[[#This Row],[LE.3]]="-","-",IF(A.LoE.S[[#This Row],[LE.3]]&gt;=90,1,IF(A.LoE.S[[#This Row],[LE.3]]&gt;=80,2,IF(A.LoE.S[[#This Row],[LE.3]]&gt;=70,3,IF(A.LoE.S[[#This Row],[LE.3]]&gt;=1,4,5)))))))</f>
        <v>--</v>
      </c>
      <c r="BF22" s="46" t="str">
        <f>CONCATENATE(NSi.SE[[#This Row],[KU.4]],(IF(A.LoE.S[[#This Row],[LE.4]]="-","-",IF(A.LoE.S[[#This Row],[LE.4]]&gt;=90,1,IF(A.LoE.S[[#This Row],[LE.4]]&gt;=80,2,IF(A.LoE.S[[#This Row],[LE.4]]&gt;=70,3,IF(A.LoE.S[[#This Row],[LE.4]]&gt;=1,4,5)))))))</f>
        <v>--</v>
      </c>
      <c r="BG22" s="46" t="str">
        <f>CONCATENATE(NSi.SE[[#This Row],[KU.5]],(IF(A.LoE.S[[#This Row],[LE.5]]="-","-",IF(A.LoE.S[[#This Row],[LE.5]]&gt;=90,1,IF(A.LoE.S[[#This Row],[LE.5]]&gt;=80,2,IF(A.LoE.S[[#This Row],[LE.5]]&gt;=70,3,IF(A.LoE.S[[#This Row],[LE.5]]&gt;=1,4,5)))))))</f>
        <v>--</v>
      </c>
      <c r="BH22" s="46" t="str">
        <f>CONCATENATE(NSi.SE[[#This Row],[KU.6]],(IF(A.LoE.S[[#This Row],[LE.6]]="-","-",IF(A.LoE.S[[#This Row],[LE.6]]&gt;=90,1,IF(A.LoE.S[[#This Row],[LE.6]]&gt;=80,2,IF(A.LoE.S[[#This Row],[LE.6]]&gt;=70,3,IF(A.LoE.S[[#This Row],[LE.6]]&gt;=1,4,5)))))))</f>
        <v>--</v>
      </c>
      <c r="BI22" s="46" t="str">
        <f>CONCATENATE(NSi.SE[[#This Row],[KU.7]],(IF(A.LoE.S[[#This Row],[LE.7]]="-","-",IF(A.LoE.S[[#This Row],[LE.7]]&gt;=90,1,IF(A.LoE.S[[#This Row],[LE.7]]&gt;=80,2,IF(A.LoE.S[[#This Row],[LE.7]]&gt;=70,3,IF(A.LoE.S[[#This Row],[LE.7]]&gt;=1,4,5)))))))</f>
        <v>--</v>
      </c>
      <c r="BJ22" s="46" t="str">
        <f>CONCATENATE(NSi.SE[[#This Row],[KU.8]],(IF(A.LoE.S[[#This Row],[LE.8]]="-","-",IF(A.LoE.S[[#This Row],[LE.8]]&gt;=90,1,IF(A.LoE.S[[#This Row],[LE.8]]&gt;=80,2,IF(A.LoE.S[[#This Row],[LE.8]]&gt;=70,3,IF(A.LoE.S[[#This Row],[LE.8]]&gt;=1,4,5)))))))</f>
        <v>--</v>
      </c>
      <c r="BK22" s="38" t="str">
        <f>CONCATENATE(NSi.SE[[#This Row],[KU.9]],(IF(A.LoE.S[[#This Row],[LE.9]]="-","-",IF(A.LoE.S[[#This Row],[LE.9]]&gt;=90,1,IF(A.LoE.S[[#This Row],[LE.9]]&gt;=80,2,IF(A.LoE.S[[#This Row],[LE.9]]&gt;=70,3,IF(A.LoE.S[[#This Row],[LE.9]]&gt;=1,4,5)))))))</f>
        <v>--</v>
      </c>
      <c r="BM22" s="35" t="str">
        <f>IFERROR(ROUND(AVERAGE(Con.Sk.S[[#This Row],[TJ.1]:[Pro-A.1]]),0),"-")</f>
        <v>-</v>
      </c>
      <c r="BN22" s="24" t="str">
        <f>IFERROR(ROUND(AVERAGE(Con.Sk.S[[#This Row],[TJ.2]:[Pro-A.2]]),0),"-")</f>
        <v>-</v>
      </c>
      <c r="BO22" s="24" t="str">
        <f>IFERROR(ROUND(AVERAGE(Con.Sk.S[[#This Row],[TJ.3]:[Pro-A.3]]),0),"-")</f>
        <v>-</v>
      </c>
      <c r="BP22" s="24" t="str">
        <f>IFERROR(ROUND(AVERAGE(Con.Sk.S[[#This Row],[TJ.4]:[Pro-A.4]]),0),"-")</f>
        <v>-</v>
      </c>
      <c r="BQ22" s="24" t="str">
        <f>IFERROR(ROUND(AVERAGE(Con.Sk.S[[#This Row],[TJ.5]:[Pro-A.5]]),0),"-")</f>
        <v>-</v>
      </c>
      <c r="BR22" s="24" t="str">
        <f>IFERROR(ROUND(AVERAGE(Con.Sk.S[[#This Row],[TJ.6]:[Pro-A.6]]),0),"-")</f>
        <v>-</v>
      </c>
      <c r="BS22" s="24" t="str">
        <f>IFERROR(ROUND(AVERAGE(Con.Sk.S[[#This Row],[TJ.7]:[Pro-A.7]]),0),"-")</f>
        <v>-</v>
      </c>
      <c r="BT22" s="24" t="str">
        <f>IFERROR(ROUND(AVERAGE(Con.Sk.S[[#This Row],[TJ.8]:[Pro-A.8]]),0),"-")</f>
        <v>-</v>
      </c>
      <c r="BU22" s="25" t="str">
        <f>IFERROR(ROUND(AVERAGE(Con.Sk.S[[#This Row],[TJ.9]:[Pro-A.9]]),0),"-")</f>
        <v>-</v>
      </c>
      <c r="BW22" s="47" t="str">
        <f>IFERROR(ROUND(AVERAGE(Con.Sk.S[[#This Row],[KU.1]],Con.Sk.S[[#This Row],[KU.2]],Con.Sk.S[[#This Row],[KU.3]],Con.Sk.S[[#This Row],[KU.4]],Con.Sk.S[[#This Row],[KU.5]],Con.Sk.S[[#This Row],[KU.6]],Con.Sk.S[[#This Row],[KU.7]],Con.Sk.S[[#This Row],[KU.8]],Con.Sk.S[[#This Row],[KU.9]]),0),"")</f>
        <v/>
      </c>
      <c r="BX22" s="48" t="str">
        <f>IFERROR(ROUND(AVERAGE(Con.Sk.S[[#This Row],[TJ.1]:[Pro-A.1]],Con.Sk.S[[#This Row],[TJ.2]:[Pro-A.2]],Con.Sk.S[[#This Row],[TJ.3]:[Pro-A.3]],Con.Sk.S[[#This Row],[TJ.4]:[Pro-A.4]],Con.Sk.S[[#This Row],[TJ.5]:[Pro-A.5]],Con.Sk.S[[#This Row],[TJ.6]:[Pro-A.6]],Con.Sk.S[[#This Row],[TJ.7]:[Pro-A.7]],Con.Sk.S[[#This Row],[TJ.8]:[Pro-A.8]],Con.Sk.S[[#This Row],[TJ.9]:[Pro-A.9]]),0),"")</f>
        <v/>
      </c>
      <c r="BY22" s="3"/>
      <c r="BZ22" s="73" t="str">
        <f>IF(NSi.SE[[#This Row],[KU.1]]="A",100,IF(NSi.SE[[#This Row],[KU.1]]="B",89,IF(NSi.SE[[#This Row],[KU.1]]="C",79,IF(NSi.SE[[#This Row],[KU.1]]="D",69,IF(NSi.SE[[#This Row],[KU.1]]="E",0,"-")))))</f>
        <v>-</v>
      </c>
      <c r="CA22" s="73" t="str">
        <f>IF(NSi.SE[[#This Row],[TJ.1]]=1,100,IF(NSi.SE[[#This Row],[TJ.1]]=2,89,IF(NSi.SE[[#This Row],[TJ.1]]=3,79,IF(NSi.SE[[#This Row],[TJ.1]]=4,69,IF(NSi.SE[[#This Row],[TJ.1]]=5,0,"-")))))</f>
        <v>-</v>
      </c>
      <c r="CB22" s="73" t="str">
        <f>IF(NSi.SE[[#This Row],[Ker.1]]=1,100,IF(NSi.SE[[#This Row],[Ker.1]]=2,89,IF(NSi.SE[[#This Row],[Ker.1]]=3,79,IF(NSi.SE[[#This Row],[Ker.1]]=4,69,IF(NSi.SE[[#This Row],[Ker.1]]=5,0,"-")))))</f>
        <v>-</v>
      </c>
      <c r="CC22" s="73" t="str">
        <f>IF(NSi.SE[[#This Row],[Ped.1]]=1,100,IF(NSi.SE[[#This Row],[Ped.1]]=2,89,IF(NSi.SE[[#This Row],[Ped.1]]=3,79,IF(NSi.SE[[#This Row],[Ped.1]]=4,69,IF(NSi.SE[[#This Row],[Ped.1]]=5,0,"-")))))</f>
        <v>-</v>
      </c>
      <c r="CD22" s="73" t="str">
        <f>IF(NSi.SE[[#This Row],[Pro-A.1]]=1,100,IF(NSi.SE[[#This Row],[Pro-A.1]]=2,89,IF(NSi.SE[[#This Row],[Pro-A.1]]=3,79,IF(NSi.SE[[#This Row],[Pro-A.1]]=4,69,IF(NSi.SE[[#This Row],[Pro-A.1]]=5,0,"-")))))</f>
        <v>-</v>
      </c>
      <c r="CE22" s="73" t="str">
        <f>IF(NSi.SE[[#This Row],[KU.2]]="A",100,IF(NSi.SE[[#This Row],[KU.2]]="B",89,IF(NSi.SE[[#This Row],[KU.2]]="C",79,IF(NSi.SE[[#This Row],[KU.2]]="D",69,IF(NSi.SE[[#This Row],[KU.2]]="E",0,"-")))))</f>
        <v>-</v>
      </c>
      <c r="CF22" s="73" t="str">
        <f>IF(NSi.SE[[#This Row],[TJ.2]]=1,100,IF(NSi.SE[[#This Row],[TJ.2]]=2,89,IF(NSi.SE[[#This Row],[TJ.2]]=3,79,IF(NSi.SE[[#This Row],[TJ.2]]=4,69,IF(NSi.SE[[#This Row],[TJ.2]]=5,0,"-")))))</f>
        <v>-</v>
      </c>
      <c r="CG22" s="73" t="str">
        <f>IF(NSi.SE[[#This Row],[Ker.2]]=1,100,IF(NSi.SE[[#This Row],[Ker.2]]=2,89,IF(NSi.SE[[#This Row],[Ker.2]]=3,79,IF(NSi.SE[[#This Row],[Ker.2]]=4,69,IF(NSi.SE[[#This Row],[Ker.2]]=5,0,"-")))))</f>
        <v>-</v>
      </c>
      <c r="CH22" s="73" t="str">
        <f>IF(NSi.SE[[#This Row],[Ped.2]]=1,100,IF(NSi.SE[[#This Row],[Ped.2]]=2,89,IF(NSi.SE[[#This Row],[Ped.2]]=3,79,IF(NSi.SE[[#This Row],[Ped.2]]=4,69,IF(NSi.SE[[#This Row],[Ped.2]]=5,0,"-")))))</f>
        <v>-</v>
      </c>
      <c r="CI22" s="73" t="str">
        <f>IF(NSi.SE[[#This Row],[Pro-A.2]]=1,100,IF(NSi.SE[[#This Row],[Pro-A.2]]=2,89,IF(NSi.SE[[#This Row],[Pro-A.2]]=3,79,IF(NSi.SE[[#This Row],[Pro-A.2]]=4,69,IF(NSi.SE[[#This Row],[Pro-A.2]]=5,0,"-")))))</f>
        <v>-</v>
      </c>
      <c r="CJ22" s="74" t="str">
        <f>IF(NSi.SE[[#This Row],[KU.3]]="A",100,IF(NSi.SE[[#This Row],[KU.3]]="B",89,IF(NSi.SE[[#This Row],[KU.3]]="C",79,IF(NSi.SE[[#This Row],[KU.3]]="D",69,IF(NSi.SE[[#This Row],[KU.3]]="E",0,"-")))))</f>
        <v>-</v>
      </c>
      <c r="CK22" s="73" t="str">
        <f>IF(NSi.SE[[#This Row],[TJ.3]]=1,100,IF(NSi.SE[[#This Row],[TJ.3]]=2,89,IF(NSi.SE[[#This Row],[TJ.3]]=3,79,IF(NSi.SE[[#This Row],[TJ.3]]=4,69,IF(NSi.SE[[#This Row],[TJ.3]]=5,0,"-")))))</f>
        <v>-</v>
      </c>
      <c r="CL22" s="73" t="str">
        <f>IF(NSi.SE[[#This Row],[Ker.3]]=1,100,IF(NSi.SE[[#This Row],[Ker.3]]=2,89,IF(NSi.SE[[#This Row],[Ker.3]]=3,79,IF(NSi.SE[[#This Row],[Ker.3]]=4,69,IF(NSi.SE[[#This Row],[Ker.3]]=5,0,"-")))))</f>
        <v>-</v>
      </c>
      <c r="CM22" s="73" t="str">
        <f>IF(NSi.SE[[#This Row],[Ped.3]]=1,100,IF(NSi.SE[[#This Row],[Ped.3]]=2,89,IF(NSi.SE[[#This Row],[Ped.3]]=3,79,IF(NSi.SE[[#This Row],[Ped.3]]=4,69,IF(NSi.SE[[#This Row],[Ped.3]]=5,0,"-")))))</f>
        <v>-</v>
      </c>
      <c r="CN22" s="73" t="str">
        <f>IF(NSi.SE[[#This Row],[Pro-A.3]]=1,100,IF(NSi.SE[[#This Row],[Pro-A.3]]=2,89,IF(NSi.SE[[#This Row],[Pro-A.3]]=3,79,IF(NSi.SE[[#This Row],[Pro-A.3]]=4,69,IF(NSi.SE[[#This Row],[Pro-A.3]]=5,0,"-")))))</f>
        <v>-</v>
      </c>
      <c r="CO22" s="74" t="str">
        <f>IF(NSi.SE[[#This Row],[KU.4]]="A",100,IF(NSi.SE[[#This Row],[KU.4]]="B",89,IF(NSi.SE[[#This Row],[KU.4]]="C",79,IF(NSi.SE[[#This Row],[KU.4]]="D",69,IF(NSi.SE[[#This Row],[KU.4]]="E",0,"-")))))</f>
        <v>-</v>
      </c>
      <c r="CP22" s="73" t="str">
        <f>IF(NSi.SE[[#This Row],[TJ.4]]=1,100,IF(NSi.SE[[#This Row],[TJ.4]]=2,89,IF(NSi.SE[[#This Row],[TJ.4]]=3,79,IF(NSi.SE[[#This Row],[TJ.4]]=4,69,IF(NSi.SE[[#This Row],[TJ.4]]=5,0,"-")))))</f>
        <v>-</v>
      </c>
      <c r="CQ22" s="73" t="str">
        <f>IF(NSi.SE[[#This Row],[Ker.4]]=1,100,IF(NSi.SE[[#This Row],[Ker.4]]=2,89,IF(NSi.SE[[#This Row],[Ker.4]]=3,79,IF(NSi.SE[[#This Row],[Ker.4]]=4,69,IF(NSi.SE[[#This Row],[Ker.4]]=5,0,"-")))))</f>
        <v>-</v>
      </c>
      <c r="CR22" s="73" t="str">
        <f>IF(NSi.SE[[#This Row],[Ped.4]]=1,100,IF(NSi.SE[[#This Row],[Ped.4]]=2,89,IF(NSi.SE[[#This Row],[Ped.4]]=3,79,IF(NSi.SE[[#This Row],[Ped.4]]=4,69,IF(NSi.SE[[#This Row],[Ped.4]]=5,0,"-")))))</f>
        <v>-</v>
      </c>
      <c r="CS22" s="73" t="str">
        <f>IF(NSi.SE[[#This Row],[Pro-A.4]]=1,100,IF(NSi.SE[[#This Row],[Pro-A.4]]=2,89,IF(NSi.SE[[#This Row],[Pro-A.4]]=3,79,IF(NSi.SE[[#This Row],[Pro-A.4]]=4,69,IF(NSi.SE[[#This Row],[Pro-A.4]]=5,0,"-")))))</f>
        <v>-</v>
      </c>
      <c r="CT22" s="74" t="str">
        <f>IF(NSi.SE[[#This Row],[KU.5]]="A",100,IF(NSi.SE[[#This Row],[KU.5]]="B",89,IF(NSi.SE[[#This Row],[KU.5]]="C",79,IF(NSi.SE[[#This Row],[KU.5]]="D",69,IF(NSi.SE[[#This Row],[KU.5]]="E",0,"-")))))</f>
        <v>-</v>
      </c>
      <c r="CU22" s="73" t="str">
        <f>IF(NSi.SE[[#This Row],[TJ.5]]=1,100,IF(NSi.SE[[#This Row],[TJ.5]]=2,89,IF(NSi.SE[[#This Row],[TJ.5]]=3,79,IF(NSi.SE[[#This Row],[TJ.5]]=4,69,IF(NSi.SE[[#This Row],[TJ.5]]=5,0,"-")))))</f>
        <v>-</v>
      </c>
      <c r="CV22" s="73" t="str">
        <f>IF(NSi.SE[[#This Row],[Ker.5]]=1,100,IF(NSi.SE[[#This Row],[Ker.5]]=2,89,IF(NSi.SE[[#This Row],[Ker.5]]=3,79,IF(NSi.SE[[#This Row],[Ker.5]]=4,69,IF(NSi.SE[[#This Row],[Ker.5]]=5,0,"-")))))</f>
        <v>-</v>
      </c>
      <c r="CW22" s="73" t="str">
        <f>IF(NSi.SE[[#This Row],[Ped.5]]=1,100,IF(NSi.SE[[#This Row],[Ped.5]]=2,89,IF(NSi.SE[[#This Row],[Ped.5]]=3,79,IF(NSi.SE[[#This Row],[Ped.5]]=4,69,IF(NSi.SE[[#This Row],[Ped.5]]=5,0,"-")))))</f>
        <v>-</v>
      </c>
      <c r="CX22" s="73" t="str">
        <f>IF(NSi.SE[[#This Row],[Pro-A.5]]=1,100,IF(NSi.SE[[#This Row],[Pro-A.5]]=2,89,IF(NSi.SE[[#This Row],[Pro-A.5]]=3,79,IF(NSi.SE[[#This Row],[Pro-A.5]]=4,69,IF(NSi.SE[[#This Row],[Pro-A.5]]=5,0,"-")))))</f>
        <v>-</v>
      </c>
      <c r="CY22" s="74" t="str">
        <f>IF(NSi.SE[[#This Row],[KU.6]]="A",100,IF(NSi.SE[[#This Row],[KU.6]]="B",89,IF(NSi.SE[[#This Row],[KU.6]]="C",79,IF(NSi.SE[[#This Row],[KU.6]]="D",69,IF(NSi.SE[[#This Row],[KU.6]]="E",0,"-")))))</f>
        <v>-</v>
      </c>
      <c r="CZ22" s="73" t="str">
        <f>IF(NSi.SE[[#This Row],[TJ.6]]=1,100,IF(NSi.SE[[#This Row],[TJ.6]]=2,89,IF(NSi.SE[[#This Row],[TJ.6]]=3,79,IF(NSi.SE[[#This Row],[TJ.6]]=4,69,IF(NSi.SE[[#This Row],[TJ.6]]=5,0,"-")))))</f>
        <v>-</v>
      </c>
      <c r="DA22" s="73" t="str">
        <f>IF(NSi.SE[[#This Row],[Ker.6]]=1,100,IF(NSi.SE[[#This Row],[Ker.6]]=2,89,IF(NSi.SE[[#This Row],[Ker.6]]=3,79,IF(NSi.SE[[#This Row],[Ker.6]]=4,69,IF(NSi.SE[[#This Row],[Ker.6]]=5,0,"-")))))</f>
        <v>-</v>
      </c>
      <c r="DB22" s="73" t="str">
        <f>IF(NSi.SE[[#This Row],[Ped.6]]=1,100,IF(NSi.SE[[#This Row],[Ped.6]]=2,89,IF(NSi.SE[[#This Row],[Ped.6]]=3,79,IF(NSi.SE[[#This Row],[Ped.6]]=4,69,IF(NSi.SE[[#This Row],[Ped.6]]=5,0,"-")))))</f>
        <v>-</v>
      </c>
      <c r="DC22" s="73" t="str">
        <f>IF(NSi.SE[[#This Row],[Pro-A.6]]=1,100,IF(NSi.SE[[#This Row],[Pro-A.6]]=2,89,IF(NSi.SE[[#This Row],[Pro-A.6]]=3,79,IF(NSi.SE[[#This Row],[Pro-A.6]]=4,69,IF(NSi.SE[[#This Row],[Pro-A.6]]=5,0,"-")))))</f>
        <v>-</v>
      </c>
      <c r="DD22" s="74" t="str">
        <f>IF(NSi.SE[[#This Row],[KU.7]]="A",100,IF(NSi.SE[[#This Row],[KU.7]]="B",89,IF(NSi.SE[[#This Row],[KU.7]]="C",79,IF(NSi.SE[[#This Row],[KU.7]]="D",69,IF(NSi.SE[[#This Row],[KU.7]]="E",0,"-")))))</f>
        <v>-</v>
      </c>
      <c r="DE22" s="73" t="str">
        <f>IF(NSi.SE[[#This Row],[TJ.7]]=1,100,IF(NSi.SE[[#This Row],[TJ.7]]=2,89,IF(NSi.SE[[#This Row],[TJ.7]]=3,79,IF(NSi.SE[[#This Row],[TJ.7]]=4,69,IF(NSi.SE[[#This Row],[TJ.7]]=5,0,"-")))))</f>
        <v>-</v>
      </c>
      <c r="DF22" s="73" t="str">
        <f>IF(NSi.SE[[#This Row],[Ker.7]]=1,100,IF(NSi.SE[[#This Row],[Ker.7]]=2,89,IF(NSi.SE[[#This Row],[Ker.7]]=3,79,IF(NSi.SE[[#This Row],[Ker.7]]=4,69,IF(NSi.SE[[#This Row],[Ker.7]]=5,0,"-")))))</f>
        <v>-</v>
      </c>
      <c r="DG22" s="73" t="str">
        <f>IF(NSi.SE[[#This Row],[Ped.7]]=1,100,IF(NSi.SE[[#This Row],[Ped.7]]=2,89,IF(NSi.SE[[#This Row],[Ped.7]]=3,79,IF(NSi.SE[[#This Row],[Ped.7]]=4,69,IF(NSi.SE[[#This Row],[Ped.7]]=5,0,"-")))))</f>
        <v>-</v>
      </c>
      <c r="DH22" s="73" t="str">
        <f>IF(NSi.SE[[#This Row],[Pro-A.7]]=1,100,IF(NSi.SE[[#This Row],[Pro-A.7]]=2,89,IF(NSi.SE[[#This Row],[Pro-A.7]]=3,79,IF(NSi.SE[[#This Row],[Pro-A.7]]=4,69,IF(NSi.SE[[#This Row],[Pro-A.7]]=5,0,"-")))))</f>
        <v>-</v>
      </c>
      <c r="DI22" s="74" t="str">
        <f>IF(NSi.SE[[#This Row],[KU.8]]="A",100,IF(NSi.SE[[#This Row],[KU.8]]="B",89,IF(NSi.SE[[#This Row],[KU.8]]="C",79,IF(NSi.SE[[#This Row],[KU.8]]="D",69,IF(NSi.SE[[#This Row],[KU.8]]="E",0,"-")))))</f>
        <v>-</v>
      </c>
      <c r="DJ22" s="73" t="str">
        <f>IF(NSi.SE[[#This Row],[TJ.8]]=1,100,IF(NSi.SE[[#This Row],[TJ.8]]=2,89,IF(NSi.SE[[#This Row],[TJ.8]]=3,79,IF(NSi.SE[[#This Row],[TJ.8]]=4,69,IF(NSi.SE[[#This Row],[TJ.8]]=5,0,"-")))))</f>
        <v>-</v>
      </c>
      <c r="DK22" s="73" t="str">
        <f>IF(NSi.SE[[#This Row],[Ker.8]]=1,100,IF(NSi.SE[[#This Row],[Ker.8]]=2,89,IF(NSi.SE[[#This Row],[Ker.8]]=3,79,IF(NSi.SE[[#This Row],[Ker.8]]=4,69,IF(NSi.SE[[#This Row],[Ker.8]]=5,0,"-")))))</f>
        <v>-</v>
      </c>
      <c r="DL22" s="73" t="str">
        <f>IF(NSi.SE[[#This Row],[Ped.8]]=1,100,IF(NSi.SE[[#This Row],[Ped.8]]=2,89,IF(NSi.SE[[#This Row],[Ped.8]]=3,79,IF(NSi.SE[[#This Row],[Ped.8]]=4,69,IF(NSi.SE[[#This Row],[Ped.8]]=5,0,"-")))))</f>
        <v>-</v>
      </c>
      <c r="DM22" s="73" t="str">
        <f>IF(NSi.SE[[#This Row],[Pro-A.8]]=1,100,IF(NSi.SE[[#This Row],[Pro-A.8]]=2,89,IF(NSi.SE[[#This Row],[Pro-A.8]]=3,79,IF(NSi.SE[[#This Row],[Pro-A.8]]=4,69,IF(NSi.SE[[#This Row],[Pro-A.8]]=5,0,"-")))))</f>
        <v>-</v>
      </c>
      <c r="DN22" s="74" t="str">
        <f>IF(NSi.SE[[#This Row],[KU.9]]="A",100,IF(NSi.SE[[#This Row],[KU.9]]="B",89,IF(NSi.SE[[#This Row],[KU.9]]="C",79,IF(NSi.SE[[#This Row],[KU.9]]="D",69,IF(NSi.SE[[#This Row],[KU.9]]="E",0,"-")))))</f>
        <v>-</v>
      </c>
      <c r="DO22" s="73" t="str">
        <f>IF(NSi.SE[[#This Row],[TJ.9]]=1,100,IF(NSi.SE[[#This Row],[TJ.9]]=2,89,IF(NSi.SE[[#This Row],[TJ.9]]=3,79,IF(NSi.SE[[#This Row],[TJ.9]]=4,69,IF(NSi.SE[[#This Row],[TJ.9]]=5,0,"-")))))</f>
        <v>-</v>
      </c>
      <c r="DP22" s="73" t="str">
        <f>IF(NSi.SE[[#This Row],[Ker.9]]=1,100,IF(NSi.SE[[#This Row],[Ker.9]]=2,89,IF(NSi.SE[[#This Row],[Ker.9]]=3,79,IF(NSi.SE[[#This Row],[Ker.9]]=4,69,IF(NSi.SE[[#This Row],[Ker.9]]=5,0,"-")))))</f>
        <v>-</v>
      </c>
      <c r="DQ22" s="73" t="str">
        <f>IF(NSi.SE[[#This Row],[Ped.9]]=1,100,IF(NSi.SE[[#This Row],[Ped.9]]=2,89,IF(NSi.SE[[#This Row],[Ped.9]]=3,79,IF(NSi.SE[[#This Row],[Ped.9]]=4,69,IF(NSi.SE[[#This Row],[Ped.9]]=5,0,"-")))))</f>
        <v>-</v>
      </c>
      <c r="DR22" s="73" t="str">
        <f>IF(NSi.SE[[#This Row],[Pro-A.9]]=1,100,IF(NSi.SE[[#This Row],[Pro-A.9]]=2,89,IF(NSi.SE[[#This Row],[Pro-A.9]]=3,79,IF(NSi.SE[[#This Row],[Pro-A.9]]=4,69,IF(NSi.SE[[#This Row],[Pro-A.9]]=5,0,"-")))))</f>
        <v>-</v>
      </c>
      <c r="DT22"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3" spans="1:124" ht="50.1" customHeight="1" x14ac:dyDescent="0.3">
      <c r="A23" s="66" t="str">
        <f>IF(NSi.TS[[#This Row],[No]]=0,"",NSi.TS[[#This Row],[No]])</f>
        <v/>
      </c>
      <c r="B23" s="67" t="str">
        <f>IF(NSi.TS[[#This Row],[Nama Siswa]]=0,"",NSi.TS[[#This Row],[Nama Siswa]])</f>
        <v/>
      </c>
      <c r="C23" s="68" t="str">
        <f>IF(NSi.TS[[#This Row],[Nomor Induk]]=0,"",NSi.TS[[#This Row],[Nomor Induk]])</f>
        <v/>
      </c>
      <c r="D23" s="68" t="str">
        <f>IF(NSi.TS[[#This Row],[NISN]]=0,"",NSi.TS[[#This Row],[NISN]])</f>
        <v/>
      </c>
      <c r="E23" s="68" t="str">
        <f>IF(NSi.TS[[#This Row],[Jurusan]]=0,"",NSi.TS[[#This Row],[Jurusan]])</f>
        <v/>
      </c>
      <c r="F23" s="39" t="str">
        <f>NSi.TS[[#This Row],[Nsi.TS]]</f>
        <v/>
      </c>
      <c r="G23" s="39" t="str">
        <f>IFERROR(ROUND(AVERAGE(CSCR.S[#This Row]),0),"")</f>
        <v/>
      </c>
      <c r="H23" s="39" t="str">
        <f>IFERROR(ROUND(AVERAGE(NSi.SE[[#This Row],[Nsi.TS]:[NS.iS]]),0),"")</f>
        <v/>
      </c>
      <c r="I23" s="41" t="s">
        <v>102</v>
      </c>
      <c r="J23" s="45" t="s">
        <v>102</v>
      </c>
      <c r="K23" s="45" t="s">
        <v>102</v>
      </c>
      <c r="L23" s="45" t="s">
        <v>102</v>
      </c>
      <c r="M23" s="45" t="s">
        <v>102</v>
      </c>
      <c r="N23" s="41" t="s">
        <v>102</v>
      </c>
      <c r="O23" s="45" t="s">
        <v>102</v>
      </c>
      <c r="P23" s="45" t="s">
        <v>102</v>
      </c>
      <c r="Q23" s="45" t="s">
        <v>102</v>
      </c>
      <c r="R23" s="45" t="s">
        <v>102</v>
      </c>
      <c r="S23" s="41" t="s">
        <v>102</v>
      </c>
      <c r="T23" s="45" t="s">
        <v>102</v>
      </c>
      <c r="U23" s="45" t="s">
        <v>102</v>
      </c>
      <c r="V23" s="45" t="s">
        <v>102</v>
      </c>
      <c r="W23" s="45" t="s">
        <v>102</v>
      </c>
      <c r="X23" s="41" t="s">
        <v>102</v>
      </c>
      <c r="Y23" s="45" t="s">
        <v>102</v>
      </c>
      <c r="Z23" s="45" t="s">
        <v>102</v>
      </c>
      <c r="AA23" s="45" t="s">
        <v>102</v>
      </c>
      <c r="AB23" s="45" t="s">
        <v>102</v>
      </c>
      <c r="AC23" s="41" t="s">
        <v>102</v>
      </c>
      <c r="AD23" s="45" t="s">
        <v>102</v>
      </c>
      <c r="AE23" s="45" t="s">
        <v>102</v>
      </c>
      <c r="AF23" s="45" t="s">
        <v>102</v>
      </c>
      <c r="AG23" s="45" t="s">
        <v>102</v>
      </c>
      <c r="AH23" s="41" t="s">
        <v>102</v>
      </c>
      <c r="AI23" s="45" t="s">
        <v>102</v>
      </c>
      <c r="AJ23" s="45" t="s">
        <v>102</v>
      </c>
      <c r="AK23" s="45" t="s">
        <v>102</v>
      </c>
      <c r="AL23" s="45" t="s">
        <v>102</v>
      </c>
      <c r="AM23" s="41" t="s">
        <v>102</v>
      </c>
      <c r="AN23" s="45" t="s">
        <v>102</v>
      </c>
      <c r="AO23" s="45" t="s">
        <v>102</v>
      </c>
      <c r="AP23" s="45" t="s">
        <v>102</v>
      </c>
      <c r="AQ23" s="45" t="s">
        <v>102</v>
      </c>
      <c r="AR23" s="41" t="s">
        <v>102</v>
      </c>
      <c r="AS23" s="45" t="s">
        <v>102</v>
      </c>
      <c r="AT23" s="45" t="s">
        <v>102</v>
      </c>
      <c r="AU23" s="45" t="s">
        <v>102</v>
      </c>
      <c r="AV23" s="45" t="s">
        <v>102</v>
      </c>
      <c r="AW23" s="41" t="s">
        <v>102</v>
      </c>
      <c r="AX23" s="45" t="s">
        <v>102</v>
      </c>
      <c r="AY23" s="45" t="s">
        <v>102</v>
      </c>
      <c r="AZ23" s="45" t="s">
        <v>102</v>
      </c>
      <c r="BA23" s="45" t="s">
        <v>102</v>
      </c>
      <c r="BC23" s="10" t="str">
        <f>CONCATENATE(NSi.SE[[#This Row],[KU.1]],(IF(A.LoE.S[[#This Row],[LE.1]]="-","-",IF(A.LoE.S[[#This Row],[LE.1]]&gt;=90,1,IF(A.LoE.S[[#This Row],[LE.1]]&gt;=80,2,IF(A.LoE.S[[#This Row],[LE.1]]&gt;=70,3,IF(A.LoE.S[[#This Row],[LE.1]]&gt;=1,4,5)))))))</f>
        <v>--</v>
      </c>
      <c r="BD23" s="46" t="str">
        <f>CONCATENATE(NSi.SE[[#This Row],[KU.2]],(IF(A.LoE.S[[#This Row],[LE.2]]="-","-",IF(A.LoE.S[[#This Row],[LE.2]]&gt;=90,1,IF(A.LoE.S[[#This Row],[LE.2]]&gt;=80,2,IF(A.LoE.S[[#This Row],[LE.2]]&gt;=70,3,IF(A.LoE.S[[#This Row],[LE.2]]&gt;=1,4,5)))))))</f>
        <v>--</v>
      </c>
      <c r="BE23" s="46" t="str">
        <f>CONCATENATE(NSi.SE[[#This Row],[KU.3]],(IF(A.LoE.S[[#This Row],[LE.3]]="-","-",IF(A.LoE.S[[#This Row],[LE.3]]&gt;=90,1,IF(A.LoE.S[[#This Row],[LE.3]]&gt;=80,2,IF(A.LoE.S[[#This Row],[LE.3]]&gt;=70,3,IF(A.LoE.S[[#This Row],[LE.3]]&gt;=1,4,5)))))))</f>
        <v>--</v>
      </c>
      <c r="BF23" s="46" t="str">
        <f>CONCATENATE(NSi.SE[[#This Row],[KU.4]],(IF(A.LoE.S[[#This Row],[LE.4]]="-","-",IF(A.LoE.S[[#This Row],[LE.4]]&gt;=90,1,IF(A.LoE.S[[#This Row],[LE.4]]&gt;=80,2,IF(A.LoE.S[[#This Row],[LE.4]]&gt;=70,3,IF(A.LoE.S[[#This Row],[LE.4]]&gt;=1,4,5)))))))</f>
        <v>--</v>
      </c>
      <c r="BG23" s="46" t="str">
        <f>CONCATENATE(NSi.SE[[#This Row],[KU.5]],(IF(A.LoE.S[[#This Row],[LE.5]]="-","-",IF(A.LoE.S[[#This Row],[LE.5]]&gt;=90,1,IF(A.LoE.S[[#This Row],[LE.5]]&gt;=80,2,IF(A.LoE.S[[#This Row],[LE.5]]&gt;=70,3,IF(A.LoE.S[[#This Row],[LE.5]]&gt;=1,4,5)))))))</f>
        <v>--</v>
      </c>
      <c r="BH23" s="46" t="str">
        <f>CONCATENATE(NSi.SE[[#This Row],[KU.6]],(IF(A.LoE.S[[#This Row],[LE.6]]="-","-",IF(A.LoE.S[[#This Row],[LE.6]]&gt;=90,1,IF(A.LoE.S[[#This Row],[LE.6]]&gt;=80,2,IF(A.LoE.S[[#This Row],[LE.6]]&gt;=70,3,IF(A.LoE.S[[#This Row],[LE.6]]&gt;=1,4,5)))))))</f>
        <v>--</v>
      </c>
      <c r="BI23" s="46" t="str">
        <f>CONCATENATE(NSi.SE[[#This Row],[KU.7]],(IF(A.LoE.S[[#This Row],[LE.7]]="-","-",IF(A.LoE.S[[#This Row],[LE.7]]&gt;=90,1,IF(A.LoE.S[[#This Row],[LE.7]]&gt;=80,2,IF(A.LoE.S[[#This Row],[LE.7]]&gt;=70,3,IF(A.LoE.S[[#This Row],[LE.7]]&gt;=1,4,5)))))))</f>
        <v>--</v>
      </c>
      <c r="BJ23" s="46" t="str">
        <f>CONCATENATE(NSi.SE[[#This Row],[KU.8]],(IF(A.LoE.S[[#This Row],[LE.8]]="-","-",IF(A.LoE.S[[#This Row],[LE.8]]&gt;=90,1,IF(A.LoE.S[[#This Row],[LE.8]]&gt;=80,2,IF(A.LoE.S[[#This Row],[LE.8]]&gt;=70,3,IF(A.LoE.S[[#This Row],[LE.8]]&gt;=1,4,5)))))))</f>
        <v>--</v>
      </c>
      <c r="BK23" s="38" t="str">
        <f>CONCATENATE(NSi.SE[[#This Row],[KU.9]],(IF(A.LoE.S[[#This Row],[LE.9]]="-","-",IF(A.LoE.S[[#This Row],[LE.9]]&gt;=90,1,IF(A.LoE.S[[#This Row],[LE.9]]&gt;=80,2,IF(A.LoE.S[[#This Row],[LE.9]]&gt;=70,3,IF(A.LoE.S[[#This Row],[LE.9]]&gt;=1,4,5)))))))</f>
        <v>--</v>
      </c>
      <c r="BM23" s="35" t="str">
        <f>IFERROR(ROUND(AVERAGE(Con.Sk.S[[#This Row],[TJ.1]:[Pro-A.1]]),0),"-")</f>
        <v>-</v>
      </c>
      <c r="BN23" s="24" t="str">
        <f>IFERROR(ROUND(AVERAGE(Con.Sk.S[[#This Row],[TJ.2]:[Pro-A.2]]),0),"-")</f>
        <v>-</v>
      </c>
      <c r="BO23" s="24" t="str">
        <f>IFERROR(ROUND(AVERAGE(Con.Sk.S[[#This Row],[TJ.3]:[Pro-A.3]]),0),"-")</f>
        <v>-</v>
      </c>
      <c r="BP23" s="24" t="str">
        <f>IFERROR(ROUND(AVERAGE(Con.Sk.S[[#This Row],[TJ.4]:[Pro-A.4]]),0),"-")</f>
        <v>-</v>
      </c>
      <c r="BQ23" s="24" t="str">
        <f>IFERROR(ROUND(AVERAGE(Con.Sk.S[[#This Row],[TJ.5]:[Pro-A.5]]),0),"-")</f>
        <v>-</v>
      </c>
      <c r="BR23" s="24" t="str">
        <f>IFERROR(ROUND(AVERAGE(Con.Sk.S[[#This Row],[TJ.6]:[Pro-A.6]]),0),"-")</f>
        <v>-</v>
      </c>
      <c r="BS23" s="24" t="str">
        <f>IFERROR(ROUND(AVERAGE(Con.Sk.S[[#This Row],[TJ.7]:[Pro-A.7]]),0),"-")</f>
        <v>-</v>
      </c>
      <c r="BT23" s="24" t="str">
        <f>IFERROR(ROUND(AVERAGE(Con.Sk.S[[#This Row],[TJ.8]:[Pro-A.8]]),0),"-")</f>
        <v>-</v>
      </c>
      <c r="BU23" s="25" t="str">
        <f>IFERROR(ROUND(AVERAGE(Con.Sk.S[[#This Row],[TJ.9]:[Pro-A.9]]),0),"-")</f>
        <v>-</v>
      </c>
      <c r="BW23" s="47" t="str">
        <f>IFERROR(ROUND(AVERAGE(Con.Sk.S[[#This Row],[KU.1]],Con.Sk.S[[#This Row],[KU.2]],Con.Sk.S[[#This Row],[KU.3]],Con.Sk.S[[#This Row],[KU.4]],Con.Sk.S[[#This Row],[KU.5]],Con.Sk.S[[#This Row],[KU.6]],Con.Sk.S[[#This Row],[KU.7]],Con.Sk.S[[#This Row],[KU.8]],Con.Sk.S[[#This Row],[KU.9]]),0),"")</f>
        <v/>
      </c>
      <c r="BX23" s="48" t="str">
        <f>IFERROR(ROUND(AVERAGE(Con.Sk.S[[#This Row],[TJ.1]:[Pro-A.1]],Con.Sk.S[[#This Row],[TJ.2]:[Pro-A.2]],Con.Sk.S[[#This Row],[TJ.3]:[Pro-A.3]],Con.Sk.S[[#This Row],[TJ.4]:[Pro-A.4]],Con.Sk.S[[#This Row],[TJ.5]:[Pro-A.5]],Con.Sk.S[[#This Row],[TJ.6]:[Pro-A.6]],Con.Sk.S[[#This Row],[TJ.7]:[Pro-A.7]],Con.Sk.S[[#This Row],[TJ.8]:[Pro-A.8]],Con.Sk.S[[#This Row],[TJ.9]:[Pro-A.9]]),0),"")</f>
        <v/>
      </c>
      <c r="BY23" s="3"/>
      <c r="BZ23" s="73" t="str">
        <f>IF(NSi.SE[[#This Row],[KU.1]]="A",100,IF(NSi.SE[[#This Row],[KU.1]]="B",89,IF(NSi.SE[[#This Row],[KU.1]]="C",79,IF(NSi.SE[[#This Row],[KU.1]]="D",69,IF(NSi.SE[[#This Row],[KU.1]]="E",0,"-")))))</f>
        <v>-</v>
      </c>
      <c r="CA23" s="73" t="str">
        <f>IF(NSi.SE[[#This Row],[TJ.1]]=1,100,IF(NSi.SE[[#This Row],[TJ.1]]=2,89,IF(NSi.SE[[#This Row],[TJ.1]]=3,79,IF(NSi.SE[[#This Row],[TJ.1]]=4,69,IF(NSi.SE[[#This Row],[TJ.1]]=5,0,"-")))))</f>
        <v>-</v>
      </c>
      <c r="CB23" s="73" t="str">
        <f>IF(NSi.SE[[#This Row],[Ker.1]]=1,100,IF(NSi.SE[[#This Row],[Ker.1]]=2,89,IF(NSi.SE[[#This Row],[Ker.1]]=3,79,IF(NSi.SE[[#This Row],[Ker.1]]=4,69,IF(NSi.SE[[#This Row],[Ker.1]]=5,0,"-")))))</f>
        <v>-</v>
      </c>
      <c r="CC23" s="73" t="str">
        <f>IF(NSi.SE[[#This Row],[Ped.1]]=1,100,IF(NSi.SE[[#This Row],[Ped.1]]=2,89,IF(NSi.SE[[#This Row],[Ped.1]]=3,79,IF(NSi.SE[[#This Row],[Ped.1]]=4,69,IF(NSi.SE[[#This Row],[Ped.1]]=5,0,"-")))))</f>
        <v>-</v>
      </c>
      <c r="CD23" s="73" t="str">
        <f>IF(NSi.SE[[#This Row],[Pro-A.1]]=1,100,IF(NSi.SE[[#This Row],[Pro-A.1]]=2,89,IF(NSi.SE[[#This Row],[Pro-A.1]]=3,79,IF(NSi.SE[[#This Row],[Pro-A.1]]=4,69,IF(NSi.SE[[#This Row],[Pro-A.1]]=5,0,"-")))))</f>
        <v>-</v>
      </c>
      <c r="CE23" s="73" t="str">
        <f>IF(NSi.SE[[#This Row],[KU.2]]="A",100,IF(NSi.SE[[#This Row],[KU.2]]="B",89,IF(NSi.SE[[#This Row],[KU.2]]="C",79,IF(NSi.SE[[#This Row],[KU.2]]="D",69,IF(NSi.SE[[#This Row],[KU.2]]="E",0,"-")))))</f>
        <v>-</v>
      </c>
      <c r="CF23" s="73" t="str">
        <f>IF(NSi.SE[[#This Row],[TJ.2]]=1,100,IF(NSi.SE[[#This Row],[TJ.2]]=2,89,IF(NSi.SE[[#This Row],[TJ.2]]=3,79,IF(NSi.SE[[#This Row],[TJ.2]]=4,69,IF(NSi.SE[[#This Row],[TJ.2]]=5,0,"-")))))</f>
        <v>-</v>
      </c>
      <c r="CG23" s="73" t="str">
        <f>IF(NSi.SE[[#This Row],[Ker.2]]=1,100,IF(NSi.SE[[#This Row],[Ker.2]]=2,89,IF(NSi.SE[[#This Row],[Ker.2]]=3,79,IF(NSi.SE[[#This Row],[Ker.2]]=4,69,IF(NSi.SE[[#This Row],[Ker.2]]=5,0,"-")))))</f>
        <v>-</v>
      </c>
      <c r="CH23" s="73" t="str">
        <f>IF(NSi.SE[[#This Row],[Ped.2]]=1,100,IF(NSi.SE[[#This Row],[Ped.2]]=2,89,IF(NSi.SE[[#This Row],[Ped.2]]=3,79,IF(NSi.SE[[#This Row],[Ped.2]]=4,69,IF(NSi.SE[[#This Row],[Ped.2]]=5,0,"-")))))</f>
        <v>-</v>
      </c>
      <c r="CI23" s="73" t="str">
        <f>IF(NSi.SE[[#This Row],[Pro-A.2]]=1,100,IF(NSi.SE[[#This Row],[Pro-A.2]]=2,89,IF(NSi.SE[[#This Row],[Pro-A.2]]=3,79,IF(NSi.SE[[#This Row],[Pro-A.2]]=4,69,IF(NSi.SE[[#This Row],[Pro-A.2]]=5,0,"-")))))</f>
        <v>-</v>
      </c>
      <c r="CJ23" s="74" t="str">
        <f>IF(NSi.SE[[#This Row],[KU.3]]="A",100,IF(NSi.SE[[#This Row],[KU.3]]="B",89,IF(NSi.SE[[#This Row],[KU.3]]="C",79,IF(NSi.SE[[#This Row],[KU.3]]="D",69,IF(NSi.SE[[#This Row],[KU.3]]="E",0,"-")))))</f>
        <v>-</v>
      </c>
      <c r="CK23" s="73" t="str">
        <f>IF(NSi.SE[[#This Row],[TJ.3]]=1,100,IF(NSi.SE[[#This Row],[TJ.3]]=2,89,IF(NSi.SE[[#This Row],[TJ.3]]=3,79,IF(NSi.SE[[#This Row],[TJ.3]]=4,69,IF(NSi.SE[[#This Row],[TJ.3]]=5,0,"-")))))</f>
        <v>-</v>
      </c>
      <c r="CL23" s="73" t="str">
        <f>IF(NSi.SE[[#This Row],[Ker.3]]=1,100,IF(NSi.SE[[#This Row],[Ker.3]]=2,89,IF(NSi.SE[[#This Row],[Ker.3]]=3,79,IF(NSi.SE[[#This Row],[Ker.3]]=4,69,IF(NSi.SE[[#This Row],[Ker.3]]=5,0,"-")))))</f>
        <v>-</v>
      </c>
      <c r="CM23" s="73" t="str">
        <f>IF(NSi.SE[[#This Row],[Ped.3]]=1,100,IF(NSi.SE[[#This Row],[Ped.3]]=2,89,IF(NSi.SE[[#This Row],[Ped.3]]=3,79,IF(NSi.SE[[#This Row],[Ped.3]]=4,69,IF(NSi.SE[[#This Row],[Ped.3]]=5,0,"-")))))</f>
        <v>-</v>
      </c>
      <c r="CN23" s="73" t="str">
        <f>IF(NSi.SE[[#This Row],[Pro-A.3]]=1,100,IF(NSi.SE[[#This Row],[Pro-A.3]]=2,89,IF(NSi.SE[[#This Row],[Pro-A.3]]=3,79,IF(NSi.SE[[#This Row],[Pro-A.3]]=4,69,IF(NSi.SE[[#This Row],[Pro-A.3]]=5,0,"-")))))</f>
        <v>-</v>
      </c>
      <c r="CO23" s="74" t="str">
        <f>IF(NSi.SE[[#This Row],[KU.4]]="A",100,IF(NSi.SE[[#This Row],[KU.4]]="B",89,IF(NSi.SE[[#This Row],[KU.4]]="C",79,IF(NSi.SE[[#This Row],[KU.4]]="D",69,IF(NSi.SE[[#This Row],[KU.4]]="E",0,"-")))))</f>
        <v>-</v>
      </c>
      <c r="CP23" s="73" t="str">
        <f>IF(NSi.SE[[#This Row],[TJ.4]]=1,100,IF(NSi.SE[[#This Row],[TJ.4]]=2,89,IF(NSi.SE[[#This Row],[TJ.4]]=3,79,IF(NSi.SE[[#This Row],[TJ.4]]=4,69,IF(NSi.SE[[#This Row],[TJ.4]]=5,0,"-")))))</f>
        <v>-</v>
      </c>
      <c r="CQ23" s="73" t="str">
        <f>IF(NSi.SE[[#This Row],[Ker.4]]=1,100,IF(NSi.SE[[#This Row],[Ker.4]]=2,89,IF(NSi.SE[[#This Row],[Ker.4]]=3,79,IF(NSi.SE[[#This Row],[Ker.4]]=4,69,IF(NSi.SE[[#This Row],[Ker.4]]=5,0,"-")))))</f>
        <v>-</v>
      </c>
      <c r="CR23" s="73" t="str">
        <f>IF(NSi.SE[[#This Row],[Ped.4]]=1,100,IF(NSi.SE[[#This Row],[Ped.4]]=2,89,IF(NSi.SE[[#This Row],[Ped.4]]=3,79,IF(NSi.SE[[#This Row],[Ped.4]]=4,69,IF(NSi.SE[[#This Row],[Ped.4]]=5,0,"-")))))</f>
        <v>-</v>
      </c>
      <c r="CS23" s="73" t="str">
        <f>IF(NSi.SE[[#This Row],[Pro-A.4]]=1,100,IF(NSi.SE[[#This Row],[Pro-A.4]]=2,89,IF(NSi.SE[[#This Row],[Pro-A.4]]=3,79,IF(NSi.SE[[#This Row],[Pro-A.4]]=4,69,IF(NSi.SE[[#This Row],[Pro-A.4]]=5,0,"-")))))</f>
        <v>-</v>
      </c>
      <c r="CT23" s="74" t="str">
        <f>IF(NSi.SE[[#This Row],[KU.5]]="A",100,IF(NSi.SE[[#This Row],[KU.5]]="B",89,IF(NSi.SE[[#This Row],[KU.5]]="C",79,IF(NSi.SE[[#This Row],[KU.5]]="D",69,IF(NSi.SE[[#This Row],[KU.5]]="E",0,"-")))))</f>
        <v>-</v>
      </c>
      <c r="CU23" s="73" t="str">
        <f>IF(NSi.SE[[#This Row],[TJ.5]]=1,100,IF(NSi.SE[[#This Row],[TJ.5]]=2,89,IF(NSi.SE[[#This Row],[TJ.5]]=3,79,IF(NSi.SE[[#This Row],[TJ.5]]=4,69,IF(NSi.SE[[#This Row],[TJ.5]]=5,0,"-")))))</f>
        <v>-</v>
      </c>
      <c r="CV23" s="73" t="str">
        <f>IF(NSi.SE[[#This Row],[Ker.5]]=1,100,IF(NSi.SE[[#This Row],[Ker.5]]=2,89,IF(NSi.SE[[#This Row],[Ker.5]]=3,79,IF(NSi.SE[[#This Row],[Ker.5]]=4,69,IF(NSi.SE[[#This Row],[Ker.5]]=5,0,"-")))))</f>
        <v>-</v>
      </c>
      <c r="CW23" s="73" t="str">
        <f>IF(NSi.SE[[#This Row],[Ped.5]]=1,100,IF(NSi.SE[[#This Row],[Ped.5]]=2,89,IF(NSi.SE[[#This Row],[Ped.5]]=3,79,IF(NSi.SE[[#This Row],[Ped.5]]=4,69,IF(NSi.SE[[#This Row],[Ped.5]]=5,0,"-")))))</f>
        <v>-</v>
      </c>
      <c r="CX23" s="73" t="str">
        <f>IF(NSi.SE[[#This Row],[Pro-A.5]]=1,100,IF(NSi.SE[[#This Row],[Pro-A.5]]=2,89,IF(NSi.SE[[#This Row],[Pro-A.5]]=3,79,IF(NSi.SE[[#This Row],[Pro-A.5]]=4,69,IF(NSi.SE[[#This Row],[Pro-A.5]]=5,0,"-")))))</f>
        <v>-</v>
      </c>
      <c r="CY23" s="74" t="str">
        <f>IF(NSi.SE[[#This Row],[KU.6]]="A",100,IF(NSi.SE[[#This Row],[KU.6]]="B",89,IF(NSi.SE[[#This Row],[KU.6]]="C",79,IF(NSi.SE[[#This Row],[KU.6]]="D",69,IF(NSi.SE[[#This Row],[KU.6]]="E",0,"-")))))</f>
        <v>-</v>
      </c>
      <c r="CZ23" s="73" t="str">
        <f>IF(NSi.SE[[#This Row],[TJ.6]]=1,100,IF(NSi.SE[[#This Row],[TJ.6]]=2,89,IF(NSi.SE[[#This Row],[TJ.6]]=3,79,IF(NSi.SE[[#This Row],[TJ.6]]=4,69,IF(NSi.SE[[#This Row],[TJ.6]]=5,0,"-")))))</f>
        <v>-</v>
      </c>
      <c r="DA23" s="73" t="str">
        <f>IF(NSi.SE[[#This Row],[Ker.6]]=1,100,IF(NSi.SE[[#This Row],[Ker.6]]=2,89,IF(NSi.SE[[#This Row],[Ker.6]]=3,79,IF(NSi.SE[[#This Row],[Ker.6]]=4,69,IF(NSi.SE[[#This Row],[Ker.6]]=5,0,"-")))))</f>
        <v>-</v>
      </c>
      <c r="DB23" s="73" t="str">
        <f>IF(NSi.SE[[#This Row],[Ped.6]]=1,100,IF(NSi.SE[[#This Row],[Ped.6]]=2,89,IF(NSi.SE[[#This Row],[Ped.6]]=3,79,IF(NSi.SE[[#This Row],[Ped.6]]=4,69,IF(NSi.SE[[#This Row],[Ped.6]]=5,0,"-")))))</f>
        <v>-</v>
      </c>
      <c r="DC23" s="73" t="str">
        <f>IF(NSi.SE[[#This Row],[Pro-A.6]]=1,100,IF(NSi.SE[[#This Row],[Pro-A.6]]=2,89,IF(NSi.SE[[#This Row],[Pro-A.6]]=3,79,IF(NSi.SE[[#This Row],[Pro-A.6]]=4,69,IF(NSi.SE[[#This Row],[Pro-A.6]]=5,0,"-")))))</f>
        <v>-</v>
      </c>
      <c r="DD23" s="74" t="str">
        <f>IF(NSi.SE[[#This Row],[KU.7]]="A",100,IF(NSi.SE[[#This Row],[KU.7]]="B",89,IF(NSi.SE[[#This Row],[KU.7]]="C",79,IF(NSi.SE[[#This Row],[KU.7]]="D",69,IF(NSi.SE[[#This Row],[KU.7]]="E",0,"-")))))</f>
        <v>-</v>
      </c>
      <c r="DE23" s="73" t="str">
        <f>IF(NSi.SE[[#This Row],[TJ.7]]=1,100,IF(NSi.SE[[#This Row],[TJ.7]]=2,89,IF(NSi.SE[[#This Row],[TJ.7]]=3,79,IF(NSi.SE[[#This Row],[TJ.7]]=4,69,IF(NSi.SE[[#This Row],[TJ.7]]=5,0,"-")))))</f>
        <v>-</v>
      </c>
      <c r="DF23" s="73" t="str">
        <f>IF(NSi.SE[[#This Row],[Ker.7]]=1,100,IF(NSi.SE[[#This Row],[Ker.7]]=2,89,IF(NSi.SE[[#This Row],[Ker.7]]=3,79,IF(NSi.SE[[#This Row],[Ker.7]]=4,69,IF(NSi.SE[[#This Row],[Ker.7]]=5,0,"-")))))</f>
        <v>-</v>
      </c>
      <c r="DG23" s="73" t="str">
        <f>IF(NSi.SE[[#This Row],[Ped.7]]=1,100,IF(NSi.SE[[#This Row],[Ped.7]]=2,89,IF(NSi.SE[[#This Row],[Ped.7]]=3,79,IF(NSi.SE[[#This Row],[Ped.7]]=4,69,IF(NSi.SE[[#This Row],[Ped.7]]=5,0,"-")))))</f>
        <v>-</v>
      </c>
      <c r="DH23" s="73" t="str">
        <f>IF(NSi.SE[[#This Row],[Pro-A.7]]=1,100,IF(NSi.SE[[#This Row],[Pro-A.7]]=2,89,IF(NSi.SE[[#This Row],[Pro-A.7]]=3,79,IF(NSi.SE[[#This Row],[Pro-A.7]]=4,69,IF(NSi.SE[[#This Row],[Pro-A.7]]=5,0,"-")))))</f>
        <v>-</v>
      </c>
      <c r="DI23" s="74" t="str">
        <f>IF(NSi.SE[[#This Row],[KU.8]]="A",100,IF(NSi.SE[[#This Row],[KU.8]]="B",89,IF(NSi.SE[[#This Row],[KU.8]]="C",79,IF(NSi.SE[[#This Row],[KU.8]]="D",69,IF(NSi.SE[[#This Row],[KU.8]]="E",0,"-")))))</f>
        <v>-</v>
      </c>
      <c r="DJ23" s="73" t="str">
        <f>IF(NSi.SE[[#This Row],[TJ.8]]=1,100,IF(NSi.SE[[#This Row],[TJ.8]]=2,89,IF(NSi.SE[[#This Row],[TJ.8]]=3,79,IF(NSi.SE[[#This Row],[TJ.8]]=4,69,IF(NSi.SE[[#This Row],[TJ.8]]=5,0,"-")))))</f>
        <v>-</v>
      </c>
      <c r="DK23" s="73" t="str">
        <f>IF(NSi.SE[[#This Row],[Ker.8]]=1,100,IF(NSi.SE[[#This Row],[Ker.8]]=2,89,IF(NSi.SE[[#This Row],[Ker.8]]=3,79,IF(NSi.SE[[#This Row],[Ker.8]]=4,69,IF(NSi.SE[[#This Row],[Ker.8]]=5,0,"-")))))</f>
        <v>-</v>
      </c>
      <c r="DL23" s="73" t="str">
        <f>IF(NSi.SE[[#This Row],[Ped.8]]=1,100,IF(NSi.SE[[#This Row],[Ped.8]]=2,89,IF(NSi.SE[[#This Row],[Ped.8]]=3,79,IF(NSi.SE[[#This Row],[Ped.8]]=4,69,IF(NSi.SE[[#This Row],[Ped.8]]=5,0,"-")))))</f>
        <v>-</v>
      </c>
      <c r="DM23" s="73" t="str">
        <f>IF(NSi.SE[[#This Row],[Pro-A.8]]=1,100,IF(NSi.SE[[#This Row],[Pro-A.8]]=2,89,IF(NSi.SE[[#This Row],[Pro-A.8]]=3,79,IF(NSi.SE[[#This Row],[Pro-A.8]]=4,69,IF(NSi.SE[[#This Row],[Pro-A.8]]=5,0,"-")))))</f>
        <v>-</v>
      </c>
      <c r="DN23" s="74" t="str">
        <f>IF(NSi.SE[[#This Row],[KU.9]]="A",100,IF(NSi.SE[[#This Row],[KU.9]]="B",89,IF(NSi.SE[[#This Row],[KU.9]]="C",79,IF(NSi.SE[[#This Row],[KU.9]]="D",69,IF(NSi.SE[[#This Row],[KU.9]]="E",0,"-")))))</f>
        <v>-</v>
      </c>
      <c r="DO23" s="73" t="str">
        <f>IF(NSi.SE[[#This Row],[TJ.9]]=1,100,IF(NSi.SE[[#This Row],[TJ.9]]=2,89,IF(NSi.SE[[#This Row],[TJ.9]]=3,79,IF(NSi.SE[[#This Row],[TJ.9]]=4,69,IF(NSi.SE[[#This Row],[TJ.9]]=5,0,"-")))))</f>
        <v>-</v>
      </c>
      <c r="DP23" s="73" t="str">
        <f>IF(NSi.SE[[#This Row],[Ker.9]]=1,100,IF(NSi.SE[[#This Row],[Ker.9]]=2,89,IF(NSi.SE[[#This Row],[Ker.9]]=3,79,IF(NSi.SE[[#This Row],[Ker.9]]=4,69,IF(NSi.SE[[#This Row],[Ker.9]]=5,0,"-")))))</f>
        <v>-</v>
      </c>
      <c r="DQ23" s="73" t="str">
        <f>IF(NSi.SE[[#This Row],[Ped.9]]=1,100,IF(NSi.SE[[#This Row],[Ped.9]]=2,89,IF(NSi.SE[[#This Row],[Ped.9]]=3,79,IF(NSi.SE[[#This Row],[Ped.9]]=4,69,IF(NSi.SE[[#This Row],[Ped.9]]=5,0,"-")))))</f>
        <v>-</v>
      </c>
      <c r="DR23" s="73" t="str">
        <f>IF(NSi.SE[[#This Row],[Pro-A.9]]=1,100,IF(NSi.SE[[#This Row],[Pro-A.9]]=2,89,IF(NSi.SE[[#This Row],[Pro-A.9]]=3,79,IF(NSi.SE[[#This Row],[Pro-A.9]]=4,69,IF(NSi.SE[[#This Row],[Pro-A.9]]=5,0,"-")))))</f>
        <v>-</v>
      </c>
      <c r="DT23"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4" spans="1:124" ht="50.1" customHeight="1" x14ac:dyDescent="0.3">
      <c r="A24" s="66" t="str">
        <f>IF(NSi.TS[[#This Row],[No]]=0,"",NSi.TS[[#This Row],[No]])</f>
        <v/>
      </c>
      <c r="B24" s="67" t="str">
        <f>IF(NSi.TS[[#This Row],[Nama Siswa]]=0,"",NSi.TS[[#This Row],[Nama Siswa]])</f>
        <v/>
      </c>
      <c r="C24" s="68" t="str">
        <f>IF(NSi.TS[[#This Row],[Nomor Induk]]=0,"",NSi.TS[[#This Row],[Nomor Induk]])</f>
        <v/>
      </c>
      <c r="D24" s="68" t="str">
        <f>IF(NSi.TS[[#This Row],[NISN]]=0,"",NSi.TS[[#This Row],[NISN]])</f>
        <v/>
      </c>
      <c r="E24" s="68" t="str">
        <f>IF(NSi.TS[[#This Row],[Jurusan]]=0,"",NSi.TS[[#This Row],[Jurusan]])</f>
        <v/>
      </c>
      <c r="F24" s="39" t="str">
        <f>NSi.TS[[#This Row],[Nsi.TS]]</f>
        <v/>
      </c>
      <c r="G24" s="39" t="str">
        <f>IFERROR(ROUND(AVERAGE(CSCR.S[#This Row]),0),"")</f>
        <v/>
      </c>
      <c r="H24" s="39" t="str">
        <f>IFERROR(ROUND(AVERAGE(NSi.SE[[#This Row],[Nsi.TS]:[NS.iS]]),0),"")</f>
        <v/>
      </c>
      <c r="I24" s="41" t="s">
        <v>102</v>
      </c>
      <c r="J24" s="45" t="s">
        <v>102</v>
      </c>
      <c r="K24" s="45" t="s">
        <v>102</v>
      </c>
      <c r="L24" s="45" t="s">
        <v>102</v>
      </c>
      <c r="M24" s="45" t="s">
        <v>102</v>
      </c>
      <c r="N24" s="41" t="s">
        <v>102</v>
      </c>
      <c r="O24" s="45" t="s">
        <v>102</v>
      </c>
      <c r="P24" s="45" t="s">
        <v>102</v>
      </c>
      <c r="Q24" s="45" t="s">
        <v>102</v>
      </c>
      <c r="R24" s="45" t="s">
        <v>102</v>
      </c>
      <c r="S24" s="41" t="s">
        <v>102</v>
      </c>
      <c r="T24" s="45" t="s">
        <v>102</v>
      </c>
      <c r="U24" s="45" t="s">
        <v>102</v>
      </c>
      <c r="V24" s="45" t="s">
        <v>102</v>
      </c>
      <c r="W24" s="45" t="s">
        <v>102</v>
      </c>
      <c r="X24" s="41" t="s">
        <v>102</v>
      </c>
      <c r="Y24" s="45" t="s">
        <v>102</v>
      </c>
      <c r="Z24" s="45" t="s">
        <v>102</v>
      </c>
      <c r="AA24" s="45" t="s">
        <v>102</v>
      </c>
      <c r="AB24" s="45" t="s">
        <v>102</v>
      </c>
      <c r="AC24" s="41" t="s">
        <v>102</v>
      </c>
      <c r="AD24" s="45" t="s">
        <v>102</v>
      </c>
      <c r="AE24" s="45" t="s">
        <v>102</v>
      </c>
      <c r="AF24" s="45" t="s">
        <v>102</v>
      </c>
      <c r="AG24" s="45" t="s">
        <v>102</v>
      </c>
      <c r="AH24" s="41" t="s">
        <v>102</v>
      </c>
      <c r="AI24" s="45" t="s">
        <v>102</v>
      </c>
      <c r="AJ24" s="45" t="s">
        <v>102</v>
      </c>
      <c r="AK24" s="45" t="s">
        <v>102</v>
      </c>
      <c r="AL24" s="45" t="s">
        <v>102</v>
      </c>
      <c r="AM24" s="41" t="s">
        <v>102</v>
      </c>
      <c r="AN24" s="45" t="s">
        <v>102</v>
      </c>
      <c r="AO24" s="45" t="s">
        <v>102</v>
      </c>
      <c r="AP24" s="45" t="s">
        <v>102</v>
      </c>
      <c r="AQ24" s="45" t="s">
        <v>102</v>
      </c>
      <c r="AR24" s="41" t="s">
        <v>102</v>
      </c>
      <c r="AS24" s="45" t="s">
        <v>102</v>
      </c>
      <c r="AT24" s="45" t="s">
        <v>102</v>
      </c>
      <c r="AU24" s="45" t="s">
        <v>102</v>
      </c>
      <c r="AV24" s="45" t="s">
        <v>102</v>
      </c>
      <c r="AW24" s="41" t="s">
        <v>102</v>
      </c>
      <c r="AX24" s="45" t="s">
        <v>102</v>
      </c>
      <c r="AY24" s="45" t="s">
        <v>102</v>
      </c>
      <c r="AZ24" s="45" t="s">
        <v>102</v>
      </c>
      <c r="BA24" s="45" t="s">
        <v>102</v>
      </c>
      <c r="BC24" s="10" t="str">
        <f>CONCATENATE(NSi.SE[[#This Row],[KU.1]],(IF(A.LoE.S[[#This Row],[LE.1]]="-","-",IF(A.LoE.S[[#This Row],[LE.1]]&gt;=90,1,IF(A.LoE.S[[#This Row],[LE.1]]&gt;=80,2,IF(A.LoE.S[[#This Row],[LE.1]]&gt;=70,3,IF(A.LoE.S[[#This Row],[LE.1]]&gt;=1,4,5)))))))</f>
        <v>--</v>
      </c>
      <c r="BD24" s="46" t="str">
        <f>CONCATENATE(NSi.SE[[#This Row],[KU.2]],(IF(A.LoE.S[[#This Row],[LE.2]]="-","-",IF(A.LoE.S[[#This Row],[LE.2]]&gt;=90,1,IF(A.LoE.S[[#This Row],[LE.2]]&gt;=80,2,IF(A.LoE.S[[#This Row],[LE.2]]&gt;=70,3,IF(A.LoE.S[[#This Row],[LE.2]]&gt;=1,4,5)))))))</f>
        <v>--</v>
      </c>
      <c r="BE24" s="46" t="str">
        <f>CONCATENATE(NSi.SE[[#This Row],[KU.3]],(IF(A.LoE.S[[#This Row],[LE.3]]="-","-",IF(A.LoE.S[[#This Row],[LE.3]]&gt;=90,1,IF(A.LoE.S[[#This Row],[LE.3]]&gt;=80,2,IF(A.LoE.S[[#This Row],[LE.3]]&gt;=70,3,IF(A.LoE.S[[#This Row],[LE.3]]&gt;=1,4,5)))))))</f>
        <v>--</v>
      </c>
      <c r="BF24" s="46" t="str">
        <f>CONCATENATE(NSi.SE[[#This Row],[KU.4]],(IF(A.LoE.S[[#This Row],[LE.4]]="-","-",IF(A.LoE.S[[#This Row],[LE.4]]&gt;=90,1,IF(A.LoE.S[[#This Row],[LE.4]]&gt;=80,2,IF(A.LoE.S[[#This Row],[LE.4]]&gt;=70,3,IF(A.LoE.S[[#This Row],[LE.4]]&gt;=1,4,5)))))))</f>
        <v>--</v>
      </c>
      <c r="BG24" s="46" t="str">
        <f>CONCATENATE(NSi.SE[[#This Row],[KU.5]],(IF(A.LoE.S[[#This Row],[LE.5]]="-","-",IF(A.LoE.S[[#This Row],[LE.5]]&gt;=90,1,IF(A.LoE.S[[#This Row],[LE.5]]&gt;=80,2,IF(A.LoE.S[[#This Row],[LE.5]]&gt;=70,3,IF(A.LoE.S[[#This Row],[LE.5]]&gt;=1,4,5)))))))</f>
        <v>--</v>
      </c>
      <c r="BH24" s="46" t="str">
        <f>CONCATENATE(NSi.SE[[#This Row],[KU.6]],(IF(A.LoE.S[[#This Row],[LE.6]]="-","-",IF(A.LoE.S[[#This Row],[LE.6]]&gt;=90,1,IF(A.LoE.S[[#This Row],[LE.6]]&gt;=80,2,IF(A.LoE.S[[#This Row],[LE.6]]&gt;=70,3,IF(A.LoE.S[[#This Row],[LE.6]]&gt;=1,4,5)))))))</f>
        <v>--</v>
      </c>
      <c r="BI24" s="46" t="str">
        <f>CONCATENATE(NSi.SE[[#This Row],[KU.7]],(IF(A.LoE.S[[#This Row],[LE.7]]="-","-",IF(A.LoE.S[[#This Row],[LE.7]]&gt;=90,1,IF(A.LoE.S[[#This Row],[LE.7]]&gt;=80,2,IF(A.LoE.S[[#This Row],[LE.7]]&gt;=70,3,IF(A.LoE.S[[#This Row],[LE.7]]&gt;=1,4,5)))))))</f>
        <v>--</v>
      </c>
      <c r="BJ24" s="46" t="str">
        <f>CONCATENATE(NSi.SE[[#This Row],[KU.8]],(IF(A.LoE.S[[#This Row],[LE.8]]="-","-",IF(A.LoE.S[[#This Row],[LE.8]]&gt;=90,1,IF(A.LoE.S[[#This Row],[LE.8]]&gt;=80,2,IF(A.LoE.S[[#This Row],[LE.8]]&gt;=70,3,IF(A.LoE.S[[#This Row],[LE.8]]&gt;=1,4,5)))))))</f>
        <v>--</v>
      </c>
      <c r="BK24" s="38" t="str">
        <f>CONCATENATE(NSi.SE[[#This Row],[KU.9]],(IF(A.LoE.S[[#This Row],[LE.9]]="-","-",IF(A.LoE.S[[#This Row],[LE.9]]&gt;=90,1,IF(A.LoE.S[[#This Row],[LE.9]]&gt;=80,2,IF(A.LoE.S[[#This Row],[LE.9]]&gt;=70,3,IF(A.LoE.S[[#This Row],[LE.9]]&gt;=1,4,5)))))))</f>
        <v>--</v>
      </c>
      <c r="BM24" s="35" t="str">
        <f>IFERROR(ROUND(AVERAGE(Con.Sk.S[[#This Row],[TJ.1]:[Pro-A.1]]),0),"-")</f>
        <v>-</v>
      </c>
      <c r="BN24" s="24" t="str">
        <f>IFERROR(ROUND(AVERAGE(Con.Sk.S[[#This Row],[TJ.2]:[Pro-A.2]]),0),"-")</f>
        <v>-</v>
      </c>
      <c r="BO24" s="24" t="str">
        <f>IFERROR(ROUND(AVERAGE(Con.Sk.S[[#This Row],[TJ.3]:[Pro-A.3]]),0),"-")</f>
        <v>-</v>
      </c>
      <c r="BP24" s="24" t="str">
        <f>IFERROR(ROUND(AVERAGE(Con.Sk.S[[#This Row],[TJ.4]:[Pro-A.4]]),0),"-")</f>
        <v>-</v>
      </c>
      <c r="BQ24" s="24" t="str">
        <f>IFERROR(ROUND(AVERAGE(Con.Sk.S[[#This Row],[TJ.5]:[Pro-A.5]]),0),"-")</f>
        <v>-</v>
      </c>
      <c r="BR24" s="24" t="str">
        <f>IFERROR(ROUND(AVERAGE(Con.Sk.S[[#This Row],[TJ.6]:[Pro-A.6]]),0),"-")</f>
        <v>-</v>
      </c>
      <c r="BS24" s="24" t="str">
        <f>IFERROR(ROUND(AVERAGE(Con.Sk.S[[#This Row],[TJ.7]:[Pro-A.7]]),0),"-")</f>
        <v>-</v>
      </c>
      <c r="BT24" s="24" t="str">
        <f>IFERROR(ROUND(AVERAGE(Con.Sk.S[[#This Row],[TJ.8]:[Pro-A.8]]),0),"-")</f>
        <v>-</v>
      </c>
      <c r="BU24" s="25" t="str">
        <f>IFERROR(ROUND(AVERAGE(Con.Sk.S[[#This Row],[TJ.9]:[Pro-A.9]]),0),"-")</f>
        <v>-</v>
      </c>
      <c r="BW24" s="47" t="str">
        <f>IFERROR(ROUND(AVERAGE(Con.Sk.S[[#This Row],[KU.1]],Con.Sk.S[[#This Row],[KU.2]],Con.Sk.S[[#This Row],[KU.3]],Con.Sk.S[[#This Row],[KU.4]],Con.Sk.S[[#This Row],[KU.5]],Con.Sk.S[[#This Row],[KU.6]],Con.Sk.S[[#This Row],[KU.7]],Con.Sk.S[[#This Row],[KU.8]],Con.Sk.S[[#This Row],[KU.9]]),0),"")</f>
        <v/>
      </c>
      <c r="BX24" s="48" t="str">
        <f>IFERROR(ROUND(AVERAGE(Con.Sk.S[[#This Row],[TJ.1]:[Pro-A.1]],Con.Sk.S[[#This Row],[TJ.2]:[Pro-A.2]],Con.Sk.S[[#This Row],[TJ.3]:[Pro-A.3]],Con.Sk.S[[#This Row],[TJ.4]:[Pro-A.4]],Con.Sk.S[[#This Row],[TJ.5]:[Pro-A.5]],Con.Sk.S[[#This Row],[TJ.6]:[Pro-A.6]],Con.Sk.S[[#This Row],[TJ.7]:[Pro-A.7]],Con.Sk.S[[#This Row],[TJ.8]:[Pro-A.8]],Con.Sk.S[[#This Row],[TJ.9]:[Pro-A.9]]),0),"")</f>
        <v/>
      </c>
      <c r="BY24" s="3"/>
      <c r="BZ24" s="73" t="str">
        <f>IF(NSi.SE[[#This Row],[KU.1]]="A",100,IF(NSi.SE[[#This Row],[KU.1]]="B",89,IF(NSi.SE[[#This Row],[KU.1]]="C",79,IF(NSi.SE[[#This Row],[KU.1]]="D",69,IF(NSi.SE[[#This Row],[KU.1]]="E",0,"-")))))</f>
        <v>-</v>
      </c>
      <c r="CA24" s="73" t="str">
        <f>IF(NSi.SE[[#This Row],[TJ.1]]=1,100,IF(NSi.SE[[#This Row],[TJ.1]]=2,89,IF(NSi.SE[[#This Row],[TJ.1]]=3,79,IF(NSi.SE[[#This Row],[TJ.1]]=4,69,IF(NSi.SE[[#This Row],[TJ.1]]=5,0,"-")))))</f>
        <v>-</v>
      </c>
      <c r="CB24" s="73" t="str">
        <f>IF(NSi.SE[[#This Row],[Ker.1]]=1,100,IF(NSi.SE[[#This Row],[Ker.1]]=2,89,IF(NSi.SE[[#This Row],[Ker.1]]=3,79,IF(NSi.SE[[#This Row],[Ker.1]]=4,69,IF(NSi.SE[[#This Row],[Ker.1]]=5,0,"-")))))</f>
        <v>-</v>
      </c>
      <c r="CC24" s="73" t="str">
        <f>IF(NSi.SE[[#This Row],[Ped.1]]=1,100,IF(NSi.SE[[#This Row],[Ped.1]]=2,89,IF(NSi.SE[[#This Row],[Ped.1]]=3,79,IF(NSi.SE[[#This Row],[Ped.1]]=4,69,IF(NSi.SE[[#This Row],[Ped.1]]=5,0,"-")))))</f>
        <v>-</v>
      </c>
      <c r="CD24" s="73" t="str">
        <f>IF(NSi.SE[[#This Row],[Pro-A.1]]=1,100,IF(NSi.SE[[#This Row],[Pro-A.1]]=2,89,IF(NSi.SE[[#This Row],[Pro-A.1]]=3,79,IF(NSi.SE[[#This Row],[Pro-A.1]]=4,69,IF(NSi.SE[[#This Row],[Pro-A.1]]=5,0,"-")))))</f>
        <v>-</v>
      </c>
      <c r="CE24" s="73" t="str">
        <f>IF(NSi.SE[[#This Row],[KU.2]]="A",100,IF(NSi.SE[[#This Row],[KU.2]]="B",89,IF(NSi.SE[[#This Row],[KU.2]]="C",79,IF(NSi.SE[[#This Row],[KU.2]]="D",69,IF(NSi.SE[[#This Row],[KU.2]]="E",0,"-")))))</f>
        <v>-</v>
      </c>
      <c r="CF24" s="73" t="str">
        <f>IF(NSi.SE[[#This Row],[TJ.2]]=1,100,IF(NSi.SE[[#This Row],[TJ.2]]=2,89,IF(NSi.SE[[#This Row],[TJ.2]]=3,79,IF(NSi.SE[[#This Row],[TJ.2]]=4,69,IF(NSi.SE[[#This Row],[TJ.2]]=5,0,"-")))))</f>
        <v>-</v>
      </c>
      <c r="CG24" s="73" t="str">
        <f>IF(NSi.SE[[#This Row],[Ker.2]]=1,100,IF(NSi.SE[[#This Row],[Ker.2]]=2,89,IF(NSi.SE[[#This Row],[Ker.2]]=3,79,IF(NSi.SE[[#This Row],[Ker.2]]=4,69,IF(NSi.SE[[#This Row],[Ker.2]]=5,0,"-")))))</f>
        <v>-</v>
      </c>
      <c r="CH24" s="73" t="str">
        <f>IF(NSi.SE[[#This Row],[Ped.2]]=1,100,IF(NSi.SE[[#This Row],[Ped.2]]=2,89,IF(NSi.SE[[#This Row],[Ped.2]]=3,79,IF(NSi.SE[[#This Row],[Ped.2]]=4,69,IF(NSi.SE[[#This Row],[Ped.2]]=5,0,"-")))))</f>
        <v>-</v>
      </c>
      <c r="CI24" s="73" t="str">
        <f>IF(NSi.SE[[#This Row],[Pro-A.2]]=1,100,IF(NSi.SE[[#This Row],[Pro-A.2]]=2,89,IF(NSi.SE[[#This Row],[Pro-A.2]]=3,79,IF(NSi.SE[[#This Row],[Pro-A.2]]=4,69,IF(NSi.SE[[#This Row],[Pro-A.2]]=5,0,"-")))))</f>
        <v>-</v>
      </c>
      <c r="CJ24" s="74" t="str">
        <f>IF(NSi.SE[[#This Row],[KU.3]]="A",100,IF(NSi.SE[[#This Row],[KU.3]]="B",89,IF(NSi.SE[[#This Row],[KU.3]]="C",79,IF(NSi.SE[[#This Row],[KU.3]]="D",69,IF(NSi.SE[[#This Row],[KU.3]]="E",0,"-")))))</f>
        <v>-</v>
      </c>
      <c r="CK24" s="73" t="str">
        <f>IF(NSi.SE[[#This Row],[TJ.3]]=1,100,IF(NSi.SE[[#This Row],[TJ.3]]=2,89,IF(NSi.SE[[#This Row],[TJ.3]]=3,79,IF(NSi.SE[[#This Row],[TJ.3]]=4,69,IF(NSi.SE[[#This Row],[TJ.3]]=5,0,"-")))))</f>
        <v>-</v>
      </c>
      <c r="CL24" s="73" t="str">
        <f>IF(NSi.SE[[#This Row],[Ker.3]]=1,100,IF(NSi.SE[[#This Row],[Ker.3]]=2,89,IF(NSi.SE[[#This Row],[Ker.3]]=3,79,IF(NSi.SE[[#This Row],[Ker.3]]=4,69,IF(NSi.SE[[#This Row],[Ker.3]]=5,0,"-")))))</f>
        <v>-</v>
      </c>
      <c r="CM24" s="73" t="str">
        <f>IF(NSi.SE[[#This Row],[Ped.3]]=1,100,IF(NSi.SE[[#This Row],[Ped.3]]=2,89,IF(NSi.SE[[#This Row],[Ped.3]]=3,79,IF(NSi.SE[[#This Row],[Ped.3]]=4,69,IF(NSi.SE[[#This Row],[Ped.3]]=5,0,"-")))))</f>
        <v>-</v>
      </c>
      <c r="CN24" s="73" t="str">
        <f>IF(NSi.SE[[#This Row],[Pro-A.3]]=1,100,IF(NSi.SE[[#This Row],[Pro-A.3]]=2,89,IF(NSi.SE[[#This Row],[Pro-A.3]]=3,79,IF(NSi.SE[[#This Row],[Pro-A.3]]=4,69,IF(NSi.SE[[#This Row],[Pro-A.3]]=5,0,"-")))))</f>
        <v>-</v>
      </c>
      <c r="CO24" s="74" t="str">
        <f>IF(NSi.SE[[#This Row],[KU.4]]="A",100,IF(NSi.SE[[#This Row],[KU.4]]="B",89,IF(NSi.SE[[#This Row],[KU.4]]="C",79,IF(NSi.SE[[#This Row],[KU.4]]="D",69,IF(NSi.SE[[#This Row],[KU.4]]="E",0,"-")))))</f>
        <v>-</v>
      </c>
      <c r="CP24" s="73" t="str">
        <f>IF(NSi.SE[[#This Row],[TJ.4]]=1,100,IF(NSi.SE[[#This Row],[TJ.4]]=2,89,IF(NSi.SE[[#This Row],[TJ.4]]=3,79,IF(NSi.SE[[#This Row],[TJ.4]]=4,69,IF(NSi.SE[[#This Row],[TJ.4]]=5,0,"-")))))</f>
        <v>-</v>
      </c>
      <c r="CQ24" s="73" t="str">
        <f>IF(NSi.SE[[#This Row],[Ker.4]]=1,100,IF(NSi.SE[[#This Row],[Ker.4]]=2,89,IF(NSi.SE[[#This Row],[Ker.4]]=3,79,IF(NSi.SE[[#This Row],[Ker.4]]=4,69,IF(NSi.SE[[#This Row],[Ker.4]]=5,0,"-")))))</f>
        <v>-</v>
      </c>
      <c r="CR24" s="73" t="str">
        <f>IF(NSi.SE[[#This Row],[Ped.4]]=1,100,IF(NSi.SE[[#This Row],[Ped.4]]=2,89,IF(NSi.SE[[#This Row],[Ped.4]]=3,79,IF(NSi.SE[[#This Row],[Ped.4]]=4,69,IF(NSi.SE[[#This Row],[Ped.4]]=5,0,"-")))))</f>
        <v>-</v>
      </c>
      <c r="CS24" s="73" t="str">
        <f>IF(NSi.SE[[#This Row],[Pro-A.4]]=1,100,IF(NSi.SE[[#This Row],[Pro-A.4]]=2,89,IF(NSi.SE[[#This Row],[Pro-A.4]]=3,79,IF(NSi.SE[[#This Row],[Pro-A.4]]=4,69,IF(NSi.SE[[#This Row],[Pro-A.4]]=5,0,"-")))))</f>
        <v>-</v>
      </c>
      <c r="CT24" s="74" t="str">
        <f>IF(NSi.SE[[#This Row],[KU.5]]="A",100,IF(NSi.SE[[#This Row],[KU.5]]="B",89,IF(NSi.SE[[#This Row],[KU.5]]="C",79,IF(NSi.SE[[#This Row],[KU.5]]="D",69,IF(NSi.SE[[#This Row],[KU.5]]="E",0,"-")))))</f>
        <v>-</v>
      </c>
      <c r="CU24" s="73" t="str">
        <f>IF(NSi.SE[[#This Row],[TJ.5]]=1,100,IF(NSi.SE[[#This Row],[TJ.5]]=2,89,IF(NSi.SE[[#This Row],[TJ.5]]=3,79,IF(NSi.SE[[#This Row],[TJ.5]]=4,69,IF(NSi.SE[[#This Row],[TJ.5]]=5,0,"-")))))</f>
        <v>-</v>
      </c>
      <c r="CV24" s="73" t="str">
        <f>IF(NSi.SE[[#This Row],[Ker.5]]=1,100,IF(NSi.SE[[#This Row],[Ker.5]]=2,89,IF(NSi.SE[[#This Row],[Ker.5]]=3,79,IF(NSi.SE[[#This Row],[Ker.5]]=4,69,IF(NSi.SE[[#This Row],[Ker.5]]=5,0,"-")))))</f>
        <v>-</v>
      </c>
      <c r="CW24" s="73" t="str">
        <f>IF(NSi.SE[[#This Row],[Ped.5]]=1,100,IF(NSi.SE[[#This Row],[Ped.5]]=2,89,IF(NSi.SE[[#This Row],[Ped.5]]=3,79,IF(NSi.SE[[#This Row],[Ped.5]]=4,69,IF(NSi.SE[[#This Row],[Ped.5]]=5,0,"-")))))</f>
        <v>-</v>
      </c>
      <c r="CX24" s="73" t="str">
        <f>IF(NSi.SE[[#This Row],[Pro-A.5]]=1,100,IF(NSi.SE[[#This Row],[Pro-A.5]]=2,89,IF(NSi.SE[[#This Row],[Pro-A.5]]=3,79,IF(NSi.SE[[#This Row],[Pro-A.5]]=4,69,IF(NSi.SE[[#This Row],[Pro-A.5]]=5,0,"-")))))</f>
        <v>-</v>
      </c>
      <c r="CY24" s="74" t="str">
        <f>IF(NSi.SE[[#This Row],[KU.6]]="A",100,IF(NSi.SE[[#This Row],[KU.6]]="B",89,IF(NSi.SE[[#This Row],[KU.6]]="C",79,IF(NSi.SE[[#This Row],[KU.6]]="D",69,IF(NSi.SE[[#This Row],[KU.6]]="E",0,"-")))))</f>
        <v>-</v>
      </c>
      <c r="CZ24" s="73" t="str">
        <f>IF(NSi.SE[[#This Row],[TJ.6]]=1,100,IF(NSi.SE[[#This Row],[TJ.6]]=2,89,IF(NSi.SE[[#This Row],[TJ.6]]=3,79,IF(NSi.SE[[#This Row],[TJ.6]]=4,69,IF(NSi.SE[[#This Row],[TJ.6]]=5,0,"-")))))</f>
        <v>-</v>
      </c>
      <c r="DA24" s="73" t="str">
        <f>IF(NSi.SE[[#This Row],[Ker.6]]=1,100,IF(NSi.SE[[#This Row],[Ker.6]]=2,89,IF(NSi.SE[[#This Row],[Ker.6]]=3,79,IF(NSi.SE[[#This Row],[Ker.6]]=4,69,IF(NSi.SE[[#This Row],[Ker.6]]=5,0,"-")))))</f>
        <v>-</v>
      </c>
      <c r="DB24" s="73" t="str">
        <f>IF(NSi.SE[[#This Row],[Ped.6]]=1,100,IF(NSi.SE[[#This Row],[Ped.6]]=2,89,IF(NSi.SE[[#This Row],[Ped.6]]=3,79,IF(NSi.SE[[#This Row],[Ped.6]]=4,69,IF(NSi.SE[[#This Row],[Ped.6]]=5,0,"-")))))</f>
        <v>-</v>
      </c>
      <c r="DC24" s="73" t="str">
        <f>IF(NSi.SE[[#This Row],[Pro-A.6]]=1,100,IF(NSi.SE[[#This Row],[Pro-A.6]]=2,89,IF(NSi.SE[[#This Row],[Pro-A.6]]=3,79,IF(NSi.SE[[#This Row],[Pro-A.6]]=4,69,IF(NSi.SE[[#This Row],[Pro-A.6]]=5,0,"-")))))</f>
        <v>-</v>
      </c>
      <c r="DD24" s="74" t="str">
        <f>IF(NSi.SE[[#This Row],[KU.7]]="A",100,IF(NSi.SE[[#This Row],[KU.7]]="B",89,IF(NSi.SE[[#This Row],[KU.7]]="C",79,IF(NSi.SE[[#This Row],[KU.7]]="D",69,IF(NSi.SE[[#This Row],[KU.7]]="E",0,"-")))))</f>
        <v>-</v>
      </c>
      <c r="DE24" s="73" t="str">
        <f>IF(NSi.SE[[#This Row],[TJ.7]]=1,100,IF(NSi.SE[[#This Row],[TJ.7]]=2,89,IF(NSi.SE[[#This Row],[TJ.7]]=3,79,IF(NSi.SE[[#This Row],[TJ.7]]=4,69,IF(NSi.SE[[#This Row],[TJ.7]]=5,0,"-")))))</f>
        <v>-</v>
      </c>
      <c r="DF24" s="73" t="str">
        <f>IF(NSi.SE[[#This Row],[Ker.7]]=1,100,IF(NSi.SE[[#This Row],[Ker.7]]=2,89,IF(NSi.SE[[#This Row],[Ker.7]]=3,79,IF(NSi.SE[[#This Row],[Ker.7]]=4,69,IF(NSi.SE[[#This Row],[Ker.7]]=5,0,"-")))))</f>
        <v>-</v>
      </c>
      <c r="DG24" s="73" t="str">
        <f>IF(NSi.SE[[#This Row],[Ped.7]]=1,100,IF(NSi.SE[[#This Row],[Ped.7]]=2,89,IF(NSi.SE[[#This Row],[Ped.7]]=3,79,IF(NSi.SE[[#This Row],[Ped.7]]=4,69,IF(NSi.SE[[#This Row],[Ped.7]]=5,0,"-")))))</f>
        <v>-</v>
      </c>
      <c r="DH24" s="73" t="str">
        <f>IF(NSi.SE[[#This Row],[Pro-A.7]]=1,100,IF(NSi.SE[[#This Row],[Pro-A.7]]=2,89,IF(NSi.SE[[#This Row],[Pro-A.7]]=3,79,IF(NSi.SE[[#This Row],[Pro-A.7]]=4,69,IF(NSi.SE[[#This Row],[Pro-A.7]]=5,0,"-")))))</f>
        <v>-</v>
      </c>
      <c r="DI24" s="74" t="str">
        <f>IF(NSi.SE[[#This Row],[KU.8]]="A",100,IF(NSi.SE[[#This Row],[KU.8]]="B",89,IF(NSi.SE[[#This Row],[KU.8]]="C",79,IF(NSi.SE[[#This Row],[KU.8]]="D",69,IF(NSi.SE[[#This Row],[KU.8]]="E",0,"-")))))</f>
        <v>-</v>
      </c>
      <c r="DJ24" s="73" t="str">
        <f>IF(NSi.SE[[#This Row],[TJ.8]]=1,100,IF(NSi.SE[[#This Row],[TJ.8]]=2,89,IF(NSi.SE[[#This Row],[TJ.8]]=3,79,IF(NSi.SE[[#This Row],[TJ.8]]=4,69,IF(NSi.SE[[#This Row],[TJ.8]]=5,0,"-")))))</f>
        <v>-</v>
      </c>
      <c r="DK24" s="73" t="str">
        <f>IF(NSi.SE[[#This Row],[Ker.8]]=1,100,IF(NSi.SE[[#This Row],[Ker.8]]=2,89,IF(NSi.SE[[#This Row],[Ker.8]]=3,79,IF(NSi.SE[[#This Row],[Ker.8]]=4,69,IF(NSi.SE[[#This Row],[Ker.8]]=5,0,"-")))))</f>
        <v>-</v>
      </c>
      <c r="DL24" s="73" t="str">
        <f>IF(NSi.SE[[#This Row],[Ped.8]]=1,100,IF(NSi.SE[[#This Row],[Ped.8]]=2,89,IF(NSi.SE[[#This Row],[Ped.8]]=3,79,IF(NSi.SE[[#This Row],[Ped.8]]=4,69,IF(NSi.SE[[#This Row],[Ped.8]]=5,0,"-")))))</f>
        <v>-</v>
      </c>
      <c r="DM24" s="73" t="str">
        <f>IF(NSi.SE[[#This Row],[Pro-A.8]]=1,100,IF(NSi.SE[[#This Row],[Pro-A.8]]=2,89,IF(NSi.SE[[#This Row],[Pro-A.8]]=3,79,IF(NSi.SE[[#This Row],[Pro-A.8]]=4,69,IF(NSi.SE[[#This Row],[Pro-A.8]]=5,0,"-")))))</f>
        <v>-</v>
      </c>
      <c r="DN24" s="74" t="str">
        <f>IF(NSi.SE[[#This Row],[KU.9]]="A",100,IF(NSi.SE[[#This Row],[KU.9]]="B",89,IF(NSi.SE[[#This Row],[KU.9]]="C",79,IF(NSi.SE[[#This Row],[KU.9]]="D",69,IF(NSi.SE[[#This Row],[KU.9]]="E",0,"-")))))</f>
        <v>-</v>
      </c>
      <c r="DO24" s="73" t="str">
        <f>IF(NSi.SE[[#This Row],[TJ.9]]=1,100,IF(NSi.SE[[#This Row],[TJ.9]]=2,89,IF(NSi.SE[[#This Row],[TJ.9]]=3,79,IF(NSi.SE[[#This Row],[TJ.9]]=4,69,IF(NSi.SE[[#This Row],[TJ.9]]=5,0,"-")))))</f>
        <v>-</v>
      </c>
      <c r="DP24" s="73" t="str">
        <f>IF(NSi.SE[[#This Row],[Ker.9]]=1,100,IF(NSi.SE[[#This Row],[Ker.9]]=2,89,IF(NSi.SE[[#This Row],[Ker.9]]=3,79,IF(NSi.SE[[#This Row],[Ker.9]]=4,69,IF(NSi.SE[[#This Row],[Ker.9]]=5,0,"-")))))</f>
        <v>-</v>
      </c>
      <c r="DQ24" s="73" t="str">
        <f>IF(NSi.SE[[#This Row],[Ped.9]]=1,100,IF(NSi.SE[[#This Row],[Ped.9]]=2,89,IF(NSi.SE[[#This Row],[Ped.9]]=3,79,IF(NSi.SE[[#This Row],[Ped.9]]=4,69,IF(NSi.SE[[#This Row],[Ped.9]]=5,0,"-")))))</f>
        <v>-</v>
      </c>
      <c r="DR24" s="73" t="str">
        <f>IF(NSi.SE[[#This Row],[Pro-A.9]]=1,100,IF(NSi.SE[[#This Row],[Pro-A.9]]=2,89,IF(NSi.SE[[#This Row],[Pro-A.9]]=3,79,IF(NSi.SE[[#This Row],[Pro-A.9]]=4,69,IF(NSi.SE[[#This Row],[Pro-A.9]]=5,0,"-")))))</f>
        <v>-</v>
      </c>
      <c r="DT24"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5" spans="1:124" ht="50.1" customHeight="1" x14ac:dyDescent="0.3">
      <c r="A25" s="66" t="str">
        <f>IF(NSi.TS[[#This Row],[No]]=0,"",NSi.TS[[#This Row],[No]])</f>
        <v/>
      </c>
      <c r="B25" s="67" t="str">
        <f>IF(NSi.TS[[#This Row],[Nama Siswa]]=0,"",NSi.TS[[#This Row],[Nama Siswa]])</f>
        <v/>
      </c>
      <c r="C25" s="68" t="str">
        <f>IF(NSi.TS[[#This Row],[Nomor Induk]]=0,"",NSi.TS[[#This Row],[Nomor Induk]])</f>
        <v/>
      </c>
      <c r="D25" s="68" t="str">
        <f>IF(NSi.TS[[#This Row],[NISN]]=0,"",NSi.TS[[#This Row],[NISN]])</f>
        <v/>
      </c>
      <c r="E25" s="68" t="str">
        <f>IF(NSi.TS[[#This Row],[Jurusan]]=0,"",NSi.TS[[#This Row],[Jurusan]])</f>
        <v/>
      </c>
      <c r="F25" s="39" t="str">
        <f>NSi.TS[[#This Row],[Nsi.TS]]</f>
        <v/>
      </c>
      <c r="G25" s="39" t="str">
        <f>IFERROR(ROUND(AVERAGE(CSCR.S[#This Row]),0),"")</f>
        <v/>
      </c>
      <c r="H25" s="39" t="str">
        <f>IFERROR(ROUND(AVERAGE(NSi.SE[[#This Row],[Nsi.TS]:[NS.iS]]),0),"")</f>
        <v/>
      </c>
      <c r="I25" s="41" t="s">
        <v>102</v>
      </c>
      <c r="J25" s="45" t="s">
        <v>102</v>
      </c>
      <c r="K25" s="45" t="s">
        <v>102</v>
      </c>
      <c r="L25" s="45" t="s">
        <v>102</v>
      </c>
      <c r="M25" s="45" t="s">
        <v>102</v>
      </c>
      <c r="N25" s="41" t="s">
        <v>102</v>
      </c>
      <c r="O25" s="45" t="s">
        <v>102</v>
      </c>
      <c r="P25" s="45" t="s">
        <v>102</v>
      </c>
      <c r="Q25" s="45" t="s">
        <v>102</v>
      </c>
      <c r="R25" s="45" t="s">
        <v>102</v>
      </c>
      <c r="S25" s="41" t="s">
        <v>102</v>
      </c>
      <c r="T25" s="45" t="s">
        <v>102</v>
      </c>
      <c r="U25" s="45" t="s">
        <v>102</v>
      </c>
      <c r="V25" s="45" t="s">
        <v>102</v>
      </c>
      <c r="W25" s="45" t="s">
        <v>102</v>
      </c>
      <c r="X25" s="41" t="s">
        <v>102</v>
      </c>
      <c r="Y25" s="45" t="s">
        <v>102</v>
      </c>
      <c r="Z25" s="45" t="s">
        <v>102</v>
      </c>
      <c r="AA25" s="45" t="s">
        <v>102</v>
      </c>
      <c r="AB25" s="45" t="s">
        <v>102</v>
      </c>
      <c r="AC25" s="41" t="s">
        <v>102</v>
      </c>
      <c r="AD25" s="45" t="s">
        <v>102</v>
      </c>
      <c r="AE25" s="45" t="s">
        <v>102</v>
      </c>
      <c r="AF25" s="45" t="s">
        <v>102</v>
      </c>
      <c r="AG25" s="45" t="s">
        <v>102</v>
      </c>
      <c r="AH25" s="41" t="s">
        <v>102</v>
      </c>
      <c r="AI25" s="45" t="s">
        <v>102</v>
      </c>
      <c r="AJ25" s="45" t="s">
        <v>102</v>
      </c>
      <c r="AK25" s="45" t="s">
        <v>102</v>
      </c>
      <c r="AL25" s="45" t="s">
        <v>102</v>
      </c>
      <c r="AM25" s="41" t="s">
        <v>102</v>
      </c>
      <c r="AN25" s="45" t="s">
        <v>102</v>
      </c>
      <c r="AO25" s="45" t="s">
        <v>102</v>
      </c>
      <c r="AP25" s="45" t="s">
        <v>102</v>
      </c>
      <c r="AQ25" s="45" t="s">
        <v>102</v>
      </c>
      <c r="AR25" s="41" t="s">
        <v>102</v>
      </c>
      <c r="AS25" s="45" t="s">
        <v>102</v>
      </c>
      <c r="AT25" s="45" t="s">
        <v>102</v>
      </c>
      <c r="AU25" s="45" t="s">
        <v>102</v>
      </c>
      <c r="AV25" s="45" t="s">
        <v>102</v>
      </c>
      <c r="AW25" s="41" t="s">
        <v>102</v>
      </c>
      <c r="AX25" s="45" t="s">
        <v>102</v>
      </c>
      <c r="AY25" s="45" t="s">
        <v>102</v>
      </c>
      <c r="AZ25" s="45" t="s">
        <v>102</v>
      </c>
      <c r="BA25" s="45" t="s">
        <v>102</v>
      </c>
      <c r="BC25" s="10" t="str">
        <f>CONCATENATE(NSi.SE[[#This Row],[KU.1]],(IF(A.LoE.S[[#This Row],[LE.1]]="-","-",IF(A.LoE.S[[#This Row],[LE.1]]&gt;=90,1,IF(A.LoE.S[[#This Row],[LE.1]]&gt;=80,2,IF(A.LoE.S[[#This Row],[LE.1]]&gt;=70,3,IF(A.LoE.S[[#This Row],[LE.1]]&gt;=1,4,5)))))))</f>
        <v>--</v>
      </c>
      <c r="BD25" s="46" t="str">
        <f>CONCATENATE(NSi.SE[[#This Row],[KU.2]],(IF(A.LoE.S[[#This Row],[LE.2]]="-","-",IF(A.LoE.S[[#This Row],[LE.2]]&gt;=90,1,IF(A.LoE.S[[#This Row],[LE.2]]&gt;=80,2,IF(A.LoE.S[[#This Row],[LE.2]]&gt;=70,3,IF(A.LoE.S[[#This Row],[LE.2]]&gt;=1,4,5)))))))</f>
        <v>--</v>
      </c>
      <c r="BE25" s="46" t="str">
        <f>CONCATENATE(NSi.SE[[#This Row],[KU.3]],(IF(A.LoE.S[[#This Row],[LE.3]]="-","-",IF(A.LoE.S[[#This Row],[LE.3]]&gt;=90,1,IF(A.LoE.S[[#This Row],[LE.3]]&gt;=80,2,IF(A.LoE.S[[#This Row],[LE.3]]&gt;=70,3,IF(A.LoE.S[[#This Row],[LE.3]]&gt;=1,4,5)))))))</f>
        <v>--</v>
      </c>
      <c r="BF25" s="46" t="str">
        <f>CONCATENATE(NSi.SE[[#This Row],[KU.4]],(IF(A.LoE.S[[#This Row],[LE.4]]="-","-",IF(A.LoE.S[[#This Row],[LE.4]]&gt;=90,1,IF(A.LoE.S[[#This Row],[LE.4]]&gt;=80,2,IF(A.LoE.S[[#This Row],[LE.4]]&gt;=70,3,IF(A.LoE.S[[#This Row],[LE.4]]&gt;=1,4,5)))))))</f>
        <v>--</v>
      </c>
      <c r="BG25" s="46" t="str">
        <f>CONCATENATE(NSi.SE[[#This Row],[KU.5]],(IF(A.LoE.S[[#This Row],[LE.5]]="-","-",IF(A.LoE.S[[#This Row],[LE.5]]&gt;=90,1,IF(A.LoE.S[[#This Row],[LE.5]]&gt;=80,2,IF(A.LoE.S[[#This Row],[LE.5]]&gt;=70,3,IF(A.LoE.S[[#This Row],[LE.5]]&gt;=1,4,5)))))))</f>
        <v>--</v>
      </c>
      <c r="BH25" s="46" t="str">
        <f>CONCATENATE(NSi.SE[[#This Row],[KU.6]],(IF(A.LoE.S[[#This Row],[LE.6]]="-","-",IF(A.LoE.S[[#This Row],[LE.6]]&gt;=90,1,IF(A.LoE.S[[#This Row],[LE.6]]&gt;=80,2,IF(A.LoE.S[[#This Row],[LE.6]]&gt;=70,3,IF(A.LoE.S[[#This Row],[LE.6]]&gt;=1,4,5)))))))</f>
        <v>--</v>
      </c>
      <c r="BI25" s="46" t="str">
        <f>CONCATENATE(NSi.SE[[#This Row],[KU.7]],(IF(A.LoE.S[[#This Row],[LE.7]]="-","-",IF(A.LoE.S[[#This Row],[LE.7]]&gt;=90,1,IF(A.LoE.S[[#This Row],[LE.7]]&gt;=80,2,IF(A.LoE.S[[#This Row],[LE.7]]&gt;=70,3,IF(A.LoE.S[[#This Row],[LE.7]]&gt;=1,4,5)))))))</f>
        <v>--</v>
      </c>
      <c r="BJ25" s="46" t="str">
        <f>CONCATENATE(NSi.SE[[#This Row],[KU.8]],(IF(A.LoE.S[[#This Row],[LE.8]]="-","-",IF(A.LoE.S[[#This Row],[LE.8]]&gt;=90,1,IF(A.LoE.S[[#This Row],[LE.8]]&gt;=80,2,IF(A.LoE.S[[#This Row],[LE.8]]&gt;=70,3,IF(A.LoE.S[[#This Row],[LE.8]]&gt;=1,4,5)))))))</f>
        <v>--</v>
      </c>
      <c r="BK25" s="38" t="str">
        <f>CONCATENATE(NSi.SE[[#This Row],[KU.9]],(IF(A.LoE.S[[#This Row],[LE.9]]="-","-",IF(A.LoE.S[[#This Row],[LE.9]]&gt;=90,1,IF(A.LoE.S[[#This Row],[LE.9]]&gt;=80,2,IF(A.LoE.S[[#This Row],[LE.9]]&gt;=70,3,IF(A.LoE.S[[#This Row],[LE.9]]&gt;=1,4,5)))))))</f>
        <v>--</v>
      </c>
      <c r="BM25" s="35" t="str">
        <f>IFERROR(ROUND(AVERAGE(Con.Sk.S[[#This Row],[TJ.1]:[Pro-A.1]]),0),"-")</f>
        <v>-</v>
      </c>
      <c r="BN25" s="24" t="str">
        <f>IFERROR(ROUND(AVERAGE(Con.Sk.S[[#This Row],[TJ.2]:[Pro-A.2]]),0),"-")</f>
        <v>-</v>
      </c>
      <c r="BO25" s="24" t="str">
        <f>IFERROR(ROUND(AVERAGE(Con.Sk.S[[#This Row],[TJ.3]:[Pro-A.3]]),0),"-")</f>
        <v>-</v>
      </c>
      <c r="BP25" s="24" t="str">
        <f>IFERROR(ROUND(AVERAGE(Con.Sk.S[[#This Row],[TJ.4]:[Pro-A.4]]),0),"-")</f>
        <v>-</v>
      </c>
      <c r="BQ25" s="24" t="str">
        <f>IFERROR(ROUND(AVERAGE(Con.Sk.S[[#This Row],[TJ.5]:[Pro-A.5]]),0),"-")</f>
        <v>-</v>
      </c>
      <c r="BR25" s="24" t="str">
        <f>IFERROR(ROUND(AVERAGE(Con.Sk.S[[#This Row],[TJ.6]:[Pro-A.6]]),0),"-")</f>
        <v>-</v>
      </c>
      <c r="BS25" s="24" t="str">
        <f>IFERROR(ROUND(AVERAGE(Con.Sk.S[[#This Row],[TJ.7]:[Pro-A.7]]),0),"-")</f>
        <v>-</v>
      </c>
      <c r="BT25" s="24" t="str">
        <f>IFERROR(ROUND(AVERAGE(Con.Sk.S[[#This Row],[TJ.8]:[Pro-A.8]]),0),"-")</f>
        <v>-</v>
      </c>
      <c r="BU25" s="25" t="str">
        <f>IFERROR(ROUND(AVERAGE(Con.Sk.S[[#This Row],[TJ.9]:[Pro-A.9]]),0),"-")</f>
        <v>-</v>
      </c>
      <c r="BW25" s="47" t="str">
        <f>IFERROR(ROUND(AVERAGE(Con.Sk.S[[#This Row],[KU.1]],Con.Sk.S[[#This Row],[KU.2]],Con.Sk.S[[#This Row],[KU.3]],Con.Sk.S[[#This Row],[KU.4]],Con.Sk.S[[#This Row],[KU.5]],Con.Sk.S[[#This Row],[KU.6]],Con.Sk.S[[#This Row],[KU.7]],Con.Sk.S[[#This Row],[KU.8]],Con.Sk.S[[#This Row],[KU.9]]),0),"")</f>
        <v/>
      </c>
      <c r="BX25" s="48" t="str">
        <f>IFERROR(ROUND(AVERAGE(Con.Sk.S[[#This Row],[TJ.1]:[Pro-A.1]],Con.Sk.S[[#This Row],[TJ.2]:[Pro-A.2]],Con.Sk.S[[#This Row],[TJ.3]:[Pro-A.3]],Con.Sk.S[[#This Row],[TJ.4]:[Pro-A.4]],Con.Sk.S[[#This Row],[TJ.5]:[Pro-A.5]],Con.Sk.S[[#This Row],[TJ.6]:[Pro-A.6]],Con.Sk.S[[#This Row],[TJ.7]:[Pro-A.7]],Con.Sk.S[[#This Row],[TJ.8]:[Pro-A.8]],Con.Sk.S[[#This Row],[TJ.9]:[Pro-A.9]]),0),"")</f>
        <v/>
      </c>
      <c r="BY25" s="3"/>
      <c r="BZ25" s="73" t="str">
        <f>IF(NSi.SE[[#This Row],[KU.1]]="A",100,IF(NSi.SE[[#This Row],[KU.1]]="B",89,IF(NSi.SE[[#This Row],[KU.1]]="C",79,IF(NSi.SE[[#This Row],[KU.1]]="D",69,IF(NSi.SE[[#This Row],[KU.1]]="E",0,"-")))))</f>
        <v>-</v>
      </c>
      <c r="CA25" s="73" t="str">
        <f>IF(NSi.SE[[#This Row],[TJ.1]]=1,100,IF(NSi.SE[[#This Row],[TJ.1]]=2,89,IF(NSi.SE[[#This Row],[TJ.1]]=3,79,IF(NSi.SE[[#This Row],[TJ.1]]=4,69,IF(NSi.SE[[#This Row],[TJ.1]]=5,0,"-")))))</f>
        <v>-</v>
      </c>
      <c r="CB25" s="73" t="str">
        <f>IF(NSi.SE[[#This Row],[Ker.1]]=1,100,IF(NSi.SE[[#This Row],[Ker.1]]=2,89,IF(NSi.SE[[#This Row],[Ker.1]]=3,79,IF(NSi.SE[[#This Row],[Ker.1]]=4,69,IF(NSi.SE[[#This Row],[Ker.1]]=5,0,"-")))))</f>
        <v>-</v>
      </c>
      <c r="CC25" s="73" t="str">
        <f>IF(NSi.SE[[#This Row],[Ped.1]]=1,100,IF(NSi.SE[[#This Row],[Ped.1]]=2,89,IF(NSi.SE[[#This Row],[Ped.1]]=3,79,IF(NSi.SE[[#This Row],[Ped.1]]=4,69,IF(NSi.SE[[#This Row],[Ped.1]]=5,0,"-")))))</f>
        <v>-</v>
      </c>
      <c r="CD25" s="73" t="str">
        <f>IF(NSi.SE[[#This Row],[Pro-A.1]]=1,100,IF(NSi.SE[[#This Row],[Pro-A.1]]=2,89,IF(NSi.SE[[#This Row],[Pro-A.1]]=3,79,IF(NSi.SE[[#This Row],[Pro-A.1]]=4,69,IF(NSi.SE[[#This Row],[Pro-A.1]]=5,0,"-")))))</f>
        <v>-</v>
      </c>
      <c r="CE25" s="73" t="str">
        <f>IF(NSi.SE[[#This Row],[KU.2]]="A",100,IF(NSi.SE[[#This Row],[KU.2]]="B",89,IF(NSi.SE[[#This Row],[KU.2]]="C",79,IF(NSi.SE[[#This Row],[KU.2]]="D",69,IF(NSi.SE[[#This Row],[KU.2]]="E",0,"-")))))</f>
        <v>-</v>
      </c>
      <c r="CF25" s="73" t="str">
        <f>IF(NSi.SE[[#This Row],[TJ.2]]=1,100,IF(NSi.SE[[#This Row],[TJ.2]]=2,89,IF(NSi.SE[[#This Row],[TJ.2]]=3,79,IF(NSi.SE[[#This Row],[TJ.2]]=4,69,IF(NSi.SE[[#This Row],[TJ.2]]=5,0,"-")))))</f>
        <v>-</v>
      </c>
      <c r="CG25" s="73" t="str">
        <f>IF(NSi.SE[[#This Row],[Ker.2]]=1,100,IF(NSi.SE[[#This Row],[Ker.2]]=2,89,IF(NSi.SE[[#This Row],[Ker.2]]=3,79,IF(NSi.SE[[#This Row],[Ker.2]]=4,69,IF(NSi.SE[[#This Row],[Ker.2]]=5,0,"-")))))</f>
        <v>-</v>
      </c>
      <c r="CH25" s="73" t="str">
        <f>IF(NSi.SE[[#This Row],[Ped.2]]=1,100,IF(NSi.SE[[#This Row],[Ped.2]]=2,89,IF(NSi.SE[[#This Row],[Ped.2]]=3,79,IF(NSi.SE[[#This Row],[Ped.2]]=4,69,IF(NSi.SE[[#This Row],[Ped.2]]=5,0,"-")))))</f>
        <v>-</v>
      </c>
      <c r="CI25" s="73" t="str">
        <f>IF(NSi.SE[[#This Row],[Pro-A.2]]=1,100,IF(NSi.SE[[#This Row],[Pro-A.2]]=2,89,IF(NSi.SE[[#This Row],[Pro-A.2]]=3,79,IF(NSi.SE[[#This Row],[Pro-A.2]]=4,69,IF(NSi.SE[[#This Row],[Pro-A.2]]=5,0,"-")))))</f>
        <v>-</v>
      </c>
      <c r="CJ25" s="74" t="str">
        <f>IF(NSi.SE[[#This Row],[KU.3]]="A",100,IF(NSi.SE[[#This Row],[KU.3]]="B",89,IF(NSi.SE[[#This Row],[KU.3]]="C",79,IF(NSi.SE[[#This Row],[KU.3]]="D",69,IF(NSi.SE[[#This Row],[KU.3]]="E",0,"-")))))</f>
        <v>-</v>
      </c>
      <c r="CK25" s="73" t="str">
        <f>IF(NSi.SE[[#This Row],[TJ.3]]=1,100,IF(NSi.SE[[#This Row],[TJ.3]]=2,89,IF(NSi.SE[[#This Row],[TJ.3]]=3,79,IF(NSi.SE[[#This Row],[TJ.3]]=4,69,IF(NSi.SE[[#This Row],[TJ.3]]=5,0,"-")))))</f>
        <v>-</v>
      </c>
      <c r="CL25" s="73" t="str">
        <f>IF(NSi.SE[[#This Row],[Ker.3]]=1,100,IF(NSi.SE[[#This Row],[Ker.3]]=2,89,IF(NSi.SE[[#This Row],[Ker.3]]=3,79,IF(NSi.SE[[#This Row],[Ker.3]]=4,69,IF(NSi.SE[[#This Row],[Ker.3]]=5,0,"-")))))</f>
        <v>-</v>
      </c>
      <c r="CM25" s="73" t="str">
        <f>IF(NSi.SE[[#This Row],[Ped.3]]=1,100,IF(NSi.SE[[#This Row],[Ped.3]]=2,89,IF(NSi.SE[[#This Row],[Ped.3]]=3,79,IF(NSi.SE[[#This Row],[Ped.3]]=4,69,IF(NSi.SE[[#This Row],[Ped.3]]=5,0,"-")))))</f>
        <v>-</v>
      </c>
      <c r="CN25" s="73" t="str">
        <f>IF(NSi.SE[[#This Row],[Pro-A.3]]=1,100,IF(NSi.SE[[#This Row],[Pro-A.3]]=2,89,IF(NSi.SE[[#This Row],[Pro-A.3]]=3,79,IF(NSi.SE[[#This Row],[Pro-A.3]]=4,69,IF(NSi.SE[[#This Row],[Pro-A.3]]=5,0,"-")))))</f>
        <v>-</v>
      </c>
      <c r="CO25" s="74" t="str">
        <f>IF(NSi.SE[[#This Row],[KU.4]]="A",100,IF(NSi.SE[[#This Row],[KU.4]]="B",89,IF(NSi.SE[[#This Row],[KU.4]]="C",79,IF(NSi.SE[[#This Row],[KU.4]]="D",69,IF(NSi.SE[[#This Row],[KU.4]]="E",0,"-")))))</f>
        <v>-</v>
      </c>
      <c r="CP25" s="73" t="str">
        <f>IF(NSi.SE[[#This Row],[TJ.4]]=1,100,IF(NSi.SE[[#This Row],[TJ.4]]=2,89,IF(NSi.SE[[#This Row],[TJ.4]]=3,79,IF(NSi.SE[[#This Row],[TJ.4]]=4,69,IF(NSi.SE[[#This Row],[TJ.4]]=5,0,"-")))))</f>
        <v>-</v>
      </c>
      <c r="CQ25" s="73" t="str">
        <f>IF(NSi.SE[[#This Row],[Ker.4]]=1,100,IF(NSi.SE[[#This Row],[Ker.4]]=2,89,IF(NSi.SE[[#This Row],[Ker.4]]=3,79,IF(NSi.SE[[#This Row],[Ker.4]]=4,69,IF(NSi.SE[[#This Row],[Ker.4]]=5,0,"-")))))</f>
        <v>-</v>
      </c>
      <c r="CR25" s="73" t="str">
        <f>IF(NSi.SE[[#This Row],[Ped.4]]=1,100,IF(NSi.SE[[#This Row],[Ped.4]]=2,89,IF(NSi.SE[[#This Row],[Ped.4]]=3,79,IF(NSi.SE[[#This Row],[Ped.4]]=4,69,IF(NSi.SE[[#This Row],[Ped.4]]=5,0,"-")))))</f>
        <v>-</v>
      </c>
      <c r="CS25" s="73" t="str">
        <f>IF(NSi.SE[[#This Row],[Pro-A.4]]=1,100,IF(NSi.SE[[#This Row],[Pro-A.4]]=2,89,IF(NSi.SE[[#This Row],[Pro-A.4]]=3,79,IF(NSi.SE[[#This Row],[Pro-A.4]]=4,69,IF(NSi.SE[[#This Row],[Pro-A.4]]=5,0,"-")))))</f>
        <v>-</v>
      </c>
      <c r="CT25" s="74" t="str">
        <f>IF(NSi.SE[[#This Row],[KU.5]]="A",100,IF(NSi.SE[[#This Row],[KU.5]]="B",89,IF(NSi.SE[[#This Row],[KU.5]]="C",79,IF(NSi.SE[[#This Row],[KU.5]]="D",69,IF(NSi.SE[[#This Row],[KU.5]]="E",0,"-")))))</f>
        <v>-</v>
      </c>
      <c r="CU25" s="73" t="str">
        <f>IF(NSi.SE[[#This Row],[TJ.5]]=1,100,IF(NSi.SE[[#This Row],[TJ.5]]=2,89,IF(NSi.SE[[#This Row],[TJ.5]]=3,79,IF(NSi.SE[[#This Row],[TJ.5]]=4,69,IF(NSi.SE[[#This Row],[TJ.5]]=5,0,"-")))))</f>
        <v>-</v>
      </c>
      <c r="CV25" s="73" t="str">
        <f>IF(NSi.SE[[#This Row],[Ker.5]]=1,100,IF(NSi.SE[[#This Row],[Ker.5]]=2,89,IF(NSi.SE[[#This Row],[Ker.5]]=3,79,IF(NSi.SE[[#This Row],[Ker.5]]=4,69,IF(NSi.SE[[#This Row],[Ker.5]]=5,0,"-")))))</f>
        <v>-</v>
      </c>
      <c r="CW25" s="73" t="str">
        <f>IF(NSi.SE[[#This Row],[Ped.5]]=1,100,IF(NSi.SE[[#This Row],[Ped.5]]=2,89,IF(NSi.SE[[#This Row],[Ped.5]]=3,79,IF(NSi.SE[[#This Row],[Ped.5]]=4,69,IF(NSi.SE[[#This Row],[Ped.5]]=5,0,"-")))))</f>
        <v>-</v>
      </c>
      <c r="CX25" s="73" t="str">
        <f>IF(NSi.SE[[#This Row],[Pro-A.5]]=1,100,IF(NSi.SE[[#This Row],[Pro-A.5]]=2,89,IF(NSi.SE[[#This Row],[Pro-A.5]]=3,79,IF(NSi.SE[[#This Row],[Pro-A.5]]=4,69,IF(NSi.SE[[#This Row],[Pro-A.5]]=5,0,"-")))))</f>
        <v>-</v>
      </c>
      <c r="CY25" s="74" t="str">
        <f>IF(NSi.SE[[#This Row],[KU.6]]="A",100,IF(NSi.SE[[#This Row],[KU.6]]="B",89,IF(NSi.SE[[#This Row],[KU.6]]="C",79,IF(NSi.SE[[#This Row],[KU.6]]="D",69,IF(NSi.SE[[#This Row],[KU.6]]="E",0,"-")))))</f>
        <v>-</v>
      </c>
      <c r="CZ25" s="73" t="str">
        <f>IF(NSi.SE[[#This Row],[TJ.6]]=1,100,IF(NSi.SE[[#This Row],[TJ.6]]=2,89,IF(NSi.SE[[#This Row],[TJ.6]]=3,79,IF(NSi.SE[[#This Row],[TJ.6]]=4,69,IF(NSi.SE[[#This Row],[TJ.6]]=5,0,"-")))))</f>
        <v>-</v>
      </c>
      <c r="DA25" s="73" t="str">
        <f>IF(NSi.SE[[#This Row],[Ker.6]]=1,100,IF(NSi.SE[[#This Row],[Ker.6]]=2,89,IF(NSi.SE[[#This Row],[Ker.6]]=3,79,IF(NSi.SE[[#This Row],[Ker.6]]=4,69,IF(NSi.SE[[#This Row],[Ker.6]]=5,0,"-")))))</f>
        <v>-</v>
      </c>
      <c r="DB25" s="73" t="str">
        <f>IF(NSi.SE[[#This Row],[Ped.6]]=1,100,IF(NSi.SE[[#This Row],[Ped.6]]=2,89,IF(NSi.SE[[#This Row],[Ped.6]]=3,79,IF(NSi.SE[[#This Row],[Ped.6]]=4,69,IF(NSi.SE[[#This Row],[Ped.6]]=5,0,"-")))))</f>
        <v>-</v>
      </c>
      <c r="DC25" s="73" t="str">
        <f>IF(NSi.SE[[#This Row],[Pro-A.6]]=1,100,IF(NSi.SE[[#This Row],[Pro-A.6]]=2,89,IF(NSi.SE[[#This Row],[Pro-A.6]]=3,79,IF(NSi.SE[[#This Row],[Pro-A.6]]=4,69,IF(NSi.SE[[#This Row],[Pro-A.6]]=5,0,"-")))))</f>
        <v>-</v>
      </c>
      <c r="DD25" s="74" t="str">
        <f>IF(NSi.SE[[#This Row],[KU.7]]="A",100,IF(NSi.SE[[#This Row],[KU.7]]="B",89,IF(NSi.SE[[#This Row],[KU.7]]="C",79,IF(NSi.SE[[#This Row],[KU.7]]="D",69,IF(NSi.SE[[#This Row],[KU.7]]="E",0,"-")))))</f>
        <v>-</v>
      </c>
      <c r="DE25" s="73" t="str">
        <f>IF(NSi.SE[[#This Row],[TJ.7]]=1,100,IF(NSi.SE[[#This Row],[TJ.7]]=2,89,IF(NSi.SE[[#This Row],[TJ.7]]=3,79,IF(NSi.SE[[#This Row],[TJ.7]]=4,69,IF(NSi.SE[[#This Row],[TJ.7]]=5,0,"-")))))</f>
        <v>-</v>
      </c>
      <c r="DF25" s="73" t="str">
        <f>IF(NSi.SE[[#This Row],[Ker.7]]=1,100,IF(NSi.SE[[#This Row],[Ker.7]]=2,89,IF(NSi.SE[[#This Row],[Ker.7]]=3,79,IF(NSi.SE[[#This Row],[Ker.7]]=4,69,IF(NSi.SE[[#This Row],[Ker.7]]=5,0,"-")))))</f>
        <v>-</v>
      </c>
      <c r="DG25" s="73" t="str">
        <f>IF(NSi.SE[[#This Row],[Ped.7]]=1,100,IF(NSi.SE[[#This Row],[Ped.7]]=2,89,IF(NSi.SE[[#This Row],[Ped.7]]=3,79,IF(NSi.SE[[#This Row],[Ped.7]]=4,69,IF(NSi.SE[[#This Row],[Ped.7]]=5,0,"-")))))</f>
        <v>-</v>
      </c>
      <c r="DH25" s="73" t="str">
        <f>IF(NSi.SE[[#This Row],[Pro-A.7]]=1,100,IF(NSi.SE[[#This Row],[Pro-A.7]]=2,89,IF(NSi.SE[[#This Row],[Pro-A.7]]=3,79,IF(NSi.SE[[#This Row],[Pro-A.7]]=4,69,IF(NSi.SE[[#This Row],[Pro-A.7]]=5,0,"-")))))</f>
        <v>-</v>
      </c>
      <c r="DI25" s="74" t="str">
        <f>IF(NSi.SE[[#This Row],[KU.8]]="A",100,IF(NSi.SE[[#This Row],[KU.8]]="B",89,IF(NSi.SE[[#This Row],[KU.8]]="C",79,IF(NSi.SE[[#This Row],[KU.8]]="D",69,IF(NSi.SE[[#This Row],[KU.8]]="E",0,"-")))))</f>
        <v>-</v>
      </c>
      <c r="DJ25" s="73" t="str">
        <f>IF(NSi.SE[[#This Row],[TJ.8]]=1,100,IF(NSi.SE[[#This Row],[TJ.8]]=2,89,IF(NSi.SE[[#This Row],[TJ.8]]=3,79,IF(NSi.SE[[#This Row],[TJ.8]]=4,69,IF(NSi.SE[[#This Row],[TJ.8]]=5,0,"-")))))</f>
        <v>-</v>
      </c>
      <c r="DK25" s="73" t="str">
        <f>IF(NSi.SE[[#This Row],[Ker.8]]=1,100,IF(NSi.SE[[#This Row],[Ker.8]]=2,89,IF(NSi.SE[[#This Row],[Ker.8]]=3,79,IF(NSi.SE[[#This Row],[Ker.8]]=4,69,IF(NSi.SE[[#This Row],[Ker.8]]=5,0,"-")))))</f>
        <v>-</v>
      </c>
      <c r="DL25" s="73" t="str">
        <f>IF(NSi.SE[[#This Row],[Ped.8]]=1,100,IF(NSi.SE[[#This Row],[Ped.8]]=2,89,IF(NSi.SE[[#This Row],[Ped.8]]=3,79,IF(NSi.SE[[#This Row],[Ped.8]]=4,69,IF(NSi.SE[[#This Row],[Ped.8]]=5,0,"-")))))</f>
        <v>-</v>
      </c>
      <c r="DM25" s="73" t="str">
        <f>IF(NSi.SE[[#This Row],[Pro-A.8]]=1,100,IF(NSi.SE[[#This Row],[Pro-A.8]]=2,89,IF(NSi.SE[[#This Row],[Pro-A.8]]=3,79,IF(NSi.SE[[#This Row],[Pro-A.8]]=4,69,IF(NSi.SE[[#This Row],[Pro-A.8]]=5,0,"-")))))</f>
        <v>-</v>
      </c>
      <c r="DN25" s="74" t="str">
        <f>IF(NSi.SE[[#This Row],[KU.9]]="A",100,IF(NSi.SE[[#This Row],[KU.9]]="B",89,IF(NSi.SE[[#This Row],[KU.9]]="C",79,IF(NSi.SE[[#This Row],[KU.9]]="D",69,IF(NSi.SE[[#This Row],[KU.9]]="E",0,"-")))))</f>
        <v>-</v>
      </c>
      <c r="DO25" s="73" t="str">
        <f>IF(NSi.SE[[#This Row],[TJ.9]]=1,100,IF(NSi.SE[[#This Row],[TJ.9]]=2,89,IF(NSi.SE[[#This Row],[TJ.9]]=3,79,IF(NSi.SE[[#This Row],[TJ.9]]=4,69,IF(NSi.SE[[#This Row],[TJ.9]]=5,0,"-")))))</f>
        <v>-</v>
      </c>
      <c r="DP25" s="73" t="str">
        <f>IF(NSi.SE[[#This Row],[Ker.9]]=1,100,IF(NSi.SE[[#This Row],[Ker.9]]=2,89,IF(NSi.SE[[#This Row],[Ker.9]]=3,79,IF(NSi.SE[[#This Row],[Ker.9]]=4,69,IF(NSi.SE[[#This Row],[Ker.9]]=5,0,"-")))))</f>
        <v>-</v>
      </c>
      <c r="DQ25" s="73" t="str">
        <f>IF(NSi.SE[[#This Row],[Ped.9]]=1,100,IF(NSi.SE[[#This Row],[Ped.9]]=2,89,IF(NSi.SE[[#This Row],[Ped.9]]=3,79,IF(NSi.SE[[#This Row],[Ped.9]]=4,69,IF(NSi.SE[[#This Row],[Ped.9]]=5,0,"-")))))</f>
        <v>-</v>
      </c>
      <c r="DR25" s="73" t="str">
        <f>IF(NSi.SE[[#This Row],[Pro-A.9]]=1,100,IF(NSi.SE[[#This Row],[Pro-A.9]]=2,89,IF(NSi.SE[[#This Row],[Pro-A.9]]=3,79,IF(NSi.SE[[#This Row],[Pro-A.9]]=4,69,IF(NSi.SE[[#This Row],[Pro-A.9]]=5,0,"-")))))</f>
        <v>-</v>
      </c>
      <c r="DT25"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6" spans="1:124" ht="50.1" customHeight="1" x14ac:dyDescent="0.3">
      <c r="A26" s="66" t="str">
        <f>IF(NSi.TS[[#This Row],[No]]=0,"",NSi.TS[[#This Row],[No]])</f>
        <v/>
      </c>
      <c r="B26" s="67" t="str">
        <f>IF(NSi.TS[[#This Row],[Nama Siswa]]=0,"",NSi.TS[[#This Row],[Nama Siswa]])</f>
        <v/>
      </c>
      <c r="C26" s="68" t="str">
        <f>IF(NSi.TS[[#This Row],[Nomor Induk]]=0,"",NSi.TS[[#This Row],[Nomor Induk]])</f>
        <v/>
      </c>
      <c r="D26" s="68" t="str">
        <f>IF(NSi.TS[[#This Row],[NISN]]=0,"",NSi.TS[[#This Row],[NISN]])</f>
        <v/>
      </c>
      <c r="E26" s="68" t="str">
        <f>IF(NSi.TS[[#This Row],[Jurusan]]=0,"",NSi.TS[[#This Row],[Jurusan]])</f>
        <v/>
      </c>
      <c r="F26" s="39" t="str">
        <f>NSi.TS[[#This Row],[Nsi.TS]]</f>
        <v/>
      </c>
      <c r="G26" s="39" t="str">
        <f>IFERROR(ROUND(AVERAGE(CSCR.S[#This Row]),0),"")</f>
        <v/>
      </c>
      <c r="H26" s="39" t="str">
        <f>IFERROR(ROUND(AVERAGE(NSi.SE[[#This Row],[Nsi.TS]:[NS.iS]]),0),"")</f>
        <v/>
      </c>
      <c r="I26" s="41" t="s">
        <v>102</v>
      </c>
      <c r="J26" s="45" t="s">
        <v>102</v>
      </c>
      <c r="K26" s="45" t="s">
        <v>102</v>
      </c>
      <c r="L26" s="45" t="s">
        <v>102</v>
      </c>
      <c r="M26" s="45" t="s">
        <v>102</v>
      </c>
      <c r="N26" s="41" t="s">
        <v>102</v>
      </c>
      <c r="O26" s="45" t="s">
        <v>102</v>
      </c>
      <c r="P26" s="45" t="s">
        <v>102</v>
      </c>
      <c r="Q26" s="45" t="s">
        <v>102</v>
      </c>
      <c r="R26" s="45" t="s">
        <v>102</v>
      </c>
      <c r="S26" s="41" t="s">
        <v>102</v>
      </c>
      <c r="T26" s="45" t="s">
        <v>102</v>
      </c>
      <c r="U26" s="45" t="s">
        <v>102</v>
      </c>
      <c r="V26" s="45" t="s">
        <v>102</v>
      </c>
      <c r="W26" s="45" t="s">
        <v>102</v>
      </c>
      <c r="X26" s="41" t="s">
        <v>102</v>
      </c>
      <c r="Y26" s="45" t="s">
        <v>102</v>
      </c>
      <c r="Z26" s="45" t="s">
        <v>102</v>
      </c>
      <c r="AA26" s="45" t="s">
        <v>102</v>
      </c>
      <c r="AB26" s="45" t="s">
        <v>102</v>
      </c>
      <c r="AC26" s="41" t="s">
        <v>102</v>
      </c>
      <c r="AD26" s="45" t="s">
        <v>102</v>
      </c>
      <c r="AE26" s="45" t="s">
        <v>102</v>
      </c>
      <c r="AF26" s="45" t="s">
        <v>102</v>
      </c>
      <c r="AG26" s="45" t="s">
        <v>102</v>
      </c>
      <c r="AH26" s="41" t="s">
        <v>102</v>
      </c>
      <c r="AI26" s="45" t="s">
        <v>102</v>
      </c>
      <c r="AJ26" s="45" t="s">
        <v>102</v>
      </c>
      <c r="AK26" s="45" t="s">
        <v>102</v>
      </c>
      <c r="AL26" s="45" t="s">
        <v>102</v>
      </c>
      <c r="AM26" s="41" t="s">
        <v>102</v>
      </c>
      <c r="AN26" s="45" t="s">
        <v>102</v>
      </c>
      <c r="AO26" s="45" t="s">
        <v>102</v>
      </c>
      <c r="AP26" s="45" t="s">
        <v>102</v>
      </c>
      <c r="AQ26" s="45" t="s">
        <v>102</v>
      </c>
      <c r="AR26" s="41" t="s">
        <v>102</v>
      </c>
      <c r="AS26" s="45" t="s">
        <v>102</v>
      </c>
      <c r="AT26" s="45" t="s">
        <v>102</v>
      </c>
      <c r="AU26" s="45" t="s">
        <v>102</v>
      </c>
      <c r="AV26" s="45" t="s">
        <v>102</v>
      </c>
      <c r="AW26" s="41" t="s">
        <v>102</v>
      </c>
      <c r="AX26" s="45" t="s">
        <v>102</v>
      </c>
      <c r="AY26" s="45" t="s">
        <v>102</v>
      </c>
      <c r="AZ26" s="45" t="s">
        <v>102</v>
      </c>
      <c r="BA26" s="45" t="s">
        <v>102</v>
      </c>
      <c r="BC26" s="10" t="str">
        <f>CONCATENATE(NSi.SE[[#This Row],[KU.1]],(IF(A.LoE.S[[#This Row],[LE.1]]="-","-",IF(A.LoE.S[[#This Row],[LE.1]]&gt;=90,1,IF(A.LoE.S[[#This Row],[LE.1]]&gt;=80,2,IF(A.LoE.S[[#This Row],[LE.1]]&gt;=70,3,IF(A.LoE.S[[#This Row],[LE.1]]&gt;=1,4,5)))))))</f>
        <v>--</v>
      </c>
      <c r="BD26" s="46" t="str">
        <f>CONCATENATE(NSi.SE[[#This Row],[KU.2]],(IF(A.LoE.S[[#This Row],[LE.2]]="-","-",IF(A.LoE.S[[#This Row],[LE.2]]&gt;=90,1,IF(A.LoE.S[[#This Row],[LE.2]]&gt;=80,2,IF(A.LoE.S[[#This Row],[LE.2]]&gt;=70,3,IF(A.LoE.S[[#This Row],[LE.2]]&gt;=1,4,5)))))))</f>
        <v>--</v>
      </c>
      <c r="BE26" s="46" t="str">
        <f>CONCATENATE(NSi.SE[[#This Row],[KU.3]],(IF(A.LoE.S[[#This Row],[LE.3]]="-","-",IF(A.LoE.S[[#This Row],[LE.3]]&gt;=90,1,IF(A.LoE.S[[#This Row],[LE.3]]&gt;=80,2,IF(A.LoE.S[[#This Row],[LE.3]]&gt;=70,3,IF(A.LoE.S[[#This Row],[LE.3]]&gt;=1,4,5)))))))</f>
        <v>--</v>
      </c>
      <c r="BF26" s="46" t="str">
        <f>CONCATENATE(NSi.SE[[#This Row],[KU.4]],(IF(A.LoE.S[[#This Row],[LE.4]]="-","-",IF(A.LoE.S[[#This Row],[LE.4]]&gt;=90,1,IF(A.LoE.S[[#This Row],[LE.4]]&gt;=80,2,IF(A.LoE.S[[#This Row],[LE.4]]&gt;=70,3,IF(A.LoE.S[[#This Row],[LE.4]]&gt;=1,4,5)))))))</f>
        <v>--</v>
      </c>
      <c r="BG26" s="46" t="str">
        <f>CONCATENATE(NSi.SE[[#This Row],[KU.5]],(IF(A.LoE.S[[#This Row],[LE.5]]="-","-",IF(A.LoE.S[[#This Row],[LE.5]]&gt;=90,1,IF(A.LoE.S[[#This Row],[LE.5]]&gt;=80,2,IF(A.LoE.S[[#This Row],[LE.5]]&gt;=70,3,IF(A.LoE.S[[#This Row],[LE.5]]&gt;=1,4,5)))))))</f>
        <v>--</v>
      </c>
      <c r="BH26" s="46" t="str">
        <f>CONCATENATE(NSi.SE[[#This Row],[KU.6]],(IF(A.LoE.S[[#This Row],[LE.6]]="-","-",IF(A.LoE.S[[#This Row],[LE.6]]&gt;=90,1,IF(A.LoE.S[[#This Row],[LE.6]]&gt;=80,2,IF(A.LoE.S[[#This Row],[LE.6]]&gt;=70,3,IF(A.LoE.S[[#This Row],[LE.6]]&gt;=1,4,5)))))))</f>
        <v>--</v>
      </c>
      <c r="BI26" s="46" t="str">
        <f>CONCATENATE(NSi.SE[[#This Row],[KU.7]],(IF(A.LoE.S[[#This Row],[LE.7]]="-","-",IF(A.LoE.S[[#This Row],[LE.7]]&gt;=90,1,IF(A.LoE.S[[#This Row],[LE.7]]&gt;=80,2,IF(A.LoE.S[[#This Row],[LE.7]]&gt;=70,3,IF(A.LoE.S[[#This Row],[LE.7]]&gt;=1,4,5)))))))</f>
        <v>--</v>
      </c>
      <c r="BJ26" s="46" t="str">
        <f>CONCATENATE(NSi.SE[[#This Row],[KU.8]],(IF(A.LoE.S[[#This Row],[LE.8]]="-","-",IF(A.LoE.S[[#This Row],[LE.8]]&gt;=90,1,IF(A.LoE.S[[#This Row],[LE.8]]&gt;=80,2,IF(A.LoE.S[[#This Row],[LE.8]]&gt;=70,3,IF(A.LoE.S[[#This Row],[LE.8]]&gt;=1,4,5)))))))</f>
        <v>--</v>
      </c>
      <c r="BK26" s="38" t="str">
        <f>CONCATENATE(NSi.SE[[#This Row],[KU.9]],(IF(A.LoE.S[[#This Row],[LE.9]]="-","-",IF(A.LoE.S[[#This Row],[LE.9]]&gt;=90,1,IF(A.LoE.S[[#This Row],[LE.9]]&gt;=80,2,IF(A.LoE.S[[#This Row],[LE.9]]&gt;=70,3,IF(A.LoE.S[[#This Row],[LE.9]]&gt;=1,4,5)))))))</f>
        <v>--</v>
      </c>
      <c r="BM26" s="35" t="str">
        <f>IFERROR(ROUND(AVERAGE(Con.Sk.S[[#This Row],[TJ.1]:[Pro-A.1]]),0),"-")</f>
        <v>-</v>
      </c>
      <c r="BN26" s="24" t="str">
        <f>IFERROR(ROUND(AVERAGE(Con.Sk.S[[#This Row],[TJ.2]:[Pro-A.2]]),0),"-")</f>
        <v>-</v>
      </c>
      <c r="BO26" s="24" t="str">
        <f>IFERROR(ROUND(AVERAGE(Con.Sk.S[[#This Row],[TJ.3]:[Pro-A.3]]),0),"-")</f>
        <v>-</v>
      </c>
      <c r="BP26" s="24" t="str">
        <f>IFERROR(ROUND(AVERAGE(Con.Sk.S[[#This Row],[TJ.4]:[Pro-A.4]]),0),"-")</f>
        <v>-</v>
      </c>
      <c r="BQ26" s="24" t="str">
        <f>IFERROR(ROUND(AVERAGE(Con.Sk.S[[#This Row],[TJ.5]:[Pro-A.5]]),0),"-")</f>
        <v>-</v>
      </c>
      <c r="BR26" s="24" t="str">
        <f>IFERROR(ROUND(AVERAGE(Con.Sk.S[[#This Row],[TJ.6]:[Pro-A.6]]),0),"-")</f>
        <v>-</v>
      </c>
      <c r="BS26" s="24" t="str">
        <f>IFERROR(ROUND(AVERAGE(Con.Sk.S[[#This Row],[TJ.7]:[Pro-A.7]]),0),"-")</f>
        <v>-</v>
      </c>
      <c r="BT26" s="24" t="str">
        <f>IFERROR(ROUND(AVERAGE(Con.Sk.S[[#This Row],[TJ.8]:[Pro-A.8]]),0),"-")</f>
        <v>-</v>
      </c>
      <c r="BU26" s="25" t="str">
        <f>IFERROR(ROUND(AVERAGE(Con.Sk.S[[#This Row],[TJ.9]:[Pro-A.9]]),0),"-")</f>
        <v>-</v>
      </c>
      <c r="BW26" s="47" t="str">
        <f>IFERROR(ROUND(AVERAGE(Con.Sk.S[[#This Row],[KU.1]],Con.Sk.S[[#This Row],[KU.2]],Con.Sk.S[[#This Row],[KU.3]],Con.Sk.S[[#This Row],[KU.4]],Con.Sk.S[[#This Row],[KU.5]],Con.Sk.S[[#This Row],[KU.6]],Con.Sk.S[[#This Row],[KU.7]],Con.Sk.S[[#This Row],[KU.8]],Con.Sk.S[[#This Row],[KU.9]]),0),"")</f>
        <v/>
      </c>
      <c r="BX26" s="48" t="str">
        <f>IFERROR(ROUND(AVERAGE(Con.Sk.S[[#This Row],[TJ.1]:[Pro-A.1]],Con.Sk.S[[#This Row],[TJ.2]:[Pro-A.2]],Con.Sk.S[[#This Row],[TJ.3]:[Pro-A.3]],Con.Sk.S[[#This Row],[TJ.4]:[Pro-A.4]],Con.Sk.S[[#This Row],[TJ.5]:[Pro-A.5]],Con.Sk.S[[#This Row],[TJ.6]:[Pro-A.6]],Con.Sk.S[[#This Row],[TJ.7]:[Pro-A.7]],Con.Sk.S[[#This Row],[TJ.8]:[Pro-A.8]],Con.Sk.S[[#This Row],[TJ.9]:[Pro-A.9]]),0),"")</f>
        <v/>
      </c>
      <c r="BY26" s="3"/>
      <c r="BZ26" s="73" t="str">
        <f>IF(NSi.SE[[#This Row],[KU.1]]="A",100,IF(NSi.SE[[#This Row],[KU.1]]="B",89,IF(NSi.SE[[#This Row],[KU.1]]="C",79,IF(NSi.SE[[#This Row],[KU.1]]="D",69,IF(NSi.SE[[#This Row],[KU.1]]="E",0,"-")))))</f>
        <v>-</v>
      </c>
      <c r="CA26" s="73" t="str">
        <f>IF(NSi.SE[[#This Row],[TJ.1]]=1,100,IF(NSi.SE[[#This Row],[TJ.1]]=2,89,IF(NSi.SE[[#This Row],[TJ.1]]=3,79,IF(NSi.SE[[#This Row],[TJ.1]]=4,69,IF(NSi.SE[[#This Row],[TJ.1]]=5,0,"-")))))</f>
        <v>-</v>
      </c>
      <c r="CB26" s="73" t="str">
        <f>IF(NSi.SE[[#This Row],[Ker.1]]=1,100,IF(NSi.SE[[#This Row],[Ker.1]]=2,89,IF(NSi.SE[[#This Row],[Ker.1]]=3,79,IF(NSi.SE[[#This Row],[Ker.1]]=4,69,IF(NSi.SE[[#This Row],[Ker.1]]=5,0,"-")))))</f>
        <v>-</v>
      </c>
      <c r="CC26" s="73" t="str">
        <f>IF(NSi.SE[[#This Row],[Ped.1]]=1,100,IF(NSi.SE[[#This Row],[Ped.1]]=2,89,IF(NSi.SE[[#This Row],[Ped.1]]=3,79,IF(NSi.SE[[#This Row],[Ped.1]]=4,69,IF(NSi.SE[[#This Row],[Ped.1]]=5,0,"-")))))</f>
        <v>-</v>
      </c>
      <c r="CD26" s="73" t="str">
        <f>IF(NSi.SE[[#This Row],[Pro-A.1]]=1,100,IF(NSi.SE[[#This Row],[Pro-A.1]]=2,89,IF(NSi.SE[[#This Row],[Pro-A.1]]=3,79,IF(NSi.SE[[#This Row],[Pro-A.1]]=4,69,IF(NSi.SE[[#This Row],[Pro-A.1]]=5,0,"-")))))</f>
        <v>-</v>
      </c>
      <c r="CE26" s="73" t="str">
        <f>IF(NSi.SE[[#This Row],[KU.2]]="A",100,IF(NSi.SE[[#This Row],[KU.2]]="B",89,IF(NSi.SE[[#This Row],[KU.2]]="C",79,IF(NSi.SE[[#This Row],[KU.2]]="D",69,IF(NSi.SE[[#This Row],[KU.2]]="E",0,"-")))))</f>
        <v>-</v>
      </c>
      <c r="CF26" s="73" t="str">
        <f>IF(NSi.SE[[#This Row],[TJ.2]]=1,100,IF(NSi.SE[[#This Row],[TJ.2]]=2,89,IF(NSi.SE[[#This Row],[TJ.2]]=3,79,IF(NSi.SE[[#This Row],[TJ.2]]=4,69,IF(NSi.SE[[#This Row],[TJ.2]]=5,0,"-")))))</f>
        <v>-</v>
      </c>
      <c r="CG26" s="73" t="str">
        <f>IF(NSi.SE[[#This Row],[Ker.2]]=1,100,IF(NSi.SE[[#This Row],[Ker.2]]=2,89,IF(NSi.SE[[#This Row],[Ker.2]]=3,79,IF(NSi.SE[[#This Row],[Ker.2]]=4,69,IF(NSi.SE[[#This Row],[Ker.2]]=5,0,"-")))))</f>
        <v>-</v>
      </c>
      <c r="CH26" s="73" t="str">
        <f>IF(NSi.SE[[#This Row],[Ped.2]]=1,100,IF(NSi.SE[[#This Row],[Ped.2]]=2,89,IF(NSi.SE[[#This Row],[Ped.2]]=3,79,IF(NSi.SE[[#This Row],[Ped.2]]=4,69,IF(NSi.SE[[#This Row],[Ped.2]]=5,0,"-")))))</f>
        <v>-</v>
      </c>
      <c r="CI26" s="73" t="str">
        <f>IF(NSi.SE[[#This Row],[Pro-A.2]]=1,100,IF(NSi.SE[[#This Row],[Pro-A.2]]=2,89,IF(NSi.SE[[#This Row],[Pro-A.2]]=3,79,IF(NSi.SE[[#This Row],[Pro-A.2]]=4,69,IF(NSi.SE[[#This Row],[Pro-A.2]]=5,0,"-")))))</f>
        <v>-</v>
      </c>
      <c r="CJ26" s="74" t="str">
        <f>IF(NSi.SE[[#This Row],[KU.3]]="A",100,IF(NSi.SE[[#This Row],[KU.3]]="B",89,IF(NSi.SE[[#This Row],[KU.3]]="C",79,IF(NSi.SE[[#This Row],[KU.3]]="D",69,IF(NSi.SE[[#This Row],[KU.3]]="E",0,"-")))))</f>
        <v>-</v>
      </c>
      <c r="CK26" s="73" t="str">
        <f>IF(NSi.SE[[#This Row],[TJ.3]]=1,100,IF(NSi.SE[[#This Row],[TJ.3]]=2,89,IF(NSi.SE[[#This Row],[TJ.3]]=3,79,IF(NSi.SE[[#This Row],[TJ.3]]=4,69,IF(NSi.SE[[#This Row],[TJ.3]]=5,0,"-")))))</f>
        <v>-</v>
      </c>
      <c r="CL26" s="73" t="str">
        <f>IF(NSi.SE[[#This Row],[Ker.3]]=1,100,IF(NSi.SE[[#This Row],[Ker.3]]=2,89,IF(NSi.SE[[#This Row],[Ker.3]]=3,79,IF(NSi.SE[[#This Row],[Ker.3]]=4,69,IF(NSi.SE[[#This Row],[Ker.3]]=5,0,"-")))))</f>
        <v>-</v>
      </c>
      <c r="CM26" s="73" t="str">
        <f>IF(NSi.SE[[#This Row],[Ped.3]]=1,100,IF(NSi.SE[[#This Row],[Ped.3]]=2,89,IF(NSi.SE[[#This Row],[Ped.3]]=3,79,IF(NSi.SE[[#This Row],[Ped.3]]=4,69,IF(NSi.SE[[#This Row],[Ped.3]]=5,0,"-")))))</f>
        <v>-</v>
      </c>
      <c r="CN26" s="73" t="str">
        <f>IF(NSi.SE[[#This Row],[Pro-A.3]]=1,100,IF(NSi.SE[[#This Row],[Pro-A.3]]=2,89,IF(NSi.SE[[#This Row],[Pro-A.3]]=3,79,IF(NSi.SE[[#This Row],[Pro-A.3]]=4,69,IF(NSi.SE[[#This Row],[Pro-A.3]]=5,0,"-")))))</f>
        <v>-</v>
      </c>
      <c r="CO26" s="74" t="str">
        <f>IF(NSi.SE[[#This Row],[KU.4]]="A",100,IF(NSi.SE[[#This Row],[KU.4]]="B",89,IF(NSi.SE[[#This Row],[KU.4]]="C",79,IF(NSi.SE[[#This Row],[KU.4]]="D",69,IF(NSi.SE[[#This Row],[KU.4]]="E",0,"-")))))</f>
        <v>-</v>
      </c>
      <c r="CP26" s="73" t="str">
        <f>IF(NSi.SE[[#This Row],[TJ.4]]=1,100,IF(NSi.SE[[#This Row],[TJ.4]]=2,89,IF(NSi.SE[[#This Row],[TJ.4]]=3,79,IF(NSi.SE[[#This Row],[TJ.4]]=4,69,IF(NSi.SE[[#This Row],[TJ.4]]=5,0,"-")))))</f>
        <v>-</v>
      </c>
      <c r="CQ26" s="73" t="str">
        <f>IF(NSi.SE[[#This Row],[Ker.4]]=1,100,IF(NSi.SE[[#This Row],[Ker.4]]=2,89,IF(NSi.SE[[#This Row],[Ker.4]]=3,79,IF(NSi.SE[[#This Row],[Ker.4]]=4,69,IF(NSi.SE[[#This Row],[Ker.4]]=5,0,"-")))))</f>
        <v>-</v>
      </c>
      <c r="CR26" s="73" t="str">
        <f>IF(NSi.SE[[#This Row],[Ped.4]]=1,100,IF(NSi.SE[[#This Row],[Ped.4]]=2,89,IF(NSi.SE[[#This Row],[Ped.4]]=3,79,IF(NSi.SE[[#This Row],[Ped.4]]=4,69,IF(NSi.SE[[#This Row],[Ped.4]]=5,0,"-")))))</f>
        <v>-</v>
      </c>
      <c r="CS26" s="73" t="str">
        <f>IF(NSi.SE[[#This Row],[Pro-A.4]]=1,100,IF(NSi.SE[[#This Row],[Pro-A.4]]=2,89,IF(NSi.SE[[#This Row],[Pro-A.4]]=3,79,IF(NSi.SE[[#This Row],[Pro-A.4]]=4,69,IF(NSi.SE[[#This Row],[Pro-A.4]]=5,0,"-")))))</f>
        <v>-</v>
      </c>
      <c r="CT26" s="74" t="str">
        <f>IF(NSi.SE[[#This Row],[KU.5]]="A",100,IF(NSi.SE[[#This Row],[KU.5]]="B",89,IF(NSi.SE[[#This Row],[KU.5]]="C",79,IF(NSi.SE[[#This Row],[KU.5]]="D",69,IF(NSi.SE[[#This Row],[KU.5]]="E",0,"-")))))</f>
        <v>-</v>
      </c>
      <c r="CU26" s="73" t="str">
        <f>IF(NSi.SE[[#This Row],[TJ.5]]=1,100,IF(NSi.SE[[#This Row],[TJ.5]]=2,89,IF(NSi.SE[[#This Row],[TJ.5]]=3,79,IF(NSi.SE[[#This Row],[TJ.5]]=4,69,IF(NSi.SE[[#This Row],[TJ.5]]=5,0,"-")))))</f>
        <v>-</v>
      </c>
      <c r="CV26" s="73" t="str">
        <f>IF(NSi.SE[[#This Row],[Ker.5]]=1,100,IF(NSi.SE[[#This Row],[Ker.5]]=2,89,IF(NSi.SE[[#This Row],[Ker.5]]=3,79,IF(NSi.SE[[#This Row],[Ker.5]]=4,69,IF(NSi.SE[[#This Row],[Ker.5]]=5,0,"-")))))</f>
        <v>-</v>
      </c>
      <c r="CW26" s="73" t="str">
        <f>IF(NSi.SE[[#This Row],[Ped.5]]=1,100,IF(NSi.SE[[#This Row],[Ped.5]]=2,89,IF(NSi.SE[[#This Row],[Ped.5]]=3,79,IF(NSi.SE[[#This Row],[Ped.5]]=4,69,IF(NSi.SE[[#This Row],[Ped.5]]=5,0,"-")))))</f>
        <v>-</v>
      </c>
      <c r="CX26" s="73" t="str">
        <f>IF(NSi.SE[[#This Row],[Pro-A.5]]=1,100,IF(NSi.SE[[#This Row],[Pro-A.5]]=2,89,IF(NSi.SE[[#This Row],[Pro-A.5]]=3,79,IF(NSi.SE[[#This Row],[Pro-A.5]]=4,69,IF(NSi.SE[[#This Row],[Pro-A.5]]=5,0,"-")))))</f>
        <v>-</v>
      </c>
      <c r="CY26" s="74" t="str">
        <f>IF(NSi.SE[[#This Row],[KU.6]]="A",100,IF(NSi.SE[[#This Row],[KU.6]]="B",89,IF(NSi.SE[[#This Row],[KU.6]]="C",79,IF(NSi.SE[[#This Row],[KU.6]]="D",69,IF(NSi.SE[[#This Row],[KU.6]]="E",0,"-")))))</f>
        <v>-</v>
      </c>
      <c r="CZ26" s="73" t="str">
        <f>IF(NSi.SE[[#This Row],[TJ.6]]=1,100,IF(NSi.SE[[#This Row],[TJ.6]]=2,89,IF(NSi.SE[[#This Row],[TJ.6]]=3,79,IF(NSi.SE[[#This Row],[TJ.6]]=4,69,IF(NSi.SE[[#This Row],[TJ.6]]=5,0,"-")))))</f>
        <v>-</v>
      </c>
      <c r="DA26" s="73" t="str">
        <f>IF(NSi.SE[[#This Row],[Ker.6]]=1,100,IF(NSi.SE[[#This Row],[Ker.6]]=2,89,IF(NSi.SE[[#This Row],[Ker.6]]=3,79,IF(NSi.SE[[#This Row],[Ker.6]]=4,69,IF(NSi.SE[[#This Row],[Ker.6]]=5,0,"-")))))</f>
        <v>-</v>
      </c>
      <c r="DB26" s="73" t="str">
        <f>IF(NSi.SE[[#This Row],[Ped.6]]=1,100,IF(NSi.SE[[#This Row],[Ped.6]]=2,89,IF(NSi.SE[[#This Row],[Ped.6]]=3,79,IF(NSi.SE[[#This Row],[Ped.6]]=4,69,IF(NSi.SE[[#This Row],[Ped.6]]=5,0,"-")))))</f>
        <v>-</v>
      </c>
      <c r="DC26" s="73" t="str">
        <f>IF(NSi.SE[[#This Row],[Pro-A.6]]=1,100,IF(NSi.SE[[#This Row],[Pro-A.6]]=2,89,IF(NSi.SE[[#This Row],[Pro-A.6]]=3,79,IF(NSi.SE[[#This Row],[Pro-A.6]]=4,69,IF(NSi.SE[[#This Row],[Pro-A.6]]=5,0,"-")))))</f>
        <v>-</v>
      </c>
      <c r="DD26" s="74" t="str">
        <f>IF(NSi.SE[[#This Row],[KU.7]]="A",100,IF(NSi.SE[[#This Row],[KU.7]]="B",89,IF(NSi.SE[[#This Row],[KU.7]]="C",79,IF(NSi.SE[[#This Row],[KU.7]]="D",69,IF(NSi.SE[[#This Row],[KU.7]]="E",0,"-")))))</f>
        <v>-</v>
      </c>
      <c r="DE26" s="73" t="str">
        <f>IF(NSi.SE[[#This Row],[TJ.7]]=1,100,IF(NSi.SE[[#This Row],[TJ.7]]=2,89,IF(NSi.SE[[#This Row],[TJ.7]]=3,79,IF(NSi.SE[[#This Row],[TJ.7]]=4,69,IF(NSi.SE[[#This Row],[TJ.7]]=5,0,"-")))))</f>
        <v>-</v>
      </c>
      <c r="DF26" s="73" t="str">
        <f>IF(NSi.SE[[#This Row],[Ker.7]]=1,100,IF(NSi.SE[[#This Row],[Ker.7]]=2,89,IF(NSi.SE[[#This Row],[Ker.7]]=3,79,IF(NSi.SE[[#This Row],[Ker.7]]=4,69,IF(NSi.SE[[#This Row],[Ker.7]]=5,0,"-")))))</f>
        <v>-</v>
      </c>
      <c r="DG26" s="73" t="str">
        <f>IF(NSi.SE[[#This Row],[Ped.7]]=1,100,IF(NSi.SE[[#This Row],[Ped.7]]=2,89,IF(NSi.SE[[#This Row],[Ped.7]]=3,79,IF(NSi.SE[[#This Row],[Ped.7]]=4,69,IF(NSi.SE[[#This Row],[Ped.7]]=5,0,"-")))))</f>
        <v>-</v>
      </c>
      <c r="DH26" s="73" t="str">
        <f>IF(NSi.SE[[#This Row],[Pro-A.7]]=1,100,IF(NSi.SE[[#This Row],[Pro-A.7]]=2,89,IF(NSi.SE[[#This Row],[Pro-A.7]]=3,79,IF(NSi.SE[[#This Row],[Pro-A.7]]=4,69,IF(NSi.SE[[#This Row],[Pro-A.7]]=5,0,"-")))))</f>
        <v>-</v>
      </c>
      <c r="DI26" s="74" t="str">
        <f>IF(NSi.SE[[#This Row],[KU.8]]="A",100,IF(NSi.SE[[#This Row],[KU.8]]="B",89,IF(NSi.SE[[#This Row],[KU.8]]="C",79,IF(NSi.SE[[#This Row],[KU.8]]="D",69,IF(NSi.SE[[#This Row],[KU.8]]="E",0,"-")))))</f>
        <v>-</v>
      </c>
      <c r="DJ26" s="73" t="str">
        <f>IF(NSi.SE[[#This Row],[TJ.8]]=1,100,IF(NSi.SE[[#This Row],[TJ.8]]=2,89,IF(NSi.SE[[#This Row],[TJ.8]]=3,79,IF(NSi.SE[[#This Row],[TJ.8]]=4,69,IF(NSi.SE[[#This Row],[TJ.8]]=5,0,"-")))))</f>
        <v>-</v>
      </c>
      <c r="DK26" s="73" t="str">
        <f>IF(NSi.SE[[#This Row],[Ker.8]]=1,100,IF(NSi.SE[[#This Row],[Ker.8]]=2,89,IF(NSi.SE[[#This Row],[Ker.8]]=3,79,IF(NSi.SE[[#This Row],[Ker.8]]=4,69,IF(NSi.SE[[#This Row],[Ker.8]]=5,0,"-")))))</f>
        <v>-</v>
      </c>
      <c r="DL26" s="73" t="str">
        <f>IF(NSi.SE[[#This Row],[Ped.8]]=1,100,IF(NSi.SE[[#This Row],[Ped.8]]=2,89,IF(NSi.SE[[#This Row],[Ped.8]]=3,79,IF(NSi.SE[[#This Row],[Ped.8]]=4,69,IF(NSi.SE[[#This Row],[Ped.8]]=5,0,"-")))))</f>
        <v>-</v>
      </c>
      <c r="DM26" s="73" t="str">
        <f>IF(NSi.SE[[#This Row],[Pro-A.8]]=1,100,IF(NSi.SE[[#This Row],[Pro-A.8]]=2,89,IF(NSi.SE[[#This Row],[Pro-A.8]]=3,79,IF(NSi.SE[[#This Row],[Pro-A.8]]=4,69,IF(NSi.SE[[#This Row],[Pro-A.8]]=5,0,"-")))))</f>
        <v>-</v>
      </c>
      <c r="DN26" s="74" t="str">
        <f>IF(NSi.SE[[#This Row],[KU.9]]="A",100,IF(NSi.SE[[#This Row],[KU.9]]="B",89,IF(NSi.SE[[#This Row],[KU.9]]="C",79,IF(NSi.SE[[#This Row],[KU.9]]="D",69,IF(NSi.SE[[#This Row],[KU.9]]="E",0,"-")))))</f>
        <v>-</v>
      </c>
      <c r="DO26" s="73" t="str">
        <f>IF(NSi.SE[[#This Row],[TJ.9]]=1,100,IF(NSi.SE[[#This Row],[TJ.9]]=2,89,IF(NSi.SE[[#This Row],[TJ.9]]=3,79,IF(NSi.SE[[#This Row],[TJ.9]]=4,69,IF(NSi.SE[[#This Row],[TJ.9]]=5,0,"-")))))</f>
        <v>-</v>
      </c>
      <c r="DP26" s="73" t="str">
        <f>IF(NSi.SE[[#This Row],[Ker.9]]=1,100,IF(NSi.SE[[#This Row],[Ker.9]]=2,89,IF(NSi.SE[[#This Row],[Ker.9]]=3,79,IF(NSi.SE[[#This Row],[Ker.9]]=4,69,IF(NSi.SE[[#This Row],[Ker.9]]=5,0,"-")))))</f>
        <v>-</v>
      </c>
      <c r="DQ26" s="73" t="str">
        <f>IF(NSi.SE[[#This Row],[Ped.9]]=1,100,IF(NSi.SE[[#This Row],[Ped.9]]=2,89,IF(NSi.SE[[#This Row],[Ped.9]]=3,79,IF(NSi.SE[[#This Row],[Ped.9]]=4,69,IF(NSi.SE[[#This Row],[Ped.9]]=5,0,"-")))))</f>
        <v>-</v>
      </c>
      <c r="DR26" s="73" t="str">
        <f>IF(NSi.SE[[#This Row],[Pro-A.9]]=1,100,IF(NSi.SE[[#This Row],[Pro-A.9]]=2,89,IF(NSi.SE[[#This Row],[Pro-A.9]]=3,79,IF(NSi.SE[[#This Row],[Pro-A.9]]=4,69,IF(NSi.SE[[#This Row],[Pro-A.9]]=5,0,"-")))))</f>
        <v>-</v>
      </c>
      <c r="DT26" s="77"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row r="27" spans="1:124" ht="50.1" customHeight="1" x14ac:dyDescent="0.3">
      <c r="A27" s="66" t="str">
        <f>IF(NSi.TS[[#This Row],[No]]=0,"",NSi.TS[[#This Row],[No]])</f>
        <v/>
      </c>
      <c r="B27" s="64" t="str">
        <f>IF(NSi.TS[[#This Row],[Nama Siswa]]=0,"",NSi.TS[[#This Row],[Nama Siswa]])</f>
        <v/>
      </c>
      <c r="C27" s="65" t="str">
        <f>IF(NSi.TS[[#This Row],[Nomor Induk]]=0,"",NSi.TS[[#This Row],[Nomor Induk]])</f>
        <v/>
      </c>
      <c r="D27" s="65" t="str">
        <f>IF(NSi.TS[[#This Row],[NISN]]=0,"",NSi.TS[[#This Row],[NISN]])</f>
        <v/>
      </c>
      <c r="E27" s="65" t="str">
        <f>IF(NSi.TS[[#This Row],[Jurusan]]=0,"",NSi.TS[[#This Row],[Jurusan]])</f>
        <v/>
      </c>
      <c r="F27" s="39" t="str">
        <f>NSi.TS[[#This Row],[Nsi.TS]]</f>
        <v/>
      </c>
      <c r="G27" s="39" t="str">
        <f>IFERROR(ROUND(AVERAGE(CSCR.S[#This Row]),0),"")</f>
        <v/>
      </c>
      <c r="H27" s="39" t="str">
        <f>IFERROR(ROUND(AVERAGE(NSi.SE[[#This Row],[Nsi.TS]:[NS.iS]]),0),"")</f>
        <v/>
      </c>
      <c r="I27" s="41" t="s">
        <v>102</v>
      </c>
      <c r="J27" s="45" t="s">
        <v>102</v>
      </c>
      <c r="K27" s="45" t="s">
        <v>102</v>
      </c>
      <c r="L27" s="45" t="s">
        <v>102</v>
      </c>
      <c r="M27" s="45" t="s">
        <v>102</v>
      </c>
      <c r="N27" s="41" t="s">
        <v>102</v>
      </c>
      <c r="O27" s="45" t="s">
        <v>102</v>
      </c>
      <c r="P27" s="45" t="s">
        <v>102</v>
      </c>
      <c r="Q27" s="45" t="s">
        <v>102</v>
      </c>
      <c r="R27" s="45" t="s">
        <v>102</v>
      </c>
      <c r="S27" s="41" t="s">
        <v>102</v>
      </c>
      <c r="T27" s="45" t="s">
        <v>102</v>
      </c>
      <c r="U27" s="45" t="s">
        <v>102</v>
      </c>
      <c r="V27" s="45" t="s">
        <v>102</v>
      </c>
      <c r="W27" s="45" t="s">
        <v>102</v>
      </c>
      <c r="X27" s="41" t="s">
        <v>102</v>
      </c>
      <c r="Y27" s="45" t="s">
        <v>102</v>
      </c>
      <c r="Z27" s="45" t="s">
        <v>102</v>
      </c>
      <c r="AA27" s="45" t="s">
        <v>102</v>
      </c>
      <c r="AB27" s="45" t="s">
        <v>102</v>
      </c>
      <c r="AC27" s="41" t="s">
        <v>102</v>
      </c>
      <c r="AD27" s="45" t="s">
        <v>102</v>
      </c>
      <c r="AE27" s="45" t="s">
        <v>102</v>
      </c>
      <c r="AF27" s="45" t="s">
        <v>102</v>
      </c>
      <c r="AG27" s="45" t="s">
        <v>102</v>
      </c>
      <c r="AH27" s="41" t="s">
        <v>102</v>
      </c>
      <c r="AI27" s="45" t="s">
        <v>102</v>
      </c>
      <c r="AJ27" s="45" t="s">
        <v>102</v>
      </c>
      <c r="AK27" s="45" t="s">
        <v>102</v>
      </c>
      <c r="AL27" s="45" t="s">
        <v>102</v>
      </c>
      <c r="AM27" s="41" t="s">
        <v>102</v>
      </c>
      <c r="AN27" s="45" t="s">
        <v>102</v>
      </c>
      <c r="AO27" s="45" t="s">
        <v>102</v>
      </c>
      <c r="AP27" s="45" t="s">
        <v>102</v>
      </c>
      <c r="AQ27" s="45" t="s">
        <v>102</v>
      </c>
      <c r="AR27" s="41" t="s">
        <v>102</v>
      </c>
      <c r="AS27" s="45" t="s">
        <v>102</v>
      </c>
      <c r="AT27" s="45" t="s">
        <v>102</v>
      </c>
      <c r="AU27" s="45" t="s">
        <v>102</v>
      </c>
      <c r="AV27" s="45" t="s">
        <v>102</v>
      </c>
      <c r="AW27" s="41" t="s">
        <v>102</v>
      </c>
      <c r="AX27" s="45" t="s">
        <v>102</v>
      </c>
      <c r="AY27" s="45" t="s">
        <v>102</v>
      </c>
      <c r="AZ27" s="45" t="s">
        <v>102</v>
      </c>
      <c r="BA27" s="45" t="s">
        <v>102</v>
      </c>
      <c r="BC27" s="10" t="str">
        <f>CONCATENATE(NSi.SE[[#This Row],[KU.1]],(IF(A.LoE.S[[#This Row],[LE.1]]="-","-",IF(A.LoE.S[[#This Row],[LE.1]]&gt;=90,1,IF(A.LoE.S[[#This Row],[LE.1]]&gt;=80,2,IF(A.LoE.S[[#This Row],[LE.1]]&gt;=70,3,IF(A.LoE.S[[#This Row],[LE.1]]&gt;=1,4,5)))))))</f>
        <v>--</v>
      </c>
      <c r="BD27" s="46" t="str">
        <f>CONCATENATE(NSi.SE[[#This Row],[KU.2]],(IF(A.LoE.S[[#This Row],[LE.2]]="-","-",IF(A.LoE.S[[#This Row],[LE.2]]&gt;=90,1,IF(A.LoE.S[[#This Row],[LE.2]]&gt;=80,2,IF(A.LoE.S[[#This Row],[LE.2]]&gt;=70,3,IF(A.LoE.S[[#This Row],[LE.2]]&gt;=1,4,5)))))))</f>
        <v>--</v>
      </c>
      <c r="BE27" s="46" t="str">
        <f>CONCATENATE(NSi.SE[[#This Row],[KU.3]],(IF(A.LoE.S[[#This Row],[LE.3]]="-","-",IF(A.LoE.S[[#This Row],[LE.3]]&gt;=90,1,IF(A.LoE.S[[#This Row],[LE.3]]&gt;=80,2,IF(A.LoE.S[[#This Row],[LE.3]]&gt;=70,3,IF(A.LoE.S[[#This Row],[LE.3]]&gt;=1,4,5)))))))</f>
        <v>--</v>
      </c>
      <c r="BF27" s="46" t="str">
        <f>CONCATENATE(NSi.SE[[#This Row],[KU.4]],(IF(A.LoE.S[[#This Row],[LE.4]]="-","-",IF(A.LoE.S[[#This Row],[LE.4]]&gt;=90,1,IF(A.LoE.S[[#This Row],[LE.4]]&gt;=80,2,IF(A.LoE.S[[#This Row],[LE.4]]&gt;=70,3,IF(A.LoE.S[[#This Row],[LE.4]]&gt;=1,4,5)))))))</f>
        <v>--</v>
      </c>
      <c r="BG27" s="46" t="str">
        <f>CONCATENATE(NSi.SE[[#This Row],[KU.5]],(IF(A.LoE.S[[#This Row],[LE.5]]="-","-",IF(A.LoE.S[[#This Row],[LE.5]]&gt;=90,1,IF(A.LoE.S[[#This Row],[LE.5]]&gt;=80,2,IF(A.LoE.S[[#This Row],[LE.5]]&gt;=70,3,IF(A.LoE.S[[#This Row],[LE.5]]&gt;=1,4,5)))))))</f>
        <v>--</v>
      </c>
      <c r="BH27" s="46" t="str">
        <f>CONCATENATE(NSi.SE[[#This Row],[KU.6]],(IF(A.LoE.S[[#This Row],[LE.6]]="-","-",IF(A.LoE.S[[#This Row],[LE.6]]&gt;=90,1,IF(A.LoE.S[[#This Row],[LE.6]]&gt;=80,2,IF(A.LoE.S[[#This Row],[LE.6]]&gt;=70,3,IF(A.LoE.S[[#This Row],[LE.6]]&gt;=1,4,5)))))))</f>
        <v>--</v>
      </c>
      <c r="BI27" s="46" t="str">
        <f>CONCATENATE(NSi.SE[[#This Row],[KU.7]],(IF(A.LoE.S[[#This Row],[LE.7]]="-","-",IF(A.LoE.S[[#This Row],[LE.7]]&gt;=90,1,IF(A.LoE.S[[#This Row],[LE.7]]&gt;=80,2,IF(A.LoE.S[[#This Row],[LE.7]]&gt;=70,3,IF(A.LoE.S[[#This Row],[LE.7]]&gt;=1,4,5)))))))</f>
        <v>--</v>
      </c>
      <c r="BJ27" s="46" t="str">
        <f>CONCATENATE(NSi.SE[[#This Row],[KU.8]],(IF(A.LoE.S[[#This Row],[LE.8]]="-","-",IF(A.LoE.S[[#This Row],[LE.8]]&gt;=90,1,IF(A.LoE.S[[#This Row],[LE.8]]&gt;=80,2,IF(A.LoE.S[[#This Row],[LE.8]]&gt;=70,3,IF(A.LoE.S[[#This Row],[LE.8]]&gt;=1,4,5)))))))</f>
        <v>--</v>
      </c>
      <c r="BK27" s="38" t="str">
        <f>CONCATENATE(NSi.SE[[#This Row],[KU.9]],(IF(A.LoE.S[[#This Row],[LE.9]]="-","-",IF(A.LoE.S[[#This Row],[LE.9]]&gt;=90,1,IF(A.LoE.S[[#This Row],[LE.9]]&gt;=80,2,IF(A.LoE.S[[#This Row],[LE.9]]&gt;=70,3,IF(A.LoE.S[[#This Row],[LE.9]]&gt;=1,4,5)))))))</f>
        <v>--</v>
      </c>
      <c r="BM27" s="35" t="str">
        <f>IFERROR(ROUND(AVERAGE(Con.Sk.S[[#This Row],[TJ.1]:[Pro-A.1]]),0),"-")</f>
        <v>-</v>
      </c>
      <c r="BN27" s="24" t="str">
        <f>IFERROR(ROUND(AVERAGE(Con.Sk.S[[#This Row],[TJ.2]:[Pro-A.2]]),0),"-")</f>
        <v>-</v>
      </c>
      <c r="BO27" s="24" t="str">
        <f>IFERROR(ROUND(AVERAGE(Con.Sk.S[[#This Row],[TJ.3]:[Pro-A.3]]),0),"-")</f>
        <v>-</v>
      </c>
      <c r="BP27" s="24" t="str">
        <f>IFERROR(ROUND(AVERAGE(Con.Sk.S[[#This Row],[TJ.4]:[Pro-A.4]]),0),"-")</f>
        <v>-</v>
      </c>
      <c r="BQ27" s="24" t="str">
        <f>IFERROR(ROUND(AVERAGE(Con.Sk.S[[#This Row],[TJ.5]:[Pro-A.5]]),0),"-")</f>
        <v>-</v>
      </c>
      <c r="BR27" s="24" t="str">
        <f>IFERROR(ROUND(AVERAGE(Con.Sk.S[[#This Row],[TJ.6]:[Pro-A.6]]),0),"-")</f>
        <v>-</v>
      </c>
      <c r="BS27" s="24" t="str">
        <f>IFERROR(ROUND(AVERAGE(Con.Sk.S[[#This Row],[TJ.7]:[Pro-A.7]]),0),"-")</f>
        <v>-</v>
      </c>
      <c r="BT27" s="24" t="str">
        <f>IFERROR(ROUND(AVERAGE(Con.Sk.S[[#This Row],[TJ.8]:[Pro-A.8]]),0),"-")</f>
        <v>-</v>
      </c>
      <c r="BU27" s="25" t="str">
        <f>IFERROR(ROUND(AVERAGE(Con.Sk.S[[#This Row],[TJ.9]:[Pro-A.9]]),0),"-")</f>
        <v>-</v>
      </c>
      <c r="BW27" s="35" t="str">
        <f>IFERROR(ROUND(AVERAGE(Con.Sk.S[[#This Row],[KU.1]],Con.Sk.S[[#This Row],[KU.2]],Con.Sk.S[[#This Row],[KU.3]],Con.Sk.S[[#This Row],[KU.4]],Con.Sk.S[[#This Row],[KU.5]],Con.Sk.S[[#This Row],[KU.6]],Con.Sk.S[[#This Row],[KU.7]],Con.Sk.S[[#This Row],[KU.8]],Con.Sk.S[[#This Row],[KU.9]]),0),"")</f>
        <v/>
      </c>
      <c r="BX27" s="25" t="str">
        <f>IFERROR(ROUND(AVERAGE(Con.Sk.S[[#This Row],[TJ.1]:[Pro-A.1]],Con.Sk.S[[#This Row],[TJ.2]:[Pro-A.2]],Con.Sk.S[[#This Row],[TJ.3]:[Pro-A.3]],Con.Sk.S[[#This Row],[TJ.4]:[Pro-A.4]],Con.Sk.S[[#This Row],[TJ.5]:[Pro-A.5]],Con.Sk.S[[#This Row],[TJ.6]:[Pro-A.6]],Con.Sk.S[[#This Row],[TJ.7]:[Pro-A.7]],Con.Sk.S[[#This Row],[TJ.8]:[Pro-A.8]],Con.Sk.S[[#This Row],[TJ.9]:[Pro-A.9]]),0),"")</f>
        <v/>
      </c>
      <c r="BY27" s="3"/>
      <c r="BZ27" s="75" t="str">
        <f>IF(NSi.SE[[#This Row],[KU.1]]="A",100,IF(NSi.SE[[#This Row],[KU.1]]="B",89,IF(NSi.SE[[#This Row],[KU.1]]="C",79,IF(NSi.SE[[#This Row],[KU.1]]="D",69,IF(NSi.SE[[#This Row],[KU.1]]="E",0,"-")))))</f>
        <v>-</v>
      </c>
      <c r="CA27" s="73" t="str">
        <f>IF(NSi.SE[[#This Row],[TJ.1]]=1,100,IF(NSi.SE[[#This Row],[TJ.1]]=2,89,IF(NSi.SE[[#This Row],[TJ.1]]=3,79,IF(NSi.SE[[#This Row],[TJ.1]]=4,69,IF(NSi.SE[[#This Row],[TJ.1]]=5,0,"-")))))</f>
        <v>-</v>
      </c>
      <c r="CB27" s="73" t="str">
        <f>IF(NSi.SE[[#This Row],[Ker.1]]=1,100,IF(NSi.SE[[#This Row],[Ker.1]]=2,89,IF(NSi.SE[[#This Row],[Ker.1]]=3,79,IF(NSi.SE[[#This Row],[Ker.1]]=4,69,IF(NSi.SE[[#This Row],[Ker.1]]=5,0,"-")))))</f>
        <v>-</v>
      </c>
      <c r="CC27" s="73" t="str">
        <f>IF(NSi.SE[[#This Row],[Ped.1]]=1,100,IF(NSi.SE[[#This Row],[Ped.1]]=2,89,IF(NSi.SE[[#This Row],[Ped.1]]=3,79,IF(NSi.SE[[#This Row],[Ped.1]]=4,69,IF(NSi.SE[[#This Row],[Ped.1]]=5,0,"-")))))</f>
        <v>-</v>
      </c>
      <c r="CD27" s="73" t="str">
        <f>IF(NSi.SE[[#This Row],[Pro-A.1]]=1,100,IF(NSi.SE[[#This Row],[Pro-A.1]]=2,89,IF(NSi.SE[[#This Row],[Pro-A.1]]=3,79,IF(NSi.SE[[#This Row],[Pro-A.1]]=4,69,IF(NSi.SE[[#This Row],[Pro-A.1]]=5,0,"-")))))</f>
        <v>-</v>
      </c>
      <c r="CE27" s="73" t="str">
        <f>IF(NSi.SE[[#This Row],[KU.2]]="A",100,IF(NSi.SE[[#This Row],[KU.2]]="B",89,IF(NSi.SE[[#This Row],[KU.2]]="C",79,IF(NSi.SE[[#This Row],[KU.2]]="D",69,IF(NSi.SE[[#This Row],[KU.2]]="E",0,"-")))))</f>
        <v>-</v>
      </c>
      <c r="CF27" s="73" t="str">
        <f>IF(NSi.SE[[#This Row],[TJ.2]]=1,100,IF(NSi.SE[[#This Row],[TJ.2]]=2,89,IF(NSi.SE[[#This Row],[TJ.2]]=3,79,IF(NSi.SE[[#This Row],[TJ.2]]=4,69,IF(NSi.SE[[#This Row],[TJ.2]]=5,0,"-")))))</f>
        <v>-</v>
      </c>
      <c r="CG27" s="73" t="str">
        <f>IF(NSi.SE[[#This Row],[Ker.2]]=1,100,IF(NSi.SE[[#This Row],[Ker.2]]=2,89,IF(NSi.SE[[#This Row],[Ker.2]]=3,79,IF(NSi.SE[[#This Row],[Ker.2]]=4,69,IF(NSi.SE[[#This Row],[Ker.2]]=5,0,"-")))))</f>
        <v>-</v>
      </c>
      <c r="CH27" s="73" t="str">
        <f>IF(NSi.SE[[#This Row],[Ped.2]]=1,100,IF(NSi.SE[[#This Row],[Ped.2]]=2,89,IF(NSi.SE[[#This Row],[Ped.2]]=3,79,IF(NSi.SE[[#This Row],[Ped.2]]=4,69,IF(NSi.SE[[#This Row],[Ped.2]]=5,0,"-")))))</f>
        <v>-</v>
      </c>
      <c r="CI27" s="73" t="str">
        <f>IF(NSi.SE[[#This Row],[Pro-A.2]]=1,100,IF(NSi.SE[[#This Row],[Pro-A.2]]=2,89,IF(NSi.SE[[#This Row],[Pro-A.2]]=3,79,IF(NSi.SE[[#This Row],[Pro-A.2]]=4,69,IF(NSi.SE[[#This Row],[Pro-A.2]]=5,0,"-")))))</f>
        <v>-</v>
      </c>
      <c r="CJ27" s="76" t="str">
        <f>IF(NSi.SE[[#This Row],[KU.3]]="A",100,IF(NSi.SE[[#This Row],[KU.3]]="B",89,IF(NSi.SE[[#This Row],[KU.3]]="C",79,IF(NSi.SE[[#This Row],[KU.3]]="D",69,IF(NSi.SE[[#This Row],[KU.3]]="E",0,"-")))))</f>
        <v>-</v>
      </c>
      <c r="CK27" s="73" t="str">
        <f>IF(NSi.SE[[#This Row],[TJ.3]]=1,100,IF(NSi.SE[[#This Row],[TJ.3]]=2,89,IF(NSi.SE[[#This Row],[TJ.3]]=3,79,IF(NSi.SE[[#This Row],[TJ.3]]=4,69,IF(NSi.SE[[#This Row],[TJ.3]]=5,0,"-")))))</f>
        <v>-</v>
      </c>
      <c r="CL27" s="73" t="str">
        <f>IF(NSi.SE[[#This Row],[Ker.3]]=1,100,IF(NSi.SE[[#This Row],[Ker.3]]=2,89,IF(NSi.SE[[#This Row],[Ker.3]]=3,79,IF(NSi.SE[[#This Row],[Ker.3]]=4,69,IF(NSi.SE[[#This Row],[Ker.3]]=5,0,"-")))))</f>
        <v>-</v>
      </c>
      <c r="CM27" s="73" t="str">
        <f>IF(NSi.SE[[#This Row],[Ped.3]]=1,100,IF(NSi.SE[[#This Row],[Ped.3]]=2,89,IF(NSi.SE[[#This Row],[Ped.3]]=3,79,IF(NSi.SE[[#This Row],[Ped.3]]=4,69,IF(NSi.SE[[#This Row],[Ped.3]]=5,0,"-")))))</f>
        <v>-</v>
      </c>
      <c r="CN27" s="73" t="str">
        <f>IF(NSi.SE[[#This Row],[Pro-A.3]]=1,100,IF(NSi.SE[[#This Row],[Pro-A.3]]=2,89,IF(NSi.SE[[#This Row],[Pro-A.3]]=3,79,IF(NSi.SE[[#This Row],[Pro-A.3]]=4,69,IF(NSi.SE[[#This Row],[Pro-A.3]]=5,0,"-")))))</f>
        <v>-</v>
      </c>
      <c r="CO27" s="76" t="str">
        <f>IF(NSi.SE[[#This Row],[KU.4]]="A",100,IF(NSi.SE[[#This Row],[KU.4]]="B",89,IF(NSi.SE[[#This Row],[KU.4]]="C",79,IF(NSi.SE[[#This Row],[KU.4]]="D",69,IF(NSi.SE[[#This Row],[KU.4]]="E",0,"-")))))</f>
        <v>-</v>
      </c>
      <c r="CP27" s="73" t="str">
        <f>IF(NSi.SE[[#This Row],[TJ.4]]=1,100,IF(NSi.SE[[#This Row],[TJ.4]]=2,89,IF(NSi.SE[[#This Row],[TJ.4]]=3,79,IF(NSi.SE[[#This Row],[TJ.4]]=4,69,IF(NSi.SE[[#This Row],[TJ.4]]=5,0,"-")))))</f>
        <v>-</v>
      </c>
      <c r="CQ27" s="73" t="str">
        <f>IF(NSi.SE[[#This Row],[Ker.4]]=1,100,IF(NSi.SE[[#This Row],[Ker.4]]=2,89,IF(NSi.SE[[#This Row],[Ker.4]]=3,79,IF(NSi.SE[[#This Row],[Ker.4]]=4,69,IF(NSi.SE[[#This Row],[Ker.4]]=5,0,"-")))))</f>
        <v>-</v>
      </c>
      <c r="CR27" s="73" t="str">
        <f>IF(NSi.SE[[#This Row],[Ped.4]]=1,100,IF(NSi.SE[[#This Row],[Ped.4]]=2,89,IF(NSi.SE[[#This Row],[Ped.4]]=3,79,IF(NSi.SE[[#This Row],[Ped.4]]=4,69,IF(NSi.SE[[#This Row],[Ped.4]]=5,0,"-")))))</f>
        <v>-</v>
      </c>
      <c r="CS27" s="73" t="str">
        <f>IF(NSi.SE[[#This Row],[Pro-A.4]]=1,100,IF(NSi.SE[[#This Row],[Pro-A.4]]=2,89,IF(NSi.SE[[#This Row],[Pro-A.4]]=3,79,IF(NSi.SE[[#This Row],[Pro-A.4]]=4,69,IF(NSi.SE[[#This Row],[Pro-A.4]]=5,0,"-")))))</f>
        <v>-</v>
      </c>
      <c r="CT27" s="76" t="str">
        <f>IF(NSi.SE[[#This Row],[KU.5]]="A",100,IF(NSi.SE[[#This Row],[KU.5]]="B",89,IF(NSi.SE[[#This Row],[KU.5]]="C",79,IF(NSi.SE[[#This Row],[KU.5]]="D",69,IF(NSi.SE[[#This Row],[KU.5]]="E",0,"-")))))</f>
        <v>-</v>
      </c>
      <c r="CU27" s="73" t="str">
        <f>IF(NSi.SE[[#This Row],[TJ.5]]=1,100,IF(NSi.SE[[#This Row],[TJ.5]]=2,89,IF(NSi.SE[[#This Row],[TJ.5]]=3,79,IF(NSi.SE[[#This Row],[TJ.5]]=4,69,IF(NSi.SE[[#This Row],[TJ.5]]=5,0,"-")))))</f>
        <v>-</v>
      </c>
      <c r="CV27" s="73" t="str">
        <f>IF(NSi.SE[[#This Row],[Ker.5]]=1,100,IF(NSi.SE[[#This Row],[Ker.5]]=2,89,IF(NSi.SE[[#This Row],[Ker.5]]=3,79,IF(NSi.SE[[#This Row],[Ker.5]]=4,69,IF(NSi.SE[[#This Row],[Ker.5]]=5,0,"-")))))</f>
        <v>-</v>
      </c>
      <c r="CW27" s="73" t="str">
        <f>IF(NSi.SE[[#This Row],[Ped.5]]=1,100,IF(NSi.SE[[#This Row],[Ped.5]]=2,89,IF(NSi.SE[[#This Row],[Ped.5]]=3,79,IF(NSi.SE[[#This Row],[Ped.5]]=4,69,IF(NSi.SE[[#This Row],[Ped.5]]=5,0,"-")))))</f>
        <v>-</v>
      </c>
      <c r="CX27" s="73" t="str">
        <f>IF(NSi.SE[[#This Row],[Pro-A.5]]=1,100,IF(NSi.SE[[#This Row],[Pro-A.5]]=2,89,IF(NSi.SE[[#This Row],[Pro-A.5]]=3,79,IF(NSi.SE[[#This Row],[Pro-A.5]]=4,69,IF(NSi.SE[[#This Row],[Pro-A.5]]=5,0,"-")))))</f>
        <v>-</v>
      </c>
      <c r="CY27" s="76" t="str">
        <f>IF(NSi.SE[[#This Row],[KU.6]]="A",100,IF(NSi.SE[[#This Row],[KU.6]]="B",89,IF(NSi.SE[[#This Row],[KU.6]]="C",79,IF(NSi.SE[[#This Row],[KU.6]]="D",69,IF(NSi.SE[[#This Row],[KU.6]]="E",0,"-")))))</f>
        <v>-</v>
      </c>
      <c r="CZ27" s="73" t="str">
        <f>IF(NSi.SE[[#This Row],[TJ.6]]=1,100,IF(NSi.SE[[#This Row],[TJ.6]]=2,89,IF(NSi.SE[[#This Row],[TJ.6]]=3,79,IF(NSi.SE[[#This Row],[TJ.6]]=4,69,IF(NSi.SE[[#This Row],[TJ.6]]=5,0,"-")))))</f>
        <v>-</v>
      </c>
      <c r="DA27" s="73" t="str">
        <f>IF(NSi.SE[[#This Row],[Ker.6]]=1,100,IF(NSi.SE[[#This Row],[Ker.6]]=2,89,IF(NSi.SE[[#This Row],[Ker.6]]=3,79,IF(NSi.SE[[#This Row],[Ker.6]]=4,69,IF(NSi.SE[[#This Row],[Ker.6]]=5,0,"-")))))</f>
        <v>-</v>
      </c>
      <c r="DB27" s="73" t="str">
        <f>IF(NSi.SE[[#This Row],[Ped.6]]=1,100,IF(NSi.SE[[#This Row],[Ped.6]]=2,89,IF(NSi.SE[[#This Row],[Ped.6]]=3,79,IF(NSi.SE[[#This Row],[Ped.6]]=4,69,IF(NSi.SE[[#This Row],[Ped.6]]=5,0,"-")))))</f>
        <v>-</v>
      </c>
      <c r="DC27" s="73" t="str">
        <f>IF(NSi.SE[[#This Row],[Pro-A.6]]=1,100,IF(NSi.SE[[#This Row],[Pro-A.6]]=2,89,IF(NSi.SE[[#This Row],[Pro-A.6]]=3,79,IF(NSi.SE[[#This Row],[Pro-A.6]]=4,69,IF(NSi.SE[[#This Row],[Pro-A.6]]=5,0,"-")))))</f>
        <v>-</v>
      </c>
      <c r="DD27" s="76" t="str">
        <f>IF(NSi.SE[[#This Row],[KU.7]]="A",100,IF(NSi.SE[[#This Row],[KU.7]]="B",89,IF(NSi.SE[[#This Row],[KU.7]]="C",79,IF(NSi.SE[[#This Row],[KU.7]]="D",69,IF(NSi.SE[[#This Row],[KU.7]]="E",0,"-")))))</f>
        <v>-</v>
      </c>
      <c r="DE27" s="73" t="str">
        <f>IF(NSi.SE[[#This Row],[TJ.7]]=1,100,IF(NSi.SE[[#This Row],[TJ.7]]=2,89,IF(NSi.SE[[#This Row],[TJ.7]]=3,79,IF(NSi.SE[[#This Row],[TJ.7]]=4,69,IF(NSi.SE[[#This Row],[TJ.7]]=5,0,"-")))))</f>
        <v>-</v>
      </c>
      <c r="DF27" s="73" t="str">
        <f>IF(NSi.SE[[#This Row],[Ker.7]]=1,100,IF(NSi.SE[[#This Row],[Ker.7]]=2,89,IF(NSi.SE[[#This Row],[Ker.7]]=3,79,IF(NSi.SE[[#This Row],[Ker.7]]=4,69,IF(NSi.SE[[#This Row],[Ker.7]]=5,0,"-")))))</f>
        <v>-</v>
      </c>
      <c r="DG27" s="73" t="str">
        <f>IF(NSi.SE[[#This Row],[Ped.7]]=1,100,IF(NSi.SE[[#This Row],[Ped.7]]=2,89,IF(NSi.SE[[#This Row],[Ped.7]]=3,79,IF(NSi.SE[[#This Row],[Ped.7]]=4,69,IF(NSi.SE[[#This Row],[Ped.7]]=5,0,"-")))))</f>
        <v>-</v>
      </c>
      <c r="DH27" s="73" t="str">
        <f>IF(NSi.SE[[#This Row],[Pro-A.7]]=1,100,IF(NSi.SE[[#This Row],[Pro-A.7]]=2,89,IF(NSi.SE[[#This Row],[Pro-A.7]]=3,79,IF(NSi.SE[[#This Row],[Pro-A.7]]=4,69,IF(NSi.SE[[#This Row],[Pro-A.7]]=5,0,"-")))))</f>
        <v>-</v>
      </c>
      <c r="DI27" s="76" t="str">
        <f>IF(NSi.SE[[#This Row],[KU.8]]="A",100,IF(NSi.SE[[#This Row],[KU.8]]="B",89,IF(NSi.SE[[#This Row],[KU.8]]="C",79,IF(NSi.SE[[#This Row],[KU.8]]="D",69,IF(NSi.SE[[#This Row],[KU.8]]="E",0,"-")))))</f>
        <v>-</v>
      </c>
      <c r="DJ27" s="73" t="str">
        <f>IF(NSi.SE[[#This Row],[TJ.8]]=1,100,IF(NSi.SE[[#This Row],[TJ.8]]=2,89,IF(NSi.SE[[#This Row],[TJ.8]]=3,79,IF(NSi.SE[[#This Row],[TJ.8]]=4,69,IF(NSi.SE[[#This Row],[TJ.8]]=5,0,"-")))))</f>
        <v>-</v>
      </c>
      <c r="DK27" s="73" t="str">
        <f>IF(NSi.SE[[#This Row],[Ker.8]]=1,100,IF(NSi.SE[[#This Row],[Ker.8]]=2,89,IF(NSi.SE[[#This Row],[Ker.8]]=3,79,IF(NSi.SE[[#This Row],[Ker.8]]=4,69,IF(NSi.SE[[#This Row],[Ker.8]]=5,0,"-")))))</f>
        <v>-</v>
      </c>
      <c r="DL27" s="73" t="str">
        <f>IF(NSi.SE[[#This Row],[Ped.8]]=1,100,IF(NSi.SE[[#This Row],[Ped.8]]=2,89,IF(NSi.SE[[#This Row],[Ped.8]]=3,79,IF(NSi.SE[[#This Row],[Ped.8]]=4,69,IF(NSi.SE[[#This Row],[Ped.8]]=5,0,"-")))))</f>
        <v>-</v>
      </c>
      <c r="DM27" s="73" t="str">
        <f>IF(NSi.SE[[#This Row],[Pro-A.8]]=1,100,IF(NSi.SE[[#This Row],[Pro-A.8]]=2,89,IF(NSi.SE[[#This Row],[Pro-A.8]]=3,79,IF(NSi.SE[[#This Row],[Pro-A.8]]=4,69,IF(NSi.SE[[#This Row],[Pro-A.8]]=5,0,"-")))))</f>
        <v>-</v>
      </c>
      <c r="DN27" s="76" t="str">
        <f>IF(NSi.SE[[#This Row],[KU.9]]="A",100,IF(NSi.SE[[#This Row],[KU.9]]="B",89,IF(NSi.SE[[#This Row],[KU.9]]="C",79,IF(NSi.SE[[#This Row],[KU.9]]="D",69,IF(NSi.SE[[#This Row],[KU.9]]="E",0,"-")))))</f>
        <v>-</v>
      </c>
      <c r="DO27" s="73" t="str">
        <f>IF(NSi.SE[[#This Row],[TJ.9]]=1,100,IF(NSi.SE[[#This Row],[TJ.9]]=2,89,IF(NSi.SE[[#This Row],[TJ.9]]=3,79,IF(NSi.SE[[#This Row],[TJ.9]]=4,69,IF(NSi.SE[[#This Row],[TJ.9]]=5,0,"-")))))</f>
        <v>-</v>
      </c>
      <c r="DP27" s="73" t="str">
        <f>IF(NSi.SE[[#This Row],[Ker.9]]=1,100,IF(NSi.SE[[#This Row],[Ker.9]]=2,89,IF(NSi.SE[[#This Row],[Ker.9]]=3,79,IF(NSi.SE[[#This Row],[Ker.9]]=4,69,IF(NSi.SE[[#This Row],[Ker.9]]=5,0,"-")))))</f>
        <v>-</v>
      </c>
      <c r="DQ27" s="73" t="str">
        <f>IF(NSi.SE[[#This Row],[Ped.9]]=1,100,IF(NSi.SE[[#This Row],[Ped.9]]=2,89,IF(NSi.SE[[#This Row],[Ped.9]]=3,79,IF(NSi.SE[[#This Row],[Ped.9]]=4,69,IF(NSi.SE[[#This Row],[Ped.9]]=5,0,"-")))))</f>
        <v>-</v>
      </c>
      <c r="DR27" s="73" t="str">
        <f>IF(NSi.SE[[#This Row],[Pro-A.9]]=1,100,IF(NSi.SE[[#This Row],[Pro-A.9]]=2,89,IF(NSi.SE[[#This Row],[Pro-A.9]]=3,79,IF(NSi.SE[[#This Row],[Pro-A.9]]=4,69,IF(NSi.SE[[#This Row],[Pro-A.9]]=5,0,"-")))))</f>
        <v>-</v>
      </c>
      <c r="DT27" s="78" t="str">
        <f>IF(NSi.SE[[#This Row],[NSi.SR]]="","",IF(NSi.SE[[#This Row],[NSi.SR]]&gt;=86,"Siswa selalu menunjukkan sikap tanggung jawab, kerjasama, peduli, serta selalu aktif memerhatikan pelajaran dan penjelasan guru dalam proses pembelajaran.",IF(NSi.SE[[#This Row],[NSi.SR]]&gt;=70,"Siswa menunjukkan sikap tanggung jawab, kerjasama, peduli, serta memerhatikan pelajaran dan penjelasan guru dalam proses pembelajaran.","Siswa perlu bimbingan dalam menunjukkan sikap tanggung jawab, kerjasama, peduli, serta kurang memerhatikan pelajaran dan penjelasan guru dalam proses pembelajaran.")))</f>
        <v/>
      </c>
    </row>
  </sheetData>
  <sheetProtection selectLockedCells="1"/>
  <dataConsolidate/>
  <mergeCells count="10">
    <mergeCell ref="AI1:AL1"/>
    <mergeCell ref="AN1:AQ1"/>
    <mergeCell ref="AS1:AV1"/>
    <mergeCell ref="AX1:BA1"/>
    <mergeCell ref="A1:H1"/>
    <mergeCell ref="J1:M1"/>
    <mergeCell ref="O1:R1"/>
    <mergeCell ref="T1:W1"/>
    <mergeCell ref="Y1:AB1"/>
    <mergeCell ref="AD1:AG1"/>
  </mergeCells>
  <conditionalFormatting sqref="A4:E27">
    <cfRule type="notContainsBlanks" dxfId="208" priority="4">
      <formula>LEN(TRIM(A4))&gt;0</formula>
    </cfRule>
  </conditionalFormatting>
  <conditionalFormatting sqref="F3:H27">
    <cfRule type="iconSet" priority="3">
      <iconSet>
        <cfvo type="percent" val="0"/>
        <cfvo type="num" val="50"/>
        <cfvo type="num" val="70"/>
      </iconSet>
    </cfRule>
  </conditionalFormatting>
  <conditionalFormatting sqref="DT3:DT27">
    <cfRule type="notContainsBlanks" dxfId="207" priority="2">
      <formula>LEN(TRIM(DT3))&gt;0</formula>
    </cfRule>
  </conditionalFormatting>
  <conditionalFormatting sqref="A3:E3">
    <cfRule type="notContainsBlanks" dxfId="206" priority="1">
      <formula>LEN(TRIM(A3))&gt;0</formula>
    </cfRule>
  </conditionalFormatting>
  <dataValidations count="11">
    <dataValidation type="list" showInputMessage="1" showErrorMessage="1" promptTitle="Level of Effort (Tanggung Jawab)" prompt="1 = Excellent Effort_x000a_2 = Good Effort_x000a_3 = Satisfactory Effort_x000a_4 = Poor Effort_x000a_5 = No Effort" sqref="AX3:AX27 O3:O27 T3:T27 Y3:Y27 AD3:AD27 AI3:AI27 AN3:AN27 AS3:AS27 J3:J27" xr:uid="{6EC011F6-3D39-49FB-902F-FC090A082478}">
      <formula1>"-, 1, 2, 3, 4, 5"</formula1>
    </dataValidation>
    <dataValidation type="list" showInputMessage="1" showErrorMessage="1" promptTitle="Level of Effort (Kerjasama)" prompt="1 = Excellent Effort_x000a_2 = Good Effort_x000a_3 = Satisfactory Effort_x000a_4 = Poor Effort_x000a_5 = No Effort" sqref="AY3:AY27 P3:P27 U3:U27 Z3:Z27 AE3:AE27 AJ3:AJ27 AO3:AO27 AT3:AT27 K3:K27" xr:uid="{E3039D3E-0262-4CBF-8EE4-886E6045501B}">
      <formula1>"-, 1, 2, 3, 4, 5"</formula1>
    </dataValidation>
    <dataValidation type="list" showInputMessage="1" showErrorMessage="1" promptTitle="Level of Effort (Peduli)" prompt="1 = Excellent Effort_x000a_2 = Good Effort_x000a_3 = Satisfactory Effort_x000a_4 = Poor Effort_x000a_5 = No Effort" sqref="AZ3:AZ27 Q3:Q27 V3:V27 AA3:AA27 AF3:AF27 AK3:AK27 AP3:AP27 AU3:AU27 L3:L27" xr:uid="{B58C2D62-AB28-433B-913F-455489ADFEEC}">
      <formula1>"-, 1, 2, 3, 4, 5"</formula1>
    </dataValidation>
    <dataValidation type="list" showInputMessage="1" showErrorMessage="1" promptTitle="Level of Effort (Pro-Aktif)" prompt="1 = Excellent Effort_x000a_2 = Good Effort_x000a_3 = Satisfactory Effort_x000a_4 = Poor Effort_x000a_5 = No Effort" sqref="BA3:BA27 R3:R27 W3:W27 AB3:AB27 AG3:AG27 AL3:AL27 AQ3:AQ27 AV3:AV27 M3:M27" xr:uid="{B7EC5160-37EF-4C2C-9383-29B5C09442E9}">
      <formula1>"-, 1, 2, 3, 4, 5"</formula1>
    </dataValidation>
    <dataValidation allowBlank="1" showInputMessage="1" showErrorMessage="1" prompt="Nilai Weekly Report Cambridge untuk Mid Semester" sqref="BC3:BK27" xr:uid="{AD202729-F144-414E-B08D-2DD56C0508CE}"/>
    <dataValidation allowBlank="1" showInputMessage="1" showErrorMessage="1" prompt="Nilai Sikap Tengah Semester" sqref="F3:F27" xr:uid="{B27EEBA9-550A-430D-8314-2F1317766F32}"/>
    <dataValidation type="list" showInputMessage="1" showErrorMessage="1" promptTitle="Knowledge &amp; Understanding" prompt="A = Excellent_x000a_B = Good_x000a_C = Satisfactory_x000a_D = Poor_x000a_E = No Understanding" sqref="N3:N27 S3:S27 X3:X27 AC3:AC27 AH3:AH27 AM3:AM27 AR3:AR27 AW3:AW27 I3:I27" xr:uid="{119DF71D-390F-4B5E-9CDD-0D1660492B98}">
      <formula1>"-, A, B, C, D, E"</formula1>
    </dataValidation>
    <dataValidation allowBlank="1" showInputMessage="1" showErrorMessage="1" prompt="Isilah dengan tanggal pengisian" sqref="J1:M1 O1:R1 T1:W1 Y1:AB1 AD1:AG1 AI1:AL1 AN1:AQ1 AS1:AV1 AX1:BA1" xr:uid="{6F359984-23CF-48D2-9950-112EE8660A04}"/>
    <dataValidation allowBlank="1" showInputMessage="1" showErrorMessage="1" prompt="Nilai Sikap Semester" sqref="G3:G27" xr:uid="{A45C0123-88A6-4A47-B036-995805B85966}"/>
    <dataValidation allowBlank="1" showInputMessage="1" showErrorMessage="1" prompt="Nilai Sikap Semester (Raport)" sqref="H3:H27" xr:uid="{49010E78-DBFD-4E22-B7D7-C4646B6FD32F}"/>
    <dataValidation allowBlank="1" showInputMessage="1" showErrorMessage="1" prompt="Mata Pelajaran" sqref="A1:H1" xr:uid="{4B149253-D469-43E1-9A80-206BB912DC44}"/>
  </dataValidations>
  <pageMargins left="0.7" right="0.7" top="0.75" bottom="0.75" header="0.3" footer="0.3"/>
  <pageSetup orientation="portrait" horizontalDpi="360" verticalDpi="360"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399-1BC8-4315-BC04-7EFEEADD7F10}">
  <sheetPr>
    <tabColor theme="7" tint="0.39997558519241921"/>
  </sheetPr>
  <dimension ref="A1:AE28"/>
  <sheetViews>
    <sheetView showGridLines="0" tabSelected="1" topLeftCell="B1" zoomScale="85" zoomScaleNormal="85" workbookViewId="0">
      <selection activeCell="Q4" sqref="Q4:Q13"/>
    </sheetView>
  </sheetViews>
  <sheetFormatPr defaultColWidth="9.21875" defaultRowHeight="14.4" x14ac:dyDescent="0.3"/>
  <cols>
    <col min="1" max="1" width="8.21875" style="3" bestFit="1" customWidth="1"/>
    <col min="2" max="2" width="50.77734375" style="3" customWidth="1"/>
    <col min="3" max="5" width="20.77734375" style="3" customWidth="1"/>
    <col min="6" max="6" width="19.21875" style="3" bestFit="1" customWidth="1"/>
    <col min="7" max="15" width="9.5546875" style="3" bestFit="1" customWidth="1"/>
    <col min="16" max="16" width="10.5546875" style="3" bestFit="1" customWidth="1"/>
    <col min="17" max="22" width="12.21875" style="3" bestFit="1" customWidth="1"/>
    <col min="23" max="23" width="14.44140625" style="3" bestFit="1" customWidth="1"/>
    <col min="24" max="24" width="9" style="3" bestFit="1" customWidth="1"/>
    <col min="25" max="25" width="12.77734375" style="3" bestFit="1" customWidth="1"/>
    <col min="26" max="26" width="14.21875" style="3" bestFit="1" customWidth="1"/>
    <col min="27" max="27" width="73.77734375" style="3" customWidth="1"/>
    <col min="28" max="28" width="9.21875" style="3"/>
    <col min="29" max="29" width="50.77734375" style="55" customWidth="1"/>
    <col min="30" max="31" width="37.77734375" style="54" customWidth="1"/>
    <col min="32" max="16384" width="9.21875" style="3"/>
  </cols>
  <sheetData>
    <row r="1" spans="1:31" x14ac:dyDescent="0.3">
      <c r="A1" s="79"/>
      <c r="B1" s="79"/>
      <c r="C1" s="79"/>
      <c r="D1" s="79"/>
      <c r="E1" s="79"/>
      <c r="F1" s="79"/>
      <c r="Q1" s="100" t="s">
        <v>142</v>
      </c>
      <c r="R1" s="100"/>
      <c r="S1" s="100"/>
      <c r="T1" s="100"/>
      <c r="U1" s="100"/>
      <c r="V1" s="100"/>
    </row>
    <row r="2" spans="1:31" x14ac:dyDescent="0.3">
      <c r="A2" s="79"/>
      <c r="B2" s="79"/>
      <c r="C2" s="79"/>
      <c r="D2" s="79"/>
      <c r="E2" s="79"/>
      <c r="F2" s="79"/>
      <c r="G2" s="99" t="s">
        <v>104</v>
      </c>
      <c r="H2" s="99"/>
      <c r="I2" s="99"/>
      <c r="J2" s="99"/>
      <c r="K2" s="99"/>
      <c r="L2" s="99"/>
      <c r="M2" s="99"/>
      <c r="N2" s="99"/>
      <c r="O2" s="99"/>
      <c r="P2" s="99"/>
      <c r="Q2" s="17">
        <v>100</v>
      </c>
      <c r="R2" s="17">
        <v>0</v>
      </c>
      <c r="S2" s="17">
        <v>0</v>
      </c>
      <c r="T2" s="18">
        <v>1</v>
      </c>
      <c r="U2" s="18">
        <v>0</v>
      </c>
      <c r="V2" s="18">
        <v>0</v>
      </c>
      <c r="W2" s="99" t="s">
        <v>105</v>
      </c>
      <c r="X2" s="99"/>
      <c r="Y2" s="99"/>
      <c r="Z2" s="99"/>
    </row>
    <row r="3" spans="1:31" x14ac:dyDescent="0.3">
      <c r="A3" s="3" t="s">
        <v>31</v>
      </c>
      <c r="B3" s="3" t="s">
        <v>32</v>
      </c>
      <c r="C3" s="3" t="s">
        <v>33</v>
      </c>
      <c r="D3" s="3" t="s">
        <v>34</v>
      </c>
      <c r="E3" s="80" t="s">
        <v>35</v>
      </c>
      <c r="F3" s="19" t="s">
        <v>143</v>
      </c>
      <c r="G3" s="4" t="s">
        <v>106</v>
      </c>
      <c r="H3" s="4" t="s">
        <v>107</v>
      </c>
      <c r="I3" s="4" t="s">
        <v>108</v>
      </c>
      <c r="J3" s="4" t="s">
        <v>109</v>
      </c>
      <c r="K3" s="4" t="s">
        <v>110</v>
      </c>
      <c r="L3" s="4" t="s">
        <v>111</v>
      </c>
      <c r="M3" s="4" t="s">
        <v>112</v>
      </c>
      <c r="N3" s="4" t="s">
        <v>113</v>
      </c>
      <c r="O3" s="4" t="s">
        <v>114</v>
      </c>
      <c r="P3" s="4" t="s">
        <v>115</v>
      </c>
      <c r="Q3" s="6" t="s">
        <v>116</v>
      </c>
      <c r="R3" s="6" t="s">
        <v>117</v>
      </c>
      <c r="S3" s="6" t="s">
        <v>118</v>
      </c>
      <c r="T3" s="5" t="s">
        <v>119</v>
      </c>
      <c r="U3" s="5" t="s">
        <v>120</v>
      </c>
      <c r="V3" s="5" t="s">
        <v>121</v>
      </c>
      <c r="W3" s="4" t="s">
        <v>144</v>
      </c>
      <c r="X3" s="12" t="s">
        <v>145</v>
      </c>
      <c r="Y3" s="13" t="s">
        <v>146</v>
      </c>
      <c r="Z3" s="7" t="s">
        <v>125</v>
      </c>
      <c r="AA3" s="21" t="s">
        <v>147</v>
      </c>
      <c r="AC3" s="56" t="s">
        <v>148</v>
      </c>
      <c r="AD3" s="58" t="s">
        <v>149</v>
      </c>
      <c r="AE3" s="57" t="s">
        <v>150</v>
      </c>
    </row>
    <row r="4" spans="1:31" ht="50.1" customHeight="1" x14ac:dyDescent="0.3">
      <c r="A4" s="69">
        <f>IF('NS (Mid.S)'!A3=0,"",'NS (Mid.S)'!A3)</f>
        <v>1</v>
      </c>
      <c r="B4" s="70" t="str">
        <f>IF('NS (Mid.S)'!B3=0,"",'NS (Mid.S)'!B3)</f>
        <v>Aditya Krisna</v>
      </c>
      <c r="C4" s="69" t="str">
        <f>IF('NS (Mid.S)'!C3=0,"",'NS (Mid.S)'!C3)</f>
        <v>1/HBICSHIGH/20</v>
      </c>
      <c r="D4" s="69">
        <f>IF('NS (Mid.S)'!D3=0,"",'NS (Mid.S)'!D3)</f>
        <v>16863262</v>
      </c>
      <c r="E4" s="69" t="str">
        <f>IF('NS (Mid.S)'!E3=0,"",'NS (Mid.S)'!E3)</f>
        <v>IPA</v>
      </c>
      <c r="F4" s="20">
        <f ca="1">Mid.S[[#This Row],[Rata2 NP]]</f>
        <v>90</v>
      </c>
      <c r="G4" s="15">
        <f ca="1">RANDBETWEEN(75, 100)</f>
        <v>89</v>
      </c>
      <c r="H4" s="15">
        <f ca="1">RANDBETWEEN(75, 100)</f>
        <v>90</v>
      </c>
      <c r="I4" s="15">
        <f ca="1">RANDBETWEEN(75, 100)</f>
        <v>76</v>
      </c>
      <c r="J4" s="15">
        <f t="shared" ref="H4:Q13" ca="1" si="0">RANDBETWEEN(75, 100)</f>
        <v>84</v>
      </c>
      <c r="K4" s="15">
        <f t="shared" ca="1" si="0"/>
        <v>87</v>
      </c>
      <c r="L4" s="15">
        <f t="shared" ca="1" si="0"/>
        <v>77</v>
      </c>
      <c r="M4" s="15">
        <f t="shared" ca="1" si="0"/>
        <v>90</v>
      </c>
      <c r="N4" s="15">
        <f t="shared" ca="1" si="0"/>
        <v>84</v>
      </c>
      <c r="O4" s="15">
        <f t="shared" ca="1" si="0"/>
        <v>81</v>
      </c>
      <c r="P4" s="15">
        <f t="shared" ca="1" si="0"/>
        <v>91</v>
      </c>
      <c r="Q4" s="16">
        <f t="shared" ca="1" si="0"/>
        <v>88</v>
      </c>
      <c r="R4" s="16"/>
      <c r="S4" s="16"/>
      <c r="T4" s="9">
        <f ca="1">IFERROR(ROUND((Sem[[#This Row],[Paper 1]]/$Q$2*100)*$T$2,0),"")</f>
        <v>88</v>
      </c>
      <c r="U4" s="9" t="str">
        <f>IFERROR(ROUND((Sem[[#This Row],[Paper 2]]/$R$2*100)*$U$2,0),"")</f>
        <v/>
      </c>
      <c r="V4" s="9" t="str">
        <f>IFERROR(ROUND((Sem[[#This Row],[Paper 3]]/$S$2*100)*$V$2,0),"")</f>
        <v/>
      </c>
      <c r="W4" s="8">
        <f ca="1">IFERROR(ROUND(AVERAGE(Sem[[#This Row],[Rata2 NP Mid.S]:[NP 10]]),0),"")</f>
        <v>85</v>
      </c>
      <c r="X4" s="9">
        <f ca="1">IFERROR(IF(SUM(Sem[[#This Row],[Nilai P1]:[Nilai P3]])=0,"",SUM(Sem[[#This Row],[Nilai P1]:[Nilai P3]])),"")</f>
        <v>88</v>
      </c>
      <c r="Y4" s="14">
        <f ca="1">IFERROR(ROUND(((Mid.S[[#This Row],[NTS]]*1)+(Sem[[#This Row],[NS]]*2)+(Sem[[#This Row],[Rata2 NP2]]*7))/10,0),"")</f>
        <v>87</v>
      </c>
      <c r="Z4" s="11" t="str">
        <f ca="1">IF(Sem[[#This Row],[NRap.S]]="","Belum Terukur",IF(Sem[[#This Row],[NRap.S]]&gt;=92,"A",IF(Sem[[#This Row],[NRap.S]]&gt;=83,"B",IF(Sem[[#This Row],[NRap.S]]&gt;=75,"C","D"))))</f>
        <v>B</v>
      </c>
      <c r="AA4" s="22" t="str">
        <f t="shared" ref="AA4:AA9" ca="1" si="1">CONCATENATE("Siswa menunjukkan kemampuannya ",AE4,"dalam ",$AC$4)</f>
        <v xml:space="preserve">Siswa menunjukkan kemampuannya baik dalam </v>
      </c>
      <c r="AC4" s="103"/>
      <c r="AD4" s="59" t="s">
        <v>151</v>
      </c>
      <c r="AE4" s="60" t="str">
        <f ca="1">IF(Sem[[#This Row],[Predikat]]="A",$AD$4,IF(Sem[[#This Row],[Predikat]]="B",$AD$5,IF(Sem[[#This Row],[Predikat]]="C",$AD$6,$AD$7)))</f>
        <v xml:space="preserve">baik </v>
      </c>
    </row>
    <row r="5" spans="1:31" ht="50.1" customHeight="1" x14ac:dyDescent="0.3">
      <c r="A5" s="69">
        <f>IF('NS (Mid.S)'!A4=0,"",'NS (Mid.S)'!A4)</f>
        <v>2</v>
      </c>
      <c r="B5" s="70" t="str">
        <f>IF('NS (Mid.S)'!B4=0,"",'NS (Mid.S)'!B4)</f>
        <v>Anwar Setiawan</v>
      </c>
      <c r="C5" s="69" t="str">
        <f>IF('NS (Mid.S)'!C4=0,"",'NS (Mid.S)'!C4)</f>
        <v>2/HBICSHIGH/20</v>
      </c>
      <c r="D5" s="69">
        <f>IF('NS (Mid.S)'!D4=0,"",'NS (Mid.S)'!D4)</f>
        <v>24306262</v>
      </c>
      <c r="E5" s="69" t="str">
        <f>IF('NS (Mid.S)'!E4=0,"",'NS (Mid.S)'!E4)</f>
        <v>IPS</v>
      </c>
      <c r="F5" s="20">
        <f ca="1">Mid.S[[#This Row],[Rata2 NP]]</f>
        <v>86</v>
      </c>
      <c r="G5" s="15">
        <f t="shared" ref="G5:G13" ca="1" si="2">RANDBETWEEN(75, 100)</f>
        <v>94</v>
      </c>
      <c r="H5" s="15">
        <f t="shared" ca="1" si="0"/>
        <v>82</v>
      </c>
      <c r="I5" s="15">
        <f t="shared" ca="1" si="0"/>
        <v>82</v>
      </c>
      <c r="J5" s="15">
        <f t="shared" ca="1" si="0"/>
        <v>91</v>
      </c>
      <c r="K5" s="15">
        <f t="shared" ca="1" si="0"/>
        <v>88</v>
      </c>
      <c r="L5" s="15">
        <f t="shared" ca="1" si="0"/>
        <v>99</v>
      </c>
      <c r="M5" s="15">
        <f t="shared" ca="1" si="0"/>
        <v>97</v>
      </c>
      <c r="N5" s="15">
        <f t="shared" ca="1" si="0"/>
        <v>99</v>
      </c>
      <c r="O5" s="15">
        <f t="shared" ca="1" si="0"/>
        <v>96</v>
      </c>
      <c r="P5" s="15">
        <f t="shared" ca="1" si="0"/>
        <v>95</v>
      </c>
      <c r="Q5" s="16">
        <f t="shared" ca="1" si="0"/>
        <v>85</v>
      </c>
      <c r="R5" s="16"/>
      <c r="S5" s="16"/>
      <c r="T5" s="9">
        <f ca="1">IFERROR(ROUND((Sem[[#This Row],[Paper 1]]/$Q$2*100)*$T$2,0),"")</f>
        <v>85</v>
      </c>
      <c r="U5" s="9" t="str">
        <f>IFERROR(ROUND((Sem[[#This Row],[Paper 2]]/$R$2*100)*$U$2,0),"")</f>
        <v/>
      </c>
      <c r="V5" s="9" t="str">
        <f>IFERROR(ROUND((Sem[[#This Row],[Paper 3]]/$S$2*100)*$V$2,0),"")</f>
        <v/>
      </c>
      <c r="W5" s="8">
        <f ca="1">IFERROR(ROUND(AVERAGE(Sem[[#This Row],[Rata2 NP Mid.S]:[NP 10]]),0),"")</f>
        <v>92</v>
      </c>
      <c r="X5" s="9">
        <f ca="1">IFERROR(IF(SUM(Sem[[#This Row],[Nilai P1]:[Nilai P3]])=0,"",SUM(Sem[[#This Row],[Nilai P1]:[Nilai P3]])),"")</f>
        <v>85</v>
      </c>
      <c r="Y5" s="14">
        <f ca="1">IFERROR(ROUND(((Mid.S[[#This Row],[NTS]]*1)+(Sem[[#This Row],[NS]]*2)+(Sem[[#This Row],[Rata2 NP2]]*7))/10,0),"")</f>
        <v>91</v>
      </c>
      <c r="Z5" s="11" t="str">
        <f ca="1">IF(Sem[[#This Row],[NRap.S]]="","Belum Terukur",IF(Sem[[#This Row],[NRap.S]]&gt;=92,"A",IF(Sem[[#This Row],[NRap.S]]&gt;=83,"B",IF(Sem[[#This Row],[NRap.S]]&gt;=75,"C","D"))))</f>
        <v>B</v>
      </c>
      <c r="AA5" s="22" t="str">
        <f t="shared" ca="1" si="1"/>
        <v xml:space="preserve">Siswa menunjukkan kemampuannya baik dalam </v>
      </c>
      <c r="AC5" s="103"/>
      <c r="AD5" s="59" t="s">
        <v>152</v>
      </c>
      <c r="AE5" s="60" t="str">
        <f ca="1">IF(Sem[[#This Row],[Predikat]]="A",$AD$4,IF(Sem[[#This Row],[Predikat]]="B",$AD$5,IF(Sem[[#This Row],[Predikat]]="C",$AD$6,$AD$7)))</f>
        <v xml:space="preserve">baik </v>
      </c>
    </row>
    <row r="6" spans="1:31" ht="50.1" customHeight="1" x14ac:dyDescent="0.3">
      <c r="A6" s="69">
        <f>IF('NS (Mid.S)'!A5=0,"",'NS (Mid.S)'!A5)</f>
        <v>3</v>
      </c>
      <c r="B6" s="70" t="str">
        <f>IF('NS (Mid.S)'!B5=0,"",'NS (Mid.S)'!B5)</f>
        <v>Bima Citra</v>
      </c>
      <c r="C6" s="69" t="str">
        <f>IF('NS (Mid.S)'!C5=0,"",'NS (Mid.S)'!C5)</f>
        <v>3/HBICSHIGH/20</v>
      </c>
      <c r="D6" s="69">
        <f>IF('NS (Mid.S)'!D5=0,"",'NS (Mid.S)'!D5)</f>
        <v>16863262</v>
      </c>
      <c r="E6" s="69" t="str">
        <f>IF('NS (Mid.S)'!E5=0,"",'NS (Mid.S)'!E5)</f>
        <v>IPS</v>
      </c>
      <c r="F6" s="20">
        <f ca="1">Mid.S[[#This Row],[Rata2 NP]]</f>
        <v>86</v>
      </c>
      <c r="G6" s="15">
        <f t="shared" ca="1" si="2"/>
        <v>78</v>
      </c>
      <c r="H6" s="15">
        <f t="shared" ca="1" si="0"/>
        <v>92</v>
      </c>
      <c r="I6" s="15">
        <f t="shared" ca="1" si="0"/>
        <v>80</v>
      </c>
      <c r="J6" s="15">
        <f t="shared" ca="1" si="0"/>
        <v>75</v>
      </c>
      <c r="K6" s="15">
        <f t="shared" ca="1" si="0"/>
        <v>99</v>
      </c>
      <c r="L6" s="15">
        <f t="shared" ca="1" si="0"/>
        <v>94</v>
      </c>
      <c r="M6" s="15">
        <f t="shared" ca="1" si="0"/>
        <v>94</v>
      </c>
      <c r="N6" s="15">
        <f t="shared" ca="1" si="0"/>
        <v>81</v>
      </c>
      <c r="O6" s="15">
        <f t="shared" ca="1" si="0"/>
        <v>99</v>
      </c>
      <c r="P6" s="15">
        <f t="shared" ca="1" si="0"/>
        <v>97</v>
      </c>
      <c r="Q6" s="16">
        <f t="shared" ca="1" si="0"/>
        <v>80</v>
      </c>
      <c r="R6" s="16"/>
      <c r="S6" s="16"/>
      <c r="T6" s="9">
        <f ca="1">IFERROR(ROUND((Sem[[#This Row],[Paper 1]]/$Q$2*100)*$T$2,0),"")</f>
        <v>80</v>
      </c>
      <c r="U6" s="9" t="str">
        <f>IFERROR(ROUND((Sem[[#This Row],[Paper 2]]/$R$2*100)*$U$2,0),"")</f>
        <v/>
      </c>
      <c r="V6" s="9" t="str">
        <f>IFERROR(ROUND((Sem[[#This Row],[Paper 3]]/$S$2*100)*$V$2,0),"")</f>
        <v/>
      </c>
      <c r="W6" s="8">
        <f ca="1">IFERROR(ROUND(AVERAGE(Sem[[#This Row],[Rata2 NP Mid.S]:[NP 10]]),0),"")</f>
        <v>89</v>
      </c>
      <c r="X6" s="9">
        <f ca="1">IFERROR(IF(SUM(Sem[[#This Row],[Nilai P1]:[Nilai P3]])=0,"",SUM(Sem[[#This Row],[Nilai P1]:[Nilai P3]])),"")</f>
        <v>80</v>
      </c>
      <c r="Y6" s="14">
        <f ca="1">IFERROR(ROUND(((Mid.S[[#This Row],[NTS]]*1)+(Sem[[#This Row],[NS]]*2)+(Sem[[#This Row],[Rata2 NP2]]*7))/10,0),"")</f>
        <v>88</v>
      </c>
      <c r="Z6" s="11" t="str">
        <f ca="1">IF(Sem[[#This Row],[NRap.S]]="","Belum Terukur",IF(Sem[[#This Row],[NRap.S]]&gt;=92,"A",IF(Sem[[#This Row],[NRap.S]]&gt;=83,"B",IF(Sem[[#This Row],[NRap.S]]&gt;=75,"C","D"))))</f>
        <v>B</v>
      </c>
      <c r="AA6" s="22" t="str">
        <f t="shared" ca="1" si="1"/>
        <v xml:space="preserve">Siswa menunjukkan kemampuannya baik dalam </v>
      </c>
      <c r="AC6" s="103"/>
      <c r="AD6" s="59" t="s">
        <v>153</v>
      </c>
      <c r="AE6" s="60" t="str">
        <f ca="1">IF(Sem[[#This Row],[Predikat]]="A",$AD$4,IF(Sem[[#This Row],[Predikat]]="B",$AD$5,IF(Sem[[#This Row],[Predikat]]="C",$AD$6,$AD$7)))</f>
        <v xml:space="preserve">baik </v>
      </c>
    </row>
    <row r="7" spans="1:31" ht="50.1" customHeight="1" x14ac:dyDescent="0.3">
      <c r="A7" s="69">
        <f>IF('NS (Mid.S)'!A6=0,"",'NS (Mid.S)'!A6)</f>
        <v>4</v>
      </c>
      <c r="B7" s="70" t="str">
        <f>IF('NS (Mid.S)'!B6=0,"",'NS (Mid.S)'!B6)</f>
        <v>Hadijah Tirta</v>
      </c>
      <c r="C7" s="69" t="str">
        <f>IF('NS (Mid.S)'!C6=0,"",'NS (Mid.S)'!C6)</f>
        <v>4/HBICSHIGH/20</v>
      </c>
      <c r="D7" s="69">
        <f>IF('NS (Mid.S)'!D6=0,"",'NS (Mid.S)'!D6)</f>
        <v>5033631</v>
      </c>
      <c r="E7" s="69" t="str">
        <f>IF('NS (Mid.S)'!E6=0,"",'NS (Mid.S)'!E6)</f>
        <v>IPA</v>
      </c>
      <c r="F7" s="20">
        <f ca="1">Mid.S[[#This Row],[Rata2 NP]]</f>
        <v>85</v>
      </c>
      <c r="G7" s="15">
        <f t="shared" ca="1" si="2"/>
        <v>77</v>
      </c>
      <c r="H7" s="15">
        <f t="shared" ca="1" si="0"/>
        <v>89</v>
      </c>
      <c r="I7" s="15">
        <f t="shared" ca="1" si="0"/>
        <v>99</v>
      </c>
      <c r="J7" s="15">
        <f t="shared" ca="1" si="0"/>
        <v>81</v>
      </c>
      <c r="K7" s="15">
        <f t="shared" ca="1" si="0"/>
        <v>100</v>
      </c>
      <c r="L7" s="15">
        <f t="shared" ca="1" si="0"/>
        <v>75</v>
      </c>
      <c r="M7" s="15">
        <f t="shared" ca="1" si="0"/>
        <v>97</v>
      </c>
      <c r="N7" s="15">
        <f t="shared" ca="1" si="0"/>
        <v>77</v>
      </c>
      <c r="O7" s="15">
        <f t="shared" ca="1" si="0"/>
        <v>90</v>
      </c>
      <c r="P7" s="15">
        <f t="shared" ca="1" si="0"/>
        <v>100</v>
      </c>
      <c r="Q7" s="16">
        <f t="shared" ca="1" si="0"/>
        <v>75</v>
      </c>
      <c r="R7" s="16"/>
      <c r="S7" s="16"/>
      <c r="T7" s="9">
        <f ca="1">IFERROR(ROUND((Sem[[#This Row],[Paper 1]]/$Q$2*100)*$T$2,0),"")</f>
        <v>75</v>
      </c>
      <c r="U7" s="9" t="str">
        <f>IFERROR(ROUND((Sem[[#This Row],[Paper 2]]/$R$2*100)*$U$2,0),"")</f>
        <v/>
      </c>
      <c r="V7" s="9" t="str">
        <f>IFERROR(ROUND((Sem[[#This Row],[Paper 3]]/$S$2*100)*$V$2,0),"")</f>
        <v/>
      </c>
      <c r="W7" s="8">
        <f ca="1">IFERROR(ROUND(AVERAGE(Sem[[#This Row],[Rata2 NP Mid.S]:[NP 10]]),0),"")</f>
        <v>88</v>
      </c>
      <c r="X7" s="9">
        <f ca="1">IFERROR(IF(SUM(Sem[[#This Row],[Nilai P1]:[Nilai P3]])=0,"",SUM(Sem[[#This Row],[Nilai P1]:[Nilai P3]])),"")</f>
        <v>75</v>
      </c>
      <c r="Y7" s="14">
        <f ca="1">IFERROR(ROUND(((Mid.S[[#This Row],[NTS]]*1)+(Sem[[#This Row],[NS]]*2)+(Sem[[#This Row],[Rata2 NP2]]*7))/10,0),"")</f>
        <v>86</v>
      </c>
      <c r="Z7" s="11" t="str">
        <f ca="1">IF(Sem[[#This Row],[NRap.S]]="","Belum Terukur",IF(Sem[[#This Row],[NRap.S]]&gt;=92,"A",IF(Sem[[#This Row],[NRap.S]]&gt;=83,"B",IF(Sem[[#This Row],[NRap.S]]&gt;=75,"C","D"))))</f>
        <v>B</v>
      </c>
      <c r="AA7" s="22" t="str">
        <f t="shared" ca="1" si="1"/>
        <v xml:space="preserve">Siswa menunjukkan kemampuannya baik dalam </v>
      </c>
      <c r="AC7" s="103"/>
      <c r="AD7" s="59" t="s">
        <v>154</v>
      </c>
      <c r="AE7" s="60" t="str">
        <f ca="1">IF(Sem[[#This Row],[Predikat]]="A",$AD$4,IF(Sem[[#This Row],[Predikat]]="B",$AD$5,IF(Sem[[#This Row],[Predikat]]="C",$AD$6,$AD$7)))</f>
        <v xml:space="preserve">baik </v>
      </c>
    </row>
    <row r="8" spans="1:31" ht="50.1" customHeight="1" x14ac:dyDescent="0.3">
      <c r="A8" s="69">
        <f>IF('NS (Mid.S)'!A7=0,"",'NS (Mid.S)'!A7)</f>
        <v>5</v>
      </c>
      <c r="B8" s="70" t="str">
        <f>IF('NS (Mid.S)'!B7=0,"",'NS (Mid.S)'!B7)</f>
        <v>Harun Amir</v>
      </c>
      <c r="C8" s="69" t="str">
        <f>IF('NS (Mid.S)'!C7=0,"",'NS (Mid.S)'!C7)</f>
        <v>5/HBICSHIGH/20</v>
      </c>
      <c r="D8" s="69">
        <f>IF('NS (Mid.S)'!D7=0,"",'NS (Mid.S)'!D7)</f>
        <v>25175565</v>
      </c>
      <c r="E8" s="69" t="str">
        <f>IF('NS (Mid.S)'!E7=0,"",'NS (Mid.S)'!E7)</f>
        <v>IPA</v>
      </c>
      <c r="F8" s="20">
        <f ca="1">Mid.S[[#This Row],[Rata2 NP]]</f>
        <v>90</v>
      </c>
      <c r="G8" s="15">
        <f t="shared" ca="1" si="2"/>
        <v>100</v>
      </c>
      <c r="H8" s="15">
        <f t="shared" ca="1" si="0"/>
        <v>99</v>
      </c>
      <c r="I8" s="15">
        <f t="shared" ca="1" si="0"/>
        <v>95</v>
      </c>
      <c r="J8" s="15">
        <f t="shared" ca="1" si="0"/>
        <v>90</v>
      </c>
      <c r="K8" s="15">
        <f t="shared" ca="1" si="0"/>
        <v>90</v>
      </c>
      <c r="L8" s="15">
        <f t="shared" ca="1" si="0"/>
        <v>90</v>
      </c>
      <c r="M8" s="15">
        <f t="shared" ca="1" si="0"/>
        <v>77</v>
      </c>
      <c r="N8" s="15">
        <f t="shared" ca="1" si="0"/>
        <v>78</v>
      </c>
      <c r="O8" s="15">
        <f t="shared" ca="1" si="0"/>
        <v>85</v>
      </c>
      <c r="P8" s="15">
        <f t="shared" ca="1" si="0"/>
        <v>96</v>
      </c>
      <c r="Q8" s="16">
        <f t="shared" ca="1" si="0"/>
        <v>100</v>
      </c>
      <c r="R8" s="16"/>
      <c r="S8" s="16"/>
      <c r="T8" s="9">
        <f ca="1">IFERROR(ROUND((Sem[[#This Row],[Paper 1]]/$Q$2*100)*$T$2,0),"")</f>
        <v>100</v>
      </c>
      <c r="U8" s="9" t="str">
        <f>IFERROR(ROUND((Sem[[#This Row],[Paper 2]]/$R$2*100)*$U$2,0),"")</f>
        <v/>
      </c>
      <c r="V8" s="9" t="str">
        <f>IFERROR(ROUND((Sem[[#This Row],[Paper 3]]/$S$2*100)*$V$2,0),"")</f>
        <v/>
      </c>
      <c r="W8" s="8">
        <f ca="1">IFERROR(ROUND(AVERAGE(Sem[[#This Row],[Rata2 NP Mid.S]:[NP 10]]),0),"")</f>
        <v>90</v>
      </c>
      <c r="X8" s="9">
        <f ca="1">IFERROR(IF(SUM(Sem[[#This Row],[Nilai P1]:[Nilai P3]])=0,"",SUM(Sem[[#This Row],[Nilai P1]:[Nilai P3]])),"")</f>
        <v>100</v>
      </c>
      <c r="Y8" s="14">
        <f ca="1">IFERROR(ROUND(((Mid.S[[#This Row],[NTS]]*1)+(Sem[[#This Row],[NS]]*2)+(Sem[[#This Row],[Rata2 NP2]]*7))/10,0),"")</f>
        <v>93</v>
      </c>
      <c r="Z8" s="11" t="str">
        <f ca="1">IF(Sem[[#This Row],[NRap.S]]="","Belum Terukur",IF(Sem[[#This Row],[NRap.S]]&gt;=92,"A",IF(Sem[[#This Row],[NRap.S]]&gt;=83,"B",IF(Sem[[#This Row],[NRap.S]]&gt;=75,"C","D"))))</f>
        <v>A</v>
      </c>
      <c r="AA8" s="22" t="str">
        <f t="shared" ca="1" si="1"/>
        <v xml:space="preserve">Siswa menunjukkan kemampuannya sangat baik dalam </v>
      </c>
      <c r="AC8" s="103"/>
      <c r="AD8" s="104"/>
      <c r="AE8" s="60" t="str">
        <f ca="1">IF(Sem[[#This Row],[Predikat]]="A",$AD$4,IF(Sem[[#This Row],[Predikat]]="B",$AD$5,IF(Sem[[#This Row],[Predikat]]="C",$AD$6,$AD$7)))</f>
        <v xml:space="preserve">sangat baik </v>
      </c>
    </row>
    <row r="9" spans="1:31" ht="50.1" customHeight="1" x14ac:dyDescent="0.3">
      <c r="A9" s="69">
        <f>IF('NS (Mid.S)'!A8=0,"",'NS (Mid.S)'!A8)</f>
        <v>6</v>
      </c>
      <c r="B9" s="70" t="str">
        <f>IF('NS (Mid.S)'!B8=0,"",'NS (Mid.S)'!B8)</f>
        <v>Harun Budi</v>
      </c>
      <c r="C9" s="69" t="str">
        <f>IF('NS (Mid.S)'!C8=0,"",'NS (Mid.S)'!C8)</f>
        <v>6/HBICSHIGH/20</v>
      </c>
      <c r="D9" s="69">
        <f>IF('NS (Mid.S)'!D8=0,"",'NS (Mid.S)'!D8)</f>
        <v>25175567</v>
      </c>
      <c r="E9" s="69" t="str">
        <f>IF('NS (Mid.S)'!E8=0,"",'NS (Mid.S)'!E8)</f>
        <v>IPS</v>
      </c>
      <c r="F9" s="20">
        <f ca="1">Mid.S[[#This Row],[Rata2 NP]]</f>
        <v>81</v>
      </c>
      <c r="G9" s="15">
        <f t="shared" ca="1" si="2"/>
        <v>95</v>
      </c>
      <c r="H9" s="15">
        <f t="shared" ca="1" si="0"/>
        <v>78</v>
      </c>
      <c r="I9" s="15">
        <f t="shared" ca="1" si="0"/>
        <v>85</v>
      </c>
      <c r="J9" s="15">
        <f t="shared" ca="1" si="0"/>
        <v>80</v>
      </c>
      <c r="K9" s="15">
        <f t="shared" ca="1" si="0"/>
        <v>94</v>
      </c>
      <c r="L9" s="15">
        <f t="shared" ca="1" si="0"/>
        <v>100</v>
      </c>
      <c r="M9" s="15">
        <f t="shared" ca="1" si="0"/>
        <v>75</v>
      </c>
      <c r="N9" s="15">
        <f t="shared" ca="1" si="0"/>
        <v>76</v>
      </c>
      <c r="O9" s="15">
        <f t="shared" ca="1" si="0"/>
        <v>82</v>
      </c>
      <c r="P9" s="15">
        <f t="shared" ca="1" si="0"/>
        <v>100</v>
      </c>
      <c r="Q9" s="16">
        <f t="shared" ca="1" si="0"/>
        <v>86</v>
      </c>
      <c r="R9" s="16"/>
      <c r="S9" s="16"/>
      <c r="T9" s="9">
        <f ca="1">IFERROR(ROUND((Sem[[#This Row],[Paper 1]]/$Q$2*100)*$T$2,0),"")</f>
        <v>86</v>
      </c>
      <c r="U9" s="9" t="str">
        <f>IFERROR(ROUND((Sem[[#This Row],[Paper 2]]/$R$2*100)*$U$2,0),"")</f>
        <v/>
      </c>
      <c r="V9" s="9" t="str">
        <f>IFERROR(ROUND((Sem[[#This Row],[Paper 3]]/$S$2*100)*$V$2,0),"")</f>
        <v/>
      </c>
      <c r="W9" s="8">
        <f ca="1">IFERROR(ROUND(AVERAGE(Sem[[#This Row],[Rata2 NP Mid.S]:[NP 10]]),0),"")</f>
        <v>86</v>
      </c>
      <c r="X9" s="9">
        <f ca="1">IFERROR(IF(SUM(Sem[[#This Row],[Nilai P1]:[Nilai P3]])=0,"",SUM(Sem[[#This Row],[Nilai P1]:[Nilai P3]])),"")</f>
        <v>86</v>
      </c>
      <c r="Y9" s="14">
        <f ca="1">IFERROR(ROUND(((Mid.S[[#This Row],[NTS]]*1)+(Sem[[#This Row],[NS]]*2)+(Sem[[#This Row],[Rata2 NP2]]*7))/10,0),"")</f>
        <v>87</v>
      </c>
      <c r="Z9" s="11" t="str">
        <f ca="1">IF(Sem[[#This Row],[NRap.S]]="","Belum Terukur",IF(Sem[[#This Row],[NRap.S]]&gt;=92,"A",IF(Sem[[#This Row],[NRap.S]]&gt;=83,"B",IF(Sem[[#This Row],[NRap.S]]&gt;=75,"C","D"))))</f>
        <v>B</v>
      </c>
      <c r="AA9" s="22" t="str">
        <f t="shared" ca="1" si="1"/>
        <v xml:space="preserve">Siswa menunjukkan kemampuannya baik dalam </v>
      </c>
      <c r="AC9" s="103"/>
      <c r="AD9" s="105"/>
      <c r="AE9" s="60" t="str">
        <f ca="1">IF(Sem[[#This Row],[Predikat]]="A",$AD$4,IF(Sem[[#This Row],[Predikat]]="B",$AD$5,IF(Sem[[#This Row],[Predikat]]="C",$AD$6,$AD$7)))</f>
        <v xml:space="preserve">baik </v>
      </c>
    </row>
    <row r="10" spans="1:31" ht="50.1" customHeight="1" x14ac:dyDescent="0.3">
      <c r="A10" s="69">
        <f>IF('NS (Mid.S)'!A9=0,"",'NS (Mid.S)'!A9)</f>
        <v>7</v>
      </c>
      <c r="B10" s="70" t="str">
        <f>IF('NS (Mid.S)'!B9=0,"",'NS (Mid.S)'!B9)</f>
        <v>Lutfi Dian</v>
      </c>
      <c r="C10" s="69" t="str">
        <f>IF('NS (Mid.S)'!C9=0,"",'NS (Mid.S)'!C9)</f>
        <v>7/HBICSHIGH/20</v>
      </c>
      <c r="D10" s="69">
        <f>IF('NS (Mid.S)'!D9=0,"",'NS (Mid.S)'!D9)</f>
        <v>23756408</v>
      </c>
      <c r="E10" s="69" t="str">
        <f>IF('NS (Mid.S)'!E9=0,"",'NS (Mid.S)'!E9)</f>
        <v>IPA</v>
      </c>
      <c r="F10" s="20">
        <f ca="1">Mid.S[[#This Row],[Rata2 NP]]</f>
        <v>90</v>
      </c>
      <c r="G10" s="15">
        <f t="shared" ca="1" si="2"/>
        <v>87</v>
      </c>
      <c r="H10" s="15">
        <f t="shared" ca="1" si="0"/>
        <v>96</v>
      </c>
      <c r="I10" s="15">
        <f t="shared" ca="1" si="0"/>
        <v>76</v>
      </c>
      <c r="J10" s="15">
        <f t="shared" ca="1" si="0"/>
        <v>100</v>
      </c>
      <c r="K10" s="15">
        <f t="shared" ca="1" si="0"/>
        <v>81</v>
      </c>
      <c r="L10" s="15">
        <f t="shared" ca="1" si="0"/>
        <v>100</v>
      </c>
      <c r="M10" s="15">
        <f t="shared" ca="1" si="0"/>
        <v>100</v>
      </c>
      <c r="N10" s="15">
        <f t="shared" ca="1" si="0"/>
        <v>94</v>
      </c>
      <c r="O10" s="15">
        <f t="shared" ca="1" si="0"/>
        <v>80</v>
      </c>
      <c r="P10" s="15">
        <f t="shared" ca="1" si="0"/>
        <v>98</v>
      </c>
      <c r="Q10" s="16">
        <f t="shared" ca="1" si="0"/>
        <v>84</v>
      </c>
      <c r="R10" s="16"/>
      <c r="S10" s="16"/>
      <c r="T10" s="9">
        <f ca="1">IFERROR(ROUND((Sem[[#This Row],[Paper 1]]/$Q$2*100)*$T$2,0),"")</f>
        <v>84</v>
      </c>
      <c r="U10" s="9" t="str">
        <f>IFERROR(ROUND((Sem[[#This Row],[Paper 2]]/$R$2*100)*$U$2,0),"")</f>
        <v/>
      </c>
      <c r="V10" s="9" t="str">
        <f>IFERROR(ROUND((Sem[[#This Row],[Paper 3]]/$S$2*100)*$V$2,0),"")</f>
        <v/>
      </c>
      <c r="W10" s="8">
        <f ca="1">IFERROR(ROUND(AVERAGE(Sem[[#This Row],[Rata2 NP Mid.S]:[NP 10]]),0),"")</f>
        <v>91</v>
      </c>
      <c r="X10" s="9">
        <f ca="1">IFERROR(IF(SUM(Sem[[#This Row],[Nilai P1]:[Nilai P3]])=0,"",SUM(Sem[[#This Row],[Nilai P1]:[Nilai P3]])),"")</f>
        <v>84</v>
      </c>
      <c r="Y10" s="14">
        <f ca="1">IFERROR(ROUND(((Mid.S[[#This Row],[NTS]]*1)+(Sem[[#This Row],[NS]]*2)+(Sem[[#This Row],[Rata2 NP2]]*7))/10,0),"")</f>
        <v>89</v>
      </c>
      <c r="Z10" s="11" t="str">
        <f ca="1">IF(Sem[[#This Row],[NRap.S]]="","Belum Terukur",IF(Sem[[#This Row],[NRap.S]]&gt;=92,"A",IF(Sem[[#This Row],[NRap.S]]&gt;=83,"B",IF(Sem[[#This Row],[NRap.S]]&gt;=75,"C","D"))))</f>
        <v>B</v>
      </c>
      <c r="AA10" s="22" t="str">
        <f t="shared" ref="AA10:AA28" ca="1" si="3">CONCATENATE("Siswa menunjukkan kemampuannya ",AE10,"dalam ",$AC$4)</f>
        <v xml:space="preserve">Siswa menunjukkan kemampuannya baik dalam </v>
      </c>
      <c r="AC10" s="103"/>
      <c r="AD10" s="105"/>
      <c r="AE10" s="60" t="str">
        <f ca="1">IF(Sem[[#This Row],[Predikat]]="A",$AD$4,IF(Sem[[#This Row],[Predikat]]="B",$AD$5,IF(Sem[[#This Row],[Predikat]]="C",$AD$6,$AD$7)))</f>
        <v xml:space="preserve">baik </v>
      </c>
    </row>
    <row r="11" spans="1:31" ht="50.1" customHeight="1" x14ac:dyDescent="0.3">
      <c r="A11" s="69">
        <f>IF('NS (Mid.S)'!A10=0,"",'NS (Mid.S)'!A10)</f>
        <v>8</v>
      </c>
      <c r="B11" s="70" t="str">
        <f>IF('NS (Mid.S)'!B10=0,"",'NS (Mid.S)'!B10)</f>
        <v>Tirto Mohamad</v>
      </c>
      <c r="C11" s="69" t="str">
        <f>IF('NS (Mid.S)'!C10=0,"",'NS (Mid.S)'!C10)</f>
        <v>8/HBICSHIGH/20</v>
      </c>
      <c r="D11" s="69">
        <f>IF('NS (Mid.S)'!D10=0,"",'NS (Mid.S)'!D10)</f>
        <v>21962089</v>
      </c>
      <c r="E11" s="69" t="str">
        <f>IF('NS (Mid.S)'!E10=0,"",'NS (Mid.S)'!E10)</f>
        <v>IPS</v>
      </c>
      <c r="F11" s="20">
        <f ca="1">Mid.S[[#This Row],[Rata2 NP]]</f>
        <v>87</v>
      </c>
      <c r="G11" s="15">
        <f t="shared" ca="1" si="2"/>
        <v>83</v>
      </c>
      <c r="H11" s="15">
        <f t="shared" ca="1" si="0"/>
        <v>84</v>
      </c>
      <c r="I11" s="15">
        <f t="shared" ca="1" si="0"/>
        <v>83</v>
      </c>
      <c r="J11" s="15">
        <f t="shared" ca="1" si="0"/>
        <v>89</v>
      </c>
      <c r="K11" s="15">
        <f t="shared" ca="1" si="0"/>
        <v>76</v>
      </c>
      <c r="L11" s="15">
        <f t="shared" ca="1" si="0"/>
        <v>82</v>
      </c>
      <c r="M11" s="15">
        <f t="shared" ca="1" si="0"/>
        <v>83</v>
      </c>
      <c r="N11" s="15">
        <f t="shared" ca="1" si="0"/>
        <v>85</v>
      </c>
      <c r="O11" s="15">
        <f t="shared" ca="1" si="0"/>
        <v>83</v>
      </c>
      <c r="P11" s="15">
        <f t="shared" ca="1" si="0"/>
        <v>77</v>
      </c>
      <c r="Q11" s="16">
        <f t="shared" ca="1" si="0"/>
        <v>83</v>
      </c>
      <c r="R11" s="16"/>
      <c r="S11" s="16"/>
      <c r="T11" s="9">
        <f ca="1">IFERROR(ROUND((Sem[[#This Row],[Paper 1]]/$Q$2*100)*$T$2,0),"")</f>
        <v>83</v>
      </c>
      <c r="U11" s="9" t="str">
        <f>IFERROR(ROUND((Sem[[#This Row],[Paper 2]]/$R$2*100)*$U$2,0),"")</f>
        <v/>
      </c>
      <c r="V11" s="9" t="str">
        <f>IFERROR(ROUND((Sem[[#This Row],[Paper 3]]/$S$2*100)*$V$2,0),"")</f>
        <v/>
      </c>
      <c r="W11" s="8">
        <f ca="1">IFERROR(ROUND(AVERAGE(Sem[[#This Row],[Rata2 NP Mid.S]:[NP 10]]),0),"")</f>
        <v>83</v>
      </c>
      <c r="X11" s="9">
        <f ca="1">IFERROR(IF(SUM(Sem[[#This Row],[Nilai P1]:[Nilai P3]])=0,"",SUM(Sem[[#This Row],[Nilai P1]:[Nilai P3]])),"")</f>
        <v>83</v>
      </c>
      <c r="Y11" s="14">
        <f ca="1">IFERROR(ROUND(((Mid.S[[#This Row],[NTS]]*1)+(Sem[[#This Row],[NS]]*2)+(Sem[[#This Row],[Rata2 NP2]]*7))/10,0),"")</f>
        <v>83</v>
      </c>
      <c r="Z11" s="11" t="str">
        <f ca="1">IF(Sem[[#This Row],[NRap.S]]="","Belum Terukur",IF(Sem[[#This Row],[NRap.S]]&gt;=92,"A",IF(Sem[[#This Row],[NRap.S]]&gt;=83,"B",IF(Sem[[#This Row],[NRap.S]]&gt;=75,"C","D"))))</f>
        <v>B</v>
      </c>
      <c r="AA11" s="22" t="str">
        <f t="shared" ca="1" si="3"/>
        <v xml:space="preserve">Siswa menunjukkan kemampuannya baik dalam </v>
      </c>
      <c r="AC11" s="103"/>
      <c r="AD11" s="105"/>
      <c r="AE11" s="60" t="str">
        <f ca="1">IF(Sem[[#This Row],[Predikat]]="A",$AD$4,IF(Sem[[#This Row],[Predikat]]="B",$AD$5,IF(Sem[[#This Row],[Predikat]]="C",$AD$6,$AD$7)))</f>
        <v xml:space="preserve">baik </v>
      </c>
    </row>
    <row r="12" spans="1:31" ht="50.1" customHeight="1" x14ac:dyDescent="0.3">
      <c r="A12" s="69">
        <f>IF('NS (Mid.S)'!A11=0,"",'NS (Mid.S)'!A11)</f>
        <v>9</v>
      </c>
      <c r="B12" s="70" t="str">
        <f>IF('NS (Mid.S)'!B11=0,"",'NS (Mid.S)'!B11)</f>
        <v>Wangi Aminah</v>
      </c>
      <c r="C12" s="69" t="str">
        <f>IF('NS (Mid.S)'!C11=0,"",'NS (Mid.S)'!C11)</f>
        <v>9/HBICSHIGH/20</v>
      </c>
      <c r="D12" s="69">
        <f>IF('NS (Mid.S)'!D11=0,"",'NS (Mid.S)'!D11)</f>
        <v>16221604</v>
      </c>
      <c r="E12" s="69" t="str">
        <f>IF('NS (Mid.S)'!E11=0,"",'NS (Mid.S)'!E11)</f>
        <v>IPA</v>
      </c>
      <c r="F12" s="20">
        <f ca="1">Mid.S[[#This Row],[Rata2 NP]]</f>
        <v>88</v>
      </c>
      <c r="G12" s="15">
        <f t="shared" ca="1" si="2"/>
        <v>80</v>
      </c>
      <c r="H12" s="15">
        <f t="shared" ca="1" si="0"/>
        <v>96</v>
      </c>
      <c r="I12" s="15">
        <f t="shared" ca="1" si="0"/>
        <v>82</v>
      </c>
      <c r="J12" s="15">
        <f t="shared" ca="1" si="0"/>
        <v>95</v>
      </c>
      <c r="K12" s="15">
        <f t="shared" ca="1" si="0"/>
        <v>81</v>
      </c>
      <c r="L12" s="15">
        <f t="shared" ca="1" si="0"/>
        <v>78</v>
      </c>
      <c r="M12" s="15">
        <f t="shared" ca="1" si="0"/>
        <v>100</v>
      </c>
      <c r="N12" s="15">
        <f t="shared" ca="1" si="0"/>
        <v>83</v>
      </c>
      <c r="O12" s="15">
        <f t="shared" ca="1" si="0"/>
        <v>78</v>
      </c>
      <c r="P12" s="15">
        <f t="shared" ca="1" si="0"/>
        <v>97</v>
      </c>
      <c r="Q12" s="16">
        <f t="shared" ca="1" si="0"/>
        <v>94</v>
      </c>
      <c r="R12" s="16"/>
      <c r="S12" s="16"/>
      <c r="T12" s="9">
        <f ca="1">IFERROR(ROUND((Sem[[#This Row],[Paper 1]]/$Q$2*100)*$T$2,0),"")</f>
        <v>94</v>
      </c>
      <c r="U12" s="9" t="str">
        <f>IFERROR(ROUND((Sem[[#This Row],[Paper 2]]/$R$2*100)*$U$2,0),"")</f>
        <v/>
      </c>
      <c r="V12" s="9" t="str">
        <f>IFERROR(ROUND((Sem[[#This Row],[Paper 3]]/$S$2*100)*$V$2,0),"")</f>
        <v/>
      </c>
      <c r="W12" s="8">
        <f ca="1">IFERROR(ROUND(AVERAGE(Sem[[#This Row],[Rata2 NP Mid.S]:[NP 10]]),0),"")</f>
        <v>87</v>
      </c>
      <c r="X12" s="9">
        <f ca="1">IFERROR(IF(SUM(Sem[[#This Row],[Nilai P1]:[Nilai P3]])=0,"",SUM(Sem[[#This Row],[Nilai P1]:[Nilai P3]])),"")</f>
        <v>94</v>
      </c>
      <c r="Y12" s="14">
        <f ca="1">IFERROR(ROUND(((Mid.S[[#This Row],[NTS]]*1)+(Sem[[#This Row],[NS]]*2)+(Sem[[#This Row],[Rata2 NP2]]*7))/10,0),"")</f>
        <v>90</v>
      </c>
      <c r="Z12" s="11" t="str">
        <f ca="1">IF(Sem[[#This Row],[NRap.S]]="","Belum Terukur",IF(Sem[[#This Row],[NRap.S]]&gt;=92,"A",IF(Sem[[#This Row],[NRap.S]]&gt;=83,"B",IF(Sem[[#This Row],[NRap.S]]&gt;=75,"C","D"))))</f>
        <v>B</v>
      </c>
      <c r="AA12" s="22" t="str">
        <f t="shared" ca="1" si="3"/>
        <v xml:space="preserve">Siswa menunjukkan kemampuannya baik dalam </v>
      </c>
      <c r="AC12" s="103"/>
      <c r="AD12" s="105"/>
      <c r="AE12" s="60" t="str">
        <f ca="1">IF(Sem[[#This Row],[Predikat]]="A",$AD$4,IF(Sem[[#This Row],[Predikat]]="B",$AD$5,IF(Sem[[#This Row],[Predikat]]="C",$AD$6,$AD$7)))</f>
        <v xml:space="preserve">baik </v>
      </c>
    </row>
    <row r="13" spans="1:31" ht="50.1" customHeight="1" x14ac:dyDescent="0.3">
      <c r="A13" s="69">
        <f>IF('NS (Mid.S)'!A12=0,"",'NS (Mid.S)'!A12)</f>
        <v>10</v>
      </c>
      <c r="B13" s="70" t="str">
        <f>IF('NS (Mid.S)'!B12=0,"",'NS (Mid.S)'!B12)</f>
        <v>Wangi Daud</v>
      </c>
      <c r="C13" s="69" t="str">
        <f>IF('NS (Mid.S)'!C12=0,"",'NS (Mid.S)'!C12)</f>
        <v>10/HBICSHIGH/20</v>
      </c>
      <c r="D13" s="69">
        <f>IF('NS (Mid.S)'!D12=0,"",'NS (Mid.S)'!D12)</f>
        <v>23768787</v>
      </c>
      <c r="E13" s="69" t="str">
        <f>IF('NS (Mid.S)'!E12=0,"",'NS (Mid.S)'!E12)</f>
        <v>IPS</v>
      </c>
      <c r="F13" s="20">
        <f ca="1">Mid.S[[#This Row],[Rata2 NP]]</f>
        <v>87</v>
      </c>
      <c r="G13" s="15">
        <f t="shared" ca="1" si="2"/>
        <v>87</v>
      </c>
      <c r="H13" s="15">
        <f t="shared" ca="1" si="0"/>
        <v>96</v>
      </c>
      <c r="I13" s="15">
        <f t="shared" ca="1" si="0"/>
        <v>83</v>
      </c>
      <c r="J13" s="15">
        <f t="shared" ca="1" si="0"/>
        <v>91</v>
      </c>
      <c r="K13" s="15">
        <f t="shared" ca="1" si="0"/>
        <v>98</v>
      </c>
      <c r="L13" s="15">
        <f t="shared" ca="1" si="0"/>
        <v>88</v>
      </c>
      <c r="M13" s="15">
        <f t="shared" ca="1" si="0"/>
        <v>90</v>
      </c>
      <c r="N13" s="15">
        <f t="shared" ca="1" si="0"/>
        <v>76</v>
      </c>
      <c r="O13" s="15">
        <f t="shared" ca="1" si="0"/>
        <v>79</v>
      </c>
      <c r="P13" s="15">
        <f t="shared" ca="1" si="0"/>
        <v>83</v>
      </c>
      <c r="Q13" s="16">
        <f t="shared" ca="1" si="0"/>
        <v>87</v>
      </c>
      <c r="R13" s="16"/>
      <c r="S13" s="16"/>
      <c r="T13" s="9">
        <f ca="1">IFERROR(ROUND((Sem[[#This Row],[Paper 1]]/$Q$2*100)*$T$2,0),"")</f>
        <v>87</v>
      </c>
      <c r="U13" s="9" t="str">
        <f>IFERROR(ROUND((Sem[[#This Row],[Paper 2]]/$R$2*100)*$U$2,0),"")</f>
        <v/>
      </c>
      <c r="V13" s="9" t="str">
        <f>IFERROR(ROUND((Sem[[#This Row],[Paper 3]]/$S$2*100)*$V$2,0),"")</f>
        <v/>
      </c>
      <c r="W13" s="8">
        <f ca="1">IFERROR(ROUND(AVERAGE(Sem[[#This Row],[Rata2 NP Mid.S]:[NP 10]]),0),"")</f>
        <v>87</v>
      </c>
      <c r="X13" s="9">
        <f ca="1">IFERROR(IF(SUM(Sem[[#This Row],[Nilai P1]:[Nilai P3]])=0,"",SUM(Sem[[#This Row],[Nilai P1]:[Nilai P3]])),"")</f>
        <v>87</v>
      </c>
      <c r="Y13" s="14">
        <f ca="1">IFERROR(ROUND(((Mid.S[[#This Row],[NTS]]*1)+(Sem[[#This Row],[NS]]*2)+(Sem[[#This Row],[Rata2 NP2]]*7))/10,0),"")</f>
        <v>86</v>
      </c>
      <c r="Z13" s="11" t="str">
        <f ca="1">IF(Sem[[#This Row],[NRap.S]]="","Belum Terukur",IF(Sem[[#This Row],[NRap.S]]&gt;=92,"A",IF(Sem[[#This Row],[NRap.S]]&gt;=83,"B",IF(Sem[[#This Row],[NRap.S]]&gt;=75,"C","D"))))</f>
        <v>B</v>
      </c>
      <c r="AA13" s="22" t="str">
        <f t="shared" ca="1" si="3"/>
        <v xml:space="preserve">Siswa menunjukkan kemampuannya baik dalam </v>
      </c>
      <c r="AC13" s="103"/>
      <c r="AD13" s="105"/>
      <c r="AE13" s="60" t="str">
        <f ca="1">IF(Sem[[#This Row],[Predikat]]="A",$AD$4,IF(Sem[[#This Row],[Predikat]]="B",$AD$5,IF(Sem[[#This Row],[Predikat]]="C",$AD$6,$AD$7)))</f>
        <v xml:space="preserve">baik </v>
      </c>
    </row>
    <row r="14" spans="1:31" ht="50.1" customHeight="1" x14ac:dyDescent="0.3">
      <c r="A14" s="69" t="str">
        <f>IF('NS (Mid.S)'!A13=0,"",'NS (Mid.S)'!A13)</f>
        <v/>
      </c>
      <c r="B14" s="70" t="str">
        <f>IF('NS (Mid.S)'!B13=0,"",'NS (Mid.S)'!B13)</f>
        <v/>
      </c>
      <c r="C14" s="69" t="str">
        <f>IF('NS (Mid.S)'!C13=0,"",'NS (Mid.S)'!C13)</f>
        <v/>
      </c>
      <c r="D14" s="69" t="str">
        <f>IF('NS (Mid.S)'!D13=0,"",'NS (Mid.S)'!D13)</f>
        <v/>
      </c>
      <c r="E14" s="69" t="str">
        <f>IF('NS (Mid.S)'!E13=0,"",'NS (Mid.S)'!E13)</f>
        <v/>
      </c>
      <c r="F14" s="20" t="str">
        <f>Mid.S[[#This Row],[Rata2 NP]]</f>
        <v/>
      </c>
      <c r="G14" s="15"/>
      <c r="H14" s="15"/>
      <c r="I14" s="15"/>
      <c r="J14" s="15"/>
      <c r="K14" s="15"/>
      <c r="L14" s="15"/>
      <c r="M14" s="15"/>
      <c r="N14" s="15"/>
      <c r="O14" s="15"/>
      <c r="P14" s="15"/>
      <c r="Q14" s="16"/>
      <c r="R14" s="16"/>
      <c r="S14" s="16"/>
      <c r="T14" s="9">
        <f>IFERROR(ROUND((Sem[[#This Row],[Paper 1]]/$Q$2*100)*$T$2,0),"")</f>
        <v>0</v>
      </c>
      <c r="U14" s="9" t="str">
        <f>IFERROR(ROUND((Sem[[#This Row],[Paper 2]]/$R$2*100)*$U$2,0),"")</f>
        <v/>
      </c>
      <c r="V14" s="9" t="str">
        <f>IFERROR(ROUND((Sem[[#This Row],[Paper 3]]/$S$2*100)*$V$2,0),"")</f>
        <v/>
      </c>
      <c r="W14" s="8" t="str">
        <f>IFERROR(ROUND(AVERAGE(Sem[[#This Row],[Rata2 NP Mid.S]:[NP 10]]),0),"")</f>
        <v/>
      </c>
      <c r="X14" s="9" t="str">
        <f>IFERROR(IF(SUM(Sem[[#This Row],[Nilai P1]:[Nilai P3]])=0,"",SUM(Sem[[#This Row],[Nilai P1]:[Nilai P3]])),"")</f>
        <v/>
      </c>
      <c r="Y14" s="14" t="str">
        <f>IFERROR(ROUND(((Mid.S[[#This Row],[NTS]]*1)+(Sem[[#This Row],[NS]]*2)+(Sem[[#This Row],[Rata2 NP2]]*7))/10,0),"")</f>
        <v/>
      </c>
      <c r="Z14" s="11" t="str">
        <f>IF(Sem[[#This Row],[NRap.S]]="","Belum Terukur",IF(Sem[[#This Row],[NRap.S]]&gt;=92,"A",IF(Sem[[#This Row],[NRap.S]]&gt;=83,"B",IF(Sem[[#This Row],[NRap.S]]&gt;=75,"C","D"))))</f>
        <v>Belum Terukur</v>
      </c>
      <c r="AA14" s="22" t="str">
        <f t="shared" si="3"/>
        <v xml:space="preserve">Siswa menunjukkan kemampuannya namun masih memerlukan bimbingan dalam </v>
      </c>
      <c r="AC14" s="103"/>
      <c r="AD14" s="105"/>
      <c r="AE14" s="60" t="str">
        <f>IF(Sem[[#This Row],[Predikat]]="A",$AD$4,IF(Sem[[#This Row],[Predikat]]="B",$AD$5,IF(Sem[[#This Row],[Predikat]]="C",$AD$6,$AD$7)))</f>
        <v xml:space="preserve">namun masih memerlukan bimbingan </v>
      </c>
    </row>
    <row r="15" spans="1:31" ht="50.1" customHeight="1" x14ac:dyDescent="0.3">
      <c r="A15" s="69" t="str">
        <f>IF('NS (Mid.S)'!A14=0,"",'NS (Mid.S)'!A14)</f>
        <v/>
      </c>
      <c r="B15" s="70" t="str">
        <f>IF('NS (Mid.S)'!B14=0,"",'NS (Mid.S)'!B14)</f>
        <v/>
      </c>
      <c r="C15" s="69" t="str">
        <f>IF('NS (Mid.S)'!C14=0,"",'NS (Mid.S)'!C14)</f>
        <v/>
      </c>
      <c r="D15" s="69" t="str">
        <f>IF('NS (Mid.S)'!D14=0,"",'NS (Mid.S)'!D14)</f>
        <v/>
      </c>
      <c r="E15" s="69" t="str">
        <f>IF('NS (Mid.S)'!E14=0,"",'NS (Mid.S)'!E14)</f>
        <v/>
      </c>
      <c r="F15" s="20" t="str">
        <f>Mid.S[[#This Row],[Rata2 NP]]</f>
        <v/>
      </c>
      <c r="G15" s="15"/>
      <c r="H15" s="15"/>
      <c r="I15" s="15"/>
      <c r="J15" s="15"/>
      <c r="K15" s="15"/>
      <c r="L15" s="15"/>
      <c r="M15" s="15"/>
      <c r="N15" s="15"/>
      <c r="O15" s="15"/>
      <c r="P15" s="15"/>
      <c r="Q15" s="16"/>
      <c r="R15" s="16"/>
      <c r="S15" s="16"/>
      <c r="T15" s="9">
        <f>IFERROR(ROUND((Sem[[#This Row],[Paper 1]]/$Q$2*100)*$T$2,0),"")</f>
        <v>0</v>
      </c>
      <c r="U15" s="9" t="str">
        <f>IFERROR(ROUND((Sem[[#This Row],[Paper 2]]/$R$2*100)*$U$2,0),"")</f>
        <v/>
      </c>
      <c r="V15" s="9" t="str">
        <f>IFERROR(ROUND((Sem[[#This Row],[Paper 3]]/$S$2*100)*$V$2,0),"")</f>
        <v/>
      </c>
      <c r="W15" s="8" t="str">
        <f>IFERROR(ROUND(AVERAGE(Sem[[#This Row],[Rata2 NP Mid.S]:[NP 10]]),0),"")</f>
        <v/>
      </c>
      <c r="X15" s="9" t="str">
        <f>IFERROR(IF(SUM(Sem[[#This Row],[Nilai P1]:[Nilai P3]])=0,"",SUM(Sem[[#This Row],[Nilai P1]:[Nilai P3]])),"")</f>
        <v/>
      </c>
      <c r="Y15" s="14" t="str">
        <f>IFERROR(ROUND(((Mid.S[[#This Row],[NTS]]*1)+(Sem[[#This Row],[NS]]*2)+(Sem[[#This Row],[Rata2 NP2]]*7))/10,0),"")</f>
        <v/>
      </c>
      <c r="Z15" s="11" t="str">
        <f>IF(Sem[[#This Row],[NRap.S]]="","Belum Terukur",IF(Sem[[#This Row],[NRap.S]]&gt;=92,"A",IF(Sem[[#This Row],[NRap.S]]&gt;=83,"B",IF(Sem[[#This Row],[NRap.S]]&gt;=75,"C","D"))))</f>
        <v>Belum Terukur</v>
      </c>
      <c r="AA15" s="22" t="str">
        <f t="shared" si="3"/>
        <v xml:space="preserve">Siswa menunjukkan kemampuannya namun masih memerlukan bimbingan dalam </v>
      </c>
      <c r="AC15" s="103"/>
      <c r="AD15" s="105"/>
      <c r="AE15" s="60" t="str">
        <f>IF(Sem[[#This Row],[Predikat]]="A",$AD$4,IF(Sem[[#This Row],[Predikat]]="B",$AD$5,IF(Sem[[#This Row],[Predikat]]="C",$AD$6,$AD$7)))</f>
        <v xml:space="preserve">namun masih memerlukan bimbingan </v>
      </c>
    </row>
    <row r="16" spans="1:31" ht="50.1" customHeight="1" x14ac:dyDescent="0.3">
      <c r="A16" s="69" t="str">
        <f>IF('NS (Mid.S)'!A15=0,"",'NS (Mid.S)'!A15)</f>
        <v/>
      </c>
      <c r="B16" s="70" t="str">
        <f>IF('NS (Mid.S)'!B15=0,"",'NS (Mid.S)'!B15)</f>
        <v/>
      </c>
      <c r="C16" s="69" t="str">
        <f>IF('NS (Mid.S)'!C15=0,"",'NS (Mid.S)'!C15)</f>
        <v/>
      </c>
      <c r="D16" s="69" t="str">
        <f>IF('NS (Mid.S)'!D15=0,"",'NS (Mid.S)'!D15)</f>
        <v/>
      </c>
      <c r="E16" s="69" t="str">
        <f>IF('NS (Mid.S)'!E15=0,"",'NS (Mid.S)'!E15)</f>
        <v/>
      </c>
      <c r="F16" s="20" t="str">
        <f>Mid.S[[#This Row],[Rata2 NP]]</f>
        <v/>
      </c>
      <c r="G16" s="15"/>
      <c r="H16" s="15"/>
      <c r="I16" s="15"/>
      <c r="J16" s="15"/>
      <c r="K16" s="15"/>
      <c r="L16" s="15"/>
      <c r="M16" s="15"/>
      <c r="N16" s="15"/>
      <c r="O16" s="15"/>
      <c r="P16" s="15"/>
      <c r="Q16" s="16"/>
      <c r="R16" s="16"/>
      <c r="S16" s="16"/>
      <c r="T16" s="9">
        <f>IFERROR(ROUND((Sem[[#This Row],[Paper 1]]/$Q$2*100)*$T$2,0),"")</f>
        <v>0</v>
      </c>
      <c r="U16" s="9" t="str">
        <f>IFERROR(ROUND((Sem[[#This Row],[Paper 2]]/$R$2*100)*$U$2,0),"")</f>
        <v/>
      </c>
      <c r="V16" s="9" t="str">
        <f>IFERROR(ROUND((Sem[[#This Row],[Paper 3]]/$S$2*100)*$V$2,0),"")</f>
        <v/>
      </c>
      <c r="W16" s="8" t="str">
        <f>IFERROR(ROUND(AVERAGE(Sem[[#This Row],[Rata2 NP Mid.S]:[NP 10]]),0),"")</f>
        <v/>
      </c>
      <c r="X16" s="9" t="str">
        <f>IFERROR(IF(SUM(Sem[[#This Row],[Nilai P1]:[Nilai P3]])=0,"",SUM(Sem[[#This Row],[Nilai P1]:[Nilai P3]])),"")</f>
        <v/>
      </c>
      <c r="Y16" s="14" t="str">
        <f>IFERROR(ROUND(((Mid.S[[#This Row],[NTS]]*1)+(Sem[[#This Row],[NS]]*2)+(Sem[[#This Row],[Rata2 NP2]]*7))/10,0),"")</f>
        <v/>
      </c>
      <c r="Z16" s="11" t="str">
        <f>IF(Sem[[#This Row],[NRap.S]]="","Belum Terukur",IF(Sem[[#This Row],[NRap.S]]&gt;=92,"A",IF(Sem[[#This Row],[NRap.S]]&gt;=83,"B",IF(Sem[[#This Row],[NRap.S]]&gt;=75,"C","D"))))</f>
        <v>Belum Terukur</v>
      </c>
      <c r="AA16" s="22" t="str">
        <f t="shared" si="3"/>
        <v xml:space="preserve">Siswa menunjukkan kemampuannya namun masih memerlukan bimbingan dalam </v>
      </c>
      <c r="AC16" s="103"/>
      <c r="AD16" s="105"/>
      <c r="AE16" s="60" t="str">
        <f>IF(Sem[[#This Row],[Predikat]]="A",$AD$4,IF(Sem[[#This Row],[Predikat]]="B",$AD$5,IF(Sem[[#This Row],[Predikat]]="C",$AD$6,$AD$7)))</f>
        <v xml:space="preserve">namun masih memerlukan bimbingan </v>
      </c>
    </row>
    <row r="17" spans="1:31" ht="50.1" customHeight="1" x14ac:dyDescent="0.3">
      <c r="A17" s="69" t="str">
        <f>IF('NS (Mid.S)'!A16=0,"",'NS (Mid.S)'!A16)</f>
        <v/>
      </c>
      <c r="B17" s="70" t="str">
        <f>IF('NS (Mid.S)'!B16=0,"",'NS (Mid.S)'!B16)</f>
        <v/>
      </c>
      <c r="C17" s="69" t="str">
        <f>IF('NS (Mid.S)'!C16=0,"",'NS (Mid.S)'!C16)</f>
        <v/>
      </c>
      <c r="D17" s="69" t="str">
        <f>IF('NS (Mid.S)'!D16=0,"",'NS (Mid.S)'!D16)</f>
        <v/>
      </c>
      <c r="E17" s="69" t="str">
        <f>IF('NS (Mid.S)'!E16=0,"",'NS (Mid.S)'!E16)</f>
        <v/>
      </c>
      <c r="F17" s="20" t="str">
        <f>Mid.S[[#This Row],[Rata2 NP]]</f>
        <v/>
      </c>
      <c r="G17" s="15"/>
      <c r="H17" s="15"/>
      <c r="I17" s="15"/>
      <c r="J17" s="15"/>
      <c r="K17" s="15"/>
      <c r="L17" s="15"/>
      <c r="M17" s="15"/>
      <c r="N17" s="15"/>
      <c r="O17" s="15"/>
      <c r="P17" s="15"/>
      <c r="Q17" s="16"/>
      <c r="R17" s="16"/>
      <c r="S17" s="16"/>
      <c r="T17" s="9">
        <f>IFERROR(ROUND((Sem[[#This Row],[Paper 1]]/$Q$2*100)*$T$2,0),"")</f>
        <v>0</v>
      </c>
      <c r="U17" s="9" t="str">
        <f>IFERROR(ROUND((Sem[[#This Row],[Paper 2]]/$R$2*100)*$U$2,0),"")</f>
        <v/>
      </c>
      <c r="V17" s="9" t="str">
        <f>IFERROR(ROUND((Sem[[#This Row],[Paper 3]]/$S$2*100)*$V$2,0),"")</f>
        <v/>
      </c>
      <c r="W17" s="8" t="str">
        <f>IFERROR(ROUND(AVERAGE(Sem[[#This Row],[Rata2 NP Mid.S]:[NP 10]]),0),"")</f>
        <v/>
      </c>
      <c r="X17" s="9" t="str">
        <f>IFERROR(IF(SUM(Sem[[#This Row],[Nilai P1]:[Nilai P3]])=0,"",SUM(Sem[[#This Row],[Nilai P1]:[Nilai P3]])),"")</f>
        <v/>
      </c>
      <c r="Y17" s="14" t="str">
        <f>IFERROR(ROUND(((Mid.S[[#This Row],[NTS]]*1)+(Sem[[#This Row],[NS]]*2)+(Sem[[#This Row],[Rata2 NP2]]*7))/10,0),"")</f>
        <v/>
      </c>
      <c r="Z17" s="11" t="str">
        <f>IF(Sem[[#This Row],[NRap.S]]="","Belum Terukur",IF(Sem[[#This Row],[NRap.S]]&gt;=92,"A",IF(Sem[[#This Row],[NRap.S]]&gt;=83,"B",IF(Sem[[#This Row],[NRap.S]]&gt;=75,"C","D"))))</f>
        <v>Belum Terukur</v>
      </c>
      <c r="AA17" s="22" t="str">
        <f t="shared" si="3"/>
        <v xml:space="preserve">Siswa menunjukkan kemampuannya namun masih memerlukan bimbingan dalam </v>
      </c>
      <c r="AC17" s="103"/>
      <c r="AD17" s="105"/>
      <c r="AE17" s="60" t="str">
        <f>IF(Sem[[#This Row],[Predikat]]="A",$AD$4,IF(Sem[[#This Row],[Predikat]]="B",$AD$5,IF(Sem[[#This Row],[Predikat]]="C",$AD$6,$AD$7)))</f>
        <v xml:space="preserve">namun masih memerlukan bimbingan </v>
      </c>
    </row>
    <row r="18" spans="1:31" ht="50.1" customHeight="1" x14ac:dyDescent="0.3">
      <c r="A18" s="69" t="str">
        <f>IF('NS (Mid.S)'!A17=0,"",'NS (Mid.S)'!A17)</f>
        <v/>
      </c>
      <c r="B18" s="70" t="str">
        <f>IF('NS (Mid.S)'!B17=0,"",'NS (Mid.S)'!B17)</f>
        <v/>
      </c>
      <c r="C18" s="69" t="str">
        <f>IF('NS (Mid.S)'!C17=0,"",'NS (Mid.S)'!C17)</f>
        <v/>
      </c>
      <c r="D18" s="69" t="str">
        <f>IF('NS (Mid.S)'!D17=0,"",'NS (Mid.S)'!D17)</f>
        <v/>
      </c>
      <c r="E18" s="69" t="str">
        <f>IF('NS (Mid.S)'!E17=0,"",'NS (Mid.S)'!E17)</f>
        <v/>
      </c>
      <c r="F18" s="20" t="str">
        <f>Mid.S[[#This Row],[Rata2 NP]]</f>
        <v/>
      </c>
      <c r="G18" s="15"/>
      <c r="H18" s="15"/>
      <c r="I18" s="15"/>
      <c r="J18" s="15"/>
      <c r="K18" s="15"/>
      <c r="L18" s="15"/>
      <c r="M18" s="15"/>
      <c r="N18" s="15"/>
      <c r="O18" s="15"/>
      <c r="P18" s="15"/>
      <c r="Q18" s="16"/>
      <c r="R18" s="16"/>
      <c r="S18" s="16"/>
      <c r="T18" s="9">
        <f>IFERROR(ROUND((Sem[[#This Row],[Paper 1]]/$Q$2*100)*$T$2,0),"")</f>
        <v>0</v>
      </c>
      <c r="U18" s="9" t="str">
        <f>IFERROR(ROUND((Sem[[#This Row],[Paper 2]]/$R$2*100)*$U$2,0),"")</f>
        <v/>
      </c>
      <c r="V18" s="9" t="str">
        <f>IFERROR(ROUND((Sem[[#This Row],[Paper 3]]/$S$2*100)*$V$2,0),"")</f>
        <v/>
      </c>
      <c r="W18" s="8" t="str">
        <f>IFERROR(ROUND(AVERAGE(Sem[[#This Row],[Rata2 NP Mid.S]:[NP 10]]),0),"")</f>
        <v/>
      </c>
      <c r="X18" s="9" t="str">
        <f>IFERROR(IF(SUM(Sem[[#This Row],[Nilai P1]:[Nilai P3]])=0,"",SUM(Sem[[#This Row],[Nilai P1]:[Nilai P3]])),"")</f>
        <v/>
      </c>
      <c r="Y18" s="14" t="str">
        <f>IFERROR(ROUND(((Mid.S[[#This Row],[NTS]]*1)+(Sem[[#This Row],[NS]]*2)+(Sem[[#This Row],[Rata2 NP2]]*7))/10,0),"")</f>
        <v/>
      </c>
      <c r="Z18" s="11" t="str">
        <f>IF(Sem[[#This Row],[NRap.S]]="","Belum Terukur",IF(Sem[[#This Row],[NRap.S]]&gt;=92,"A",IF(Sem[[#This Row],[NRap.S]]&gt;=83,"B",IF(Sem[[#This Row],[NRap.S]]&gt;=75,"C","D"))))</f>
        <v>Belum Terukur</v>
      </c>
      <c r="AA18" s="22" t="str">
        <f t="shared" si="3"/>
        <v xml:space="preserve">Siswa menunjukkan kemampuannya namun masih memerlukan bimbingan dalam </v>
      </c>
      <c r="AC18" s="103"/>
      <c r="AD18" s="105"/>
      <c r="AE18" s="60" t="str">
        <f>IF(Sem[[#This Row],[Predikat]]="A",$AD$4,IF(Sem[[#This Row],[Predikat]]="B",$AD$5,IF(Sem[[#This Row],[Predikat]]="C",$AD$6,$AD$7)))</f>
        <v xml:space="preserve">namun masih memerlukan bimbingan </v>
      </c>
    </row>
    <row r="19" spans="1:31" ht="50.1" customHeight="1" x14ac:dyDescent="0.3">
      <c r="A19" s="69" t="str">
        <f>IF('NS (Mid.S)'!A18=0,"",'NS (Mid.S)'!A18)</f>
        <v/>
      </c>
      <c r="B19" s="70" t="str">
        <f>IF('NS (Mid.S)'!B18=0,"",'NS (Mid.S)'!B18)</f>
        <v/>
      </c>
      <c r="C19" s="69" t="str">
        <f>IF('NS (Mid.S)'!C18=0,"",'NS (Mid.S)'!C18)</f>
        <v/>
      </c>
      <c r="D19" s="69" t="str">
        <f>IF('NS (Mid.S)'!D18=0,"",'NS (Mid.S)'!D18)</f>
        <v/>
      </c>
      <c r="E19" s="69" t="str">
        <f>IF('NS (Mid.S)'!E18=0,"",'NS (Mid.S)'!E18)</f>
        <v/>
      </c>
      <c r="F19" s="20" t="str">
        <f>Mid.S[[#This Row],[Rata2 NP]]</f>
        <v/>
      </c>
      <c r="G19" s="15"/>
      <c r="H19" s="15"/>
      <c r="I19" s="15"/>
      <c r="J19" s="15"/>
      <c r="K19" s="15"/>
      <c r="L19" s="15"/>
      <c r="M19" s="15"/>
      <c r="N19" s="15"/>
      <c r="O19" s="15"/>
      <c r="P19" s="15"/>
      <c r="Q19" s="16"/>
      <c r="R19" s="16"/>
      <c r="S19" s="16"/>
      <c r="T19" s="9">
        <f>IFERROR(ROUND((Sem[[#This Row],[Paper 1]]/$Q$2*100)*$T$2,0),"")</f>
        <v>0</v>
      </c>
      <c r="U19" s="9" t="str">
        <f>IFERROR(ROUND((Sem[[#This Row],[Paper 2]]/$R$2*100)*$U$2,0),"")</f>
        <v/>
      </c>
      <c r="V19" s="9" t="str">
        <f>IFERROR(ROUND((Sem[[#This Row],[Paper 3]]/$S$2*100)*$V$2,0),"")</f>
        <v/>
      </c>
      <c r="W19" s="8" t="str">
        <f>IFERROR(ROUND(AVERAGE(Sem[[#This Row],[Rata2 NP Mid.S]:[NP 10]]),0),"")</f>
        <v/>
      </c>
      <c r="X19" s="9" t="str">
        <f>IFERROR(IF(SUM(Sem[[#This Row],[Nilai P1]:[Nilai P3]])=0,"",SUM(Sem[[#This Row],[Nilai P1]:[Nilai P3]])),"")</f>
        <v/>
      </c>
      <c r="Y19" s="14" t="str">
        <f>IFERROR(ROUND(((Mid.S[[#This Row],[NTS]]*1)+(Sem[[#This Row],[NS]]*2)+(Sem[[#This Row],[Rata2 NP2]]*7))/10,0),"")</f>
        <v/>
      </c>
      <c r="Z19" s="11" t="str">
        <f>IF(Sem[[#This Row],[NRap.S]]="","Belum Terukur",IF(Sem[[#This Row],[NRap.S]]&gt;=92,"A",IF(Sem[[#This Row],[NRap.S]]&gt;=83,"B",IF(Sem[[#This Row],[NRap.S]]&gt;=75,"C","D"))))</f>
        <v>Belum Terukur</v>
      </c>
      <c r="AA19" s="22" t="str">
        <f t="shared" si="3"/>
        <v xml:space="preserve">Siswa menunjukkan kemampuannya namun masih memerlukan bimbingan dalam </v>
      </c>
      <c r="AC19" s="103"/>
      <c r="AD19" s="105"/>
      <c r="AE19" s="60" t="str">
        <f>IF(Sem[[#This Row],[Predikat]]="A",$AD$4,IF(Sem[[#This Row],[Predikat]]="B",$AD$5,IF(Sem[[#This Row],[Predikat]]="C",$AD$6,$AD$7)))</f>
        <v xml:space="preserve">namun masih memerlukan bimbingan </v>
      </c>
    </row>
    <row r="20" spans="1:31" ht="50.1" customHeight="1" x14ac:dyDescent="0.3">
      <c r="A20" s="69" t="str">
        <f>IF('NS (Mid.S)'!A19=0,"",'NS (Mid.S)'!A19)</f>
        <v/>
      </c>
      <c r="B20" s="70" t="str">
        <f>IF('NS (Mid.S)'!B19=0,"",'NS (Mid.S)'!B19)</f>
        <v/>
      </c>
      <c r="C20" s="69" t="str">
        <f>IF('NS (Mid.S)'!C19=0,"",'NS (Mid.S)'!C19)</f>
        <v/>
      </c>
      <c r="D20" s="69" t="str">
        <f>IF('NS (Mid.S)'!D19=0,"",'NS (Mid.S)'!D19)</f>
        <v/>
      </c>
      <c r="E20" s="69" t="str">
        <f>IF('NS (Mid.S)'!E19=0,"",'NS (Mid.S)'!E19)</f>
        <v/>
      </c>
      <c r="F20" s="20" t="str">
        <f>Mid.S[[#This Row],[Rata2 NP]]</f>
        <v/>
      </c>
      <c r="G20" s="15"/>
      <c r="H20" s="15"/>
      <c r="I20" s="15"/>
      <c r="J20" s="15"/>
      <c r="K20" s="15"/>
      <c r="L20" s="15"/>
      <c r="M20" s="15"/>
      <c r="N20" s="15"/>
      <c r="O20" s="15"/>
      <c r="P20" s="15"/>
      <c r="Q20" s="16"/>
      <c r="R20" s="16"/>
      <c r="S20" s="16"/>
      <c r="T20" s="9">
        <f>IFERROR(ROUND((Sem[[#This Row],[Paper 1]]/$Q$2*100)*$T$2,0),"")</f>
        <v>0</v>
      </c>
      <c r="U20" s="9" t="str">
        <f>IFERROR(ROUND((Sem[[#This Row],[Paper 2]]/$R$2*100)*$U$2,0),"")</f>
        <v/>
      </c>
      <c r="V20" s="9" t="str">
        <f>IFERROR(ROUND((Sem[[#This Row],[Paper 3]]/$S$2*100)*$V$2,0),"")</f>
        <v/>
      </c>
      <c r="W20" s="8" t="str">
        <f>IFERROR(ROUND(AVERAGE(Sem[[#This Row],[Rata2 NP Mid.S]:[NP 10]]),0),"")</f>
        <v/>
      </c>
      <c r="X20" s="9" t="str">
        <f>IFERROR(IF(SUM(Sem[[#This Row],[Nilai P1]:[Nilai P3]])=0,"",SUM(Sem[[#This Row],[Nilai P1]:[Nilai P3]])),"")</f>
        <v/>
      </c>
      <c r="Y20" s="14" t="str">
        <f>IFERROR(ROUND(((Mid.S[[#This Row],[NTS]]*1)+(Sem[[#This Row],[NS]]*2)+(Sem[[#This Row],[Rata2 NP2]]*7))/10,0),"")</f>
        <v/>
      </c>
      <c r="Z20" s="11" t="str">
        <f>IF(Sem[[#This Row],[NRap.S]]="","Belum Terukur",IF(Sem[[#This Row],[NRap.S]]&gt;=92,"A",IF(Sem[[#This Row],[NRap.S]]&gt;=83,"B",IF(Sem[[#This Row],[NRap.S]]&gt;=75,"C","D"))))</f>
        <v>Belum Terukur</v>
      </c>
      <c r="AA20" s="22" t="str">
        <f t="shared" si="3"/>
        <v xml:space="preserve">Siswa menunjukkan kemampuannya namun masih memerlukan bimbingan dalam </v>
      </c>
      <c r="AC20" s="103"/>
      <c r="AD20" s="105"/>
      <c r="AE20" s="60" t="str">
        <f>IF(Sem[[#This Row],[Predikat]]="A",$AD$4,IF(Sem[[#This Row],[Predikat]]="B",$AD$5,IF(Sem[[#This Row],[Predikat]]="C",$AD$6,$AD$7)))</f>
        <v xml:space="preserve">namun masih memerlukan bimbingan </v>
      </c>
    </row>
    <row r="21" spans="1:31" ht="50.1" customHeight="1" x14ac:dyDescent="0.3">
      <c r="A21" s="69" t="str">
        <f>IF('NS (Mid.S)'!A20=0,"",'NS (Mid.S)'!A20)</f>
        <v/>
      </c>
      <c r="B21" s="70" t="str">
        <f>IF('NS (Mid.S)'!B20=0,"",'NS (Mid.S)'!B20)</f>
        <v/>
      </c>
      <c r="C21" s="69" t="str">
        <f>IF('NS (Mid.S)'!C20=0,"",'NS (Mid.S)'!C20)</f>
        <v/>
      </c>
      <c r="D21" s="69" t="str">
        <f>IF('NS (Mid.S)'!D20=0,"",'NS (Mid.S)'!D20)</f>
        <v/>
      </c>
      <c r="E21" s="69" t="str">
        <f>IF('NS (Mid.S)'!E20=0,"",'NS (Mid.S)'!E20)</f>
        <v/>
      </c>
      <c r="F21" s="20" t="str">
        <f>Mid.S[[#This Row],[Rata2 NP]]</f>
        <v/>
      </c>
      <c r="G21" s="15"/>
      <c r="H21" s="15"/>
      <c r="I21" s="15"/>
      <c r="J21" s="15"/>
      <c r="K21" s="15"/>
      <c r="L21" s="15"/>
      <c r="M21" s="15"/>
      <c r="N21" s="15"/>
      <c r="O21" s="15"/>
      <c r="P21" s="15"/>
      <c r="Q21" s="16"/>
      <c r="R21" s="16"/>
      <c r="S21" s="16"/>
      <c r="T21" s="9">
        <f>IFERROR(ROUND((Sem[[#This Row],[Paper 1]]/$Q$2*100)*$T$2,0),"")</f>
        <v>0</v>
      </c>
      <c r="U21" s="9" t="str">
        <f>IFERROR(ROUND((Sem[[#This Row],[Paper 2]]/$R$2*100)*$U$2,0),"")</f>
        <v/>
      </c>
      <c r="V21" s="9" t="str">
        <f>IFERROR(ROUND((Sem[[#This Row],[Paper 3]]/$S$2*100)*$V$2,0),"")</f>
        <v/>
      </c>
      <c r="W21" s="8" t="str">
        <f>IFERROR(ROUND(AVERAGE(Sem[[#This Row],[Rata2 NP Mid.S]:[NP 10]]),0),"")</f>
        <v/>
      </c>
      <c r="X21" s="9" t="str">
        <f>IFERROR(IF(SUM(Sem[[#This Row],[Nilai P1]:[Nilai P3]])=0,"",SUM(Sem[[#This Row],[Nilai P1]:[Nilai P3]])),"")</f>
        <v/>
      </c>
      <c r="Y21" s="14" t="str">
        <f>IFERROR(ROUND(((Mid.S[[#This Row],[NTS]]*1)+(Sem[[#This Row],[NS]]*2)+(Sem[[#This Row],[Rata2 NP2]]*7))/10,0),"")</f>
        <v/>
      </c>
      <c r="Z21" s="11" t="str">
        <f>IF(Sem[[#This Row],[NRap.S]]="","Belum Terukur",IF(Sem[[#This Row],[NRap.S]]&gt;=92,"A",IF(Sem[[#This Row],[NRap.S]]&gt;=83,"B",IF(Sem[[#This Row],[NRap.S]]&gt;=75,"C","D"))))</f>
        <v>Belum Terukur</v>
      </c>
      <c r="AA21" s="22" t="str">
        <f t="shared" si="3"/>
        <v xml:space="preserve">Siswa menunjukkan kemampuannya namun masih memerlukan bimbingan dalam </v>
      </c>
      <c r="AC21" s="103"/>
      <c r="AD21" s="105"/>
      <c r="AE21" s="60" t="str">
        <f>IF(Sem[[#This Row],[Predikat]]="A",$AD$4,IF(Sem[[#This Row],[Predikat]]="B",$AD$5,IF(Sem[[#This Row],[Predikat]]="C",$AD$6,$AD$7)))</f>
        <v xml:space="preserve">namun masih memerlukan bimbingan </v>
      </c>
    </row>
    <row r="22" spans="1:31" ht="50.1" customHeight="1" x14ac:dyDescent="0.3">
      <c r="A22" s="69" t="str">
        <f>IF('NS (Mid.S)'!A21=0,"",'NS (Mid.S)'!A21)</f>
        <v/>
      </c>
      <c r="B22" s="70" t="str">
        <f>IF('NS (Mid.S)'!B21=0,"",'NS (Mid.S)'!B21)</f>
        <v/>
      </c>
      <c r="C22" s="69" t="str">
        <f>IF('NS (Mid.S)'!C21=0,"",'NS (Mid.S)'!C21)</f>
        <v/>
      </c>
      <c r="D22" s="69" t="str">
        <f>IF('NS (Mid.S)'!D21=0,"",'NS (Mid.S)'!D21)</f>
        <v/>
      </c>
      <c r="E22" s="69" t="str">
        <f>IF('NS (Mid.S)'!E21=0,"",'NS (Mid.S)'!E21)</f>
        <v/>
      </c>
      <c r="F22" s="20" t="str">
        <f>Mid.S[[#This Row],[Rata2 NP]]</f>
        <v/>
      </c>
      <c r="G22" s="15"/>
      <c r="H22" s="15"/>
      <c r="I22" s="15"/>
      <c r="J22" s="15"/>
      <c r="K22" s="15"/>
      <c r="L22" s="15"/>
      <c r="M22" s="15"/>
      <c r="N22" s="15"/>
      <c r="O22" s="15"/>
      <c r="P22" s="15"/>
      <c r="Q22" s="16"/>
      <c r="R22" s="16"/>
      <c r="S22" s="16"/>
      <c r="T22" s="9">
        <f>IFERROR(ROUND((Sem[[#This Row],[Paper 1]]/$Q$2*100)*$T$2,0),"")</f>
        <v>0</v>
      </c>
      <c r="U22" s="9" t="str">
        <f>IFERROR(ROUND((Sem[[#This Row],[Paper 2]]/$R$2*100)*$U$2,0),"")</f>
        <v/>
      </c>
      <c r="V22" s="9" t="str">
        <f>IFERROR(ROUND((Sem[[#This Row],[Paper 3]]/$S$2*100)*$V$2,0),"")</f>
        <v/>
      </c>
      <c r="W22" s="8" t="str">
        <f>IFERROR(ROUND(AVERAGE(Sem[[#This Row],[Rata2 NP Mid.S]:[NP 10]]),0),"")</f>
        <v/>
      </c>
      <c r="X22" s="9" t="str">
        <f>IFERROR(IF(SUM(Sem[[#This Row],[Nilai P1]:[Nilai P3]])=0,"",SUM(Sem[[#This Row],[Nilai P1]:[Nilai P3]])),"")</f>
        <v/>
      </c>
      <c r="Y22" s="14" t="str">
        <f>IFERROR(ROUND(((Mid.S[[#This Row],[NTS]]*1)+(Sem[[#This Row],[NS]]*2)+(Sem[[#This Row],[Rata2 NP2]]*7))/10,0),"")</f>
        <v/>
      </c>
      <c r="Z22" s="11" t="str">
        <f>IF(Sem[[#This Row],[NRap.S]]="","Belum Terukur",IF(Sem[[#This Row],[NRap.S]]&gt;=92,"A",IF(Sem[[#This Row],[NRap.S]]&gt;=83,"B",IF(Sem[[#This Row],[NRap.S]]&gt;=75,"C","D"))))</f>
        <v>Belum Terukur</v>
      </c>
      <c r="AA22" s="22" t="str">
        <f t="shared" si="3"/>
        <v xml:space="preserve">Siswa menunjukkan kemampuannya namun masih memerlukan bimbingan dalam </v>
      </c>
      <c r="AC22" s="103"/>
      <c r="AD22" s="105"/>
      <c r="AE22" s="60" t="str">
        <f>IF(Sem[[#This Row],[Predikat]]="A",$AD$4,IF(Sem[[#This Row],[Predikat]]="B",$AD$5,IF(Sem[[#This Row],[Predikat]]="C",$AD$6,$AD$7)))</f>
        <v xml:space="preserve">namun masih memerlukan bimbingan </v>
      </c>
    </row>
    <row r="23" spans="1:31" ht="50.1" customHeight="1" x14ac:dyDescent="0.3">
      <c r="A23" s="69" t="str">
        <f>IF('NS (Mid.S)'!A22=0,"",'NS (Mid.S)'!A22)</f>
        <v/>
      </c>
      <c r="B23" s="70" t="str">
        <f>IF('NS (Mid.S)'!B22=0,"",'NS (Mid.S)'!B22)</f>
        <v/>
      </c>
      <c r="C23" s="69" t="str">
        <f>IF('NS (Mid.S)'!C22=0,"",'NS (Mid.S)'!C22)</f>
        <v/>
      </c>
      <c r="D23" s="69" t="str">
        <f>IF('NS (Mid.S)'!D22=0,"",'NS (Mid.S)'!D22)</f>
        <v/>
      </c>
      <c r="E23" s="69" t="str">
        <f>IF('NS (Mid.S)'!E22=0,"",'NS (Mid.S)'!E22)</f>
        <v/>
      </c>
      <c r="F23" s="20" t="str">
        <f>Mid.S[[#This Row],[Rata2 NP]]</f>
        <v/>
      </c>
      <c r="G23" s="15"/>
      <c r="H23" s="15"/>
      <c r="I23" s="15"/>
      <c r="J23" s="15"/>
      <c r="K23" s="15"/>
      <c r="L23" s="15"/>
      <c r="M23" s="15"/>
      <c r="N23" s="15"/>
      <c r="O23" s="15"/>
      <c r="P23" s="15"/>
      <c r="Q23" s="16"/>
      <c r="R23" s="16"/>
      <c r="S23" s="16"/>
      <c r="T23" s="9">
        <f>IFERROR(ROUND((Sem[[#This Row],[Paper 1]]/$Q$2*100)*$T$2,0),"")</f>
        <v>0</v>
      </c>
      <c r="U23" s="9" t="str">
        <f>IFERROR(ROUND((Sem[[#This Row],[Paper 2]]/$R$2*100)*$U$2,0),"")</f>
        <v/>
      </c>
      <c r="V23" s="9" t="str">
        <f>IFERROR(ROUND((Sem[[#This Row],[Paper 3]]/$S$2*100)*$V$2,0),"")</f>
        <v/>
      </c>
      <c r="W23" s="8" t="str">
        <f>IFERROR(ROUND(AVERAGE(Sem[[#This Row],[Rata2 NP Mid.S]:[NP 10]]),0),"")</f>
        <v/>
      </c>
      <c r="X23" s="9" t="str">
        <f>IFERROR(IF(SUM(Sem[[#This Row],[Nilai P1]:[Nilai P3]])=0,"",SUM(Sem[[#This Row],[Nilai P1]:[Nilai P3]])),"")</f>
        <v/>
      </c>
      <c r="Y23" s="14" t="str">
        <f>IFERROR(ROUND(((Mid.S[[#This Row],[NTS]]*1)+(Sem[[#This Row],[NS]]*2)+(Sem[[#This Row],[Rata2 NP2]]*7))/10,0),"")</f>
        <v/>
      </c>
      <c r="Z23" s="11" t="str">
        <f>IF(Sem[[#This Row],[NRap.S]]="","Belum Terukur",IF(Sem[[#This Row],[NRap.S]]&gt;=92,"A",IF(Sem[[#This Row],[NRap.S]]&gt;=83,"B",IF(Sem[[#This Row],[NRap.S]]&gt;=75,"C","D"))))</f>
        <v>Belum Terukur</v>
      </c>
      <c r="AA23" s="22" t="str">
        <f t="shared" si="3"/>
        <v xml:space="preserve">Siswa menunjukkan kemampuannya namun masih memerlukan bimbingan dalam </v>
      </c>
      <c r="AC23" s="103"/>
      <c r="AD23" s="105"/>
      <c r="AE23" s="60" t="str">
        <f>IF(Sem[[#This Row],[Predikat]]="A",$AD$4,IF(Sem[[#This Row],[Predikat]]="B",$AD$5,IF(Sem[[#This Row],[Predikat]]="C",$AD$6,$AD$7)))</f>
        <v xml:space="preserve">namun masih memerlukan bimbingan </v>
      </c>
    </row>
    <row r="24" spans="1:31" ht="50.1" customHeight="1" x14ac:dyDescent="0.3">
      <c r="A24" s="69" t="str">
        <f>IF('NS (Mid.S)'!A23=0,"",'NS (Mid.S)'!A23)</f>
        <v/>
      </c>
      <c r="B24" s="70" t="str">
        <f>IF('NS (Mid.S)'!B23=0,"",'NS (Mid.S)'!B23)</f>
        <v/>
      </c>
      <c r="C24" s="69" t="str">
        <f>IF('NS (Mid.S)'!C23=0,"",'NS (Mid.S)'!C23)</f>
        <v/>
      </c>
      <c r="D24" s="69" t="str">
        <f>IF('NS (Mid.S)'!D23=0,"",'NS (Mid.S)'!D23)</f>
        <v/>
      </c>
      <c r="E24" s="69" t="str">
        <f>IF('NS (Mid.S)'!E23=0,"",'NS (Mid.S)'!E23)</f>
        <v/>
      </c>
      <c r="F24" s="20" t="str">
        <f>Mid.S[[#This Row],[Rata2 NP]]</f>
        <v/>
      </c>
      <c r="G24" s="15"/>
      <c r="H24" s="15"/>
      <c r="I24" s="15"/>
      <c r="J24" s="15"/>
      <c r="K24" s="15"/>
      <c r="L24" s="15"/>
      <c r="M24" s="15"/>
      <c r="N24" s="15"/>
      <c r="O24" s="15"/>
      <c r="P24" s="15"/>
      <c r="Q24" s="16"/>
      <c r="R24" s="16"/>
      <c r="S24" s="16"/>
      <c r="T24" s="9">
        <f>IFERROR(ROUND((Sem[[#This Row],[Paper 1]]/$Q$2*100)*$T$2,0),"")</f>
        <v>0</v>
      </c>
      <c r="U24" s="9" t="str">
        <f>IFERROR(ROUND((Sem[[#This Row],[Paper 2]]/$R$2*100)*$U$2,0),"")</f>
        <v/>
      </c>
      <c r="V24" s="9" t="str">
        <f>IFERROR(ROUND((Sem[[#This Row],[Paper 3]]/$S$2*100)*$V$2,0),"")</f>
        <v/>
      </c>
      <c r="W24" s="8" t="str">
        <f>IFERROR(ROUND(AVERAGE(Sem[[#This Row],[Rata2 NP Mid.S]:[NP 10]]),0),"")</f>
        <v/>
      </c>
      <c r="X24" s="9" t="str">
        <f>IFERROR(IF(SUM(Sem[[#This Row],[Nilai P1]:[Nilai P3]])=0,"",SUM(Sem[[#This Row],[Nilai P1]:[Nilai P3]])),"")</f>
        <v/>
      </c>
      <c r="Y24" s="14" t="str">
        <f>IFERROR(ROUND(((Mid.S[[#This Row],[NTS]]*1)+(Sem[[#This Row],[NS]]*2)+(Sem[[#This Row],[Rata2 NP2]]*7))/10,0),"")</f>
        <v/>
      </c>
      <c r="Z24" s="11" t="str">
        <f>IF(Sem[[#This Row],[NRap.S]]="","Belum Terukur",IF(Sem[[#This Row],[NRap.S]]&gt;=92,"A",IF(Sem[[#This Row],[NRap.S]]&gt;=83,"B",IF(Sem[[#This Row],[NRap.S]]&gt;=75,"C","D"))))</f>
        <v>Belum Terukur</v>
      </c>
      <c r="AA24" s="22" t="str">
        <f t="shared" si="3"/>
        <v xml:space="preserve">Siswa menunjukkan kemampuannya namun masih memerlukan bimbingan dalam </v>
      </c>
      <c r="AC24" s="103"/>
      <c r="AD24" s="105"/>
      <c r="AE24" s="60" t="str">
        <f>IF(Sem[[#This Row],[Predikat]]="A",$AD$4,IF(Sem[[#This Row],[Predikat]]="B",$AD$5,IF(Sem[[#This Row],[Predikat]]="C",$AD$6,$AD$7)))</f>
        <v xml:space="preserve">namun masih memerlukan bimbingan </v>
      </c>
    </row>
    <row r="25" spans="1:31" ht="50.1" customHeight="1" x14ac:dyDescent="0.3">
      <c r="A25" s="69" t="str">
        <f>IF('NS (Mid.S)'!A24=0,"",'NS (Mid.S)'!A24)</f>
        <v/>
      </c>
      <c r="B25" s="70" t="str">
        <f>IF('NS (Mid.S)'!B24=0,"",'NS (Mid.S)'!B24)</f>
        <v/>
      </c>
      <c r="C25" s="69" t="str">
        <f>IF('NS (Mid.S)'!C24=0,"",'NS (Mid.S)'!C24)</f>
        <v/>
      </c>
      <c r="D25" s="69" t="str">
        <f>IF('NS (Mid.S)'!D24=0,"",'NS (Mid.S)'!D24)</f>
        <v/>
      </c>
      <c r="E25" s="69" t="str">
        <f>IF('NS (Mid.S)'!E24=0,"",'NS (Mid.S)'!E24)</f>
        <v/>
      </c>
      <c r="F25" s="20" t="str">
        <f>Mid.S[[#This Row],[Rata2 NP]]</f>
        <v/>
      </c>
      <c r="G25" s="15"/>
      <c r="H25" s="15"/>
      <c r="I25" s="15"/>
      <c r="J25" s="15"/>
      <c r="K25" s="15"/>
      <c r="L25" s="15"/>
      <c r="M25" s="15"/>
      <c r="N25" s="15"/>
      <c r="O25" s="15"/>
      <c r="P25" s="15"/>
      <c r="Q25" s="16"/>
      <c r="R25" s="16"/>
      <c r="S25" s="16"/>
      <c r="T25" s="9">
        <f>IFERROR(ROUND((Sem[[#This Row],[Paper 1]]/$Q$2*100)*$T$2,0),"")</f>
        <v>0</v>
      </c>
      <c r="U25" s="9" t="str">
        <f>IFERROR(ROUND((Sem[[#This Row],[Paper 2]]/$R$2*100)*$U$2,0),"")</f>
        <v/>
      </c>
      <c r="V25" s="9" t="str">
        <f>IFERROR(ROUND((Sem[[#This Row],[Paper 3]]/$S$2*100)*$V$2,0),"")</f>
        <v/>
      </c>
      <c r="W25" s="8" t="str">
        <f>IFERROR(ROUND(AVERAGE(Sem[[#This Row],[Rata2 NP Mid.S]:[NP 10]]),0),"")</f>
        <v/>
      </c>
      <c r="X25" s="9" t="str">
        <f>IFERROR(IF(SUM(Sem[[#This Row],[Nilai P1]:[Nilai P3]])=0,"",SUM(Sem[[#This Row],[Nilai P1]:[Nilai P3]])),"")</f>
        <v/>
      </c>
      <c r="Y25" s="14" t="str">
        <f>IFERROR(ROUND(((Mid.S[[#This Row],[NTS]]*1)+(Sem[[#This Row],[NS]]*2)+(Sem[[#This Row],[Rata2 NP2]]*7))/10,0),"")</f>
        <v/>
      </c>
      <c r="Z25" s="11" t="str">
        <f>IF(Sem[[#This Row],[NRap.S]]="","Belum Terukur",IF(Sem[[#This Row],[NRap.S]]&gt;=92,"A",IF(Sem[[#This Row],[NRap.S]]&gt;=83,"B",IF(Sem[[#This Row],[NRap.S]]&gt;=75,"C","D"))))</f>
        <v>Belum Terukur</v>
      </c>
      <c r="AA25" s="22" t="str">
        <f t="shared" si="3"/>
        <v xml:space="preserve">Siswa menunjukkan kemampuannya namun masih memerlukan bimbingan dalam </v>
      </c>
      <c r="AC25" s="103"/>
      <c r="AD25" s="105"/>
      <c r="AE25" s="60" t="str">
        <f>IF(Sem[[#This Row],[Predikat]]="A",$AD$4,IF(Sem[[#This Row],[Predikat]]="B",$AD$5,IF(Sem[[#This Row],[Predikat]]="C",$AD$6,$AD$7)))</f>
        <v xml:space="preserve">namun masih memerlukan bimbingan </v>
      </c>
    </row>
    <row r="26" spans="1:31" ht="50.1" customHeight="1" x14ac:dyDescent="0.3">
      <c r="A26" s="69" t="str">
        <f>IF('NS (Mid.S)'!A25=0,"",'NS (Mid.S)'!A25)</f>
        <v/>
      </c>
      <c r="B26" s="70" t="str">
        <f>IF('NS (Mid.S)'!B25=0,"",'NS (Mid.S)'!B25)</f>
        <v/>
      </c>
      <c r="C26" s="69" t="str">
        <f>IF('NS (Mid.S)'!C25=0,"",'NS (Mid.S)'!C25)</f>
        <v/>
      </c>
      <c r="D26" s="69" t="str">
        <f>IF('NS (Mid.S)'!D25=0,"",'NS (Mid.S)'!D25)</f>
        <v/>
      </c>
      <c r="E26" s="69" t="str">
        <f>IF('NS (Mid.S)'!E25=0,"",'NS (Mid.S)'!E25)</f>
        <v/>
      </c>
      <c r="F26" s="20" t="str">
        <f>Mid.S[[#This Row],[Rata2 NP]]</f>
        <v/>
      </c>
      <c r="G26" s="15"/>
      <c r="H26" s="15"/>
      <c r="I26" s="15"/>
      <c r="J26" s="15"/>
      <c r="K26" s="15"/>
      <c r="L26" s="15"/>
      <c r="M26" s="15"/>
      <c r="N26" s="15"/>
      <c r="O26" s="15"/>
      <c r="P26" s="15"/>
      <c r="Q26" s="16"/>
      <c r="R26" s="16"/>
      <c r="S26" s="16"/>
      <c r="T26" s="9">
        <f>IFERROR(ROUND((Sem[[#This Row],[Paper 1]]/$Q$2*100)*$T$2,0),"")</f>
        <v>0</v>
      </c>
      <c r="U26" s="9" t="str">
        <f>IFERROR(ROUND((Sem[[#This Row],[Paper 2]]/$R$2*100)*$U$2,0),"")</f>
        <v/>
      </c>
      <c r="V26" s="9" t="str">
        <f>IFERROR(ROUND((Sem[[#This Row],[Paper 3]]/$S$2*100)*$V$2,0),"")</f>
        <v/>
      </c>
      <c r="W26" s="8" t="str">
        <f>IFERROR(ROUND(AVERAGE(Sem[[#This Row],[Rata2 NP Mid.S]:[NP 10]]),0),"")</f>
        <v/>
      </c>
      <c r="X26" s="9" t="str">
        <f>IFERROR(IF(SUM(Sem[[#This Row],[Nilai P1]:[Nilai P3]])=0,"",SUM(Sem[[#This Row],[Nilai P1]:[Nilai P3]])),"")</f>
        <v/>
      </c>
      <c r="Y26" s="14" t="str">
        <f>IFERROR(ROUND(((Mid.S[[#This Row],[NTS]]*1)+(Sem[[#This Row],[NS]]*2)+(Sem[[#This Row],[Rata2 NP2]]*7))/10,0),"")</f>
        <v/>
      </c>
      <c r="Z26" s="11" t="str">
        <f>IF(Sem[[#This Row],[NRap.S]]="","Belum Terukur",IF(Sem[[#This Row],[NRap.S]]&gt;=92,"A",IF(Sem[[#This Row],[NRap.S]]&gt;=83,"B",IF(Sem[[#This Row],[NRap.S]]&gt;=75,"C","D"))))</f>
        <v>Belum Terukur</v>
      </c>
      <c r="AA26" s="22" t="str">
        <f t="shared" si="3"/>
        <v xml:space="preserve">Siswa menunjukkan kemampuannya namun masih memerlukan bimbingan dalam </v>
      </c>
      <c r="AC26" s="103"/>
      <c r="AD26" s="105"/>
      <c r="AE26" s="60" t="str">
        <f>IF(Sem[[#This Row],[Predikat]]="A",$AD$4,IF(Sem[[#This Row],[Predikat]]="B",$AD$5,IF(Sem[[#This Row],[Predikat]]="C",$AD$6,$AD$7)))</f>
        <v xml:space="preserve">namun masih memerlukan bimbingan </v>
      </c>
    </row>
    <row r="27" spans="1:31" ht="50.1" customHeight="1" x14ac:dyDescent="0.3">
      <c r="A27" s="69" t="str">
        <f>IF('NS (Mid.S)'!A26=0,"",'NS (Mid.S)'!A26)</f>
        <v/>
      </c>
      <c r="B27" s="70" t="str">
        <f>IF('NS (Mid.S)'!B26=0,"",'NS (Mid.S)'!B26)</f>
        <v/>
      </c>
      <c r="C27" s="69" t="str">
        <f>IF('NS (Mid.S)'!C26=0,"",'NS (Mid.S)'!C26)</f>
        <v/>
      </c>
      <c r="D27" s="69" t="str">
        <f>IF('NS (Mid.S)'!D26=0,"",'NS (Mid.S)'!D26)</f>
        <v/>
      </c>
      <c r="E27" s="69" t="str">
        <f>IF('NS (Mid.S)'!E26=0,"",'NS (Mid.S)'!E26)</f>
        <v/>
      </c>
      <c r="F27" s="20" t="str">
        <f>Mid.S[[#This Row],[Rata2 NP]]</f>
        <v/>
      </c>
      <c r="G27" s="15"/>
      <c r="H27" s="15"/>
      <c r="I27" s="15"/>
      <c r="J27" s="15"/>
      <c r="K27" s="15"/>
      <c r="L27" s="15"/>
      <c r="M27" s="15"/>
      <c r="N27" s="15"/>
      <c r="O27" s="15"/>
      <c r="P27" s="15"/>
      <c r="Q27" s="16"/>
      <c r="R27" s="16"/>
      <c r="S27" s="16"/>
      <c r="T27" s="9">
        <f>IFERROR(ROUND((Sem[[#This Row],[Paper 1]]/$Q$2*100)*$T$2,0),"")</f>
        <v>0</v>
      </c>
      <c r="U27" s="9" t="str">
        <f>IFERROR(ROUND((Sem[[#This Row],[Paper 2]]/$R$2*100)*$U$2,0),"")</f>
        <v/>
      </c>
      <c r="V27" s="9" t="str">
        <f>IFERROR(ROUND((Sem[[#This Row],[Paper 3]]/$S$2*100)*$V$2,0),"")</f>
        <v/>
      </c>
      <c r="W27" s="8" t="str">
        <f>IFERROR(ROUND(AVERAGE(Sem[[#This Row],[Rata2 NP Mid.S]:[NP 10]]),0),"")</f>
        <v/>
      </c>
      <c r="X27" s="9" t="str">
        <f>IFERROR(IF(SUM(Sem[[#This Row],[Nilai P1]:[Nilai P3]])=0,"",SUM(Sem[[#This Row],[Nilai P1]:[Nilai P3]])),"")</f>
        <v/>
      </c>
      <c r="Y27" s="14" t="str">
        <f>IFERROR(ROUND(((Mid.S[[#This Row],[NTS]]*1)+(Sem[[#This Row],[NS]]*2)+(Sem[[#This Row],[Rata2 NP2]]*7))/10,0),"")</f>
        <v/>
      </c>
      <c r="Z27" s="11" t="str">
        <f>IF(Sem[[#This Row],[NRap.S]]="","Belum Terukur",IF(Sem[[#This Row],[NRap.S]]&gt;=92,"A",IF(Sem[[#This Row],[NRap.S]]&gt;=83,"B",IF(Sem[[#This Row],[NRap.S]]&gt;=75,"C","D"))))</f>
        <v>Belum Terukur</v>
      </c>
      <c r="AA27" s="22" t="str">
        <f t="shared" si="3"/>
        <v xml:space="preserve">Siswa menunjukkan kemampuannya namun masih memerlukan bimbingan dalam </v>
      </c>
      <c r="AC27" s="103"/>
      <c r="AD27" s="105"/>
      <c r="AE27" s="60" t="str">
        <f>IF(Sem[[#This Row],[Predikat]]="A",$AD$4,IF(Sem[[#This Row],[Predikat]]="B",$AD$5,IF(Sem[[#This Row],[Predikat]]="C",$AD$6,$AD$7)))</f>
        <v xml:space="preserve">namun masih memerlukan bimbingan </v>
      </c>
    </row>
    <row r="28" spans="1:31" ht="50.1" customHeight="1" x14ac:dyDescent="0.3">
      <c r="A28" s="69" t="str">
        <f>IF('NS (Mid.S)'!A27=0,"",'NS (Mid.S)'!A27)</f>
        <v/>
      </c>
      <c r="B28" s="70" t="str">
        <f>IF('NS (Mid.S)'!B27=0,"",'NS (Mid.S)'!B27)</f>
        <v/>
      </c>
      <c r="C28" s="69" t="str">
        <f>IF('NS (Mid.S)'!C27=0,"",'NS (Mid.S)'!C27)</f>
        <v/>
      </c>
      <c r="D28" s="69" t="str">
        <f>IF('NS (Mid.S)'!D27=0,"",'NS (Mid.S)'!D27)</f>
        <v/>
      </c>
      <c r="E28" s="69" t="str">
        <f>IF('NS (Mid.S)'!E27=0,"",'NS (Mid.S)'!E27)</f>
        <v/>
      </c>
      <c r="F28" s="20" t="str">
        <f>Mid.S[[#This Row],[Rata2 NP]]</f>
        <v/>
      </c>
      <c r="G28" s="15"/>
      <c r="H28" s="15"/>
      <c r="I28" s="15"/>
      <c r="J28" s="15"/>
      <c r="K28" s="15"/>
      <c r="L28" s="15"/>
      <c r="M28" s="15"/>
      <c r="N28" s="15"/>
      <c r="O28" s="15"/>
      <c r="P28" s="15"/>
      <c r="Q28" s="16"/>
      <c r="R28" s="16"/>
      <c r="S28" s="16"/>
      <c r="T28" s="9">
        <f>IFERROR(ROUND((Sem[[#This Row],[Paper 1]]/$Q$2*100)*$T$2,0),"")</f>
        <v>0</v>
      </c>
      <c r="U28" s="9" t="str">
        <f>IFERROR(ROUND((Sem[[#This Row],[Paper 2]]/$R$2*100)*$U$2,0),"")</f>
        <v/>
      </c>
      <c r="V28" s="9" t="str">
        <f>IFERROR(ROUND((Sem[[#This Row],[Paper 3]]/$S$2*100)*$V$2,0),"")</f>
        <v/>
      </c>
      <c r="W28" s="8" t="str">
        <f>IFERROR(ROUND(AVERAGE(Sem[[#This Row],[Rata2 NP Mid.S]:[NP 10]]),0),"")</f>
        <v/>
      </c>
      <c r="X28" s="9" t="str">
        <f>IFERROR(IF(SUM(Sem[[#This Row],[Nilai P1]:[Nilai P3]])=0,"",SUM(Sem[[#This Row],[Nilai P1]:[Nilai P3]])),"")</f>
        <v/>
      </c>
      <c r="Y28" s="14" t="str">
        <f>IFERROR(ROUND(((Mid.S[[#This Row],[NTS]]*1)+(Sem[[#This Row],[NS]]*2)+(Sem[[#This Row],[Rata2 NP2]]*7))/10,0),"")</f>
        <v/>
      </c>
      <c r="Z28" s="11" t="str">
        <f>IF(Sem[[#This Row],[NRap.S]]="","Belum Terukur",IF(Sem[[#This Row],[NRap.S]]&gt;=92,"A",IF(Sem[[#This Row],[NRap.S]]&gt;=83,"B",IF(Sem[[#This Row],[NRap.S]]&gt;=75,"C","D"))))</f>
        <v>Belum Terukur</v>
      </c>
      <c r="AA28" s="22" t="str">
        <f t="shared" si="3"/>
        <v xml:space="preserve">Siswa menunjukkan kemampuannya namun masih memerlukan bimbingan dalam </v>
      </c>
      <c r="AC28" s="103"/>
      <c r="AD28" s="106"/>
      <c r="AE28" s="60" t="str">
        <f>IF(Sem[[#This Row],[Predikat]]="A",$AD$4,IF(Sem[[#This Row],[Predikat]]="B",$AD$5,IF(Sem[[#This Row],[Predikat]]="C",$AD$6,$AD$7)))</f>
        <v xml:space="preserve">namun masih memerlukan bimbingan </v>
      </c>
    </row>
  </sheetData>
  <sheetProtection selectLockedCells="1"/>
  <mergeCells count="5">
    <mergeCell ref="Q1:V1"/>
    <mergeCell ref="G2:P2"/>
    <mergeCell ref="W2:Z2"/>
    <mergeCell ref="AC4:AC28"/>
    <mergeCell ref="AD8:AD28"/>
  </mergeCells>
  <phoneticPr fontId="5" type="noConversion"/>
  <conditionalFormatting sqref="A4:E28">
    <cfRule type="notContainsBlanks" dxfId="57" priority="1">
      <formula>LEN(TRIM(A4))&gt;0</formula>
    </cfRule>
  </conditionalFormatting>
  <conditionalFormatting sqref="F4:Y28">
    <cfRule type="iconSet" priority="2">
      <iconSet>
        <cfvo type="percent" val="0"/>
        <cfvo type="num" val="50"/>
        <cfvo type="num" val="70"/>
      </iconSet>
    </cfRule>
  </conditionalFormatting>
  <dataValidations count="9">
    <dataValidation type="whole" operator="lessThanOrEqual" allowBlank="1" showInputMessage="1" showErrorMessage="1" sqref="S4:S28" xr:uid="{AEA02DB2-00D0-47D3-932A-943D21350199}">
      <formula1>$S$2</formula1>
    </dataValidation>
    <dataValidation type="whole" operator="lessThanOrEqual" allowBlank="1" showInputMessage="1" showErrorMessage="1" sqref="R4:R28" xr:uid="{AB365A0C-DB04-4460-8F2E-23B85FE48D0A}">
      <formula1>$R$2</formula1>
    </dataValidation>
    <dataValidation type="whole" operator="lessThanOrEqual" allowBlank="1" showInputMessage="1" showErrorMessage="1" sqref="Q14:Q28" xr:uid="{95E10482-1430-42ED-B087-496CE91A9847}">
      <formula1>$Q$2</formula1>
    </dataValidation>
    <dataValidation allowBlank="1" showInputMessage="1" showErrorMessage="1" prompt="Rata-Rata Tengah/Mid Semester untuk Nilai Pengetahuan" sqref="F4:F28" xr:uid="{72997030-AC10-425B-A2EC-8711406062D1}"/>
    <dataValidation allowBlank="1" showInputMessage="1" showErrorMessage="1" prompt="Rata-Rata Nilai Pengetahuan Semester" sqref="W4:W28" xr:uid="{766F6767-5145-4693-8B4D-5E97D738AB95}"/>
    <dataValidation allowBlank="1" showInputMessage="1" showErrorMessage="1" prompt="Nilai Ujian Pengetahuan dari Paper 1, 2, dan 3" sqref="X4:X28" xr:uid="{8C49A3C2-3C41-4370-AACF-770AAA623E70}"/>
    <dataValidation allowBlank="1" showInputMessage="1" showErrorMessage="1" prompt="Nilai Pengetahuan untuk Raport di Akhir Semester" sqref="Y4:AA28" xr:uid="{F4A10425-4113-4726-B795-617A700E012F}"/>
    <dataValidation allowBlank="1" showInputMessage="1" showErrorMessage="1" prompt="Isilah dengan KD yang diajarkan di semester ini dengan diawali kata kerja yang ingin dicapai untuk siswa/peserta didik" sqref="AC4:AC28" xr:uid="{8E8AE21B-7334-4979-8148-ED4F1EF2F08B}"/>
    <dataValidation allowBlank="1" showInputMessage="1" showErrorMessage="1" prompt="Nilai Konversi yang diambil dari Predikat A, B, C, atau D" sqref="AE4:AE28" xr:uid="{5209981E-D4CE-40E1-AA49-A9CCCC942EF7}"/>
  </dataValidations>
  <pageMargins left="0.7" right="0.7" top="0.75" bottom="0.75" header="0.3" footer="0.3"/>
  <pageSetup orientation="portrait" horizontalDpi="360" verticalDpi="36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FBDBF-CD2D-4B52-9BF8-24E6ED67E223}">
  <sheetPr>
    <tabColor theme="3"/>
  </sheetPr>
  <dimension ref="A1:W27"/>
  <sheetViews>
    <sheetView showGridLines="0" topLeftCell="A4" zoomScale="85" zoomScaleNormal="85" workbookViewId="0">
      <selection activeCell="G4" sqref="G4"/>
    </sheetView>
  </sheetViews>
  <sheetFormatPr defaultColWidth="9.21875" defaultRowHeight="14.4" x14ac:dyDescent="0.3"/>
  <cols>
    <col min="1" max="1" width="8.21875" style="3" bestFit="1" customWidth="1"/>
    <col min="2" max="2" width="50.77734375" style="3" customWidth="1"/>
    <col min="3" max="5" width="20.77734375" style="3" customWidth="1"/>
    <col min="6" max="6" width="17.77734375" style="3" bestFit="1" customWidth="1"/>
    <col min="7" max="15" width="9.5546875" style="3" bestFit="1" customWidth="1"/>
    <col min="16" max="16" width="10.5546875" style="3" bestFit="1" customWidth="1"/>
    <col min="17" max="18" width="17.44140625" style="3" customWidth="1"/>
    <col min="19" max="19" width="73.77734375" style="3" customWidth="1"/>
    <col min="20" max="20" width="9.21875" style="3"/>
    <col min="21" max="21" width="50.77734375" style="55" customWidth="1"/>
    <col min="22" max="23" width="37.77734375" style="54" hidden="1" customWidth="1"/>
    <col min="24" max="16384" width="9.21875" style="3"/>
  </cols>
  <sheetData>
    <row r="1" spans="1:23" x14ac:dyDescent="0.3">
      <c r="A1" s="79"/>
      <c r="B1" s="79"/>
      <c r="C1" s="79"/>
      <c r="D1" s="79"/>
      <c r="E1" s="79"/>
      <c r="F1" s="79"/>
      <c r="G1" s="99" t="s">
        <v>126</v>
      </c>
      <c r="H1" s="99"/>
      <c r="I1" s="99"/>
      <c r="J1" s="99"/>
      <c r="K1" s="99"/>
      <c r="L1" s="99"/>
      <c r="M1" s="99"/>
      <c r="N1" s="99"/>
      <c r="O1" s="99"/>
      <c r="P1" s="99"/>
      <c r="Q1" s="99" t="s">
        <v>105</v>
      </c>
      <c r="R1" s="99"/>
    </row>
    <row r="2" spans="1:23" x14ac:dyDescent="0.3">
      <c r="A2" s="1" t="s">
        <v>31</v>
      </c>
      <c r="B2" s="2" t="s">
        <v>32</v>
      </c>
      <c r="C2" s="2" t="s">
        <v>33</v>
      </c>
      <c r="D2" s="2" t="s">
        <v>34</v>
      </c>
      <c r="E2" s="80" t="s">
        <v>35</v>
      </c>
      <c r="F2" s="19" t="s">
        <v>155</v>
      </c>
      <c r="G2" s="4" t="s">
        <v>127</v>
      </c>
      <c r="H2" s="4" t="s">
        <v>128</v>
      </c>
      <c r="I2" s="4" t="s">
        <v>129</v>
      </c>
      <c r="J2" s="4" t="s">
        <v>130</v>
      </c>
      <c r="K2" s="4" t="s">
        <v>131</v>
      </c>
      <c r="L2" s="4" t="s">
        <v>132</v>
      </c>
      <c r="M2" s="4" t="s">
        <v>133</v>
      </c>
      <c r="N2" s="4" t="s">
        <v>134</v>
      </c>
      <c r="O2" s="4" t="s">
        <v>135</v>
      </c>
      <c r="P2" s="4" t="s">
        <v>136</v>
      </c>
      <c r="Q2" s="42" t="s">
        <v>137</v>
      </c>
      <c r="R2" s="7" t="s">
        <v>125</v>
      </c>
      <c r="S2" s="21" t="s">
        <v>147</v>
      </c>
      <c r="U2" s="56" t="s">
        <v>148</v>
      </c>
      <c r="V2" s="58" t="s">
        <v>149</v>
      </c>
      <c r="W2" s="57" t="s">
        <v>150</v>
      </c>
    </row>
    <row r="3" spans="1:23" ht="50.1" customHeight="1" x14ac:dyDescent="0.3">
      <c r="A3" s="10">
        <f>IF(NSi.TS[[#This Row],[No]]=0,"",NSi.TS[[#This Row],[No]])</f>
        <v>1</v>
      </c>
      <c r="B3" s="49" t="str">
        <f>IF(NSi.TS[[#This Row],[Nama Siswa]]=0,"",NSi.TS[[#This Row],[Nama Siswa]])</f>
        <v>Aditya Krisna</v>
      </c>
      <c r="C3" s="10" t="str">
        <f>IF(NSi.TS[[#This Row],[Nomor Induk]]=0,"",NSi.TS[[#This Row],[Nomor Induk]])</f>
        <v>1/HBICSHIGH/20</v>
      </c>
      <c r="D3" s="10">
        <f>IF(NSi.TS[[#This Row],[NISN]]=0,"",NSi.TS[[#This Row],[NISN]])</f>
        <v>16863262</v>
      </c>
      <c r="E3" s="10" t="str">
        <f>IF(NSi.TS[[#This Row],[Jurusan]]=0,"",NSi.TS[[#This Row],[Jurusan]])</f>
        <v>IPA</v>
      </c>
      <c r="F3" s="43">
        <f ca="1">K.Mid.S[[#This Row],[Rata2 NK]]</f>
        <v>89</v>
      </c>
      <c r="G3" s="15">
        <f ca="1">RANDBETWEEN(75, 100)</f>
        <v>75</v>
      </c>
      <c r="H3" s="15">
        <f t="shared" ref="H3:P12" ca="1" si="0">RANDBETWEEN(75, 100)</f>
        <v>80</v>
      </c>
      <c r="I3" s="15">
        <f t="shared" ca="1" si="0"/>
        <v>97</v>
      </c>
      <c r="J3" s="15">
        <f t="shared" ca="1" si="0"/>
        <v>99</v>
      </c>
      <c r="K3" s="15">
        <f t="shared" ca="1" si="0"/>
        <v>85</v>
      </c>
      <c r="L3" s="15">
        <f t="shared" ca="1" si="0"/>
        <v>75</v>
      </c>
      <c r="M3" s="15">
        <f t="shared" ca="1" si="0"/>
        <v>88</v>
      </c>
      <c r="N3" s="15">
        <f t="shared" ca="1" si="0"/>
        <v>86</v>
      </c>
      <c r="O3" s="15">
        <f t="shared" ca="1" si="0"/>
        <v>84</v>
      </c>
      <c r="P3" s="15">
        <f t="shared" ca="1" si="0"/>
        <v>85</v>
      </c>
      <c r="Q3" s="20">
        <f ca="1">IFERROR(ROUND(AVERAGE(K.Sem[[#This Row],[Rata2 Mid.NK]:[NK 10]]),0),"")</f>
        <v>86</v>
      </c>
      <c r="R3" s="11" t="str">
        <f ca="1">IF(K.Sem[[#This Row],[Rata2 NK]]="","Belum Terukur",IF(K.Sem[[#This Row],[Rata2 NK]]&gt;=92,"A",IF(K.Sem[[#This Row],[Rata2 NK]]&gt;=83,"B",IF(K.Sem[[#This Row],[Rata2 NK]]&gt;=75,"C","D"))))</f>
        <v>B</v>
      </c>
      <c r="S3" s="61" t="str">
        <f ca="1">CONCATENATE("Siswa menunjukkan kemampuannya ",W3,"dalam ",$AC$4)</f>
        <v xml:space="preserve">Siswa menunjukkan kemampuannya baik dalam </v>
      </c>
      <c r="U3" s="103"/>
      <c r="V3" s="59" t="s">
        <v>151</v>
      </c>
      <c r="W3" s="60" t="str">
        <f ca="1">IF(K.Sem[[#This Row],[Predikat]]="A",$V$3,IF(K.Sem[[#This Row],[Predikat]]="B",$V$4,IF(K.Sem[[#This Row],[Predikat]]="C",$V$5,$V$6)))</f>
        <v xml:space="preserve">baik </v>
      </c>
    </row>
    <row r="4" spans="1:23" ht="50.1" customHeight="1" x14ac:dyDescent="0.3">
      <c r="A4" s="10">
        <f>IF(NSi.TS[[#This Row],[No]]=0,"",NSi.TS[[#This Row],[No]])</f>
        <v>2</v>
      </c>
      <c r="B4" s="49" t="str">
        <f>IF(NSi.TS[[#This Row],[Nama Siswa]]=0,"",NSi.TS[[#This Row],[Nama Siswa]])</f>
        <v>Anwar Setiawan</v>
      </c>
      <c r="C4" s="10" t="str">
        <f>IF(NSi.TS[[#This Row],[Nomor Induk]]=0,"",NSi.TS[[#This Row],[Nomor Induk]])</f>
        <v>2/HBICSHIGH/20</v>
      </c>
      <c r="D4" s="10">
        <f>IF(NSi.TS[[#This Row],[NISN]]=0,"",NSi.TS[[#This Row],[NISN]])</f>
        <v>24306262</v>
      </c>
      <c r="E4" s="10" t="str">
        <f>IF(NSi.TS[[#This Row],[Jurusan]]=0,"",NSi.TS[[#This Row],[Jurusan]])</f>
        <v>IPS</v>
      </c>
      <c r="F4" s="43">
        <f ca="1">K.Mid.S[[#This Row],[Rata2 NK]]</f>
        <v>88</v>
      </c>
      <c r="G4" s="15">
        <f t="shared" ref="G4:G12" ca="1" si="1">RANDBETWEEN(75, 100)</f>
        <v>96</v>
      </c>
      <c r="H4" s="15">
        <f t="shared" ca="1" si="0"/>
        <v>91</v>
      </c>
      <c r="I4" s="15">
        <f t="shared" ca="1" si="0"/>
        <v>100</v>
      </c>
      <c r="J4" s="15">
        <f t="shared" ca="1" si="0"/>
        <v>80</v>
      </c>
      <c r="K4" s="15">
        <f t="shared" ca="1" si="0"/>
        <v>92</v>
      </c>
      <c r="L4" s="15">
        <f t="shared" ca="1" si="0"/>
        <v>79</v>
      </c>
      <c r="M4" s="15">
        <f t="shared" ca="1" si="0"/>
        <v>89</v>
      </c>
      <c r="N4" s="15">
        <f t="shared" ca="1" si="0"/>
        <v>92</v>
      </c>
      <c r="O4" s="15">
        <f t="shared" ca="1" si="0"/>
        <v>93</v>
      </c>
      <c r="P4" s="15">
        <f t="shared" ca="1" si="0"/>
        <v>99</v>
      </c>
      <c r="Q4" s="20">
        <f ca="1">IFERROR(ROUND(AVERAGE(K.Sem[[#This Row],[Rata2 Mid.NK]:[NK 10]]),0),"")</f>
        <v>91</v>
      </c>
      <c r="R4" s="11" t="str">
        <f ca="1">IF(K.Sem[[#This Row],[Rata2 NK]]="","Belum Terukur",IF(K.Sem[[#This Row],[Rata2 NK]]&gt;=92,"A",IF(K.Sem[[#This Row],[Rata2 NK]]&gt;=83,"B",IF(K.Sem[[#This Row],[Rata2 NK]]&gt;=75,"C","D"))))</f>
        <v>B</v>
      </c>
      <c r="S4" s="22" t="str">
        <f ca="1">CONCATENATE("Siswa menunjukkan kemampuannya ",W4,"dalam ",$AC$4)</f>
        <v xml:space="preserve">Siswa menunjukkan kemampuannya baik dalam </v>
      </c>
      <c r="U4" s="103"/>
      <c r="V4" s="59" t="s">
        <v>152</v>
      </c>
      <c r="W4" s="60" t="str">
        <f ca="1">IF(K.Sem[[#This Row],[Predikat]]="A",$V$3,IF(K.Sem[[#This Row],[Predikat]]="B",$V$4,IF(K.Sem[[#This Row],[Predikat]]="C",$V$5,$V$6)))</f>
        <v xml:space="preserve">baik </v>
      </c>
    </row>
    <row r="5" spans="1:23" ht="50.1" customHeight="1" x14ac:dyDescent="0.3">
      <c r="A5" s="10">
        <f>IF(NSi.TS[[#This Row],[No]]=0,"",NSi.TS[[#This Row],[No]])</f>
        <v>3</v>
      </c>
      <c r="B5" s="49" t="str">
        <f>IF(NSi.TS[[#This Row],[Nama Siswa]]=0,"",NSi.TS[[#This Row],[Nama Siswa]])</f>
        <v>Bima Citra</v>
      </c>
      <c r="C5" s="10" t="str">
        <f>IF(NSi.TS[[#This Row],[Nomor Induk]]=0,"",NSi.TS[[#This Row],[Nomor Induk]])</f>
        <v>3/HBICSHIGH/20</v>
      </c>
      <c r="D5" s="10">
        <f>IF(NSi.TS[[#This Row],[NISN]]=0,"",NSi.TS[[#This Row],[NISN]])</f>
        <v>16863262</v>
      </c>
      <c r="E5" s="10" t="str">
        <f>IF(NSi.TS[[#This Row],[Jurusan]]=0,"",NSi.TS[[#This Row],[Jurusan]])</f>
        <v>IPS</v>
      </c>
      <c r="F5" s="43">
        <f ca="1">K.Mid.S[[#This Row],[Rata2 NK]]</f>
        <v>86</v>
      </c>
      <c r="G5" s="15">
        <f t="shared" ca="1" si="1"/>
        <v>79</v>
      </c>
      <c r="H5" s="15">
        <f t="shared" ca="1" si="0"/>
        <v>90</v>
      </c>
      <c r="I5" s="15">
        <f t="shared" ca="1" si="0"/>
        <v>76</v>
      </c>
      <c r="J5" s="15">
        <f t="shared" ca="1" si="0"/>
        <v>98</v>
      </c>
      <c r="K5" s="15">
        <f t="shared" ca="1" si="0"/>
        <v>75</v>
      </c>
      <c r="L5" s="15">
        <f t="shared" ca="1" si="0"/>
        <v>85</v>
      </c>
      <c r="M5" s="15">
        <f t="shared" ca="1" si="0"/>
        <v>84</v>
      </c>
      <c r="N5" s="15">
        <f t="shared" ca="1" si="0"/>
        <v>83</v>
      </c>
      <c r="O5" s="15">
        <f t="shared" ca="1" si="0"/>
        <v>91</v>
      </c>
      <c r="P5" s="15">
        <f t="shared" ca="1" si="0"/>
        <v>85</v>
      </c>
      <c r="Q5" s="20">
        <f ca="1">IFERROR(ROUND(AVERAGE(K.Sem[[#This Row],[Rata2 Mid.NK]:[NK 10]]),0),"")</f>
        <v>85</v>
      </c>
      <c r="R5" s="11" t="str">
        <f ca="1">IF(K.Sem[[#This Row],[Rata2 NK]]="","Belum Terukur",IF(K.Sem[[#This Row],[Rata2 NK]]&gt;=92,"A",IF(K.Sem[[#This Row],[Rata2 NK]]&gt;=83,"B",IF(K.Sem[[#This Row],[Rata2 NK]]&gt;=75,"C","D"))))</f>
        <v>B</v>
      </c>
      <c r="S5" s="61" t="str">
        <f ca="1">CONCATENATE("Siswa menunjukkan kemampuannya ",W5,"dalam ",$AC$4)</f>
        <v xml:space="preserve">Siswa menunjukkan kemampuannya baik dalam </v>
      </c>
      <c r="U5" s="103"/>
      <c r="V5" s="59" t="s">
        <v>153</v>
      </c>
      <c r="W5" s="60" t="str">
        <f ca="1">IF(K.Sem[[#This Row],[Predikat]]="A",$V$3,IF(K.Sem[[#This Row],[Predikat]]="B",$V$4,IF(K.Sem[[#This Row],[Predikat]]="C",$V$5,$V$6)))</f>
        <v xml:space="preserve">baik </v>
      </c>
    </row>
    <row r="6" spans="1:23" ht="50.1" customHeight="1" x14ac:dyDescent="0.3">
      <c r="A6" s="10">
        <f>IF(NSi.TS[[#This Row],[No]]=0,"",NSi.TS[[#This Row],[No]])</f>
        <v>4</v>
      </c>
      <c r="B6" s="49" t="str">
        <f>IF(NSi.TS[[#This Row],[Nama Siswa]]=0,"",NSi.TS[[#This Row],[Nama Siswa]])</f>
        <v>Hadijah Tirta</v>
      </c>
      <c r="C6" s="10" t="str">
        <f>IF(NSi.TS[[#This Row],[Nomor Induk]]=0,"",NSi.TS[[#This Row],[Nomor Induk]])</f>
        <v>4/HBICSHIGH/20</v>
      </c>
      <c r="D6" s="10">
        <f>IF(NSi.TS[[#This Row],[NISN]]=0,"",NSi.TS[[#This Row],[NISN]])</f>
        <v>5033631</v>
      </c>
      <c r="E6" s="10" t="str">
        <f>IF(NSi.TS[[#This Row],[Jurusan]]=0,"",NSi.TS[[#This Row],[Jurusan]])</f>
        <v>IPA</v>
      </c>
      <c r="F6" s="43">
        <f ca="1">K.Mid.S[[#This Row],[Rata2 NK]]</f>
        <v>88</v>
      </c>
      <c r="G6" s="15">
        <f t="shared" ca="1" si="1"/>
        <v>82</v>
      </c>
      <c r="H6" s="15">
        <f t="shared" ca="1" si="0"/>
        <v>93</v>
      </c>
      <c r="I6" s="15">
        <f t="shared" ca="1" si="0"/>
        <v>94</v>
      </c>
      <c r="J6" s="15">
        <f t="shared" ca="1" si="0"/>
        <v>83</v>
      </c>
      <c r="K6" s="15">
        <f t="shared" ca="1" si="0"/>
        <v>75</v>
      </c>
      <c r="L6" s="15">
        <f t="shared" ca="1" si="0"/>
        <v>87</v>
      </c>
      <c r="M6" s="15">
        <f t="shared" ca="1" si="0"/>
        <v>95</v>
      </c>
      <c r="N6" s="15">
        <f t="shared" ca="1" si="0"/>
        <v>95</v>
      </c>
      <c r="O6" s="15">
        <f t="shared" ca="1" si="0"/>
        <v>79</v>
      </c>
      <c r="P6" s="15">
        <f t="shared" ca="1" si="0"/>
        <v>97</v>
      </c>
      <c r="Q6" s="20">
        <f ca="1">IFERROR(ROUND(AVERAGE(K.Sem[[#This Row],[Rata2 Mid.NK]:[NK 10]]),0),"")</f>
        <v>88</v>
      </c>
      <c r="R6" s="11" t="str">
        <f ca="1">IF(K.Sem[[#This Row],[Rata2 NK]]="","Belum Terukur",IF(K.Sem[[#This Row],[Rata2 NK]]&gt;=92,"A",IF(K.Sem[[#This Row],[Rata2 NK]]&gt;=83,"B",IF(K.Sem[[#This Row],[Rata2 NK]]&gt;=75,"C","D"))))</f>
        <v>B</v>
      </c>
      <c r="S6" s="61" t="str">
        <f t="shared" ref="S6:S27" ca="1" si="2">CONCATENATE("Siswa menunjukkan kemampuannya ",W6,"dalam ",$AC$4)</f>
        <v xml:space="preserve">Siswa menunjukkan kemampuannya baik dalam </v>
      </c>
      <c r="U6" s="103"/>
      <c r="V6" s="59" t="s">
        <v>154</v>
      </c>
      <c r="W6" s="60" t="str">
        <f ca="1">IF(K.Sem[[#This Row],[Predikat]]="A",$V$3,IF(K.Sem[[#This Row],[Predikat]]="B",$V$4,IF(K.Sem[[#This Row],[Predikat]]="C",$V$5,$V$6)))</f>
        <v xml:space="preserve">baik </v>
      </c>
    </row>
    <row r="7" spans="1:23" ht="50.1" customHeight="1" x14ac:dyDescent="0.3">
      <c r="A7" s="10">
        <f>IF(NSi.TS[[#This Row],[No]]=0,"",NSi.TS[[#This Row],[No]])</f>
        <v>5</v>
      </c>
      <c r="B7" s="49" t="str">
        <f>IF(NSi.TS[[#This Row],[Nama Siswa]]=0,"",NSi.TS[[#This Row],[Nama Siswa]])</f>
        <v>Harun Amir</v>
      </c>
      <c r="C7" s="10" t="str">
        <f>IF(NSi.TS[[#This Row],[Nomor Induk]]=0,"",NSi.TS[[#This Row],[Nomor Induk]])</f>
        <v>5/HBICSHIGH/20</v>
      </c>
      <c r="D7" s="10">
        <f>IF(NSi.TS[[#This Row],[NISN]]=0,"",NSi.TS[[#This Row],[NISN]])</f>
        <v>25175565</v>
      </c>
      <c r="E7" s="10" t="str">
        <f>IF(NSi.TS[[#This Row],[Jurusan]]=0,"",NSi.TS[[#This Row],[Jurusan]])</f>
        <v>IPA</v>
      </c>
      <c r="F7" s="43">
        <f ca="1">K.Mid.S[[#This Row],[Rata2 NK]]</f>
        <v>88</v>
      </c>
      <c r="G7" s="15">
        <f t="shared" ca="1" si="1"/>
        <v>81</v>
      </c>
      <c r="H7" s="15">
        <f t="shared" ca="1" si="0"/>
        <v>82</v>
      </c>
      <c r="I7" s="15">
        <f t="shared" ca="1" si="0"/>
        <v>89</v>
      </c>
      <c r="J7" s="15">
        <f t="shared" ca="1" si="0"/>
        <v>78</v>
      </c>
      <c r="K7" s="15">
        <f t="shared" ca="1" si="0"/>
        <v>83</v>
      </c>
      <c r="L7" s="15">
        <f t="shared" ca="1" si="0"/>
        <v>76</v>
      </c>
      <c r="M7" s="15">
        <f t="shared" ca="1" si="0"/>
        <v>84</v>
      </c>
      <c r="N7" s="15">
        <f t="shared" ca="1" si="0"/>
        <v>79</v>
      </c>
      <c r="O7" s="15">
        <f t="shared" ca="1" si="0"/>
        <v>77</v>
      </c>
      <c r="P7" s="15">
        <f t="shared" ca="1" si="0"/>
        <v>81</v>
      </c>
      <c r="Q7" s="20">
        <f ca="1">IFERROR(ROUND(AVERAGE(K.Sem[[#This Row],[Rata2 Mid.NK]:[NK 10]]),0),"")</f>
        <v>82</v>
      </c>
      <c r="R7" s="11" t="str">
        <f ca="1">IF(K.Sem[[#This Row],[Rata2 NK]]="","Belum Terukur",IF(K.Sem[[#This Row],[Rata2 NK]]&gt;=92,"A",IF(K.Sem[[#This Row],[Rata2 NK]]&gt;=83,"B",IF(K.Sem[[#This Row],[Rata2 NK]]&gt;=75,"C","D"))))</f>
        <v>C</v>
      </c>
      <c r="S7" s="61" t="str">
        <f t="shared" ca="1" si="2"/>
        <v xml:space="preserve">Siswa menunjukkan kemampuannya cukup baik dalam </v>
      </c>
      <c r="U7" s="103"/>
      <c r="V7" s="104"/>
      <c r="W7" s="60" t="str">
        <f ca="1">IF(K.Sem[[#This Row],[Predikat]]="A",$V$3,IF(K.Sem[[#This Row],[Predikat]]="B",$V$4,IF(K.Sem[[#This Row],[Predikat]]="C",$V$5,$V$6)))</f>
        <v xml:space="preserve">cukup baik </v>
      </c>
    </row>
    <row r="8" spans="1:23" ht="50.1" customHeight="1" x14ac:dyDescent="0.3">
      <c r="A8" s="10">
        <f>IF(NSi.TS[[#This Row],[No]]=0,"",NSi.TS[[#This Row],[No]])</f>
        <v>6</v>
      </c>
      <c r="B8" s="49" t="str">
        <f>IF(NSi.TS[[#This Row],[Nama Siswa]]=0,"",NSi.TS[[#This Row],[Nama Siswa]])</f>
        <v>Harun Budi</v>
      </c>
      <c r="C8" s="10" t="str">
        <f>IF(NSi.TS[[#This Row],[Nomor Induk]]=0,"",NSi.TS[[#This Row],[Nomor Induk]])</f>
        <v>6/HBICSHIGH/20</v>
      </c>
      <c r="D8" s="10">
        <f>IF(NSi.TS[[#This Row],[NISN]]=0,"",NSi.TS[[#This Row],[NISN]])</f>
        <v>25175567</v>
      </c>
      <c r="E8" s="10" t="str">
        <f>IF(NSi.TS[[#This Row],[Jurusan]]=0,"",NSi.TS[[#This Row],[Jurusan]])</f>
        <v>IPS</v>
      </c>
      <c r="F8" s="43">
        <f ca="1">K.Mid.S[[#This Row],[Rata2 NK]]</f>
        <v>90</v>
      </c>
      <c r="G8" s="15">
        <f t="shared" ca="1" si="1"/>
        <v>81</v>
      </c>
      <c r="H8" s="15">
        <f t="shared" ca="1" si="0"/>
        <v>99</v>
      </c>
      <c r="I8" s="15">
        <f t="shared" ca="1" si="0"/>
        <v>98</v>
      </c>
      <c r="J8" s="15">
        <f t="shared" ca="1" si="0"/>
        <v>76</v>
      </c>
      <c r="K8" s="15">
        <f t="shared" ca="1" si="0"/>
        <v>83</v>
      </c>
      <c r="L8" s="15">
        <f t="shared" ca="1" si="0"/>
        <v>80</v>
      </c>
      <c r="M8" s="15">
        <f t="shared" ca="1" si="0"/>
        <v>85</v>
      </c>
      <c r="N8" s="15">
        <f t="shared" ca="1" si="0"/>
        <v>77</v>
      </c>
      <c r="O8" s="15">
        <f t="shared" ca="1" si="0"/>
        <v>82</v>
      </c>
      <c r="P8" s="15">
        <f t="shared" ca="1" si="0"/>
        <v>90</v>
      </c>
      <c r="Q8" s="20">
        <f ca="1">IFERROR(ROUND(AVERAGE(K.Sem[[#This Row],[Rata2 Mid.NK]:[NK 10]]),0),"")</f>
        <v>86</v>
      </c>
      <c r="R8" s="11" t="str">
        <f ca="1">IF(K.Sem[[#This Row],[Rata2 NK]]="","Belum Terukur",IF(K.Sem[[#This Row],[Rata2 NK]]&gt;=92,"A",IF(K.Sem[[#This Row],[Rata2 NK]]&gt;=83,"B",IF(K.Sem[[#This Row],[Rata2 NK]]&gt;=75,"C","D"))))</f>
        <v>B</v>
      </c>
      <c r="S8" s="61" t="str">
        <f t="shared" ca="1" si="2"/>
        <v xml:space="preserve">Siswa menunjukkan kemampuannya baik dalam </v>
      </c>
      <c r="U8" s="103"/>
      <c r="V8" s="105"/>
      <c r="W8" s="60" t="str">
        <f ca="1">IF(K.Sem[[#This Row],[Predikat]]="A",$V$3,IF(K.Sem[[#This Row],[Predikat]]="B",$V$4,IF(K.Sem[[#This Row],[Predikat]]="C",$V$5,$V$6)))</f>
        <v xml:space="preserve">baik </v>
      </c>
    </row>
    <row r="9" spans="1:23" ht="50.1" customHeight="1" x14ac:dyDescent="0.3">
      <c r="A9" s="10">
        <f>IF(NSi.TS[[#This Row],[No]]=0,"",NSi.TS[[#This Row],[No]])</f>
        <v>7</v>
      </c>
      <c r="B9" s="49" t="str">
        <f>IF(NSi.TS[[#This Row],[Nama Siswa]]=0,"",NSi.TS[[#This Row],[Nama Siswa]])</f>
        <v>Lutfi Dian</v>
      </c>
      <c r="C9" s="10" t="str">
        <f>IF(NSi.TS[[#This Row],[Nomor Induk]]=0,"",NSi.TS[[#This Row],[Nomor Induk]])</f>
        <v>7/HBICSHIGH/20</v>
      </c>
      <c r="D9" s="10">
        <f>IF(NSi.TS[[#This Row],[NISN]]=0,"",NSi.TS[[#This Row],[NISN]])</f>
        <v>23756408</v>
      </c>
      <c r="E9" s="10" t="str">
        <f>IF(NSi.TS[[#This Row],[Jurusan]]=0,"",NSi.TS[[#This Row],[Jurusan]])</f>
        <v>IPA</v>
      </c>
      <c r="F9" s="43">
        <f ca="1">K.Mid.S[[#This Row],[Rata2 NK]]</f>
        <v>88</v>
      </c>
      <c r="G9" s="15">
        <f t="shared" ca="1" si="1"/>
        <v>82</v>
      </c>
      <c r="H9" s="15">
        <f t="shared" ca="1" si="0"/>
        <v>98</v>
      </c>
      <c r="I9" s="15">
        <f t="shared" ca="1" si="0"/>
        <v>92</v>
      </c>
      <c r="J9" s="15">
        <f t="shared" ca="1" si="0"/>
        <v>81</v>
      </c>
      <c r="K9" s="15">
        <f t="shared" ca="1" si="0"/>
        <v>87</v>
      </c>
      <c r="L9" s="15">
        <f t="shared" ca="1" si="0"/>
        <v>82</v>
      </c>
      <c r="M9" s="15">
        <f t="shared" ca="1" si="0"/>
        <v>77</v>
      </c>
      <c r="N9" s="15">
        <f t="shared" ca="1" si="0"/>
        <v>80</v>
      </c>
      <c r="O9" s="15">
        <f t="shared" ca="1" si="0"/>
        <v>100</v>
      </c>
      <c r="P9" s="15">
        <f t="shared" ca="1" si="0"/>
        <v>92</v>
      </c>
      <c r="Q9" s="20">
        <f ca="1">IFERROR(ROUND(AVERAGE(K.Sem[[#This Row],[Rata2 Mid.NK]:[NK 10]]),0),"")</f>
        <v>87</v>
      </c>
      <c r="R9" s="11" t="str">
        <f ca="1">IF(K.Sem[[#This Row],[Rata2 NK]]="","Belum Terukur",IF(K.Sem[[#This Row],[Rata2 NK]]&gt;=92,"A",IF(K.Sem[[#This Row],[Rata2 NK]]&gt;=83,"B",IF(K.Sem[[#This Row],[Rata2 NK]]&gt;=75,"C","D"))))</f>
        <v>B</v>
      </c>
      <c r="S9" s="61" t="str">
        <f t="shared" ca="1" si="2"/>
        <v xml:space="preserve">Siswa menunjukkan kemampuannya baik dalam </v>
      </c>
      <c r="U9" s="103"/>
      <c r="V9" s="105"/>
      <c r="W9" s="60" t="str">
        <f ca="1">IF(K.Sem[[#This Row],[Predikat]]="A",$V$3,IF(K.Sem[[#This Row],[Predikat]]="B",$V$4,IF(K.Sem[[#This Row],[Predikat]]="C",$V$5,$V$6)))</f>
        <v xml:space="preserve">baik </v>
      </c>
    </row>
    <row r="10" spans="1:23" ht="50.1" customHeight="1" x14ac:dyDescent="0.3">
      <c r="A10" s="10">
        <f>IF(NSi.TS[[#This Row],[No]]=0,"",NSi.TS[[#This Row],[No]])</f>
        <v>8</v>
      </c>
      <c r="B10" s="49" t="str">
        <f>IF(NSi.TS[[#This Row],[Nama Siswa]]=0,"",NSi.TS[[#This Row],[Nama Siswa]])</f>
        <v>Tirto Mohamad</v>
      </c>
      <c r="C10" s="10" t="str">
        <f>IF(NSi.TS[[#This Row],[Nomor Induk]]=0,"",NSi.TS[[#This Row],[Nomor Induk]])</f>
        <v>8/HBICSHIGH/20</v>
      </c>
      <c r="D10" s="10">
        <f>IF(NSi.TS[[#This Row],[NISN]]=0,"",NSi.TS[[#This Row],[NISN]])</f>
        <v>21962089</v>
      </c>
      <c r="E10" s="10" t="str">
        <f>IF(NSi.TS[[#This Row],[Jurusan]]=0,"",NSi.TS[[#This Row],[Jurusan]])</f>
        <v>IPS</v>
      </c>
      <c r="F10" s="43">
        <f ca="1">K.Mid.S[[#This Row],[Rata2 NK]]</f>
        <v>89</v>
      </c>
      <c r="G10" s="15">
        <f t="shared" ca="1" si="1"/>
        <v>94</v>
      </c>
      <c r="H10" s="15">
        <f t="shared" ca="1" si="0"/>
        <v>86</v>
      </c>
      <c r="I10" s="15">
        <f t="shared" ca="1" si="0"/>
        <v>97</v>
      </c>
      <c r="J10" s="15">
        <f t="shared" ca="1" si="0"/>
        <v>88</v>
      </c>
      <c r="K10" s="15">
        <f t="shared" ca="1" si="0"/>
        <v>97</v>
      </c>
      <c r="L10" s="15">
        <f t="shared" ca="1" si="0"/>
        <v>81</v>
      </c>
      <c r="M10" s="15">
        <f t="shared" ca="1" si="0"/>
        <v>77</v>
      </c>
      <c r="N10" s="15">
        <f t="shared" ca="1" si="0"/>
        <v>91</v>
      </c>
      <c r="O10" s="15">
        <f t="shared" ca="1" si="0"/>
        <v>91</v>
      </c>
      <c r="P10" s="15">
        <f t="shared" ca="1" si="0"/>
        <v>83</v>
      </c>
      <c r="Q10" s="20">
        <f ca="1">IFERROR(ROUND(AVERAGE(K.Sem[[#This Row],[Rata2 Mid.NK]:[NK 10]]),0),"")</f>
        <v>89</v>
      </c>
      <c r="R10" s="11" t="str">
        <f ca="1">IF(K.Sem[[#This Row],[Rata2 NK]]="","Belum Terukur",IF(K.Sem[[#This Row],[Rata2 NK]]&gt;=92,"A",IF(K.Sem[[#This Row],[Rata2 NK]]&gt;=83,"B",IF(K.Sem[[#This Row],[Rata2 NK]]&gt;=75,"C","D"))))</f>
        <v>B</v>
      </c>
      <c r="S10" s="61" t="str">
        <f t="shared" ca="1" si="2"/>
        <v xml:space="preserve">Siswa menunjukkan kemampuannya baik dalam </v>
      </c>
      <c r="U10" s="103"/>
      <c r="V10" s="105"/>
      <c r="W10" s="60" t="str">
        <f ca="1">IF(K.Sem[[#This Row],[Predikat]]="A",$V$3,IF(K.Sem[[#This Row],[Predikat]]="B",$V$4,IF(K.Sem[[#This Row],[Predikat]]="C",$V$5,$V$6)))</f>
        <v xml:space="preserve">baik </v>
      </c>
    </row>
    <row r="11" spans="1:23" ht="50.1" customHeight="1" x14ac:dyDescent="0.3">
      <c r="A11" s="10">
        <f>IF(NSi.TS[[#This Row],[No]]=0,"",NSi.TS[[#This Row],[No]])</f>
        <v>9</v>
      </c>
      <c r="B11" s="49" t="str">
        <f>IF(NSi.TS[[#This Row],[Nama Siswa]]=0,"",NSi.TS[[#This Row],[Nama Siswa]])</f>
        <v>Wangi Aminah</v>
      </c>
      <c r="C11" s="10" t="str">
        <f>IF(NSi.TS[[#This Row],[Nomor Induk]]=0,"",NSi.TS[[#This Row],[Nomor Induk]])</f>
        <v>9/HBICSHIGH/20</v>
      </c>
      <c r="D11" s="10">
        <f>IF(NSi.TS[[#This Row],[NISN]]=0,"",NSi.TS[[#This Row],[NISN]])</f>
        <v>16221604</v>
      </c>
      <c r="E11" s="10" t="str">
        <f>IF(NSi.TS[[#This Row],[Jurusan]]=0,"",NSi.TS[[#This Row],[Jurusan]])</f>
        <v>IPA</v>
      </c>
      <c r="F11" s="43">
        <f ca="1">K.Mid.S[[#This Row],[Rata2 NK]]</f>
        <v>88</v>
      </c>
      <c r="G11" s="15">
        <f t="shared" ca="1" si="1"/>
        <v>89</v>
      </c>
      <c r="H11" s="15">
        <f t="shared" ca="1" si="0"/>
        <v>97</v>
      </c>
      <c r="I11" s="15">
        <f t="shared" ca="1" si="0"/>
        <v>97</v>
      </c>
      <c r="J11" s="15">
        <f t="shared" ca="1" si="0"/>
        <v>98</v>
      </c>
      <c r="K11" s="15">
        <f t="shared" ca="1" si="0"/>
        <v>93</v>
      </c>
      <c r="L11" s="15">
        <f t="shared" ca="1" si="0"/>
        <v>84</v>
      </c>
      <c r="M11" s="15">
        <f t="shared" ca="1" si="0"/>
        <v>83</v>
      </c>
      <c r="N11" s="15">
        <f t="shared" ca="1" si="0"/>
        <v>97</v>
      </c>
      <c r="O11" s="15">
        <f t="shared" ca="1" si="0"/>
        <v>88</v>
      </c>
      <c r="P11" s="15">
        <f t="shared" ca="1" si="0"/>
        <v>98</v>
      </c>
      <c r="Q11" s="20">
        <f ca="1">IFERROR(ROUND(AVERAGE(K.Sem[[#This Row],[Rata2 Mid.NK]:[NK 10]]),0),"")</f>
        <v>92</v>
      </c>
      <c r="R11" s="11" t="str">
        <f ca="1">IF(K.Sem[[#This Row],[Rata2 NK]]="","Belum Terukur",IF(K.Sem[[#This Row],[Rata2 NK]]&gt;=92,"A",IF(K.Sem[[#This Row],[Rata2 NK]]&gt;=83,"B",IF(K.Sem[[#This Row],[Rata2 NK]]&gt;=75,"C","D"))))</f>
        <v>A</v>
      </c>
      <c r="S11" s="61" t="str">
        <f t="shared" ca="1" si="2"/>
        <v xml:space="preserve">Siswa menunjukkan kemampuannya sangat baik dalam </v>
      </c>
      <c r="U11" s="103"/>
      <c r="V11" s="105"/>
      <c r="W11" s="60" t="str">
        <f ca="1">IF(K.Sem[[#This Row],[Predikat]]="A",$V$3,IF(K.Sem[[#This Row],[Predikat]]="B",$V$4,IF(K.Sem[[#This Row],[Predikat]]="C",$V$5,$V$6)))</f>
        <v xml:space="preserve">sangat baik </v>
      </c>
    </row>
    <row r="12" spans="1:23" ht="50.1" customHeight="1" x14ac:dyDescent="0.3">
      <c r="A12" s="10">
        <f>IF(NSi.TS[[#This Row],[No]]=0,"",NSi.TS[[#This Row],[No]])</f>
        <v>10</v>
      </c>
      <c r="B12" s="49" t="str">
        <f>IF(NSi.TS[[#This Row],[Nama Siswa]]=0,"",NSi.TS[[#This Row],[Nama Siswa]])</f>
        <v>Wangi Daud</v>
      </c>
      <c r="C12" s="10" t="str">
        <f>IF(NSi.TS[[#This Row],[Nomor Induk]]=0,"",NSi.TS[[#This Row],[Nomor Induk]])</f>
        <v>10/HBICSHIGH/20</v>
      </c>
      <c r="D12" s="10">
        <f>IF(NSi.TS[[#This Row],[NISN]]=0,"",NSi.TS[[#This Row],[NISN]])</f>
        <v>23768787</v>
      </c>
      <c r="E12" s="10" t="str">
        <f>IF(NSi.TS[[#This Row],[Jurusan]]=0,"",NSi.TS[[#This Row],[Jurusan]])</f>
        <v>IPS</v>
      </c>
      <c r="F12" s="43">
        <f ca="1">K.Mid.S[[#This Row],[Rata2 NK]]</f>
        <v>88</v>
      </c>
      <c r="G12" s="15">
        <f t="shared" ca="1" si="1"/>
        <v>79</v>
      </c>
      <c r="H12" s="15">
        <f t="shared" ca="1" si="0"/>
        <v>93</v>
      </c>
      <c r="I12" s="15">
        <f t="shared" ca="1" si="0"/>
        <v>82</v>
      </c>
      <c r="J12" s="15">
        <f t="shared" ca="1" si="0"/>
        <v>79</v>
      </c>
      <c r="K12" s="15">
        <f t="shared" ca="1" si="0"/>
        <v>81</v>
      </c>
      <c r="L12" s="15">
        <f t="shared" ca="1" si="0"/>
        <v>88</v>
      </c>
      <c r="M12" s="15">
        <f t="shared" ca="1" si="0"/>
        <v>81</v>
      </c>
      <c r="N12" s="15">
        <f t="shared" ca="1" si="0"/>
        <v>79</v>
      </c>
      <c r="O12" s="15">
        <f t="shared" ca="1" si="0"/>
        <v>81</v>
      </c>
      <c r="P12" s="15">
        <f t="shared" ca="1" si="0"/>
        <v>99</v>
      </c>
      <c r="Q12" s="20">
        <f ca="1">IFERROR(ROUND(AVERAGE(K.Sem[[#This Row],[Rata2 Mid.NK]:[NK 10]]),0),"")</f>
        <v>85</v>
      </c>
      <c r="R12" s="11" t="str">
        <f ca="1">IF(K.Sem[[#This Row],[Rata2 NK]]="","Belum Terukur",IF(K.Sem[[#This Row],[Rata2 NK]]&gt;=92,"A",IF(K.Sem[[#This Row],[Rata2 NK]]&gt;=83,"B",IF(K.Sem[[#This Row],[Rata2 NK]]&gt;=75,"C","D"))))</f>
        <v>B</v>
      </c>
      <c r="S12" s="61" t="str">
        <f t="shared" ca="1" si="2"/>
        <v xml:space="preserve">Siswa menunjukkan kemampuannya baik dalam </v>
      </c>
      <c r="U12" s="103"/>
      <c r="V12" s="105"/>
      <c r="W12" s="60" t="str">
        <f ca="1">IF(K.Sem[[#This Row],[Predikat]]="A",$V$3,IF(K.Sem[[#This Row],[Predikat]]="B",$V$4,IF(K.Sem[[#This Row],[Predikat]]="C",$V$5,$V$6)))</f>
        <v xml:space="preserve">baik </v>
      </c>
    </row>
    <row r="13" spans="1:23" ht="50.1" customHeight="1" x14ac:dyDescent="0.3">
      <c r="A13" s="10" t="str">
        <f>IF(NSi.TS[[#This Row],[No]]=0,"",NSi.TS[[#This Row],[No]])</f>
        <v/>
      </c>
      <c r="B13" s="49" t="str">
        <f>IF(NSi.TS[[#This Row],[Nama Siswa]]=0,"",NSi.TS[[#This Row],[Nama Siswa]])</f>
        <v/>
      </c>
      <c r="C13" s="10" t="str">
        <f>IF(NSi.TS[[#This Row],[Nomor Induk]]=0,"",NSi.TS[[#This Row],[Nomor Induk]])</f>
        <v/>
      </c>
      <c r="D13" s="10" t="str">
        <f>IF(NSi.TS[[#This Row],[NISN]]=0,"",NSi.TS[[#This Row],[NISN]])</f>
        <v/>
      </c>
      <c r="E13" s="10" t="str">
        <f>IF(NSi.TS[[#This Row],[Jurusan]]=0,"",NSi.TS[[#This Row],[Jurusan]])</f>
        <v/>
      </c>
      <c r="F13" s="43" t="str">
        <f>K.Mid.S[[#This Row],[Rata2 NK]]</f>
        <v/>
      </c>
      <c r="G13" s="15"/>
      <c r="H13" s="15"/>
      <c r="I13" s="15"/>
      <c r="J13" s="15"/>
      <c r="K13" s="15"/>
      <c r="L13" s="15"/>
      <c r="M13" s="15"/>
      <c r="N13" s="15"/>
      <c r="O13" s="15"/>
      <c r="P13" s="15"/>
      <c r="Q13" s="20" t="str">
        <f>IFERROR(ROUND(AVERAGE(K.Sem[[#This Row],[Rata2 Mid.NK]:[NK 10]]),0),"")</f>
        <v/>
      </c>
      <c r="R13" s="11" t="str">
        <f>IF(K.Sem[[#This Row],[Rata2 NK]]="","Belum Terukur",IF(K.Sem[[#This Row],[Rata2 NK]]&gt;=92,"A",IF(K.Sem[[#This Row],[Rata2 NK]]&gt;=83,"B",IF(K.Sem[[#This Row],[Rata2 NK]]&gt;=75,"C","D"))))</f>
        <v>Belum Terukur</v>
      </c>
      <c r="S13" s="61" t="str">
        <f t="shared" si="2"/>
        <v xml:space="preserve">Siswa menunjukkan kemampuannya namun masih memerlukan bimbingan dalam </v>
      </c>
      <c r="U13" s="103"/>
      <c r="V13" s="105"/>
      <c r="W13" s="60" t="str">
        <f>IF(K.Sem[[#This Row],[Predikat]]="A",$V$3,IF(K.Sem[[#This Row],[Predikat]]="B",$V$4,IF(K.Sem[[#This Row],[Predikat]]="C",$V$5,$V$6)))</f>
        <v xml:space="preserve">namun masih memerlukan bimbingan </v>
      </c>
    </row>
    <row r="14" spans="1:23" ht="50.1" customHeight="1" x14ac:dyDescent="0.3">
      <c r="A14" s="10" t="str">
        <f>IF(NSi.TS[[#This Row],[No]]=0,"",NSi.TS[[#This Row],[No]])</f>
        <v/>
      </c>
      <c r="B14" s="49" t="str">
        <f>IF(NSi.TS[[#This Row],[Nama Siswa]]=0,"",NSi.TS[[#This Row],[Nama Siswa]])</f>
        <v/>
      </c>
      <c r="C14" s="10" t="str">
        <f>IF(NSi.TS[[#This Row],[Nomor Induk]]=0,"",NSi.TS[[#This Row],[Nomor Induk]])</f>
        <v/>
      </c>
      <c r="D14" s="10" t="str">
        <f>IF(NSi.TS[[#This Row],[NISN]]=0,"",NSi.TS[[#This Row],[NISN]])</f>
        <v/>
      </c>
      <c r="E14" s="10" t="str">
        <f>IF(NSi.TS[[#This Row],[Jurusan]]=0,"",NSi.TS[[#This Row],[Jurusan]])</f>
        <v/>
      </c>
      <c r="F14" s="43" t="str">
        <f>K.Mid.S[[#This Row],[Rata2 NK]]</f>
        <v/>
      </c>
      <c r="G14" s="15"/>
      <c r="H14" s="15"/>
      <c r="I14" s="15"/>
      <c r="J14" s="15"/>
      <c r="K14" s="15"/>
      <c r="L14" s="15"/>
      <c r="M14" s="15"/>
      <c r="N14" s="15"/>
      <c r="O14" s="15"/>
      <c r="P14" s="15"/>
      <c r="Q14" s="20" t="str">
        <f>IFERROR(ROUND(AVERAGE(K.Sem[[#This Row],[Rata2 Mid.NK]:[NK 10]]),0),"")</f>
        <v/>
      </c>
      <c r="R14" s="11" t="str">
        <f>IF(K.Sem[[#This Row],[Rata2 NK]]="","Belum Terukur",IF(K.Sem[[#This Row],[Rata2 NK]]&gt;=92,"A",IF(K.Sem[[#This Row],[Rata2 NK]]&gt;=83,"B",IF(K.Sem[[#This Row],[Rata2 NK]]&gt;=75,"C","D"))))</f>
        <v>Belum Terukur</v>
      </c>
      <c r="S14" s="61" t="str">
        <f t="shared" si="2"/>
        <v xml:space="preserve">Siswa menunjukkan kemampuannya namun masih memerlukan bimbingan dalam </v>
      </c>
      <c r="U14" s="103"/>
      <c r="V14" s="105"/>
      <c r="W14" s="60" t="str">
        <f>IF(K.Sem[[#This Row],[Predikat]]="A",$V$3,IF(K.Sem[[#This Row],[Predikat]]="B",$V$4,IF(K.Sem[[#This Row],[Predikat]]="C",$V$5,$V$6)))</f>
        <v xml:space="preserve">namun masih memerlukan bimbingan </v>
      </c>
    </row>
    <row r="15" spans="1:23" ht="50.1" customHeight="1" x14ac:dyDescent="0.3">
      <c r="A15" s="10" t="str">
        <f>IF(NSi.TS[[#This Row],[No]]=0,"",NSi.TS[[#This Row],[No]])</f>
        <v/>
      </c>
      <c r="B15" s="49" t="str">
        <f>IF(NSi.TS[[#This Row],[Nama Siswa]]=0,"",NSi.TS[[#This Row],[Nama Siswa]])</f>
        <v/>
      </c>
      <c r="C15" s="10" t="str">
        <f>IF(NSi.TS[[#This Row],[Nomor Induk]]=0,"",NSi.TS[[#This Row],[Nomor Induk]])</f>
        <v/>
      </c>
      <c r="D15" s="10" t="str">
        <f>IF(NSi.TS[[#This Row],[NISN]]=0,"",NSi.TS[[#This Row],[NISN]])</f>
        <v/>
      </c>
      <c r="E15" s="10" t="str">
        <f>IF(NSi.TS[[#This Row],[Jurusan]]=0,"",NSi.TS[[#This Row],[Jurusan]])</f>
        <v/>
      </c>
      <c r="F15" s="43" t="str">
        <f>K.Mid.S[[#This Row],[Rata2 NK]]</f>
        <v/>
      </c>
      <c r="G15" s="15"/>
      <c r="H15" s="15"/>
      <c r="I15" s="15"/>
      <c r="J15" s="15"/>
      <c r="K15" s="15"/>
      <c r="L15" s="15"/>
      <c r="M15" s="15"/>
      <c r="N15" s="15"/>
      <c r="O15" s="15"/>
      <c r="P15" s="15"/>
      <c r="Q15" s="20" t="str">
        <f>IFERROR(ROUND(AVERAGE(K.Sem[[#This Row],[Rata2 Mid.NK]:[NK 10]]),0),"")</f>
        <v/>
      </c>
      <c r="R15" s="11" t="str">
        <f>IF(K.Sem[[#This Row],[Rata2 NK]]="","Belum Terukur",IF(K.Sem[[#This Row],[Rata2 NK]]&gt;=92,"A",IF(K.Sem[[#This Row],[Rata2 NK]]&gt;=83,"B",IF(K.Sem[[#This Row],[Rata2 NK]]&gt;=75,"C","D"))))</f>
        <v>Belum Terukur</v>
      </c>
      <c r="S15" s="61" t="str">
        <f t="shared" si="2"/>
        <v xml:space="preserve">Siswa menunjukkan kemampuannya namun masih memerlukan bimbingan dalam </v>
      </c>
      <c r="U15" s="103"/>
      <c r="V15" s="105"/>
      <c r="W15" s="60" t="str">
        <f>IF(K.Sem[[#This Row],[Predikat]]="A",$V$3,IF(K.Sem[[#This Row],[Predikat]]="B",$V$4,IF(K.Sem[[#This Row],[Predikat]]="C",$V$5,$V$6)))</f>
        <v xml:space="preserve">namun masih memerlukan bimbingan </v>
      </c>
    </row>
    <row r="16" spans="1:23" ht="50.1" customHeight="1" x14ac:dyDescent="0.3">
      <c r="A16" s="10" t="str">
        <f>IF(NSi.TS[[#This Row],[No]]=0,"",NSi.TS[[#This Row],[No]])</f>
        <v/>
      </c>
      <c r="B16" s="49" t="str">
        <f>IF(NSi.TS[[#This Row],[Nama Siswa]]=0,"",NSi.TS[[#This Row],[Nama Siswa]])</f>
        <v/>
      </c>
      <c r="C16" s="10" t="str">
        <f>IF(NSi.TS[[#This Row],[Nomor Induk]]=0,"",NSi.TS[[#This Row],[Nomor Induk]])</f>
        <v/>
      </c>
      <c r="D16" s="10" t="str">
        <f>IF(NSi.TS[[#This Row],[NISN]]=0,"",NSi.TS[[#This Row],[NISN]])</f>
        <v/>
      </c>
      <c r="E16" s="10" t="str">
        <f>IF(NSi.TS[[#This Row],[Jurusan]]=0,"",NSi.TS[[#This Row],[Jurusan]])</f>
        <v/>
      </c>
      <c r="F16" s="43" t="str">
        <f>K.Mid.S[[#This Row],[Rata2 NK]]</f>
        <v/>
      </c>
      <c r="G16" s="15"/>
      <c r="H16" s="15"/>
      <c r="I16" s="15"/>
      <c r="J16" s="15"/>
      <c r="K16" s="15"/>
      <c r="L16" s="15"/>
      <c r="M16" s="15"/>
      <c r="N16" s="15"/>
      <c r="O16" s="15"/>
      <c r="P16" s="15"/>
      <c r="Q16" s="20" t="str">
        <f>IFERROR(ROUND(AVERAGE(K.Sem[[#This Row],[Rata2 Mid.NK]:[NK 10]]),0),"")</f>
        <v/>
      </c>
      <c r="R16" s="11" t="str">
        <f>IF(K.Sem[[#This Row],[Rata2 NK]]="","Belum Terukur",IF(K.Sem[[#This Row],[Rata2 NK]]&gt;=92,"A",IF(K.Sem[[#This Row],[Rata2 NK]]&gt;=83,"B",IF(K.Sem[[#This Row],[Rata2 NK]]&gt;=75,"C","D"))))</f>
        <v>Belum Terukur</v>
      </c>
      <c r="S16" s="61" t="str">
        <f t="shared" si="2"/>
        <v xml:space="preserve">Siswa menunjukkan kemampuannya namun masih memerlukan bimbingan dalam </v>
      </c>
      <c r="U16" s="103"/>
      <c r="V16" s="105"/>
      <c r="W16" s="60" t="str">
        <f>IF(K.Sem[[#This Row],[Predikat]]="A",$V$3,IF(K.Sem[[#This Row],[Predikat]]="B",$V$4,IF(K.Sem[[#This Row],[Predikat]]="C",$V$5,$V$6)))</f>
        <v xml:space="preserve">namun masih memerlukan bimbingan </v>
      </c>
    </row>
    <row r="17" spans="1:23" ht="50.1" customHeight="1" x14ac:dyDescent="0.3">
      <c r="A17" s="10" t="str">
        <f>IF(NSi.TS[[#This Row],[No]]=0,"",NSi.TS[[#This Row],[No]])</f>
        <v/>
      </c>
      <c r="B17" s="49" t="str">
        <f>IF(NSi.TS[[#This Row],[Nama Siswa]]=0,"",NSi.TS[[#This Row],[Nama Siswa]])</f>
        <v/>
      </c>
      <c r="C17" s="10" t="str">
        <f>IF(NSi.TS[[#This Row],[Nomor Induk]]=0,"",NSi.TS[[#This Row],[Nomor Induk]])</f>
        <v/>
      </c>
      <c r="D17" s="10" t="str">
        <f>IF(NSi.TS[[#This Row],[NISN]]=0,"",NSi.TS[[#This Row],[NISN]])</f>
        <v/>
      </c>
      <c r="E17" s="10" t="str">
        <f>IF(NSi.TS[[#This Row],[Jurusan]]=0,"",NSi.TS[[#This Row],[Jurusan]])</f>
        <v/>
      </c>
      <c r="F17" s="43" t="str">
        <f>K.Mid.S[[#This Row],[Rata2 NK]]</f>
        <v/>
      </c>
      <c r="G17" s="15"/>
      <c r="H17" s="15"/>
      <c r="I17" s="15"/>
      <c r="J17" s="15"/>
      <c r="K17" s="15"/>
      <c r="L17" s="15"/>
      <c r="M17" s="15"/>
      <c r="N17" s="15"/>
      <c r="O17" s="15"/>
      <c r="P17" s="15"/>
      <c r="Q17" s="20" t="str">
        <f>IFERROR(ROUND(AVERAGE(K.Sem[[#This Row],[Rata2 Mid.NK]:[NK 10]]),0),"")</f>
        <v/>
      </c>
      <c r="R17" s="11" t="str">
        <f>IF(K.Sem[[#This Row],[Rata2 NK]]="","Belum Terukur",IF(K.Sem[[#This Row],[Rata2 NK]]&gt;=92,"A",IF(K.Sem[[#This Row],[Rata2 NK]]&gt;=83,"B",IF(K.Sem[[#This Row],[Rata2 NK]]&gt;=75,"C","D"))))</f>
        <v>Belum Terukur</v>
      </c>
      <c r="S17" s="61" t="str">
        <f t="shared" si="2"/>
        <v xml:space="preserve">Siswa menunjukkan kemampuannya namun masih memerlukan bimbingan dalam </v>
      </c>
      <c r="U17" s="103"/>
      <c r="V17" s="105"/>
      <c r="W17" s="60" t="str">
        <f>IF(K.Sem[[#This Row],[Predikat]]="A",$V$3,IF(K.Sem[[#This Row],[Predikat]]="B",$V$4,IF(K.Sem[[#This Row],[Predikat]]="C",$V$5,$V$6)))</f>
        <v xml:space="preserve">namun masih memerlukan bimbingan </v>
      </c>
    </row>
    <row r="18" spans="1:23" ht="50.1" customHeight="1" x14ac:dyDescent="0.3">
      <c r="A18" s="10" t="str">
        <f>IF(NSi.TS[[#This Row],[No]]=0,"",NSi.TS[[#This Row],[No]])</f>
        <v/>
      </c>
      <c r="B18" s="49" t="str">
        <f>IF(NSi.TS[[#This Row],[Nama Siswa]]=0,"",NSi.TS[[#This Row],[Nama Siswa]])</f>
        <v/>
      </c>
      <c r="C18" s="10" t="str">
        <f>IF(NSi.TS[[#This Row],[Nomor Induk]]=0,"",NSi.TS[[#This Row],[Nomor Induk]])</f>
        <v/>
      </c>
      <c r="D18" s="10" t="str">
        <f>IF(NSi.TS[[#This Row],[NISN]]=0,"",NSi.TS[[#This Row],[NISN]])</f>
        <v/>
      </c>
      <c r="E18" s="10" t="str">
        <f>IF(NSi.TS[[#This Row],[Jurusan]]=0,"",NSi.TS[[#This Row],[Jurusan]])</f>
        <v/>
      </c>
      <c r="F18" s="43" t="str">
        <f>K.Mid.S[[#This Row],[Rata2 NK]]</f>
        <v/>
      </c>
      <c r="G18" s="15"/>
      <c r="H18" s="15"/>
      <c r="I18" s="15"/>
      <c r="J18" s="15"/>
      <c r="K18" s="15"/>
      <c r="L18" s="15"/>
      <c r="M18" s="15"/>
      <c r="N18" s="15"/>
      <c r="O18" s="15"/>
      <c r="P18" s="15"/>
      <c r="Q18" s="20" t="str">
        <f>IFERROR(ROUND(AVERAGE(K.Sem[[#This Row],[Rata2 Mid.NK]:[NK 10]]),0),"")</f>
        <v/>
      </c>
      <c r="R18" s="11" t="str">
        <f>IF(K.Sem[[#This Row],[Rata2 NK]]="","Belum Terukur",IF(K.Sem[[#This Row],[Rata2 NK]]&gt;=92,"A",IF(K.Sem[[#This Row],[Rata2 NK]]&gt;=83,"B",IF(K.Sem[[#This Row],[Rata2 NK]]&gt;=75,"C","D"))))</f>
        <v>Belum Terukur</v>
      </c>
      <c r="S18" s="61" t="str">
        <f t="shared" si="2"/>
        <v xml:space="preserve">Siswa menunjukkan kemampuannya namun masih memerlukan bimbingan dalam </v>
      </c>
      <c r="U18" s="103"/>
      <c r="V18" s="105"/>
      <c r="W18" s="60" t="str">
        <f>IF(K.Sem[[#This Row],[Predikat]]="A",$V$3,IF(K.Sem[[#This Row],[Predikat]]="B",$V$4,IF(K.Sem[[#This Row],[Predikat]]="C",$V$5,$V$6)))</f>
        <v xml:space="preserve">namun masih memerlukan bimbingan </v>
      </c>
    </row>
    <row r="19" spans="1:23" ht="50.1" customHeight="1" x14ac:dyDescent="0.3">
      <c r="A19" s="10" t="str">
        <f>IF(NSi.TS[[#This Row],[No]]=0,"",NSi.TS[[#This Row],[No]])</f>
        <v/>
      </c>
      <c r="B19" s="49" t="str">
        <f>IF(NSi.TS[[#This Row],[Nama Siswa]]=0,"",NSi.TS[[#This Row],[Nama Siswa]])</f>
        <v/>
      </c>
      <c r="C19" s="10" t="str">
        <f>IF(NSi.TS[[#This Row],[Nomor Induk]]=0,"",NSi.TS[[#This Row],[Nomor Induk]])</f>
        <v/>
      </c>
      <c r="D19" s="10" t="str">
        <f>IF(NSi.TS[[#This Row],[NISN]]=0,"",NSi.TS[[#This Row],[NISN]])</f>
        <v/>
      </c>
      <c r="E19" s="10" t="str">
        <f>IF(NSi.TS[[#This Row],[Jurusan]]=0,"",NSi.TS[[#This Row],[Jurusan]])</f>
        <v/>
      </c>
      <c r="F19" s="43" t="str">
        <f>K.Mid.S[[#This Row],[Rata2 NK]]</f>
        <v/>
      </c>
      <c r="G19" s="15"/>
      <c r="H19" s="15"/>
      <c r="I19" s="15"/>
      <c r="J19" s="15"/>
      <c r="K19" s="15"/>
      <c r="L19" s="15"/>
      <c r="M19" s="15"/>
      <c r="N19" s="15"/>
      <c r="O19" s="15"/>
      <c r="P19" s="15"/>
      <c r="Q19" s="20" t="str">
        <f>IFERROR(ROUND(AVERAGE(K.Sem[[#This Row],[Rata2 Mid.NK]:[NK 10]]),0),"")</f>
        <v/>
      </c>
      <c r="R19" s="11" t="str">
        <f>IF(K.Sem[[#This Row],[Rata2 NK]]="","Belum Terukur",IF(K.Sem[[#This Row],[Rata2 NK]]&gt;=92,"A",IF(K.Sem[[#This Row],[Rata2 NK]]&gt;=83,"B",IF(K.Sem[[#This Row],[Rata2 NK]]&gt;=75,"C","D"))))</f>
        <v>Belum Terukur</v>
      </c>
      <c r="S19" s="61" t="str">
        <f t="shared" si="2"/>
        <v xml:space="preserve">Siswa menunjukkan kemampuannya namun masih memerlukan bimbingan dalam </v>
      </c>
      <c r="U19" s="103"/>
      <c r="V19" s="105"/>
      <c r="W19" s="60" t="str">
        <f>IF(K.Sem[[#This Row],[Predikat]]="A",$V$3,IF(K.Sem[[#This Row],[Predikat]]="B",$V$4,IF(K.Sem[[#This Row],[Predikat]]="C",$V$5,$V$6)))</f>
        <v xml:space="preserve">namun masih memerlukan bimbingan </v>
      </c>
    </row>
    <row r="20" spans="1:23" ht="50.1" customHeight="1" x14ac:dyDescent="0.3">
      <c r="A20" s="10" t="str">
        <f>IF(NSi.TS[[#This Row],[No]]=0,"",NSi.TS[[#This Row],[No]])</f>
        <v/>
      </c>
      <c r="B20" s="49" t="str">
        <f>IF(NSi.TS[[#This Row],[Nama Siswa]]=0,"",NSi.TS[[#This Row],[Nama Siswa]])</f>
        <v/>
      </c>
      <c r="C20" s="10" t="str">
        <f>IF(NSi.TS[[#This Row],[Nomor Induk]]=0,"",NSi.TS[[#This Row],[Nomor Induk]])</f>
        <v/>
      </c>
      <c r="D20" s="10" t="str">
        <f>IF(NSi.TS[[#This Row],[NISN]]=0,"",NSi.TS[[#This Row],[NISN]])</f>
        <v/>
      </c>
      <c r="E20" s="10" t="str">
        <f>IF(NSi.TS[[#This Row],[Jurusan]]=0,"",NSi.TS[[#This Row],[Jurusan]])</f>
        <v/>
      </c>
      <c r="F20" s="43" t="str">
        <f>K.Mid.S[[#This Row],[Rata2 NK]]</f>
        <v/>
      </c>
      <c r="G20" s="15"/>
      <c r="H20" s="15"/>
      <c r="I20" s="15"/>
      <c r="J20" s="15"/>
      <c r="K20" s="15"/>
      <c r="L20" s="15"/>
      <c r="M20" s="15"/>
      <c r="N20" s="15"/>
      <c r="O20" s="15"/>
      <c r="P20" s="15"/>
      <c r="Q20" s="20" t="str">
        <f>IFERROR(ROUND(AVERAGE(K.Sem[[#This Row],[Rata2 Mid.NK]:[NK 10]]),0),"")</f>
        <v/>
      </c>
      <c r="R20" s="11" t="str">
        <f>IF(K.Sem[[#This Row],[Rata2 NK]]="","Belum Terukur",IF(K.Sem[[#This Row],[Rata2 NK]]&gt;=92,"A",IF(K.Sem[[#This Row],[Rata2 NK]]&gt;=83,"B",IF(K.Sem[[#This Row],[Rata2 NK]]&gt;=75,"C","D"))))</f>
        <v>Belum Terukur</v>
      </c>
      <c r="S20" s="61" t="str">
        <f t="shared" si="2"/>
        <v xml:space="preserve">Siswa menunjukkan kemampuannya namun masih memerlukan bimbingan dalam </v>
      </c>
      <c r="U20" s="103"/>
      <c r="V20" s="105"/>
      <c r="W20" s="60" t="str">
        <f>IF(K.Sem[[#This Row],[Predikat]]="A",$V$3,IF(K.Sem[[#This Row],[Predikat]]="B",$V$4,IF(K.Sem[[#This Row],[Predikat]]="C",$V$5,$V$6)))</f>
        <v xml:space="preserve">namun masih memerlukan bimbingan </v>
      </c>
    </row>
    <row r="21" spans="1:23" ht="50.1" customHeight="1" x14ac:dyDescent="0.3">
      <c r="A21" s="10" t="str">
        <f>IF(NSi.TS[[#This Row],[No]]=0,"",NSi.TS[[#This Row],[No]])</f>
        <v/>
      </c>
      <c r="B21" s="49" t="str">
        <f>IF(NSi.TS[[#This Row],[Nama Siswa]]=0,"",NSi.TS[[#This Row],[Nama Siswa]])</f>
        <v/>
      </c>
      <c r="C21" s="10" t="str">
        <f>IF(NSi.TS[[#This Row],[Nomor Induk]]=0,"",NSi.TS[[#This Row],[Nomor Induk]])</f>
        <v/>
      </c>
      <c r="D21" s="10" t="str">
        <f>IF(NSi.TS[[#This Row],[NISN]]=0,"",NSi.TS[[#This Row],[NISN]])</f>
        <v/>
      </c>
      <c r="E21" s="10" t="str">
        <f>IF(NSi.TS[[#This Row],[Jurusan]]=0,"",NSi.TS[[#This Row],[Jurusan]])</f>
        <v/>
      </c>
      <c r="F21" s="43" t="str">
        <f>K.Mid.S[[#This Row],[Rata2 NK]]</f>
        <v/>
      </c>
      <c r="G21" s="15"/>
      <c r="H21" s="15"/>
      <c r="I21" s="15"/>
      <c r="J21" s="15"/>
      <c r="K21" s="15"/>
      <c r="L21" s="15"/>
      <c r="M21" s="15"/>
      <c r="N21" s="15"/>
      <c r="O21" s="15"/>
      <c r="P21" s="15"/>
      <c r="Q21" s="20" t="str">
        <f>IFERROR(ROUND(AVERAGE(K.Sem[[#This Row],[Rata2 Mid.NK]:[NK 10]]),0),"")</f>
        <v/>
      </c>
      <c r="R21" s="11" t="str">
        <f>IF(K.Sem[[#This Row],[Rata2 NK]]="","Belum Terukur",IF(K.Sem[[#This Row],[Rata2 NK]]&gt;=92,"A",IF(K.Sem[[#This Row],[Rata2 NK]]&gt;=83,"B",IF(K.Sem[[#This Row],[Rata2 NK]]&gt;=75,"C","D"))))</f>
        <v>Belum Terukur</v>
      </c>
      <c r="S21" s="61" t="str">
        <f t="shared" si="2"/>
        <v xml:space="preserve">Siswa menunjukkan kemampuannya namun masih memerlukan bimbingan dalam </v>
      </c>
      <c r="U21" s="103"/>
      <c r="V21" s="105"/>
      <c r="W21" s="60" t="str">
        <f>IF(K.Sem[[#This Row],[Predikat]]="A",$V$3,IF(K.Sem[[#This Row],[Predikat]]="B",$V$4,IF(K.Sem[[#This Row],[Predikat]]="C",$V$5,$V$6)))</f>
        <v xml:space="preserve">namun masih memerlukan bimbingan </v>
      </c>
    </row>
    <row r="22" spans="1:23" ht="50.1" customHeight="1" x14ac:dyDescent="0.3">
      <c r="A22" s="10" t="str">
        <f>IF(NSi.TS[[#This Row],[No]]=0,"",NSi.TS[[#This Row],[No]])</f>
        <v/>
      </c>
      <c r="B22" s="49" t="str">
        <f>IF(NSi.TS[[#This Row],[Nama Siswa]]=0,"",NSi.TS[[#This Row],[Nama Siswa]])</f>
        <v/>
      </c>
      <c r="C22" s="10" t="str">
        <f>IF(NSi.TS[[#This Row],[Nomor Induk]]=0,"",NSi.TS[[#This Row],[Nomor Induk]])</f>
        <v/>
      </c>
      <c r="D22" s="10" t="str">
        <f>IF(NSi.TS[[#This Row],[NISN]]=0,"",NSi.TS[[#This Row],[NISN]])</f>
        <v/>
      </c>
      <c r="E22" s="10" t="str">
        <f>IF(NSi.TS[[#This Row],[Jurusan]]=0,"",NSi.TS[[#This Row],[Jurusan]])</f>
        <v/>
      </c>
      <c r="F22" s="43" t="str">
        <f>K.Mid.S[[#This Row],[Rata2 NK]]</f>
        <v/>
      </c>
      <c r="G22" s="15"/>
      <c r="H22" s="15"/>
      <c r="I22" s="15"/>
      <c r="J22" s="15"/>
      <c r="K22" s="15"/>
      <c r="L22" s="15"/>
      <c r="M22" s="15"/>
      <c r="N22" s="15"/>
      <c r="O22" s="15"/>
      <c r="P22" s="15"/>
      <c r="Q22" s="20" t="str">
        <f>IFERROR(ROUND(AVERAGE(K.Sem[[#This Row],[Rata2 Mid.NK]:[NK 10]]),0),"")</f>
        <v/>
      </c>
      <c r="R22" s="11" t="str">
        <f>IF(K.Sem[[#This Row],[Rata2 NK]]="","Belum Terukur",IF(K.Sem[[#This Row],[Rata2 NK]]&gt;=92,"A",IF(K.Sem[[#This Row],[Rata2 NK]]&gt;=83,"B",IF(K.Sem[[#This Row],[Rata2 NK]]&gt;=75,"C","D"))))</f>
        <v>Belum Terukur</v>
      </c>
      <c r="S22" s="61" t="str">
        <f t="shared" si="2"/>
        <v xml:space="preserve">Siswa menunjukkan kemampuannya namun masih memerlukan bimbingan dalam </v>
      </c>
      <c r="U22" s="103"/>
      <c r="V22" s="105"/>
      <c r="W22" s="60" t="str">
        <f>IF(K.Sem[[#This Row],[Predikat]]="A",$V$3,IF(K.Sem[[#This Row],[Predikat]]="B",$V$4,IF(K.Sem[[#This Row],[Predikat]]="C",$V$5,$V$6)))</f>
        <v xml:space="preserve">namun masih memerlukan bimbingan </v>
      </c>
    </row>
    <row r="23" spans="1:23" ht="50.1" customHeight="1" x14ac:dyDescent="0.3">
      <c r="A23" s="10" t="str">
        <f>IF(NSi.TS[[#This Row],[No]]=0,"",NSi.TS[[#This Row],[No]])</f>
        <v/>
      </c>
      <c r="B23" s="49" t="str">
        <f>IF(NSi.TS[[#This Row],[Nama Siswa]]=0,"",NSi.TS[[#This Row],[Nama Siswa]])</f>
        <v/>
      </c>
      <c r="C23" s="10" t="str">
        <f>IF(NSi.TS[[#This Row],[Nomor Induk]]=0,"",NSi.TS[[#This Row],[Nomor Induk]])</f>
        <v/>
      </c>
      <c r="D23" s="10" t="str">
        <f>IF(NSi.TS[[#This Row],[NISN]]=0,"",NSi.TS[[#This Row],[NISN]])</f>
        <v/>
      </c>
      <c r="E23" s="10" t="str">
        <f>IF(NSi.TS[[#This Row],[Jurusan]]=0,"",NSi.TS[[#This Row],[Jurusan]])</f>
        <v/>
      </c>
      <c r="F23" s="43" t="str">
        <f>K.Mid.S[[#This Row],[Rata2 NK]]</f>
        <v/>
      </c>
      <c r="G23" s="15"/>
      <c r="H23" s="15"/>
      <c r="I23" s="15"/>
      <c r="J23" s="15"/>
      <c r="K23" s="15"/>
      <c r="L23" s="15"/>
      <c r="M23" s="15"/>
      <c r="N23" s="15"/>
      <c r="O23" s="15"/>
      <c r="P23" s="15"/>
      <c r="Q23" s="20" t="str">
        <f>IFERROR(ROUND(AVERAGE(K.Sem[[#This Row],[Rata2 Mid.NK]:[NK 10]]),0),"")</f>
        <v/>
      </c>
      <c r="R23" s="11" t="str">
        <f>IF(K.Sem[[#This Row],[Rata2 NK]]="","Belum Terukur",IF(K.Sem[[#This Row],[Rata2 NK]]&gt;=92,"A",IF(K.Sem[[#This Row],[Rata2 NK]]&gt;=83,"B",IF(K.Sem[[#This Row],[Rata2 NK]]&gt;=75,"C","D"))))</f>
        <v>Belum Terukur</v>
      </c>
      <c r="S23" s="61" t="str">
        <f t="shared" si="2"/>
        <v xml:space="preserve">Siswa menunjukkan kemampuannya namun masih memerlukan bimbingan dalam </v>
      </c>
      <c r="U23" s="103"/>
      <c r="V23" s="105"/>
      <c r="W23" s="60" t="str">
        <f>IF(K.Sem[[#This Row],[Predikat]]="A",$V$3,IF(K.Sem[[#This Row],[Predikat]]="B",$V$4,IF(K.Sem[[#This Row],[Predikat]]="C",$V$5,$V$6)))</f>
        <v xml:space="preserve">namun masih memerlukan bimbingan </v>
      </c>
    </row>
    <row r="24" spans="1:23" ht="50.1" customHeight="1" x14ac:dyDescent="0.3">
      <c r="A24" s="10" t="str">
        <f>IF(NSi.TS[[#This Row],[No]]=0,"",NSi.TS[[#This Row],[No]])</f>
        <v/>
      </c>
      <c r="B24" s="49" t="str">
        <f>IF(NSi.TS[[#This Row],[Nama Siswa]]=0,"",NSi.TS[[#This Row],[Nama Siswa]])</f>
        <v/>
      </c>
      <c r="C24" s="10" t="str">
        <f>IF(NSi.TS[[#This Row],[Nomor Induk]]=0,"",NSi.TS[[#This Row],[Nomor Induk]])</f>
        <v/>
      </c>
      <c r="D24" s="10" t="str">
        <f>IF(NSi.TS[[#This Row],[NISN]]=0,"",NSi.TS[[#This Row],[NISN]])</f>
        <v/>
      </c>
      <c r="E24" s="10" t="str">
        <f>IF(NSi.TS[[#This Row],[Jurusan]]=0,"",NSi.TS[[#This Row],[Jurusan]])</f>
        <v/>
      </c>
      <c r="F24" s="43" t="str">
        <f>K.Mid.S[[#This Row],[Rata2 NK]]</f>
        <v/>
      </c>
      <c r="G24" s="15"/>
      <c r="H24" s="15"/>
      <c r="I24" s="15"/>
      <c r="J24" s="15"/>
      <c r="K24" s="15"/>
      <c r="L24" s="15"/>
      <c r="M24" s="15"/>
      <c r="N24" s="15"/>
      <c r="O24" s="15"/>
      <c r="P24" s="15"/>
      <c r="Q24" s="20" t="str">
        <f>IFERROR(ROUND(AVERAGE(K.Sem[[#This Row],[Rata2 Mid.NK]:[NK 10]]),0),"")</f>
        <v/>
      </c>
      <c r="R24" s="11" t="str">
        <f>IF(K.Sem[[#This Row],[Rata2 NK]]="","Belum Terukur",IF(K.Sem[[#This Row],[Rata2 NK]]&gt;=92,"A",IF(K.Sem[[#This Row],[Rata2 NK]]&gt;=83,"B",IF(K.Sem[[#This Row],[Rata2 NK]]&gt;=75,"C","D"))))</f>
        <v>Belum Terukur</v>
      </c>
      <c r="S24" s="61" t="str">
        <f t="shared" si="2"/>
        <v xml:space="preserve">Siswa menunjukkan kemampuannya namun masih memerlukan bimbingan dalam </v>
      </c>
      <c r="U24" s="103"/>
      <c r="V24" s="105"/>
      <c r="W24" s="60" t="str">
        <f>IF(K.Sem[[#This Row],[Predikat]]="A",$V$3,IF(K.Sem[[#This Row],[Predikat]]="B",$V$4,IF(K.Sem[[#This Row],[Predikat]]="C",$V$5,$V$6)))</f>
        <v xml:space="preserve">namun masih memerlukan bimbingan </v>
      </c>
    </row>
    <row r="25" spans="1:23" ht="50.1" customHeight="1" x14ac:dyDescent="0.3">
      <c r="A25" s="10" t="str">
        <f>IF(NSi.TS[[#This Row],[No]]=0,"",NSi.TS[[#This Row],[No]])</f>
        <v/>
      </c>
      <c r="B25" s="49" t="str">
        <f>IF(NSi.TS[[#This Row],[Nama Siswa]]=0,"",NSi.TS[[#This Row],[Nama Siswa]])</f>
        <v/>
      </c>
      <c r="C25" s="10" t="str">
        <f>IF(NSi.TS[[#This Row],[Nomor Induk]]=0,"",NSi.TS[[#This Row],[Nomor Induk]])</f>
        <v/>
      </c>
      <c r="D25" s="10" t="str">
        <f>IF(NSi.TS[[#This Row],[NISN]]=0,"",NSi.TS[[#This Row],[NISN]])</f>
        <v/>
      </c>
      <c r="E25" s="10" t="str">
        <f>IF(NSi.TS[[#This Row],[Jurusan]]=0,"",NSi.TS[[#This Row],[Jurusan]])</f>
        <v/>
      </c>
      <c r="F25" s="43" t="str">
        <f>K.Mid.S[[#This Row],[Rata2 NK]]</f>
        <v/>
      </c>
      <c r="G25" s="15"/>
      <c r="H25" s="15"/>
      <c r="I25" s="15"/>
      <c r="J25" s="15"/>
      <c r="K25" s="15"/>
      <c r="L25" s="15"/>
      <c r="M25" s="15"/>
      <c r="N25" s="15"/>
      <c r="O25" s="15"/>
      <c r="P25" s="15"/>
      <c r="Q25" s="20" t="str">
        <f>IFERROR(ROUND(AVERAGE(K.Sem[[#This Row],[Rata2 Mid.NK]:[NK 10]]),0),"")</f>
        <v/>
      </c>
      <c r="R25" s="11" t="str">
        <f>IF(K.Sem[[#This Row],[Rata2 NK]]="","Belum Terukur",IF(K.Sem[[#This Row],[Rata2 NK]]&gt;=92,"A",IF(K.Sem[[#This Row],[Rata2 NK]]&gt;=83,"B",IF(K.Sem[[#This Row],[Rata2 NK]]&gt;=75,"C","D"))))</f>
        <v>Belum Terukur</v>
      </c>
      <c r="S25" s="61" t="str">
        <f t="shared" si="2"/>
        <v xml:space="preserve">Siswa menunjukkan kemampuannya namun masih memerlukan bimbingan dalam </v>
      </c>
      <c r="U25" s="103"/>
      <c r="V25" s="105"/>
      <c r="W25" s="60" t="str">
        <f>IF(K.Sem[[#This Row],[Predikat]]="A",$V$3,IF(K.Sem[[#This Row],[Predikat]]="B",$V$4,IF(K.Sem[[#This Row],[Predikat]]="C",$V$5,$V$6)))</f>
        <v xml:space="preserve">namun masih memerlukan bimbingan </v>
      </c>
    </row>
    <row r="26" spans="1:23" ht="50.1" customHeight="1" x14ac:dyDescent="0.3">
      <c r="A26" s="10" t="str">
        <f>IF(NSi.TS[[#This Row],[No]]=0,"",NSi.TS[[#This Row],[No]])</f>
        <v/>
      </c>
      <c r="B26" s="49" t="str">
        <f>IF(NSi.TS[[#This Row],[Nama Siswa]]=0,"",NSi.TS[[#This Row],[Nama Siswa]])</f>
        <v/>
      </c>
      <c r="C26" s="10" t="str">
        <f>IF(NSi.TS[[#This Row],[Nomor Induk]]=0,"",NSi.TS[[#This Row],[Nomor Induk]])</f>
        <v/>
      </c>
      <c r="D26" s="10" t="str">
        <f>IF(NSi.TS[[#This Row],[NISN]]=0,"",NSi.TS[[#This Row],[NISN]])</f>
        <v/>
      </c>
      <c r="E26" s="10" t="str">
        <f>IF(NSi.TS[[#This Row],[Jurusan]]=0,"",NSi.TS[[#This Row],[Jurusan]])</f>
        <v/>
      </c>
      <c r="F26" s="43" t="str">
        <f>K.Mid.S[[#This Row],[Rata2 NK]]</f>
        <v/>
      </c>
      <c r="G26" s="15"/>
      <c r="H26" s="15"/>
      <c r="I26" s="15"/>
      <c r="J26" s="15"/>
      <c r="K26" s="15"/>
      <c r="L26" s="15"/>
      <c r="M26" s="15"/>
      <c r="N26" s="15"/>
      <c r="O26" s="15"/>
      <c r="P26" s="15"/>
      <c r="Q26" s="20" t="str">
        <f>IFERROR(ROUND(AVERAGE(K.Sem[[#This Row],[Rata2 Mid.NK]:[NK 10]]),0),"")</f>
        <v/>
      </c>
      <c r="R26" s="11" t="str">
        <f>IF(K.Sem[[#This Row],[Rata2 NK]]="","Belum Terukur",IF(K.Sem[[#This Row],[Rata2 NK]]&gt;=92,"A",IF(K.Sem[[#This Row],[Rata2 NK]]&gt;=83,"B",IF(K.Sem[[#This Row],[Rata2 NK]]&gt;=75,"C","D"))))</f>
        <v>Belum Terukur</v>
      </c>
      <c r="S26" s="61" t="str">
        <f t="shared" si="2"/>
        <v xml:space="preserve">Siswa menunjukkan kemampuannya namun masih memerlukan bimbingan dalam </v>
      </c>
      <c r="U26" s="103"/>
      <c r="V26" s="105"/>
      <c r="W26" s="60" t="str">
        <f>IF(K.Sem[[#This Row],[Predikat]]="A",$V$3,IF(K.Sem[[#This Row],[Predikat]]="B",$V$4,IF(K.Sem[[#This Row],[Predikat]]="C",$V$5,$V$6)))</f>
        <v xml:space="preserve">namun masih memerlukan bimbingan </v>
      </c>
    </row>
    <row r="27" spans="1:23" ht="50.1" customHeight="1" x14ac:dyDescent="0.3">
      <c r="A27" s="10" t="str">
        <f>IF(NSi.TS[[#This Row],[No]]=0,"",NSi.TS[[#This Row],[No]])</f>
        <v/>
      </c>
      <c r="B27" s="49" t="str">
        <f>IF(NSi.TS[[#This Row],[Nama Siswa]]=0,"",NSi.TS[[#This Row],[Nama Siswa]])</f>
        <v/>
      </c>
      <c r="C27" s="10" t="str">
        <f>IF(NSi.TS[[#This Row],[Nomor Induk]]=0,"",NSi.TS[[#This Row],[Nomor Induk]])</f>
        <v/>
      </c>
      <c r="D27" s="10" t="str">
        <f>IF(NSi.TS[[#This Row],[NISN]]=0,"",NSi.TS[[#This Row],[NISN]])</f>
        <v/>
      </c>
      <c r="E27" s="10" t="str">
        <f>IF(NSi.TS[[#This Row],[Jurusan]]=0,"",NSi.TS[[#This Row],[Jurusan]])</f>
        <v/>
      </c>
      <c r="F27" s="43" t="str">
        <f>K.Mid.S[[#This Row],[Rata2 NK]]</f>
        <v/>
      </c>
      <c r="G27" s="15"/>
      <c r="H27" s="15"/>
      <c r="I27" s="15"/>
      <c r="J27" s="15"/>
      <c r="K27" s="15"/>
      <c r="L27" s="15"/>
      <c r="M27" s="15"/>
      <c r="N27" s="15"/>
      <c r="O27" s="15"/>
      <c r="P27" s="15"/>
      <c r="Q27" s="20" t="str">
        <f>IFERROR(ROUND(AVERAGE(K.Sem[[#This Row],[Rata2 Mid.NK]:[NK 10]]),0),"")</f>
        <v/>
      </c>
      <c r="R27" s="11" t="str">
        <f>IF(K.Sem[[#This Row],[Rata2 NK]]="","Belum Terukur",IF(K.Sem[[#This Row],[Rata2 NK]]&gt;=92,"A",IF(K.Sem[[#This Row],[Rata2 NK]]&gt;=83,"B",IF(K.Sem[[#This Row],[Rata2 NK]]&gt;=75,"C","D"))))</f>
        <v>Belum Terukur</v>
      </c>
      <c r="S27" s="61" t="str">
        <f t="shared" si="2"/>
        <v xml:space="preserve">Siswa menunjukkan kemampuannya namun masih memerlukan bimbingan dalam </v>
      </c>
      <c r="U27" s="103"/>
      <c r="V27" s="106"/>
      <c r="W27" s="60" t="str">
        <f>IF(K.Sem[[#This Row],[Predikat]]="A",$V$3,IF(K.Sem[[#This Row],[Predikat]]="B",$V$4,IF(K.Sem[[#This Row],[Predikat]]="C",$V$5,$V$6)))</f>
        <v xml:space="preserve">namun masih memerlukan bimbingan </v>
      </c>
    </row>
  </sheetData>
  <sheetProtection selectLockedCells="1"/>
  <mergeCells count="4">
    <mergeCell ref="U3:U27"/>
    <mergeCell ref="V7:V27"/>
    <mergeCell ref="G1:P1"/>
    <mergeCell ref="Q1:R1"/>
  </mergeCells>
  <phoneticPr fontId="5" type="noConversion"/>
  <conditionalFormatting sqref="A3:E27">
    <cfRule type="notContainsBlanks" dxfId="24" priority="1">
      <formula>LEN(TRIM(A3))&gt;0</formula>
    </cfRule>
  </conditionalFormatting>
  <conditionalFormatting sqref="F3:Q27">
    <cfRule type="iconSet" priority="2">
      <iconSet>
        <cfvo type="percent" val="0"/>
        <cfvo type="num" val="50"/>
        <cfvo type="num" val="70"/>
      </iconSet>
    </cfRule>
  </conditionalFormatting>
  <dataValidations count="5">
    <dataValidation allowBlank="1" showInputMessage="1" showErrorMessage="1" prompt="Rata-Rata Nilai Tengah Semester untuk Nilai Keterampilan" sqref="F3:F27" xr:uid="{EB9D0940-2DC6-4ED2-B669-F7D4609ACE36}"/>
    <dataValidation allowBlank="1" showInputMessage="1" showErrorMessage="1" prompt="Rata-Rata Nilai Semester untuk Nilai Keterampilan" sqref="Q3:Q27" xr:uid="{36C9ED58-15E4-4C67-A5A8-4836B7A1079C}"/>
    <dataValidation allowBlank="1" showInputMessage="1" showErrorMessage="1" prompt="Nilai Konversi yang diambil dari Predikat A, B, C, atau D" sqref="W3:W27" xr:uid="{AAFB146C-1CA2-4CD1-B7AD-BAC1EA05255C}"/>
    <dataValidation allowBlank="1" showInputMessage="1" showErrorMessage="1" prompt="Isilah dengan KD yang diajarkan di semester ini dengan diawali kata kerja yang ingin dicapai untuk siswa/peserta didik" sqref="U3:U27" xr:uid="{7F9138BB-8041-46AF-9793-16A81155EF99}"/>
    <dataValidation allowBlank="1" showInputMessage="1" showErrorMessage="1" prompt="Nilai Keterampilan untuk Raport di Akhir Semester" sqref="R3:S27" xr:uid="{C9616C1A-229D-43FF-B509-A9EF1672258A}"/>
  </dataValidations>
  <pageMargins left="0.7" right="0.7" top="0.75" bottom="0.75" header="0.3" footer="0.3"/>
  <pageSetup orientation="portrait" horizontalDpi="360" verticalDpi="36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2 u Q T 6 n M 7 x e n A A A A + A A A A B I A H A B D b 2 5 m a W c v U G F j a 2 F n Z S 5 4 b W w g o h g A K K A U A A A A A A A A A A A A A A A A A A A A A A A A A A A A h Y 8 x D o I w G E a v Q r r T F g Q V 8 l M G V 0 l M i M a 1 g Q q N U A w t l r s 5 e C S v I I m i b o 7 f y x v e 9 7 j d I R 3 b x r m K X s t O J c j D F D l C F V 0 p V Z W g w Z z c N U o Z 7 H h x 5 p V w J l n p e N R l g m p j L j E h 1 l p s F 7 j r K + J T 6 p F j t s 2 L W r Q c f W T 5 X 3 a l 0 o a r Q i A G h 1 c M 8 / E q x O E y i H A U e E B m D J l U X 8 W f i j E F 8 g N h M z R m 6 A U T y t 3 n Q O Y J 5 P 2 C P Q F Q S w M E F A A C A A g A k 2 u Q T 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N r k E 8 o i k e 4 D g A A A B E A A A A T A B w A R m 9 y b X V s Y X M v U 2 V j d G l v b j E u b S C i G A A o o B Q A A A A A A A A A A A A A A A A A A A A A A A A A A A A r T k 0 u y c z P U w i G 0 I b W A F B L A Q I t A B Q A A g A I A J N r k E + p z O 8 X p w A A A P g A A A A S A A A A A A A A A A A A A A A A A A A A A A B D b 2 5 m a W c v U G F j a 2 F n Z S 5 4 b W x Q S w E C L Q A U A A I A C A C T a 5 B P D 8 r p q 6 Q A A A D p A A A A E w A A A A A A A A A A A A A A A A D z A A A A W 0 N v b n R l b n R f V H l w Z X N d L n h t b F B L A Q I t A B Q A A g A I A J N r k E 8 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5 F k 2 U k 6 F 4 Q Y 5 b J x V A q Q 4 C A A A A A A I A A A A A A B B m A A A A A Q A A I A A A A C z P k A G 7 m S Z l S j 4 M u q l 6 A p H Z o b U i 9 a p L e g g T 6 E D T / E v 4 A A A A A A 6 A A A A A A g A A I A A A A A D g y 0 l M b L R o e d j h C S i s A v R a T K 9 z V m G L h 9 c j N g Z S P h K 5 U A A A A J I t J m 4 S 3 c r v A N e 3 Q W t t T n 9 6 N q C F t M E K t j C + g F 7 3 f G n g Y R z m 0 V e 3 9 A u f Y n V Q y V 7 x c w V l x T D f N + M b 0 0 A o T c f 9 p u 9 Y Y m L b B k 6 p l G 3 t z h U T g 7 k O Q A A A A H Z U m 3 y b k i 9 j e k R X 0 q 3 F q H o C l o H Z A 0 X n + d d m M 7 b 8 u K C o d i A w r 4 P 0 2 b Z + + y D b h y C w t X E V b 6 / w L + n B x / S o V F 6 v t a M = < / D a t a M a s h u p > 
</file>

<file path=customXml/itemProps1.xml><?xml version="1.0" encoding="utf-8"?>
<ds:datastoreItem xmlns:ds="http://schemas.openxmlformats.org/officeDocument/2006/customXml" ds:itemID="{9B5E041D-1CF7-40F6-B22E-FE5509BF839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NS (Mid.S)</vt:lpstr>
      <vt:lpstr>NP (Mid.S)</vt:lpstr>
      <vt:lpstr>NK (Mid.S)</vt:lpstr>
      <vt:lpstr>NS (S)</vt:lpstr>
      <vt:lpstr>NP (S)</vt:lpstr>
      <vt:lpstr>NK (S)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Iswahyudhi Rahman</dc:creator>
  <cp:keywords/>
  <dc:description/>
  <cp:lastModifiedBy>ASUS</cp:lastModifiedBy>
  <cp:revision/>
  <dcterms:created xsi:type="dcterms:W3CDTF">2019-12-12T06:57:46Z</dcterms:created>
  <dcterms:modified xsi:type="dcterms:W3CDTF">2023-02-28T04:49:57Z</dcterms:modified>
  <cp:category/>
  <cp:contentStatus/>
</cp:coreProperties>
</file>