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updateLinks="always" defaultThemeVersion="166925"/>
  <mc:AlternateContent xmlns:mc="http://schemas.openxmlformats.org/markup-compatibility/2006">
    <mc:Choice Requires="x15">
      <x15ac:absPath xmlns:x15ac="http://schemas.microsoft.com/office/spreadsheetml/2010/11/ac" url="C:\Users\ASUS\Desktop\PyRChicken\Template\Subjects\"/>
    </mc:Choice>
  </mc:AlternateContent>
  <xr:revisionPtr revIDLastSave="0" documentId="13_ncr:1_{0DA51CBD-4E53-47EC-B771-FF1D9532A94C}" xr6:coauthVersionLast="47" xr6:coauthVersionMax="47" xr10:uidLastSave="{00000000-0000-0000-0000-000000000000}"/>
  <bookViews>
    <workbookView xWindow="-108" yWindow="-108" windowWidth="23256" windowHeight="12456" tabRatio="822" activeTab="1" xr2:uid="{944508B3-3DA5-4EAB-A99C-6102358CCCCC}"/>
  </bookViews>
  <sheets>
    <sheet name="Info" sheetId="12" r:id="rId1"/>
    <sheet name="NS (Mid.S)" sheetId="13" r:id="rId2"/>
    <sheet name="NP (Mid.S)" sheetId="1" r:id="rId3"/>
    <sheet name="NK (Mid.S)" sheetId="7" r:id="rId4"/>
    <sheet name="NS (S)" sheetId="14" r:id="rId5"/>
    <sheet name="NP (S)" sheetId="2" r:id="rId6"/>
    <sheet name="NK (S)"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9" i="8" l="1"/>
  <c r="Q10" i="8"/>
  <c r="Q11" i="8"/>
  <c r="Q12" i="8"/>
  <c r="Q13" i="8"/>
  <c r="Q14" i="8"/>
  <c r="Q15" i="8"/>
  <c r="Q16" i="8"/>
  <c r="T5" i="2"/>
  <c r="S4" i="1"/>
  <c r="S8" i="1"/>
  <c r="S10" i="1"/>
  <c r="S11" i="1"/>
  <c r="S12" i="1"/>
  <c r="T4" i="2"/>
  <c r="S5" i="1"/>
  <c r="S7" i="1"/>
  <c r="S9" i="1"/>
  <c r="S13" i="1"/>
  <c r="S14" i="1"/>
  <c r="S17" i="1"/>
  <c r="S21" i="1"/>
  <c r="S22" i="1"/>
  <c r="S23" i="1"/>
  <c r="S18" i="1"/>
  <c r="S26" i="1"/>
  <c r="S6" i="1"/>
  <c r="S15" i="1"/>
  <c r="S16" i="1"/>
  <c r="S19" i="1"/>
  <c r="S20" i="1"/>
  <c r="S24" i="1"/>
  <c r="S25" i="1"/>
  <c r="S27" i="1"/>
  <c r="S28" i="1"/>
  <c r="D3" i="8"/>
  <c r="E3" i="8"/>
  <c r="D4" i="8"/>
  <c r="E4" i="8"/>
  <c r="D5" i="8"/>
  <c r="E5" i="8"/>
  <c r="D6" i="8"/>
  <c r="E6" i="8"/>
  <c r="D7" i="8"/>
  <c r="E7" i="8"/>
  <c r="D8" i="8"/>
  <c r="E8" i="8"/>
  <c r="D9" i="8"/>
  <c r="E9" i="8"/>
  <c r="D10" i="8"/>
  <c r="E10" i="8"/>
  <c r="D11" i="8"/>
  <c r="E11" i="8"/>
  <c r="D12" i="8"/>
  <c r="E12" i="8"/>
  <c r="D13" i="8"/>
  <c r="E13" i="8"/>
  <c r="D14" i="8"/>
  <c r="E14" i="8"/>
  <c r="D15" i="8"/>
  <c r="E15" i="8"/>
  <c r="D16" i="8"/>
  <c r="E16" i="8"/>
  <c r="D17" i="8"/>
  <c r="E17" i="8"/>
  <c r="D18" i="8"/>
  <c r="E18" i="8"/>
  <c r="D19" i="8"/>
  <c r="E19" i="8"/>
  <c r="D20" i="8"/>
  <c r="E20" i="8"/>
  <c r="D21" i="8"/>
  <c r="E21" i="8"/>
  <c r="D22" i="8"/>
  <c r="E22" i="8"/>
  <c r="D23" i="8"/>
  <c r="E23" i="8"/>
  <c r="D24" i="8"/>
  <c r="E24" i="8"/>
  <c r="D25" i="8"/>
  <c r="E25" i="8"/>
  <c r="D26" i="8"/>
  <c r="E26" i="8"/>
  <c r="D27" i="8"/>
  <c r="E27" i="8"/>
  <c r="D4" i="1"/>
  <c r="E4" i="1"/>
  <c r="D5" i="1"/>
  <c r="E5" i="1"/>
  <c r="D6" i="1"/>
  <c r="E6" i="1"/>
  <c r="D7" i="1"/>
  <c r="E7" i="1"/>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3" i="7"/>
  <c r="E3" i="7"/>
  <c r="D4" i="7"/>
  <c r="E4" i="7"/>
  <c r="D5" i="7"/>
  <c r="E5" i="7"/>
  <c r="D6" i="7"/>
  <c r="E6" i="7"/>
  <c r="D7" i="7"/>
  <c r="E7" i="7"/>
  <c r="D8" i="7"/>
  <c r="E8" i="7"/>
  <c r="D9" i="7"/>
  <c r="E9" i="7"/>
  <c r="D10" i="7"/>
  <c r="E10" i="7"/>
  <c r="D11" i="7"/>
  <c r="E11" i="7"/>
  <c r="D12" i="7"/>
  <c r="E12" i="7"/>
  <c r="D13" i="7"/>
  <c r="E13" i="7"/>
  <c r="D14" i="7"/>
  <c r="E14" i="7"/>
  <c r="D15" i="7"/>
  <c r="E15" i="7"/>
  <c r="D16" i="7"/>
  <c r="E16" i="7"/>
  <c r="D17" i="7"/>
  <c r="E17" i="7"/>
  <c r="D18" i="7"/>
  <c r="E18" i="7"/>
  <c r="D19" i="7"/>
  <c r="E19" i="7"/>
  <c r="D20" i="7"/>
  <c r="E20" i="7"/>
  <c r="D21" i="7"/>
  <c r="E21" i="7"/>
  <c r="D22" i="7"/>
  <c r="E22" i="7"/>
  <c r="D23" i="7"/>
  <c r="E23" i="7"/>
  <c r="D24" i="7"/>
  <c r="E24" i="7"/>
  <c r="D25" i="7"/>
  <c r="E25" i="7"/>
  <c r="D26" i="7"/>
  <c r="E26" i="7"/>
  <c r="D27" i="7"/>
  <c r="E27" i="7"/>
  <c r="D3" i="14"/>
  <c r="E3" i="14"/>
  <c r="D4" i="14"/>
  <c r="E4" i="14"/>
  <c r="D5" i="14"/>
  <c r="E5" i="14"/>
  <c r="D6" i="14"/>
  <c r="E6" i="14"/>
  <c r="D7" i="14"/>
  <c r="E7" i="14"/>
  <c r="D8" i="14"/>
  <c r="E8" i="14"/>
  <c r="D9" i="14"/>
  <c r="E9" i="14"/>
  <c r="D10" i="14"/>
  <c r="E10" i="14"/>
  <c r="D11" i="14"/>
  <c r="E11" i="14"/>
  <c r="D12" i="14"/>
  <c r="E12" i="14"/>
  <c r="D13" i="14"/>
  <c r="E13" i="14"/>
  <c r="D14" i="14"/>
  <c r="E14" i="14"/>
  <c r="D15" i="14"/>
  <c r="E15" i="14"/>
  <c r="D16" i="14"/>
  <c r="E16" i="14"/>
  <c r="D17" i="14"/>
  <c r="E17" i="14"/>
  <c r="D18" i="14"/>
  <c r="E18" i="14"/>
  <c r="D19" i="14"/>
  <c r="E19" i="14"/>
  <c r="D20" i="14"/>
  <c r="E20" i="14"/>
  <c r="D21" i="14"/>
  <c r="E21" i="14"/>
  <c r="D22" i="14"/>
  <c r="E22" i="14"/>
  <c r="D23" i="14"/>
  <c r="E23" i="14"/>
  <c r="D24" i="14"/>
  <c r="E24" i="14"/>
  <c r="D25" i="14"/>
  <c r="E25" i="14"/>
  <c r="D26" i="14"/>
  <c r="E26" i="14"/>
  <c r="D27" i="14"/>
  <c r="E27" i="14"/>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D26" i="2"/>
  <c r="E26" i="2"/>
  <c r="D27" i="2"/>
  <c r="E27" i="2"/>
  <c r="D28" i="2"/>
  <c r="E28" i="2"/>
  <c r="A1" i="14"/>
  <c r="A3" i="8" l="1"/>
  <c r="A4" i="8"/>
  <c r="A5" i="8"/>
  <c r="A6" i="8"/>
  <c r="A7" i="8"/>
  <c r="A8" i="8"/>
  <c r="A9" i="8"/>
  <c r="A10" i="8"/>
  <c r="A11" i="8"/>
  <c r="A12" i="8"/>
  <c r="A13" i="8"/>
  <c r="A14" i="8"/>
  <c r="A15" i="8"/>
  <c r="A16" i="8"/>
  <c r="A17" i="8"/>
  <c r="A18" i="8"/>
  <c r="A19" i="8"/>
  <c r="A20" i="8"/>
  <c r="A21" i="8"/>
  <c r="A22" i="8"/>
  <c r="A23" i="8"/>
  <c r="A24" i="8"/>
  <c r="A25" i="8"/>
  <c r="A26" i="8"/>
  <c r="A27" i="8"/>
  <c r="B3" i="8"/>
  <c r="B4" i="8"/>
  <c r="B5" i="8"/>
  <c r="B6" i="8"/>
  <c r="B7" i="8"/>
  <c r="B8" i="8"/>
  <c r="B9" i="8"/>
  <c r="B10" i="8"/>
  <c r="B11" i="8"/>
  <c r="B12" i="8"/>
  <c r="B13" i="8"/>
  <c r="B14" i="8"/>
  <c r="B15" i="8"/>
  <c r="B16" i="8"/>
  <c r="B17" i="8"/>
  <c r="B18" i="8"/>
  <c r="B19" i="8"/>
  <c r="B20" i="8"/>
  <c r="B21" i="8"/>
  <c r="B22" i="8"/>
  <c r="B23" i="8"/>
  <c r="B24" i="8"/>
  <c r="B25" i="8"/>
  <c r="B26" i="8"/>
  <c r="B27" i="8"/>
  <c r="C3" i="8"/>
  <c r="C4" i="8"/>
  <c r="C5" i="8"/>
  <c r="C6" i="8"/>
  <c r="C7" i="8"/>
  <c r="C8" i="8"/>
  <c r="C9" i="8"/>
  <c r="C10" i="8"/>
  <c r="C11" i="8"/>
  <c r="C12" i="8"/>
  <c r="C13" i="8"/>
  <c r="C14" i="8"/>
  <c r="C15" i="8"/>
  <c r="C16" i="8"/>
  <c r="C17" i="8"/>
  <c r="C18" i="8"/>
  <c r="C19" i="8"/>
  <c r="C20" i="8"/>
  <c r="C21" i="8"/>
  <c r="C22" i="8"/>
  <c r="C23" i="8"/>
  <c r="C24" i="8"/>
  <c r="C25" i="8"/>
  <c r="C26" i="8"/>
  <c r="C27" i="8"/>
  <c r="A3" i="7"/>
  <c r="A4" i="7"/>
  <c r="A5" i="7"/>
  <c r="A6" i="7"/>
  <c r="A7" i="7"/>
  <c r="A8" i="7"/>
  <c r="A9" i="7"/>
  <c r="A10" i="7"/>
  <c r="A11" i="7"/>
  <c r="A12" i="7"/>
  <c r="A13" i="7"/>
  <c r="A14" i="7"/>
  <c r="A15" i="7"/>
  <c r="A16" i="7"/>
  <c r="A17" i="7"/>
  <c r="A18" i="7"/>
  <c r="A19" i="7"/>
  <c r="A20" i="7"/>
  <c r="A21" i="7"/>
  <c r="A22" i="7"/>
  <c r="A23" i="7"/>
  <c r="A24" i="7"/>
  <c r="A25" i="7"/>
  <c r="A26" i="7"/>
  <c r="A27" i="7"/>
  <c r="B3" i="7"/>
  <c r="B4" i="7"/>
  <c r="B5" i="7"/>
  <c r="B6" i="7"/>
  <c r="B7" i="7"/>
  <c r="B8" i="7"/>
  <c r="B9" i="7"/>
  <c r="B10" i="7"/>
  <c r="B11" i="7"/>
  <c r="B12" i="7"/>
  <c r="B13" i="7"/>
  <c r="B14" i="7"/>
  <c r="B15" i="7"/>
  <c r="B16" i="7"/>
  <c r="B17" i="7"/>
  <c r="B18" i="7"/>
  <c r="B19" i="7"/>
  <c r="B20" i="7"/>
  <c r="B21" i="7"/>
  <c r="B22" i="7"/>
  <c r="B23" i="7"/>
  <c r="B24" i="7"/>
  <c r="B25" i="7"/>
  <c r="B26" i="7"/>
  <c r="B27" i="7"/>
  <c r="C3" i="7"/>
  <c r="C4" i="7"/>
  <c r="C5" i="7"/>
  <c r="C6" i="7"/>
  <c r="C7" i="7"/>
  <c r="C8" i="7"/>
  <c r="C9" i="7"/>
  <c r="C10" i="7"/>
  <c r="C11" i="7"/>
  <c r="C12" i="7"/>
  <c r="C13" i="7"/>
  <c r="C14" i="7"/>
  <c r="C15" i="7"/>
  <c r="C16" i="7"/>
  <c r="C17" i="7"/>
  <c r="C18" i="7"/>
  <c r="C19" i="7"/>
  <c r="C20" i="7"/>
  <c r="C21" i="7"/>
  <c r="C22" i="7"/>
  <c r="C23" i="7"/>
  <c r="C24" i="7"/>
  <c r="C25" i="7"/>
  <c r="C26" i="7"/>
  <c r="C27" i="7"/>
  <c r="A4" i="2"/>
  <c r="A5" i="2"/>
  <c r="A6" i="2"/>
  <c r="A7" i="2"/>
  <c r="A8" i="2"/>
  <c r="A9" i="2"/>
  <c r="A10" i="2"/>
  <c r="A11" i="2"/>
  <c r="A12" i="2"/>
  <c r="A13" i="2"/>
  <c r="A14" i="2"/>
  <c r="A15" i="2"/>
  <c r="A16" i="2"/>
  <c r="A17" i="2"/>
  <c r="A18" i="2"/>
  <c r="A19" i="2"/>
  <c r="A20" i="2"/>
  <c r="A21" i="2"/>
  <c r="A22" i="2"/>
  <c r="A23" i="2"/>
  <c r="A24" i="2"/>
  <c r="A25" i="2"/>
  <c r="A26" i="2"/>
  <c r="A27" i="2"/>
  <c r="A28" i="2"/>
  <c r="B4" i="2"/>
  <c r="B5" i="2"/>
  <c r="B6" i="2"/>
  <c r="B7" i="2"/>
  <c r="B8" i="2"/>
  <c r="B9" i="2"/>
  <c r="B10" i="2"/>
  <c r="B11" i="2"/>
  <c r="B12" i="2"/>
  <c r="B13" i="2"/>
  <c r="B14" i="2"/>
  <c r="B15" i="2"/>
  <c r="B16" i="2"/>
  <c r="B17" i="2"/>
  <c r="B18" i="2"/>
  <c r="B19" i="2"/>
  <c r="B20" i="2"/>
  <c r="B21" i="2"/>
  <c r="B22" i="2"/>
  <c r="B23" i="2"/>
  <c r="B24" i="2"/>
  <c r="B25" i="2"/>
  <c r="B26" i="2"/>
  <c r="B27" i="2"/>
  <c r="B28" i="2"/>
  <c r="C4" i="2"/>
  <c r="C5" i="2"/>
  <c r="C6" i="2"/>
  <c r="C7" i="2"/>
  <c r="C8" i="2"/>
  <c r="C9" i="2"/>
  <c r="C10" i="2"/>
  <c r="C11" i="2"/>
  <c r="C12" i="2"/>
  <c r="C13" i="2"/>
  <c r="C14" i="2"/>
  <c r="C15" i="2"/>
  <c r="C16" i="2"/>
  <c r="C17" i="2"/>
  <c r="C18" i="2"/>
  <c r="C19" i="2"/>
  <c r="C20" i="2"/>
  <c r="C21" i="2"/>
  <c r="C22" i="2"/>
  <c r="C23" i="2"/>
  <c r="C24" i="2"/>
  <c r="C25" i="2"/>
  <c r="C26" i="2"/>
  <c r="C27" i="2"/>
  <c r="C28" i="2"/>
  <c r="C5" i="1"/>
  <c r="C6" i="1"/>
  <c r="C7" i="1"/>
  <c r="C8" i="1"/>
  <c r="C9" i="1"/>
  <c r="C10" i="1"/>
  <c r="C11" i="1"/>
  <c r="C12" i="1"/>
  <c r="C13" i="1"/>
  <c r="C14" i="1"/>
  <c r="C15" i="1"/>
  <c r="C16" i="1"/>
  <c r="C17" i="1"/>
  <c r="C18" i="1"/>
  <c r="C19" i="1"/>
  <c r="C20" i="1"/>
  <c r="C21" i="1"/>
  <c r="C22" i="1"/>
  <c r="C23" i="1"/>
  <c r="C24" i="1"/>
  <c r="C25" i="1"/>
  <c r="C26" i="1"/>
  <c r="C27" i="1"/>
  <c r="C28" i="1"/>
  <c r="B5" i="1"/>
  <c r="B6" i="1"/>
  <c r="B7" i="1"/>
  <c r="B8" i="1"/>
  <c r="B9" i="1"/>
  <c r="B10" i="1"/>
  <c r="B11" i="1"/>
  <c r="B12" i="1"/>
  <c r="B13" i="1"/>
  <c r="B14" i="1"/>
  <c r="B15" i="1"/>
  <c r="B16" i="1"/>
  <c r="B17" i="1"/>
  <c r="B18" i="1"/>
  <c r="B19" i="1"/>
  <c r="B20" i="1"/>
  <c r="B21" i="1"/>
  <c r="B22" i="1"/>
  <c r="B23" i="1"/>
  <c r="B24" i="1"/>
  <c r="B25" i="1"/>
  <c r="B26" i="1"/>
  <c r="B27" i="1"/>
  <c r="B28" i="1"/>
  <c r="B4" i="1"/>
  <c r="C4" i="1"/>
  <c r="A4" i="1"/>
  <c r="A5" i="1"/>
  <c r="A6" i="1"/>
  <c r="A7" i="1"/>
  <c r="A8" i="1"/>
  <c r="A9" i="1"/>
  <c r="A10" i="1"/>
  <c r="A11" i="1"/>
  <c r="A12" i="1"/>
  <c r="A13" i="1"/>
  <c r="A14" i="1"/>
  <c r="A15" i="1"/>
  <c r="A16" i="1"/>
  <c r="A17" i="1"/>
  <c r="A18" i="1"/>
  <c r="A19" i="1"/>
  <c r="A20" i="1"/>
  <c r="A21" i="1"/>
  <c r="A22" i="1"/>
  <c r="A23" i="1"/>
  <c r="A24" i="1"/>
  <c r="A25" i="1"/>
  <c r="A26" i="1"/>
  <c r="A27" i="1"/>
  <c r="A28" i="1"/>
  <c r="C3" i="14"/>
  <c r="C4" i="14"/>
  <c r="C5" i="14"/>
  <c r="C6" i="14"/>
  <c r="C7" i="14"/>
  <c r="C8" i="14"/>
  <c r="C9" i="14"/>
  <c r="C10" i="14"/>
  <c r="C11" i="14"/>
  <c r="C12" i="14"/>
  <c r="C13" i="14"/>
  <c r="C14" i="14"/>
  <c r="C15" i="14"/>
  <c r="C16" i="14"/>
  <c r="C17" i="14"/>
  <c r="C18" i="14"/>
  <c r="C19" i="14"/>
  <c r="C20" i="14"/>
  <c r="C21" i="14"/>
  <c r="C22" i="14"/>
  <c r="C23" i="14"/>
  <c r="C24" i="14"/>
  <c r="C25" i="14"/>
  <c r="C26" i="14"/>
  <c r="C27" i="14"/>
  <c r="B3" i="14"/>
  <c r="B4" i="14"/>
  <c r="B5" i="14"/>
  <c r="B6" i="14"/>
  <c r="B7" i="14"/>
  <c r="B8" i="14"/>
  <c r="B9" i="14"/>
  <c r="B10" i="14"/>
  <c r="B11" i="14"/>
  <c r="B12" i="14"/>
  <c r="B13" i="14"/>
  <c r="B14" i="14"/>
  <c r="B15" i="14"/>
  <c r="B16" i="14"/>
  <c r="B17" i="14"/>
  <c r="B18" i="14"/>
  <c r="B19" i="14"/>
  <c r="B20" i="14"/>
  <c r="B21" i="14"/>
  <c r="B22" i="14"/>
  <c r="B23" i="14"/>
  <c r="B24" i="14"/>
  <c r="B25" i="14"/>
  <c r="B26" i="14"/>
  <c r="B27" i="14"/>
  <c r="A3" i="14"/>
  <c r="A4" i="14"/>
  <c r="A5" i="14"/>
  <c r="A6" i="14"/>
  <c r="A7" i="14"/>
  <c r="A8" i="14"/>
  <c r="A9" i="14"/>
  <c r="A10" i="14"/>
  <c r="A11" i="14"/>
  <c r="A12" i="14"/>
  <c r="A13" i="14"/>
  <c r="A14" i="14"/>
  <c r="A15" i="14"/>
  <c r="A16" i="14"/>
  <c r="A17" i="14"/>
  <c r="A18" i="14"/>
  <c r="A19" i="14"/>
  <c r="A20" i="14"/>
  <c r="A21" i="14"/>
  <c r="A22" i="14"/>
  <c r="A23" i="14"/>
  <c r="A24" i="14"/>
  <c r="A25" i="14"/>
  <c r="A26" i="14"/>
  <c r="A27" i="14"/>
  <c r="DR27" i="14" l="1"/>
  <c r="DQ27" i="14"/>
  <c r="DP27" i="14"/>
  <c r="DO27" i="14"/>
  <c r="DN27" i="14"/>
  <c r="DM27" i="14"/>
  <c r="DL27" i="14"/>
  <c r="DK27" i="14"/>
  <c r="DJ27" i="14"/>
  <c r="DI27" i="14"/>
  <c r="DH27" i="14"/>
  <c r="DG27" i="14"/>
  <c r="DF27" i="14"/>
  <c r="DE27" i="14"/>
  <c r="DD27" i="14"/>
  <c r="DC27" i="14"/>
  <c r="DB27" i="14"/>
  <c r="DA27" i="14"/>
  <c r="CZ27" i="14"/>
  <c r="CY27" i="14"/>
  <c r="CX27" i="14"/>
  <c r="CW27" i="14"/>
  <c r="CV27" i="14"/>
  <c r="CU27" i="14"/>
  <c r="CT27" i="14"/>
  <c r="CS27" i="14"/>
  <c r="CR27" i="14"/>
  <c r="CQ27" i="14"/>
  <c r="CP27" i="14"/>
  <c r="CO27" i="14"/>
  <c r="CN27" i="14"/>
  <c r="CM27" i="14"/>
  <c r="CL27" i="14"/>
  <c r="CK27" i="14"/>
  <c r="CJ27" i="14"/>
  <c r="CI27" i="14"/>
  <c r="CH27" i="14"/>
  <c r="CG27" i="14"/>
  <c r="CF27" i="14"/>
  <c r="CE27" i="14"/>
  <c r="CD27" i="14"/>
  <c r="CC27" i="14"/>
  <c r="CB27" i="14"/>
  <c r="CA27" i="14"/>
  <c r="BZ27" i="14"/>
  <c r="DR26" i="14"/>
  <c r="DQ26" i="14"/>
  <c r="DP26" i="14"/>
  <c r="DO26" i="14"/>
  <c r="DN26" i="14"/>
  <c r="DM26" i="14"/>
  <c r="DL26" i="14"/>
  <c r="DK26" i="14"/>
  <c r="DJ26" i="14"/>
  <c r="DI26" i="14"/>
  <c r="DH26" i="14"/>
  <c r="DG26" i="14"/>
  <c r="DF26" i="14"/>
  <c r="DE26" i="14"/>
  <c r="DD26" i="14"/>
  <c r="DC26" i="14"/>
  <c r="DB26" i="14"/>
  <c r="DA26" i="14"/>
  <c r="CZ26" i="14"/>
  <c r="CY26" i="14"/>
  <c r="CX26" i="14"/>
  <c r="CW26" i="14"/>
  <c r="CV26" i="14"/>
  <c r="CU26" i="14"/>
  <c r="CT26" i="14"/>
  <c r="CS26" i="14"/>
  <c r="CR26" i="14"/>
  <c r="CQ26" i="14"/>
  <c r="CP26" i="14"/>
  <c r="CO26" i="14"/>
  <c r="CN26" i="14"/>
  <c r="CM26" i="14"/>
  <c r="CL26" i="14"/>
  <c r="CK26" i="14"/>
  <c r="CJ26" i="14"/>
  <c r="CI26" i="14"/>
  <c r="CH26" i="14"/>
  <c r="CG26" i="14"/>
  <c r="CF26" i="14"/>
  <c r="CE26" i="14"/>
  <c r="CD26" i="14"/>
  <c r="CC26" i="14"/>
  <c r="CB26" i="14"/>
  <c r="CA26" i="14"/>
  <c r="BZ26" i="14"/>
  <c r="DR25" i="14"/>
  <c r="DQ25" i="14"/>
  <c r="DP25" i="14"/>
  <c r="DO25" i="14"/>
  <c r="DN25" i="14"/>
  <c r="DM25" i="14"/>
  <c r="DL25" i="14"/>
  <c r="DK25" i="14"/>
  <c r="DJ25" i="14"/>
  <c r="DI25" i="14"/>
  <c r="DH25" i="14"/>
  <c r="DG25" i="14"/>
  <c r="DF25" i="14"/>
  <c r="DE25" i="14"/>
  <c r="DD25" i="14"/>
  <c r="DC25" i="14"/>
  <c r="DB25" i="14"/>
  <c r="DA25" i="14"/>
  <c r="CZ25" i="14"/>
  <c r="CY25" i="14"/>
  <c r="CX25" i="14"/>
  <c r="CW25" i="14"/>
  <c r="CV25" i="14"/>
  <c r="CU25" i="14"/>
  <c r="CT25" i="14"/>
  <c r="CS25" i="14"/>
  <c r="CR25" i="14"/>
  <c r="CQ25" i="14"/>
  <c r="CP25" i="14"/>
  <c r="CO25" i="14"/>
  <c r="CN25" i="14"/>
  <c r="CM25" i="14"/>
  <c r="CL25" i="14"/>
  <c r="CK25" i="14"/>
  <c r="CJ25" i="14"/>
  <c r="CI25" i="14"/>
  <c r="CH25" i="14"/>
  <c r="CG25" i="14"/>
  <c r="CF25" i="14"/>
  <c r="CE25" i="14"/>
  <c r="CD25" i="14"/>
  <c r="CC25" i="14"/>
  <c r="CB25" i="14"/>
  <c r="CA25" i="14"/>
  <c r="BZ25" i="14"/>
  <c r="DR24" i="14"/>
  <c r="DQ24" i="14"/>
  <c r="DP24" i="14"/>
  <c r="DO24" i="14"/>
  <c r="DN24" i="14"/>
  <c r="DM24" i="14"/>
  <c r="DL24" i="14"/>
  <c r="DK24" i="14"/>
  <c r="DJ24" i="14"/>
  <c r="DI24" i="14"/>
  <c r="DH24" i="14"/>
  <c r="DG24" i="14"/>
  <c r="DF24" i="14"/>
  <c r="DE24" i="14"/>
  <c r="DD24" i="14"/>
  <c r="DC24" i="14"/>
  <c r="DB24" i="14"/>
  <c r="DA24" i="14"/>
  <c r="CZ24" i="14"/>
  <c r="CY24" i="14"/>
  <c r="CX24" i="14"/>
  <c r="CW24" i="14"/>
  <c r="CV24" i="14"/>
  <c r="CU24" i="14"/>
  <c r="CT24" i="14"/>
  <c r="CS24" i="14"/>
  <c r="CR24" i="14"/>
  <c r="CQ24" i="14"/>
  <c r="CP24" i="14"/>
  <c r="CO24" i="14"/>
  <c r="CN24" i="14"/>
  <c r="CM24" i="14"/>
  <c r="CL24" i="14"/>
  <c r="CK24" i="14"/>
  <c r="CJ24" i="14"/>
  <c r="CI24" i="14"/>
  <c r="CH24" i="14"/>
  <c r="CG24" i="14"/>
  <c r="CF24" i="14"/>
  <c r="CE24" i="14"/>
  <c r="CD24" i="14"/>
  <c r="CC24" i="14"/>
  <c r="CB24" i="14"/>
  <c r="CA24" i="14"/>
  <c r="BZ24" i="14"/>
  <c r="BW24" i="14" s="1"/>
  <c r="DR23" i="14"/>
  <c r="DQ23" i="14"/>
  <c r="DP23" i="14"/>
  <c r="DO23" i="14"/>
  <c r="DN23" i="14"/>
  <c r="DM23" i="14"/>
  <c r="DL23" i="14"/>
  <c r="DK23" i="14"/>
  <c r="DJ23" i="14"/>
  <c r="DI23" i="14"/>
  <c r="DH23" i="14"/>
  <c r="DG23" i="14"/>
  <c r="DF23" i="14"/>
  <c r="DE23" i="14"/>
  <c r="DD23" i="14"/>
  <c r="DC23" i="14"/>
  <c r="DB23" i="14"/>
  <c r="DA23" i="14"/>
  <c r="CZ23" i="14"/>
  <c r="CY23" i="14"/>
  <c r="CX23" i="14"/>
  <c r="CW23" i="14"/>
  <c r="CV23" i="14"/>
  <c r="CU23" i="14"/>
  <c r="CT23" i="14"/>
  <c r="CS23" i="14"/>
  <c r="CR23" i="14"/>
  <c r="CQ23" i="14"/>
  <c r="CP23" i="14"/>
  <c r="CO23" i="14"/>
  <c r="CN23" i="14"/>
  <c r="CM23" i="14"/>
  <c r="CL23" i="14"/>
  <c r="CK23" i="14"/>
  <c r="CJ23" i="14"/>
  <c r="CI23" i="14"/>
  <c r="CH23" i="14"/>
  <c r="CG23" i="14"/>
  <c r="CF23" i="14"/>
  <c r="CE23" i="14"/>
  <c r="CD23" i="14"/>
  <c r="CC23" i="14"/>
  <c r="CB23" i="14"/>
  <c r="CA23" i="14"/>
  <c r="BZ23" i="14"/>
  <c r="DR22" i="14"/>
  <c r="DQ22" i="14"/>
  <c r="DP22" i="14"/>
  <c r="DO22" i="14"/>
  <c r="DN22" i="14"/>
  <c r="DM22" i="14"/>
  <c r="DL22" i="14"/>
  <c r="DK22" i="14"/>
  <c r="DJ22" i="14"/>
  <c r="DI22" i="14"/>
  <c r="DH22" i="14"/>
  <c r="DG22" i="14"/>
  <c r="DF22" i="14"/>
  <c r="DE22" i="14"/>
  <c r="DD22" i="14"/>
  <c r="DC22" i="14"/>
  <c r="DB22" i="14"/>
  <c r="DA22" i="14"/>
  <c r="CZ22" i="14"/>
  <c r="CY22" i="14"/>
  <c r="CX22" i="14"/>
  <c r="CW22" i="14"/>
  <c r="CV22" i="14"/>
  <c r="CU22" i="14"/>
  <c r="CT22" i="14"/>
  <c r="CS22" i="14"/>
  <c r="CR22" i="14"/>
  <c r="CQ22" i="14"/>
  <c r="CP22" i="14"/>
  <c r="CO22" i="14"/>
  <c r="CN22" i="14"/>
  <c r="CM22" i="14"/>
  <c r="CL22" i="14"/>
  <c r="CK22" i="14"/>
  <c r="CJ22" i="14"/>
  <c r="CI22" i="14"/>
  <c r="CH22" i="14"/>
  <c r="CG22" i="14"/>
  <c r="CF22" i="14"/>
  <c r="CE22" i="14"/>
  <c r="CD22" i="14"/>
  <c r="CC22" i="14"/>
  <c r="CB22" i="14"/>
  <c r="CA22" i="14"/>
  <c r="BZ22" i="14"/>
  <c r="DR21" i="14"/>
  <c r="DQ21" i="14"/>
  <c r="DP21" i="14"/>
  <c r="DO21" i="14"/>
  <c r="DN21" i="14"/>
  <c r="DM21" i="14"/>
  <c r="DL21" i="14"/>
  <c r="DK21" i="14"/>
  <c r="DJ21" i="14"/>
  <c r="DI21" i="14"/>
  <c r="DH21" i="14"/>
  <c r="DG21" i="14"/>
  <c r="DF21" i="14"/>
  <c r="DE21" i="14"/>
  <c r="DD21" i="14"/>
  <c r="DC21" i="14"/>
  <c r="DB21" i="14"/>
  <c r="DA21" i="14"/>
  <c r="CZ21" i="14"/>
  <c r="CY21" i="14"/>
  <c r="CX21" i="14"/>
  <c r="CW21" i="14"/>
  <c r="CV21" i="14"/>
  <c r="CU21" i="14"/>
  <c r="CT21" i="14"/>
  <c r="CS21" i="14"/>
  <c r="CR21" i="14"/>
  <c r="CQ21" i="14"/>
  <c r="CP21" i="14"/>
  <c r="CO21" i="14"/>
  <c r="CN21" i="14"/>
  <c r="CM21" i="14"/>
  <c r="CL21" i="14"/>
  <c r="CK21" i="14"/>
  <c r="CJ21" i="14"/>
  <c r="CI21" i="14"/>
  <c r="CH21" i="14"/>
  <c r="CG21" i="14"/>
  <c r="CF21" i="14"/>
  <c r="CE21" i="14"/>
  <c r="CD21" i="14"/>
  <c r="CC21" i="14"/>
  <c r="CB21" i="14"/>
  <c r="CA21" i="14"/>
  <c r="BZ21" i="14"/>
  <c r="DR20" i="14"/>
  <c r="DQ20" i="14"/>
  <c r="DP20" i="14"/>
  <c r="DO20" i="14"/>
  <c r="DN20" i="14"/>
  <c r="DM20" i="14"/>
  <c r="DL20" i="14"/>
  <c r="DK20" i="14"/>
  <c r="DJ20" i="14"/>
  <c r="DI20" i="14"/>
  <c r="DH20" i="14"/>
  <c r="DG20" i="14"/>
  <c r="DF20" i="14"/>
  <c r="DE20" i="14"/>
  <c r="DD20" i="14"/>
  <c r="DC20" i="14"/>
  <c r="DB20" i="14"/>
  <c r="DA20" i="14"/>
  <c r="CZ20" i="14"/>
  <c r="CY20" i="14"/>
  <c r="CX20" i="14"/>
  <c r="CW20" i="14"/>
  <c r="CV20" i="14"/>
  <c r="CU20" i="14"/>
  <c r="CT20" i="14"/>
  <c r="CS20" i="14"/>
  <c r="CR20" i="14"/>
  <c r="CQ20" i="14"/>
  <c r="CP20" i="14"/>
  <c r="CO20" i="14"/>
  <c r="CN20" i="14"/>
  <c r="CM20" i="14"/>
  <c r="CL20" i="14"/>
  <c r="CK20" i="14"/>
  <c r="CJ20" i="14"/>
  <c r="CI20" i="14"/>
  <c r="CH20" i="14"/>
  <c r="CG20" i="14"/>
  <c r="CF20" i="14"/>
  <c r="CE20" i="14"/>
  <c r="CD20" i="14"/>
  <c r="CC20" i="14"/>
  <c r="CB20" i="14"/>
  <c r="CA20" i="14"/>
  <c r="BZ20" i="14"/>
  <c r="DR19" i="14"/>
  <c r="DQ19" i="14"/>
  <c r="DP19" i="14"/>
  <c r="DO19" i="14"/>
  <c r="DN19" i="14"/>
  <c r="DM19" i="14"/>
  <c r="DL19" i="14"/>
  <c r="DK19" i="14"/>
  <c r="DJ19" i="14"/>
  <c r="DI19" i="14"/>
  <c r="DH19" i="14"/>
  <c r="DG19" i="14"/>
  <c r="DF19" i="14"/>
  <c r="DE19" i="14"/>
  <c r="DD19" i="14"/>
  <c r="DC19" i="14"/>
  <c r="DB19" i="14"/>
  <c r="DA19" i="14"/>
  <c r="CZ19" i="14"/>
  <c r="CY19" i="14"/>
  <c r="CX19" i="14"/>
  <c r="CW19" i="14"/>
  <c r="CV19" i="14"/>
  <c r="CU19" i="14"/>
  <c r="CT19" i="14"/>
  <c r="CS19" i="14"/>
  <c r="CR19" i="14"/>
  <c r="CQ19" i="14"/>
  <c r="CP19" i="14"/>
  <c r="CO19" i="14"/>
  <c r="CN19" i="14"/>
  <c r="CM19" i="14"/>
  <c r="CL19" i="14"/>
  <c r="CK19" i="14"/>
  <c r="CJ19" i="14"/>
  <c r="CI19" i="14"/>
  <c r="CH19" i="14"/>
  <c r="CG19" i="14"/>
  <c r="CF19" i="14"/>
  <c r="CE19" i="14"/>
  <c r="CD19" i="14"/>
  <c r="CC19" i="14"/>
  <c r="CB19" i="14"/>
  <c r="CA19" i="14"/>
  <c r="BZ19" i="14"/>
  <c r="DR18" i="14"/>
  <c r="DQ18" i="14"/>
  <c r="DP18" i="14"/>
  <c r="DO18" i="14"/>
  <c r="DN18" i="14"/>
  <c r="DM18" i="14"/>
  <c r="DL18" i="14"/>
  <c r="DK18" i="14"/>
  <c r="DJ18" i="14"/>
  <c r="DI18" i="14"/>
  <c r="DH18" i="14"/>
  <c r="DG18" i="14"/>
  <c r="DF18" i="14"/>
  <c r="DE18" i="14"/>
  <c r="DD18" i="14"/>
  <c r="DC18" i="14"/>
  <c r="DB18" i="14"/>
  <c r="DA18" i="14"/>
  <c r="CZ18" i="14"/>
  <c r="CY18" i="14"/>
  <c r="CX18" i="14"/>
  <c r="CW18" i="14"/>
  <c r="CV18" i="14"/>
  <c r="CU18" i="14"/>
  <c r="CT18" i="14"/>
  <c r="CS18" i="14"/>
  <c r="CR18" i="14"/>
  <c r="CQ18" i="14"/>
  <c r="CP18" i="14"/>
  <c r="CO18" i="14"/>
  <c r="CN18" i="14"/>
  <c r="CM18" i="14"/>
  <c r="CL18" i="14"/>
  <c r="CK18" i="14"/>
  <c r="CJ18" i="14"/>
  <c r="CI18" i="14"/>
  <c r="CH18" i="14"/>
  <c r="CG18" i="14"/>
  <c r="CF18" i="14"/>
  <c r="CE18" i="14"/>
  <c r="CD18" i="14"/>
  <c r="CC18" i="14"/>
  <c r="CB18" i="14"/>
  <c r="CA18" i="14"/>
  <c r="BZ18" i="14"/>
  <c r="DR17" i="14"/>
  <c r="DQ17" i="14"/>
  <c r="DP17" i="14"/>
  <c r="DO17" i="14"/>
  <c r="DN17" i="14"/>
  <c r="DM17" i="14"/>
  <c r="DL17" i="14"/>
  <c r="DK17" i="14"/>
  <c r="DJ17" i="14"/>
  <c r="DI17" i="14"/>
  <c r="DH17" i="14"/>
  <c r="DG17" i="14"/>
  <c r="DF17" i="14"/>
  <c r="DE17" i="14"/>
  <c r="DD17" i="14"/>
  <c r="DC17" i="14"/>
  <c r="DB17" i="14"/>
  <c r="DA17" i="14"/>
  <c r="CZ17" i="14"/>
  <c r="CY17" i="14"/>
  <c r="CX17" i="14"/>
  <c r="CW17" i="14"/>
  <c r="CV17" i="14"/>
  <c r="CU17" i="14"/>
  <c r="CT17" i="14"/>
  <c r="CS17" i="14"/>
  <c r="CR17" i="14"/>
  <c r="CQ17" i="14"/>
  <c r="CP17" i="14"/>
  <c r="CO17" i="14"/>
  <c r="CN17" i="14"/>
  <c r="CM17" i="14"/>
  <c r="CL17" i="14"/>
  <c r="CK17" i="14"/>
  <c r="CJ17" i="14"/>
  <c r="CI17" i="14"/>
  <c r="CH17" i="14"/>
  <c r="CG17" i="14"/>
  <c r="CF17" i="14"/>
  <c r="CE17" i="14"/>
  <c r="CD17" i="14"/>
  <c r="CC17" i="14"/>
  <c r="CB17" i="14"/>
  <c r="CA17" i="14"/>
  <c r="BZ17" i="14"/>
  <c r="DR16" i="14"/>
  <c r="DQ16" i="14"/>
  <c r="DP16" i="14"/>
  <c r="DO16" i="14"/>
  <c r="DN16" i="14"/>
  <c r="DM16" i="14"/>
  <c r="DL16" i="14"/>
  <c r="DK16" i="14"/>
  <c r="DJ16" i="14"/>
  <c r="DI16" i="14"/>
  <c r="DH16" i="14"/>
  <c r="DG16" i="14"/>
  <c r="DF16" i="14"/>
  <c r="DE16" i="14"/>
  <c r="DD16" i="14"/>
  <c r="DC16" i="14"/>
  <c r="DB16" i="14"/>
  <c r="DA16" i="14"/>
  <c r="CZ16" i="14"/>
  <c r="CY16" i="14"/>
  <c r="CX16" i="14"/>
  <c r="CW16" i="14"/>
  <c r="CV16" i="14"/>
  <c r="CU16" i="14"/>
  <c r="CT16" i="14"/>
  <c r="CS16" i="14"/>
  <c r="CR16" i="14"/>
  <c r="CQ16" i="14"/>
  <c r="CP16" i="14"/>
  <c r="CO16" i="14"/>
  <c r="CN16" i="14"/>
  <c r="CM16" i="14"/>
  <c r="CL16" i="14"/>
  <c r="CK16" i="14"/>
  <c r="CJ16" i="14"/>
  <c r="CI16" i="14"/>
  <c r="CH16" i="14"/>
  <c r="CG16" i="14"/>
  <c r="CF16" i="14"/>
  <c r="CE16" i="14"/>
  <c r="CD16" i="14"/>
  <c r="CC16" i="14"/>
  <c r="CB16" i="14"/>
  <c r="CA16" i="14"/>
  <c r="BZ16" i="14"/>
  <c r="DR15" i="14"/>
  <c r="DQ15" i="14"/>
  <c r="DP15" i="14"/>
  <c r="DO15" i="14"/>
  <c r="DN15" i="14"/>
  <c r="DM15" i="14"/>
  <c r="DL15" i="14"/>
  <c r="DK15" i="14"/>
  <c r="DJ15" i="14"/>
  <c r="DI15" i="14"/>
  <c r="DH15" i="14"/>
  <c r="DG15" i="14"/>
  <c r="DF15" i="14"/>
  <c r="DE15" i="14"/>
  <c r="DD15" i="14"/>
  <c r="DC15" i="14"/>
  <c r="DB15" i="14"/>
  <c r="DA15" i="14"/>
  <c r="CZ15" i="14"/>
  <c r="CY15" i="14"/>
  <c r="CX15" i="14"/>
  <c r="CW15" i="14"/>
  <c r="CV15" i="14"/>
  <c r="CU15" i="14"/>
  <c r="CT15" i="14"/>
  <c r="CS15" i="14"/>
  <c r="CR15" i="14"/>
  <c r="CQ15" i="14"/>
  <c r="CP15" i="14"/>
  <c r="CO15" i="14"/>
  <c r="CN15" i="14"/>
  <c r="CM15" i="14"/>
  <c r="CL15" i="14"/>
  <c r="CK15" i="14"/>
  <c r="CJ15" i="14"/>
  <c r="CI15" i="14"/>
  <c r="CH15" i="14"/>
  <c r="CG15" i="14"/>
  <c r="CF15" i="14"/>
  <c r="CE15" i="14"/>
  <c r="CD15" i="14"/>
  <c r="CC15" i="14"/>
  <c r="CB15" i="14"/>
  <c r="CA15" i="14"/>
  <c r="BZ15" i="14"/>
  <c r="DR14" i="14"/>
  <c r="DQ14" i="14"/>
  <c r="DP14" i="14"/>
  <c r="DO14" i="14"/>
  <c r="DN14" i="14"/>
  <c r="DM14" i="14"/>
  <c r="DL14" i="14"/>
  <c r="DK14" i="14"/>
  <c r="DJ14" i="14"/>
  <c r="DI14" i="14"/>
  <c r="DH14" i="14"/>
  <c r="DG14" i="14"/>
  <c r="DF14" i="14"/>
  <c r="DE14" i="14"/>
  <c r="DD14" i="14"/>
  <c r="DC14" i="14"/>
  <c r="DB14" i="14"/>
  <c r="DA14" i="14"/>
  <c r="CZ14" i="14"/>
  <c r="CY14" i="14"/>
  <c r="CX14" i="14"/>
  <c r="CW14" i="14"/>
  <c r="CV14" i="14"/>
  <c r="CU14" i="14"/>
  <c r="CT14" i="14"/>
  <c r="CS14" i="14"/>
  <c r="CR14" i="14"/>
  <c r="CQ14" i="14"/>
  <c r="CP14" i="14"/>
  <c r="CO14" i="14"/>
  <c r="CN14" i="14"/>
  <c r="CM14" i="14"/>
  <c r="CL14" i="14"/>
  <c r="CK14" i="14"/>
  <c r="CJ14" i="14"/>
  <c r="CI14" i="14"/>
  <c r="CH14" i="14"/>
  <c r="CG14" i="14"/>
  <c r="CF14" i="14"/>
  <c r="CE14" i="14"/>
  <c r="CD14" i="14"/>
  <c r="CC14" i="14"/>
  <c r="CB14" i="14"/>
  <c r="CA14" i="14"/>
  <c r="BZ14" i="14"/>
  <c r="DR13" i="14"/>
  <c r="DQ13" i="14"/>
  <c r="DP13" i="14"/>
  <c r="DO13" i="14"/>
  <c r="DN13" i="14"/>
  <c r="DM13" i="14"/>
  <c r="DL13" i="14"/>
  <c r="DK13" i="14"/>
  <c r="DJ13" i="14"/>
  <c r="DI13" i="14"/>
  <c r="DH13" i="14"/>
  <c r="DG13" i="14"/>
  <c r="DF13" i="14"/>
  <c r="DE13" i="14"/>
  <c r="DD13" i="14"/>
  <c r="DC13" i="14"/>
  <c r="DB13" i="14"/>
  <c r="DA13" i="14"/>
  <c r="CZ13" i="14"/>
  <c r="CY13" i="14"/>
  <c r="CX13" i="14"/>
  <c r="CW13" i="14"/>
  <c r="CV13" i="14"/>
  <c r="CU13" i="14"/>
  <c r="CT13" i="14"/>
  <c r="CS13" i="14"/>
  <c r="CR13" i="14"/>
  <c r="CQ13" i="14"/>
  <c r="CP13" i="14"/>
  <c r="CO13" i="14"/>
  <c r="CN13" i="14"/>
  <c r="CM13" i="14"/>
  <c r="CL13" i="14"/>
  <c r="CK13" i="14"/>
  <c r="CJ13" i="14"/>
  <c r="CI13" i="14"/>
  <c r="CH13" i="14"/>
  <c r="CG13" i="14"/>
  <c r="CF13" i="14"/>
  <c r="CE13" i="14"/>
  <c r="CD13" i="14"/>
  <c r="CC13" i="14"/>
  <c r="CB13" i="14"/>
  <c r="CA13" i="14"/>
  <c r="BZ13" i="14"/>
  <c r="BW13" i="14" s="1"/>
  <c r="DR12" i="14"/>
  <c r="DQ12" i="14"/>
  <c r="DP12" i="14"/>
  <c r="DO12" i="14"/>
  <c r="DN12" i="14"/>
  <c r="DM12" i="14"/>
  <c r="DL12" i="14"/>
  <c r="DK12" i="14"/>
  <c r="DJ12" i="14"/>
  <c r="DI12" i="14"/>
  <c r="DH12" i="14"/>
  <c r="DG12" i="14"/>
  <c r="DF12" i="14"/>
  <c r="DE12" i="14"/>
  <c r="DD12" i="14"/>
  <c r="DC12" i="14"/>
  <c r="DB12" i="14"/>
  <c r="DA12" i="14"/>
  <c r="CZ12" i="14"/>
  <c r="CY12" i="14"/>
  <c r="CX12" i="14"/>
  <c r="CW12" i="14"/>
  <c r="CV12" i="14"/>
  <c r="CU12" i="14"/>
  <c r="CT12" i="14"/>
  <c r="CS12" i="14"/>
  <c r="CR12" i="14"/>
  <c r="CQ12" i="14"/>
  <c r="CP12" i="14"/>
  <c r="CO12" i="14"/>
  <c r="CN12" i="14"/>
  <c r="CM12" i="14"/>
  <c r="CL12" i="14"/>
  <c r="CK12" i="14"/>
  <c r="CJ12" i="14"/>
  <c r="CI12" i="14"/>
  <c r="CH12" i="14"/>
  <c r="CG12" i="14"/>
  <c r="CF12" i="14"/>
  <c r="CE12" i="14"/>
  <c r="CD12" i="14"/>
  <c r="CC12" i="14"/>
  <c r="CB12" i="14"/>
  <c r="CA12" i="14"/>
  <c r="BZ12" i="14"/>
  <c r="DR11" i="14"/>
  <c r="DQ11" i="14"/>
  <c r="DP11" i="14"/>
  <c r="DO11" i="14"/>
  <c r="DN11" i="14"/>
  <c r="DM11" i="14"/>
  <c r="DL11" i="14"/>
  <c r="DK11" i="14"/>
  <c r="DJ11" i="14"/>
  <c r="DI11" i="14"/>
  <c r="DH11" i="14"/>
  <c r="DG11" i="14"/>
  <c r="DF11" i="14"/>
  <c r="DE11" i="14"/>
  <c r="DD11" i="14"/>
  <c r="DC11" i="14"/>
  <c r="DB11" i="14"/>
  <c r="DA11" i="14"/>
  <c r="CZ11" i="14"/>
  <c r="CY11" i="14"/>
  <c r="CX11" i="14"/>
  <c r="CW11" i="14"/>
  <c r="CV11" i="14"/>
  <c r="CU11" i="14"/>
  <c r="CT11" i="14"/>
  <c r="CS11" i="14"/>
  <c r="CR11" i="14"/>
  <c r="CQ11" i="14"/>
  <c r="CP11" i="14"/>
  <c r="CO11" i="14"/>
  <c r="CN11" i="14"/>
  <c r="CM11" i="14"/>
  <c r="CL11" i="14"/>
  <c r="CK11" i="14"/>
  <c r="CJ11" i="14"/>
  <c r="CI11" i="14"/>
  <c r="CH11" i="14"/>
  <c r="CG11" i="14"/>
  <c r="CF11" i="14"/>
  <c r="CE11" i="14"/>
  <c r="CD11" i="14"/>
  <c r="CC11" i="14"/>
  <c r="CB11" i="14"/>
  <c r="CA11" i="14"/>
  <c r="BZ11" i="14"/>
  <c r="DR10" i="14"/>
  <c r="DQ10" i="14"/>
  <c r="DP10" i="14"/>
  <c r="DO10" i="14"/>
  <c r="DN10" i="14"/>
  <c r="DM10" i="14"/>
  <c r="DL10" i="14"/>
  <c r="DK10" i="14"/>
  <c r="DJ10" i="14"/>
  <c r="DI10" i="14"/>
  <c r="DH10" i="14"/>
  <c r="DG10" i="14"/>
  <c r="DF10" i="14"/>
  <c r="DE10" i="14"/>
  <c r="DD10" i="14"/>
  <c r="DC10" i="14"/>
  <c r="DB10" i="14"/>
  <c r="DA10" i="14"/>
  <c r="CZ10" i="14"/>
  <c r="CY10" i="14"/>
  <c r="CX10" i="14"/>
  <c r="CW10" i="14"/>
  <c r="CV10" i="14"/>
  <c r="CU10" i="14"/>
  <c r="CT10" i="14"/>
  <c r="CS10" i="14"/>
  <c r="CR10" i="14"/>
  <c r="CQ10" i="14"/>
  <c r="CP10" i="14"/>
  <c r="CO10" i="14"/>
  <c r="CN10" i="14"/>
  <c r="CM10" i="14"/>
  <c r="CL10" i="14"/>
  <c r="CK10" i="14"/>
  <c r="CJ10" i="14"/>
  <c r="CI10" i="14"/>
  <c r="CH10" i="14"/>
  <c r="CG10" i="14"/>
  <c r="CF10" i="14"/>
  <c r="CE10" i="14"/>
  <c r="CD10" i="14"/>
  <c r="CC10" i="14"/>
  <c r="CB10" i="14"/>
  <c r="CA10" i="14"/>
  <c r="BZ10" i="14"/>
  <c r="DR9" i="14"/>
  <c r="DQ9" i="14"/>
  <c r="DP9" i="14"/>
  <c r="DO9" i="14"/>
  <c r="DN9" i="14"/>
  <c r="DM9" i="14"/>
  <c r="DL9" i="14"/>
  <c r="DK9" i="14"/>
  <c r="DJ9" i="14"/>
  <c r="DI9" i="14"/>
  <c r="DH9" i="14"/>
  <c r="DG9" i="14"/>
  <c r="DF9" i="14"/>
  <c r="DE9" i="14"/>
  <c r="DD9" i="14"/>
  <c r="DC9" i="14"/>
  <c r="DB9" i="14"/>
  <c r="DA9" i="14"/>
  <c r="CZ9" i="14"/>
  <c r="CY9" i="14"/>
  <c r="CX9" i="14"/>
  <c r="CW9" i="14"/>
  <c r="CV9" i="14"/>
  <c r="CU9" i="14"/>
  <c r="CT9" i="14"/>
  <c r="CS9" i="14"/>
  <c r="CR9" i="14"/>
  <c r="CQ9" i="14"/>
  <c r="CP9" i="14"/>
  <c r="CO9" i="14"/>
  <c r="CN9" i="14"/>
  <c r="CM9" i="14"/>
  <c r="CL9" i="14"/>
  <c r="CK9" i="14"/>
  <c r="CJ9" i="14"/>
  <c r="CI9" i="14"/>
  <c r="CH9" i="14"/>
  <c r="CG9" i="14"/>
  <c r="CF9" i="14"/>
  <c r="CE9" i="14"/>
  <c r="CD9" i="14"/>
  <c r="CC9" i="14"/>
  <c r="CB9" i="14"/>
  <c r="CA9" i="14"/>
  <c r="BZ9" i="14"/>
  <c r="DR8" i="14"/>
  <c r="DQ8" i="14"/>
  <c r="DP8" i="14"/>
  <c r="DO8" i="14"/>
  <c r="BU8" i="14" s="1"/>
  <c r="BK8" i="14" s="1"/>
  <c r="DN8" i="14"/>
  <c r="DM8" i="14"/>
  <c r="DL8" i="14"/>
  <c r="DK8" i="14"/>
  <c r="DJ8" i="14"/>
  <c r="DI8" i="14"/>
  <c r="DH8" i="14"/>
  <c r="DG8" i="14"/>
  <c r="DF8" i="14"/>
  <c r="DE8" i="14"/>
  <c r="DD8" i="14"/>
  <c r="DC8" i="14"/>
  <c r="DB8" i="14"/>
  <c r="DA8" i="14"/>
  <c r="CZ8" i="14"/>
  <c r="CY8" i="14"/>
  <c r="CX8" i="14"/>
  <c r="CW8" i="14"/>
  <c r="CV8" i="14"/>
  <c r="CU8" i="14"/>
  <c r="CT8" i="14"/>
  <c r="CS8" i="14"/>
  <c r="CR8" i="14"/>
  <c r="CQ8" i="14"/>
  <c r="CP8" i="14"/>
  <c r="CO8" i="14"/>
  <c r="CN8" i="14"/>
  <c r="CM8" i="14"/>
  <c r="CL8" i="14"/>
  <c r="CK8" i="14"/>
  <c r="CJ8" i="14"/>
  <c r="CI8" i="14"/>
  <c r="CH8" i="14"/>
  <c r="CG8" i="14"/>
  <c r="CF8" i="14"/>
  <c r="CE8" i="14"/>
  <c r="CD8" i="14"/>
  <c r="CC8" i="14"/>
  <c r="CB8" i="14"/>
  <c r="CA8" i="14"/>
  <c r="BZ8" i="14"/>
  <c r="DR7" i="14"/>
  <c r="DQ7" i="14"/>
  <c r="DP7" i="14"/>
  <c r="DO7" i="14"/>
  <c r="DN7" i="14"/>
  <c r="DM7" i="14"/>
  <c r="DL7" i="14"/>
  <c r="DK7" i="14"/>
  <c r="DJ7" i="14"/>
  <c r="DI7" i="14"/>
  <c r="DH7" i="14"/>
  <c r="DG7" i="14"/>
  <c r="DF7" i="14"/>
  <c r="DE7" i="14"/>
  <c r="DD7" i="14"/>
  <c r="DC7" i="14"/>
  <c r="DB7" i="14"/>
  <c r="DA7" i="14"/>
  <c r="CZ7" i="14"/>
  <c r="CY7" i="14"/>
  <c r="CX7" i="14"/>
  <c r="CW7" i="14"/>
  <c r="CV7" i="14"/>
  <c r="CU7" i="14"/>
  <c r="CT7" i="14"/>
  <c r="CS7" i="14"/>
  <c r="CR7" i="14"/>
  <c r="CQ7" i="14"/>
  <c r="CP7" i="14"/>
  <c r="CO7" i="14"/>
  <c r="CN7" i="14"/>
  <c r="CM7" i="14"/>
  <c r="CL7" i="14"/>
  <c r="CK7" i="14"/>
  <c r="CJ7" i="14"/>
  <c r="CI7" i="14"/>
  <c r="CH7" i="14"/>
  <c r="CG7" i="14"/>
  <c r="CF7" i="14"/>
  <c r="CE7" i="14"/>
  <c r="CD7" i="14"/>
  <c r="CC7" i="14"/>
  <c r="CB7" i="14"/>
  <c r="CA7" i="14"/>
  <c r="BZ7" i="14"/>
  <c r="DR6" i="14"/>
  <c r="DQ6" i="14"/>
  <c r="DP6" i="14"/>
  <c r="DO6" i="14"/>
  <c r="DN6" i="14"/>
  <c r="DM6" i="14"/>
  <c r="DL6" i="14"/>
  <c r="DK6" i="14"/>
  <c r="DJ6" i="14"/>
  <c r="DI6" i="14"/>
  <c r="DH6" i="14"/>
  <c r="DG6" i="14"/>
  <c r="DF6" i="14"/>
  <c r="DE6" i="14"/>
  <c r="DD6" i="14"/>
  <c r="DC6" i="14"/>
  <c r="DB6" i="14"/>
  <c r="DA6" i="14"/>
  <c r="CZ6" i="14"/>
  <c r="CY6" i="14"/>
  <c r="CX6" i="14"/>
  <c r="CW6" i="14"/>
  <c r="CV6" i="14"/>
  <c r="CU6" i="14"/>
  <c r="CT6" i="14"/>
  <c r="CS6" i="14"/>
  <c r="CR6" i="14"/>
  <c r="CQ6" i="14"/>
  <c r="CP6" i="14"/>
  <c r="CO6" i="14"/>
  <c r="CN6" i="14"/>
  <c r="CM6" i="14"/>
  <c r="CL6" i="14"/>
  <c r="CK6" i="14"/>
  <c r="CJ6" i="14"/>
  <c r="CI6" i="14"/>
  <c r="CH6" i="14"/>
  <c r="CG6" i="14"/>
  <c r="CF6" i="14"/>
  <c r="CE6" i="14"/>
  <c r="CD6" i="14"/>
  <c r="CC6" i="14"/>
  <c r="CB6" i="14"/>
  <c r="CA6" i="14"/>
  <c r="BZ6" i="14"/>
  <c r="DR5" i="14"/>
  <c r="DQ5" i="14"/>
  <c r="DP5" i="14"/>
  <c r="DO5" i="14"/>
  <c r="DN5" i="14"/>
  <c r="DM5" i="14"/>
  <c r="DL5" i="14"/>
  <c r="DK5" i="14"/>
  <c r="DJ5" i="14"/>
  <c r="DI5" i="14"/>
  <c r="DH5" i="14"/>
  <c r="DG5" i="14"/>
  <c r="DF5" i="14"/>
  <c r="DE5" i="14"/>
  <c r="DD5" i="14"/>
  <c r="DC5" i="14"/>
  <c r="DB5" i="14"/>
  <c r="DA5" i="14"/>
  <c r="CZ5" i="14"/>
  <c r="CY5" i="14"/>
  <c r="CX5" i="14"/>
  <c r="CW5" i="14"/>
  <c r="CV5" i="14"/>
  <c r="CU5" i="14"/>
  <c r="CT5" i="14"/>
  <c r="CS5" i="14"/>
  <c r="CR5" i="14"/>
  <c r="CQ5" i="14"/>
  <c r="CP5" i="14"/>
  <c r="CO5" i="14"/>
  <c r="CN5" i="14"/>
  <c r="CM5" i="14"/>
  <c r="CL5" i="14"/>
  <c r="CK5" i="14"/>
  <c r="CJ5" i="14"/>
  <c r="CI5" i="14"/>
  <c r="CH5" i="14"/>
  <c r="CG5" i="14"/>
  <c r="CF5" i="14"/>
  <c r="CE5" i="14"/>
  <c r="CD5" i="14"/>
  <c r="CC5" i="14"/>
  <c r="CB5" i="14"/>
  <c r="CA5" i="14"/>
  <c r="BZ5" i="14"/>
  <c r="DR4" i="14"/>
  <c r="DQ4" i="14"/>
  <c r="DP4" i="14"/>
  <c r="DO4" i="14"/>
  <c r="DN4" i="14"/>
  <c r="DM4" i="14"/>
  <c r="DL4" i="14"/>
  <c r="DK4" i="14"/>
  <c r="DJ4" i="14"/>
  <c r="DI4" i="14"/>
  <c r="DH4" i="14"/>
  <c r="DG4" i="14"/>
  <c r="DF4" i="14"/>
  <c r="DE4" i="14"/>
  <c r="DD4" i="14"/>
  <c r="DC4" i="14"/>
  <c r="DB4" i="14"/>
  <c r="DA4" i="14"/>
  <c r="CZ4" i="14"/>
  <c r="CY4" i="14"/>
  <c r="CX4" i="14"/>
  <c r="CW4" i="14"/>
  <c r="CV4" i="14"/>
  <c r="CU4" i="14"/>
  <c r="CT4" i="14"/>
  <c r="CS4" i="14"/>
  <c r="CR4" i="14"/>
  <c r="CQ4" i="14"/>
  <c r="CP4" i="14"/>
  <c r="CO4" i="14"/>
  <c r="CN4" i="14"/>
  <c r="CM4" i="14"/>
  <c r="CL4" i="14"/>
  <c r="CK4" i="14"/>
  <c r="CJ4" i="14"/>
  <c r="CI4" i="14"/>
  <c r="CH4" i="14"/>
  <c r="CG4" i="14"/>
  <c r="CF4" i="14"/>
  <c r="CE4" i="14"/>
  <c r="CD4" i="14"/>
  <c r="CC4" i="14"/>
  <c r="CB4" i="14"/>
  <c r="CA4" i="14"/>
  <c r="BZ4" i="14"/>
  <c r="DR3" i="14"/>
  <c r="DQ3" i="14"/>
  <c r="DP3" i="14"/>
  <c r="DO3" i="14"/>
  <c r="DN3" i="14"/>
  <c r="DM3" i="14"/>
  <c r="DL3" i="14"/>
  <c r="DK3" i="14"/>
  <c r="DJ3" i="14"/>
  <c r="DI3" i="14"/>
  <c r="DH3" i="14"/>
  <c r="DG3" i="14"/>
  <c r="DF3" i="14"/>
  <c r="DE3" i="14"/>
  <c r="DD3" i="14"/>
  <c r="DC3" i="14"/>
  <c r="DB3" i="14"/>
  <c r="DA3" i="14"/>
  <c r="CZ3" i="14"/>
  <c r="BR3" i="14" s="1"/>
  <c r="BH3" i="14" s="1"/>
  <c r="CY3" i="14"/>
  <c r="CX3" i="14"/>
  <c r="CW3" i="14"/>
  <c r="CV3" i="14"/>
  <c r="CU3" i="14"/>
  <c r="CT3" i="14"/>
  <c r="CS3" i="14"/>
  <c r="CR3" i="14"/>
  <c r="CQ3" i="14"/>
  <c r="CP3" i="14"/>
  <c r="CO3" i="14"/>
  <c r="CN3" i="14"/>
  <c r="CM3" i="14"/>
  <c r="CL3" i="14"/>
  <c r="CK3" i="14"/>
  <c r="CJ3" i="14"/>
  <c r="CI3" i="14"/>
  <c r="CH3" i="14"/>
  <c r="CG3" i="14"/>
  <c r="CF3" i="14"/>
  <c r="CE3" i="14"/>
  <c r="CD3" i="14"/>
  <c r="CC3" i="14"/>
  <c r="CB3" i="14"/>
  <c r="CA3" i="14"/>
  <c r="BZ3" i="14"/>
  <c r="DP27" i="13"/>
  <c r="DO27" i="13"/>
  <c r="DN27" i="13"/>
  <c r="DM27" i="13"/>
  <c r="DL27" i="13"/>
  <c r="DK27" i="13"/>
  <c r="DJ27" i="13"/>
  <c r="DI27" i="13"/>
  <c r="DH27" i="13"/>
  <c r="DG27" i="13"/>
  <c r="DF27" i="13"/>
  <c r="DE27" i="13"/>
  <c r="DD27" i="13"/>
  <c r="DC27" i="13"/>
  <c r="DB27" i="13"/>
  <c r="DA27" i="13"/>
  <c r="CZ27" i="13"/>
  <c r="CY27" i="13"/>
  <c r="CX27" i="13"/>
  <c r="CW27" i="13"/>
  <c r="CV27" i="13"/>
  <c r="CU27" i="13"/>
  <c r="CT27" i="13"/>
  <c r="CS27" i="13"/>
  <c r="CR27" i="13"/>
  <c r="CQ27" i="13"/>
  <c r="CP27" i="13"/>
  <c r="CO27" i="13"/>
  <c r="CN27" i="13"/>
  <c r="CM27" i="13"/>
  <c r="CL27" i="13"/>
  <c r="CK27" i="13"/>
  <c r="CJ27" i="13"/>
  <c r="CI27" i="13"/>
  <c r="CH27" i="13"/>
  <c r="CG27" i="13"/>
  <c r="CF27" i="13"/>
  <c r="CE27" i="13"/>
  <c r="CD27" i="13"/>
  <c r="CC27" i="13"/>
  <c r="CB27" i="13"/>
  <c r="CA27" i="13"/>
  <c r="BZ27" i="13"/>
  <c r="BY27" i="13"/>
  <c r="BX27" i="13"/>
  <c r="DP26" i="13"/>
  <c r="DO26" i="13"/>
  <c r="DN26" i="13"/>
  <c r="DM26" i="13"/>
  <c r="DL26" i="13"/>
  <c r="DK26" i="13"/>
  <c r="DJ26" i="13"/>
  <c r="DI26" i="13"/>
  <c r="DH26" i="13"/>
  <c r="DG26" i="13"/>
  <c r="DF26" i="13"/>
  <c r="DE26" i="13"/>
  <c r="DD26" i="13"/>
  <c r="DC26" i="13"/>
  <c r="DB26" i="13"/>
  <c r="DA26" i="13"/>
  <c r="CZ26" i="13"/>
  <c r="CY26" i="13"/>
  <c r="CX26" i="13"/>
  <c r="CW26" i="13"/>
  <c r="CV26" i="13"/>
  <c r="CU26" i="13"/>
  <c r="CT26" i="13"/>
  <c r="CS26" i="13"/>
  <c r="CR26" i="13"/>
  <c r="CQ26" i="13"/>
  <c r="CP26" i="13"/>
  <c r="CO26" i="13"/>
  <c r="CN26" i="13"/>
  <c r="CM26" i="13"/>
  <c r="CL26" i="13"/>
  <c r="CK26" i="13"/>
  <c r="CJ26" i="13"/>
  <c r="CI26" i="13"/>
  <c r="CH26" i="13"/>
  <c r="CG26" i="13"/>
  <c r="CF26" i="13"/>
  <c r="CE26" i="13"/>
  <c r="CD26" i="13"/>
  <c r="CC26" i="13"/>
  <c r="CB26" i="13"/>
  <c r="CA26" i="13"/>
  <c r="BZ26" i="13"/>
  <c r="BY26" i="13"/>
  <c r="BX26" i="13"/>
  <c r="DP25" i="13"/>
  <c r="DO25" i="13"/>
  <c r="DN25" i="13"/>
  <c r="DM25" i="13"/>
  <c r="DL25" i="13"/>
  <c r="DK25" i="13"/>
  <c r="DJ25" i="13"/>
  <c r="DI25" i="13"/>
  <c r="DH25" i="13"/>
  <c r="DG25" i="13"/>
  <c r="DF25" i="13"/>
  <c r="DE25" i="13"/>
  <c r="DD25" i="13"/>
  <c r="DC25" i="13"/>
  <c r="DB25" i="13"/>
  <c r="DA25" i="13"/>
  <c r="CZ25" i="13"/>
  <c r="CY25" i="13"/>
  <c r="CX25" i="13"/>
  <c r="CW25" i="13"/>
  <c r="CV25" i="13"/>
  <c r="CU25" i="13"/>
  <c r="CT25" i="13"/>
  <c r="CS25" i="13"/>
  <c r="CR25" i="13"/>
  <c r="CQ25" i="13"/>
  <c r="CP25" i="13"/>
  <c r="CO25" i="13"/>
  <c r="CN25" i="13"/>
  <c r="CM25" i="13"/>
  <c r="CL25" i="13"/>
  <c r="CK25" i="13"/>
  <c r="CJ25" i="13"/>
  <c r="CI25" i="13"/>
  <c r="CH25" i="13"/>
  <c r="CG25" i="13"/>
  <c r="CF25" i="13"/>
  <c r="CE25" i="13"/>
  <c r="CD25" i="13"/>
  <c r="CC25" i="13"/>
  <c r="CB25" i="13"/>
  <c r="CA25" i="13"/>
  <c r="BZ25" i="13"/>
  <c r="BY25" i="13"/>
  <c r="BX25" i="13"/>
  <c r="DP24" i="13"/>
  <c r="DO24" i="13"/>
  <c r="DN24" i="13"/>
  <c r="DM24" i="13"/>
  <c r="DL24" i="13"/>
  <c r="DK24" i="13"/>
  <c r="DJ24" i="13"/>
  <c r="DI24" i="13"/>
  <c r="DH24" i="13"/>
  <c r="DG24" i="13"/>
  <c r="DF24" i="13"/>
  <c r="DE24" i="13"/>
  <c r="DD24" i="13"/>
  <c r="DC24" i="13"/>
  <c r="DB24" i="13"/>
  <c r="DA24" i="13"/>
  <c r="CZ24" i="13"/>
  <c r="CY24" i="13"/>
  <c r="CX24" i="13"/>
  <c r="CW24" i="13"/>
  <c r="CV24" i="13"/>
  <c r="CU24" i="13"/>
  <c r="CT24" i="13"/>
  <c r="CS24" i="13"/>
  <c r="CR24" i="13"/>
  <c r="CQ24" i="13"/>
  <c r="CP24" i="13"/>
  <c r="CO24" i="13"/>
  <c r="CN24" i="13"/>
  <c r="CM24" i="13"/>
  <c r="CL24" i="13"/>
  <c r="CK24" i="13"/>
  <c r="CJ24" i="13"/>
  <c r="CI24" i="13"/>
  <c r="CH24" i="13"/>
  <c r="CG24" i="13"/>
  <c r="CF24" i="13"/>
  <c r="CE24" i="13"/>
  <c r="CD24" i="13"/>
  <c r="CC24" i="13"/>
  <c r="CB24" i="13"/>
  <c r="CA24" i="13"/>
  <c r="BZ24" i="13"/>
  <c r="BY24" i="13"/>
  <c r="BX24" i="13"/>
  <c r="DP23" i="13"/>
  <c r="DO23" i="13"/>
  <c r="DN23" i="13"/>
  <c r="DM23" i="13"/>
  <c r="DL23" i="13"/>
  <c r="DK23" i="13"/>
  <c r="DJ23" i="13"/>
  <c r="DI23" i="13"/>
  <c r="DH23" i="13"/>
  <c r="DG23" i="13"/>
  <c r="DF23" i="13"/>
  <c r="DE23" i="13"/>
  <c r="DD23" i="13"/>
  <c r="DC23" i="13"/>
  <c r="DB23" i="13"/>
  <c r="DA23" i="13"/>
  <c r="CZ23" i="13"/>
  <c r="CY23" i="13"/>
  <c r="CX23" i="13"/>
  <c r="CW23" i="13"/>
  <c r="CV23" i="13"/>
  <c r="CU23" i="13"/>
  <c r="CT23" i="13"/>
  <c r="CS23" i="13"/>
  <c r="CR23" i="13"/>
  <c r="CQ23" i="13"/>
  <c r="CP23" i="13"/>
  <c r="CO23" i="13"/>
  <c r="CN23" i="13"/>
  <c r="CM23" i="13"/>
  <c r="CL23" i="13"/>
  <c r="CK23" i="13"/>
  <c r="CJ23" i="13"/>
  <c r="CI23" i="13"/>
  <c r="CH23" i="13"/>
  <c r="CG23" i="13"/>
  <c r="CF23" i="13"/>
  <c r="CE23" i="13"/>
  <c r="CD23" i="13"/>
  <c r="CC23" i="13"/>
  <c r="CB23" i="13"/>
  <c r="CA23" i="13"/>
  <c r="BZ23" i="13"/>
  <c r="BY23" i="13"/>
  <c r="BX23" i="13"/>
  <c r="DP22" i="13"/>
  <c r="DO22" i="13"/>
  <c r="DN22" i="13"/>
  <c r="DM22" i="13"/>
  <c r="DL22" i="13"/>
  <c r="DK22" i="13"/>
  <c r="DJ22" i="13"/>
  <c r="DI22" i="13"/>
  <c r="DH22" i="13"/>
  <c r="DG22" i="13"/>
  <c r="DF22" i="13"/>
  <c r="DE22" i="13"/>
  <c r="DD22" i="13"/>
  <c r="DC22" i="13"/>
  <c r="DB22" i="13"/>
  <c r="DA22" i="13"/>
  <c r="CZ22" i="13"/>
  <c r="CY22" i="13"/>
  <c r="CX22" i="13"/>
  <c r="CW22" i="13"/>
  <c r="CV22" i="13"/>
  <c r="CU22" i="13"/>
  <c r="CT22" i="13"/>
  <c r="CS22" i="13"/>
  <c r="CR22" i="13"/>
  <c r="CQ22" i="13"/>
  <c r="CP22" i="13"/>
  <c r="CO22" i="13"/>
  <c r="CN22" i="13"/>
  <c r="CM22" i="13"/>
  <c r="CL22" i="13"/>
  <c r="CK22" i="13"/>
  <c r="CJ22" i="13"/>
  <c r="CI22" i="13"/>
  <c r="CH22" i="13"/>
  <c r="CG22" i="13"/>
  <c r="CF22" i="13"/>
  <c r="CE22" i="13"/>
  <c r="CD22" i="13"/>
  <c r="CC22" i="13"/>
  <c r="CB22" i="13"/>
  <c r="CA22" i="13"/>
  <c r="BZ22" i="13"/>
  <c r="BY22" i="13"/>
  <c r="BX22" i="13"/>
  <c r="DP21" i="13"/>
  <c r="DO21" i="13"/>
  <c r="DN21" i="13"/>
  <c r="DM21" i="13"/>
  <c r="DL21" i="13"/>
  <c r="DK21" i="13"/>
  <c r="DJ21" i="13"/>
  <c r="DI21" i="13"/>
  <c r="DH21" i="13"/>
  <c r="DG21" i="13"/>
  <c r="DF21" i="13"/>
  <c r="DE21" i="13"/>
  <c r="DD21" i="13"/>
  <c r="DC21" i="13"/>
  <c r="DB21" i="13"/>
  <c r="DA21" i="13"/>
  <c r="CZ21" i="13"/>
  <c r="CY21" i="13"/>
  <c r="CX21" i="13"/>
  <c r="CW21" i="13"/>
  <c r="CV21" i="13"/>
  <c r="CU21" i="13"/>
  <c r="CT21" i="13"/>
  <c r="CS21" i="13"/>
  <c r="CR21" i="13"/>
  <c r="CQ21" i="13"/>
  <c r="CP21" i="13"/>
  <c r="CO21" i="13"/>
  <c r="CN21" i="13"/>
  <c r="CM21" i="13"/>
  <c r="CL21" i="13"/>
  <c r="CK21" i="13"/>
  <c r="CJ21" i="13"/>
  <c r="CI21" i="13"/>
  <c r="CH21" i="13"/>
  <c r="CG21" i="13"/>
  <c r="CF21" i="13"/>
  <c r="CE21" i="13"/>
  <c r="CD21" i="13"/>
  <c r="CC21" i="13"/>
  <c r="CB21" i="13"/>
  <c r="CA21" i="13"/>
  <c r="BZ21" i="13"/>
  <c r="BY21" i="13"/>
  <c r="BX21" i="13"/>
  <c r="DP20" i="13"/>
  <c r="DO20" i="13"/>
  <c r="DN20" i="13"/>
  <c r="DM20" i="13"/>
  <c r="DL20" i="13"/>
  <c r="DK20" i="13"/>
  <c r="DJ20" i="13"/>
  <c r="DI20" i="13"/>
  <c r="DH20" i="13"/>
  <c r="DG20" i="13"/>
  <c r="DF20" i="13"/>
  <c r="DE20" i="13"/>
  <c r="DD20" i="13"/>
  <c r="DC20" i="13"/>
  <c r="DB20" i="13"/>
  <c r="DA20" i="13"/>
  <c r="CZ20" i="13"/>
  <c r="CY20" i="13"/>
  <c r="CX20" i="13"/>
  <c r="CW20" i="13"/>
  <c r="CV20" i="13"/>
  <c r="CU20" i="13"/>
  <c r="CT20" i="13"/>
  <c r="CS20" i="13"/>
  <c r="CR20" i="13"/>
  <c r="CQ20" i="13"/>
  <c r="CP20" i="13"/>
  <c r="CO20" i="13"/>
  <c r="CN20" i="13"/>
  <c r="CM20" i="13"/>
  <c r="CL20" i="13"/>
  <c r="CK20" i="13"/>
  <c r="CJ20" i="13"/>
  <c r="CI20" i="13"/>
  <c r="CH20" i="13"/>
  <c r="CG20" i="13"/>
  <c r="CF20" i="13"/>
  <c r="CE20" i="13"/>
  <c r="CD20" i="13"/>
  <c r="CC20" i="13"/>
  <c r="CB20" i="13"/>
  <c r="CA20" i="13"/>
  <c r="BZ20" i="13"/>
  <c r="BY20" i="13"/>
  <c r="BX20" i="13"/>
  <c r="DP19" i="13"/>
  <c r="DO19" i="13"/>
  <c r="DN19" i="13"/>
  <c r="DM19" i="13"/>
  <c r="DL19" i="13"/>
  <c r="DK19" i="13"/>
  <c r="DJ19" i="13"/>
  <c r="DI19" i="13"/>
  <c r="DH19" i="13"/>
  <c r="DG19" i="13"/>
  <c r="DF19" i="13"/>
  <c r="DE19" i="13"/>
  <c r="DD19" i="13"/>
  <c r="DC19" i="13"/>
  <c r="DB19" i="13"/>
  <c r="DA19" i="13"/>
  <c r="CZ19" i="13"/>
  <c r="CY19" i="13"/>
  <c r="CX19" i="13"/>
  <c r="BP19" i="13" s="1"/>
  <c r="BF19" i="13" s="1"/>
  <c r="CW19" i="13"/>
  <c r="CV19" i="13"/>
  <c r="CU19" i="13"/>
  <c r="CT19" i="13"/>
  <c r="CS19" i="13"/>
  <c r="CR19" i="13"/>
  <c r="CQ19" i="13"/>
  <c r="CP19" i="13"/>
  <c r="CO19" i="13"/>
  <c r="CN19" i="13"/>
  <c r="CM19" i="13"/>
  <c r="CL19" i="13"/>
  <c r="CK19" i="13"/>
  <c r="CJ19" i="13"/>
  <c r="CI19" i="13"/>
  <c r="CH19" i="13"/>
  <c r="CG19" i="13"/>
  <c r="CF19" i="13"/>
  <c r="CE19" i="13"/>
  <c r="CD19" i="13"/>
  <c r="CC19" i="13"/>
  <c r="CB19" i="13"/>
  <c r="CA19" i="13"/>
  <c r="BZ19" i="13"/>
  <c r="BY19" i="13"/>
  <c r="BX19" i="13"/>
  <c r="DP18" i="13"/>
  <c r="DO18" i="13"/>
  <c r="DN18" i="13"/>
  <c r="DM18" i="13"/>
  <c r="DL18" i="13"/>
  <c r="DK18" i="13"/>
  <c r="DJ18" i="13"/>
  <c r="DI18" i="13"/>
  <c r="DH18" i="13"/>
  <c r="DG18" i="13"/>
  <c r="DF18" i="13"/>
  <c r="DE18" i="13"/>
  <c r="DD18" i="13"/>
  <c r="DC18" i="13"/>
  <c r="DB18" i="13"/>
  <c r="DA18" i="13"/>
  <c r="CZ18" i="13"/>
  <c r="CY18" i="13"/>
  <c r="CX18" i="13"/>
  <c r="CW18" i="13"/>
  <c r="CV18" i="13"/>
  <c r="CU18" i="13"/>
  <c r="CT18" i="13"/>
  <c r="CS18" i="13"/>
  <c r="CR18" i="13"/>
  <c r="CQ18" i="13"/>
  <c r="CP18" i="13"/>
  <c r="CO18" i="13"/>
  <c r="CN18" i="13"/>
  <c r="CM18" i="13"/>
  <c r="CL18" i="13"/>
  <c r="CK18" i="13"/>
  <c r="CJ18" i="13"/>
  <c r="CI18" i="13"/>
  <c r="CH18" i="13"/>
  <c r="CG18" i="13"/>
  <c r="CF18" i="13"/>
  <c r="CE18" i="13"/>
  <c r="CD18" i="13"/>
  <c r="CC18" i="13"/>
  <c r="CB18" i="13"/>
  <c r="CA18" i="13"/>
  <c r="BZ18" i="13"/>
  <c r="BY18" i="13"/>
  <c r="BX18" i="13"/>
  <c r="DP17" i="13"/>
  <c r="DO17" i="13"/>
  <c r="DN17" i="13"/>
  <c r="DM17" i="13"/>
  <c r="DL17" i="13"/>
  <c r="DK17" i="13"/>
  <c r="DJ17" i="13"/>
  <c r="DI17" i="13"/>
  <c r="DH17" i="13"/>
  <c r="DG17" i="13"/>
  <c r="DF17" i="13"/>
  <c r="DE17" i="13"/>
  <c r="DD17" i="13"/>
  <c r="DC17" i="13"/>
  <c r="DB17" i="13"/>
  <c r="DA17" i="13"/>
  <c r="CZ17" i="13"/>
  <c r="CY17" i="13"/>
  <c r="CX17" i="13"/>
  <c r="CW17" i="13"/>
  <c r="CV17" i="13"/>
  <c r="CU17" i="13"/>
  <c r="CT17" i="13"/>
  <c r="CS17" i="13"/>
  <c r="CR17" i="13"/>
  <c r="CQ17" i="13"/>
  <c r="CP17" i="13"/>
  <c r="CO17" i="13"/>
  <c r="CN17" i="13"/>
  <c r="CM17" i="13"/>
  <c r="CL17" i="13"/>
  <c r="CK17" i="13"/>
  <c r="CJ17" i="13"/>
  <c r="CI17" i="13"/>
  <c r="CH17" i="13"/>
  <c r="CG17" i="13"/>
  <c r="CF17" i="13"/>
  <c r="CE17" i="13"/>
  <c r="CD17" i="13"/>
  <c r="CC17" i="13"/>
  <c r="CB17" i="13"/>
  <c r="CA17" i="13"/>
  <c r="BZ17" i="13"/>
  <c r="BY17" i="13"/>
  <c r="BX17" i="13"/>
  <c r="DP16" i="13"/>
  <c r="DO16" i="13"/>
  <c r="DN16" i="13"/>
  <c r="DM16" i="13"/>
  <c r="DL16" i="13"/>
  <c r="DK16" i="13"/>
  <c r="DJ16" i="13"/>
  <c r="DI16" i="13"/>
  <c r="DH16" i="13"/>
  <c r="DG16" i="13"/>
  <c r="DF16" i="13"/>
  <c r="DE16" i="13"/>
  <c r="DD16" i="13"/>
  <c r="DC16" i="13"/>
  <c r="DB16" i="13"/>
  <c r="DA16" i="13"/>
  <c r="CZ16" i="13"/>
  <c r="CY16" i="13"/>
  <c r="CX16" i="13"/>
  <c r="CW16" i="13"/>
  <c r="CV16" i="13"/>
  <c r="CU16" i="13"/>
  <c r="CT16" i="13"/>
  <c r="CS16" i="13"/>
  <c r="CR16" i="13"/>
  <c r="CQ16" i="13"/>
  <c r="CP16" i="13"/>
  <c r="CO16" i="13"/>
  <c r="CN16" i="13"/>
  <c r="CM16" i="13"/>
  <c r="CL16" i="13"/>
  <c r="CK16" i="13"/>
  <c r="CJ16" i="13"/>
  <c r="CI16" i="13"/>
  <c r="CH16" i="13"/>
  <c r="CG16" i="13"/>
  <c r="CF16" i="13"/>
  <c r="CE16" i="13"/>
  <c r="CD16" i="13"/>
  <c r="CC16" i="13"/>
  <c r="CB16" i="13"/>
  <c r="CA16" i="13"/>
  <c r="BZ16" i="13"/>
  <c r="BY16" i="13"/>
  <c r="BV16" i="13" s="1"/>
  <c r="BX16" i="13"/>
  <c r="DP15" i="13"/>
  <c r="DO15" i="13"/>
  <c r="DN15" i="13"/>
  <c r="DM15" i="13"/>
  <c r="DL15" i="13"/>
  <c r="DK15" i="13"/>
  <c r="DJ15" i="13"/>
  <c r="DI15" i="13"/>
  <c r="DH15" i="13"/>
  <c r="DG15" i="13"/>
  <c r="DF15" i="13"/>
  <c r="DE15" i="13"/>
  <c r="DD15" i="13"/>
  <c r="DC15" i="13"/>
  <c r="DB15" i="13"/>
  <c r="DA15" i="13"/>
  <c r="CZ15" i="13"/>
  <c r="CY15" i="13"/>
  <c r="CX15" i="13"/>
  <c r="CW15" i="13"/>
  <c r="CV15" i="13"/>
  <c r="CU15" i="13"/>
  <c r="CT15" i="13"/>
  <c r="CS15" i="13"/>
  <c r="CR15" i="13"/>
  <c r="CQ15" i="13"/>
  <c r="CP15" i="13"/>
  <c r="CO15" i="13"/>
  <c r="CN15" i="13"/>
  <c r="CM15" i="13"/>
  <c r="CL15" i="13"/>
  <c r="CK15" i="13"/>
  <c r="CJ15" i="13"/>
  <c r="CI15" i="13"/>
  <c r="CH15" i="13"/>
  <c r="CG15" i="13"/>
  <c r="CF15" i="13"/>
  <c r="CE15" i="13"/>
  <c r="CD15" i="13"/>
  <c r="BL15" i="13" s="1"/>
  <c r="BB15" i="13" s="1"/>
  <c r="CC15" i="13"/>
  <c r="CB15" i="13"/>
  <c r="CA15" i="13"/>
  <c r="BZ15" i="13"/>
  <c r="BY15" i="13"/>
  <c r="BX15" i="13"/>
  <c r="DP14" i="13"/>
  <c r="DO14" i="13"/>
  <c r="DN14" i="13"/>
  <c r="DM14" i="13"/>
  <c r="DL14" i="13"/>
  <c r="DK14" i="13"/>
  <c r="DJ14" i="13"/>
  <c r="DI14" i="13"/>
  <c r="DH14" i="13"/>
  <c r="DG14" i="13"/>
  <c r="DF14" i="13"/>
  <c r="DE14" i="13"/>
  <c r="DD14" i="13"/>
  <c r="DC14" i="13"/>
  <c r="DB14" i="13"/>
  <c r="DA14" i="13"/>
  <c r="CZ14" i="13"/>
  <c r="CY14" i="13"/>
  <c r="CX14" i="13"/>
  <c r="CW14" i="13"/>
  <c r="CV14" i="13"/>
  <c r="CU14" i="13"/>
  <c r="CT14" i="13"/>
  <c r="CS14" i="13"/>
  <c r="CR14" i="13"/>
  <c r="CQ14" i="13"/>
  <c r="CP14" i="13"/>
  <c r="CO14" i="13"/>
  <c r="CN14" i="13"/>
  <c r="CM14" i="13"/>
  <c r="CL14" i="13"/>
  <c r="CK14" i="13"/>
  <c r="CJ14" i="13"/>
  <c r="CI14" i="13"/>
  <c r="CH14" i="13"/>
  <c r="CG14" i="13"/>
  <c r="CF14" i="13"/>
  <c r="CE14" i="13"/>
  <c r="CD14" i="13"/>
  <c r="CC14" i="13"/>
  <c r="CB14" i="13"/>
  <c r="CA14" i="13"/>
  <c r="BZ14" i="13"/>
  <c r="BY14" i="13"/>
  <c r="BX14" i="13"/>
  <c r="DP13" i="13"/>
  <c r="DO13" i="13"/>
  <c r="DN13" i="13"/>
  <c r="DM13" i="13"/>
  <c r="DL13" i="13"/>
  <c r="DK13" i="13"/>
  <c r="DJ13" i="13"/>
  <c r="DI13" i="13"/>
  <c r="DH13" i="13"/>
  <c r="DG13" i="13"/>
  <c r="DF13" i="13"/>
  <c r="DE13" i="13"/>
  <c r="DD13" i="13"/>
  <c r="DC13" i="13"/>
  <c r="DB13" i="13"/>
  <c r="DA13" i="13"/>
  <c r="CZ13" i="13"/>
  <c r="CY13" i="13"/>
  <c r="CX13" i="13"/>
  <c r="CW13" i="13"/>
  <c r="CV13" i="13"/>
  <c r="CU13" i="13"/>
  <c r="CT13" i="13"/>
  <c r="CS13" i="13"/>
  <c r="CR13" i="13"/>
  <c r="CQ13" i="13"/>
  <c r="CP13" i="13"/>
  <c r="CO13" i="13"/>
  <c r="CN13" i="13"/>
  <c r="CM13" i="13"/>
  <c r="CL13" i="13"/>
  <c r="CK13" i="13"/>
  <c r="CJ13" i="13"/>
  <c r="CI13" i="13"/>
  <c r="CH13" i="13"/>
  <c r="CG13" i="13"/>
  <c r="CF13" i="13"/>
  <c r="CE13" i="13"/>
  <c r="CD13" i="13"/>
  <c r="CC13" i="13"/>
  <c r="CB13" i="13"/>
  <c r="CA13" i="13"/>
  <c r="BZ13" i="13"/>
  <c r="BY13" i="13"/>
  <c r="BX13" i="13"/>
  <c r="DP12" i="13"/>
  <c r="DO12" i="13"/>
  <c r="DN12" i="13"/>
  <c r="DM12" i="13"/>
  <c r="DL12" i="13"/>
  <c r="DK12" i="13"/>
  <c r="DJ12" i="13"/>
  <c r="DI12" i="13"/>
  <c r="DH12" i="13"/>
  <c r="DG12" i="13"/>
  <c r="DF12" i="13"/>
  <c r="DE12" i="13"/>
  <c r="DD12" i="13"/>
  <c r="DC12" i="13"/>
  <c r="DB12" i="13"/>
  <c r="DA12" i="13"/>
  <c r="CZ12" i="13"/>
  <c r="CY12" i="13"/>
  <c r="CX12" i="13"/>
  <c r="CW12" i="13"/>
  <c r="CV12" i="13"/>
  <c r="CU12" i="13"/>
  <c r="CT12" i="13"/>
  <c r="CS12" i="13"/>
  <c r="CR12" i="13"/>
  <c r="CQ12" i="13"/>
  <c r="CP12" i="13"/>
  <c r="CO12" i="13"/>
  <c r="CN12" i="13"/>
  <c r="CM12" i="13"/>
  <c r="CL12" i="13"/>
  <c r="CK12" i="13"/>
  <c r="CJ12" i="13"/>
  <c r="CI12" i="13"/>
  <c r="CH12" i="13"/>
  <c r="CG12" i="13"/>
  <c r="CF12" i="13"/>
  <c r="CE12" i="13"/>
  <c r="CD12" i="13"/>
  <c r="CC12" i="13"/>
  <c r="CB12" i="13"/>
  <c r="CA12" i="13"/>
  <c r="BZ12" i="13"/>
  <c r="BY12" i="13"/>
  <c r="BX12" i="13"/>
  <c r="DP11" i="13"/>
  <c r="DO11" i="13"/>
  <c r="DN11" i="13"/>
  <c r="DM11" i="13"/>
  <c r="DL11" i="13"/>
  <c r="DK11" i="13"/>
  <c r="DJ11" i="13"/>
  <c r="DI11" i="13"/>
  <c r="DH11" i="13"/>
  <c r="DG11" i="13"/>
  <c r="DF11" i="13"/>
  <c r="DE11" i="13"/>
  <c r="DD11" i="13"/>
  <c r="DC11" i="13"/>
  <c r="DB11" i="13"/>
  <c r="DA11" i="13"/>
  <c r="CZ11" i="13"/>
  <c r="CY11" i="13"/>
  <c r="CX11" i="13"/>
  <c r="CW11" i="13"/>
  <c r="CV11" i="13"/>
  <c r="CU11" i="13"/>
  <c r="CT11" i="13"/>
  <c r="CS11" i="13"/>
  <c r="CR11" i="13"/>
  <c r="CQ11" i="13"/>
  <c r="CP11" i="13"/>
  <c r="CO11" i="13"/>
  <c r="CN11" i="13"/>
  <c r="CM11" i="13"/>
  <c r="CL11" i="13"/>
  <c r="CK11" i="13"/>
  <c r="CJ11" i="13"/>
  <c r="CI11" i="13"/>
  <c r="CH11" i="13"/>
  <c r="CG11" i="13"/>
  <c r="CF11" i="13"/>
  <c r="CE11" i="13"/>
  <c r="CD11" i="13"/>
  <c r="CC11" i="13"/>
  <c r="CB11" i="13"/>
  <c r="CA11" i="13"/>
  <c r="BZ11" i="13"/>
  <c r="BY11" i="13"/>
  <c r="BX11" i="13"/>
  <c r="DP10" i="13"/>
  <c r="DO10" i="13"/>
  <c r="DN10" i="13"/>
  <c r="DM10" i="13"/>
  <c r="DL10" i="13"/>
  <c r="DK10" i="13"/>
  <c r="DJ10" i="13"/>
  <c r="DI10" i="13"/>
  <c r="DH10" i="13"/>
  <c r="DG10" i="13"/>
  <c r="DF10" i="13"/>
  <c r="DE10" i="13"/>
  <c r="DD10" i="13"/>
  <c r="DC10" i="13"/>
  <c r="DB10" i="13"/>
  <c r="DA10" i="13"/>
  <c r="CZ10" i="13"/>
  <c r="CY10" i="13"/>
  <c r="CX10" i="13"/>
  <c r="CW10" i="13"/>
  <c r="CV10" i="13"/>
  <c r="CU10" i="13"/>
  <c r="CT10" i="13"/>
  <c r="CS10" i="13"/>
  <c r="CR10" i="13"/>
  <c r="CQ10" i="13"/>
  <c r="CP10" i="13"/>
  <c r="CO10" i="13"/>
  <c r="CN10" i="13"/>
  <c r="CM10" i="13"/>
  <c r="CL10" i="13"/>
  <c r="CK10" i="13"/>
  <c r="CJ10" i="13"/>
  <c r="CI10" i="13"/>
  <c r="CH10" i="13"/>
  <c r="CG10" i="13"/>
  <c r="CF10" i="13"/>
  <c r="CE10" i="13"/>
  <c r="CD10" i="13"/>
  <c r="CC10" i="13"/>
  <c r="CB10" i="13"/>
  <c r="CA10" i="13"/>
  <c r="BZ10" i="13"/>
  <c r="BY10" i="13"/>
  <c r="BX10" i="13"/>
  <c r="DP9" i="13"/>
  <c r="DO9" i="13"/>
  <c r="DN9" i="13"/>
  <c r="DM9" i="13"/>
  <c r="DL9" i="13"/>
  <c r="DK9" i="13"/>
  <c r="DJ9" i="13"/>
  <c r="DI9" i="13"/>
  <c r="DH9" i="13"/>
  <c r="DG9" i="13"/>
  <c r="DF9" i="13"/>
  <c r="DE9" i="13"/>
  <c r="DD9" i="13"/>
  <c r="DC9" i="13"/>
  <c r="DB9" i="13"/>
  <c r="DA9" i="13"/>
  <c r="CZ9" i="13"/>
  <c r="CY9" i="13"/>
  <c r="CX9" i="13"/>
  <c r="CW9" i="13"/>
  <c r="CV9" i="13"/>
  <c r="CU9" i="13"/>
  <c r="CT9" i="13"/>
  <c r="CS9" i="13"/>
  <c r="CR9" i="13"/>
  <c r="CQ9" i="13"/>
  <c r="CP9" i="13"/>
  <c r="CO9" i="13"/>
  <c r="CN9" i="13"/>
  <c r="CM9" i="13"/>
  <c r="CL9" i="13"/>
  <c r="CK9" i="13"/>
  <c r="CJ9" i="13"/>
  <c r="CI9" i="13"/>
  <c r="CH9" i="13"/>
  <c r="CG9" i="13"/>
  <c r="CF9" i="13"/>
  <c r="CE9" i="13"/>
  <c r="CD9" i="13"/>
  <c r="CC9" i="13"/>
  <c r="CB9" i="13"/>
  <c r="CA9" i="13"/>
  <c r="BZ9" i="13"/>
  <c r="BY9" i="13"/>
  <c r="BX9" i="13"/>
  <c r="DP8" i="13"/>
  <c r="DO8" i="13"/>
  <c r="DN8" i="13"/>
  <c r="DM8" i="13"/>
  <c r="DL8" i="13"/>
  <c r="DK8" i="13"/>
  <c r="DJ8" i="13"/>
  <c r="DI8" i="13"/>
  <c r="DH8" i="13"/>
  <c r="DG8" i="13"/>
  <c r="DF8" i="13"/>
  <c r="DE8" i="13"/>
  <c r="DD8" i="13"/>
  <c r="DC8" i="13"/>
  <c r="DB8" i="13"/>
  <c r="DA8" i="13"/>
  <c r="CZ8" i="13"/>
  <c r="CY8" i="13"/>
  <c r="CX8" i="13"/>
  <c r="CW8" i="13"/>
  <c r="CV8" i="13"/>
  <c r="CU8" i="13"/>
  <c r="CT8" i="13"/>
  <c r="CS8" i="13"/>
  <c r="CR8" i="13"/>
  <c r="CQ8" i="13"/>
  <c r="CP8" i="13"/>
  <c r="CO8" i="13"/>
  <c r="CN8" i="13"/>
  <c r="CM8" i="13"/>
  <c r="CL8" i="13"/>
  <c r="CK8" i="13"/>
  <c r="CJ8" i="13"/>
  <c r="CI8" i="13"/>
  <c r="CH8" i="13"/>
  <c r="CG8" i="13"/>
  <c r="CF8" i="13"/>
  <c r="CE8" i="13"/>
  <c r="CD8" i="13"/>
  <c r="CC8" i="13"/>
  <c r="CB8" i="13"/>
  <c r="CA8" i="13"/>
  <c r="BZ8" i="13"/>
  <c r="BY8" i="13"/>
  <c r="BX8" i="13"/>
  <c r="DP7" i="13"/>
  <c r="DO7" i="13"/>
  <c r="DN7" i="13"/>
  <c r="DM7" i="13"/>
  <c r="DL7" i="13"/>
  <c r="DK7" i="13"/>
  <c r="DJ7" i="13"/>
  <c r="DI7" i="13"/>
  <c r="DH7" i="13"/>
  <c r="DG7" i="13"/>
  <c r="DF7" i="13"/>
  <c r="DE7" i="13"/>
  <c r="DD7" i="13"/>
  <c r="DC7" i="13"/>
  <c r="DB7" i="13"/>
  <c r="DA7" i="13"/>
  <c r="CZ7" i="13"/>
  <c r="CY7" i="13"/>
  <c r="CX7" i="13"/>
  <c r="CW7" i="13"/>
  <c r="CV7" i="13"/>
  <c r="CU7" i="13"/>
  <c r="CT7" i="13"/>
  <c r="CS7" i="13"/>
  <c r="CR7" i="13"/>
  <c r="CQ7" i="13"/>
  <c r="CP7" i="13"/>
  <c r="CO7" i="13"/>
  <c r="CN7" i="13"/>
  <c r="CM7" i="13"/>
  <c r="CL7" i="13"/>
  <c r="CK7" i="13"/>
  <c r="CJ7" i="13"/>
  <c r="CI7" i="13"/>
  <c r="CH7" i="13"/>
  <c r="CG7" i="13"/>
  <c r="CF7" i="13"/>
  <c r="CE7" i="13"/>
  <c r="CD7" i="13"/>
  <c r="CC7" i="13"/>
  <c r="CB7" i="13"/>
  <c r="CA7" i="13"/>
  <c r="BZ7" i="13"/>
  <c r="BY7" i="13"/>
  <c r="BX7" i="13"/>
  <c r="DP6" i="13"/>
  <c r="DO6" i="13"/>
  <c r="DN6" i="13"/>
  <c r="DM6" i="13"/>
  <c r="DL6" i="13"/>
  <c r="DK6" i="13"/>
  <c r="DJ6" i="13"/>
  <c r="DI6" i="13"/>
  <c r="DH6" i="13"/>
  <c r="DG6" i="13"/>
  <c r="DF6" i="13"/>
  <c r="DE6" i="13"/>
  <c r="DD6" i="13"/>
  <c r="DC6" i="13"/>
  <c r="DB6" i="13"/>
  <c r="DA6" i="13"/>
  <c r="CZ6" i="13"/>
  <c r="CY6" i="13"/>
  <c r="CX6" i="13"/>
  <c r="CW6" i="13"/>
  <c r="CV6" i="13"/>
  <c r="CU6" i="13"/>
  <c r="CT6" i="13"/>
  <c r="CS6" i="13"/>
  <c r="CR6" i="13"/>
  <c r="CQ6" i="13"/>
  <c r="CP6" i="13"/>
  <c r="CO6" i="13"/>
  <c r="CN6" i="13"/>
  <c r="CM6" i="13"/>
  <c r="CL6" i="13"/>
  <c r="CK6" i="13"/>
  <c r="CJ6" i="13"/>
  <c r="CI6" i="13"/>
  <c r="CH6" i="13"/>
  <c r="CG6" i="13"/>
  <c r="CF6" i="13"/>
  <c r="CE6" i="13"/>
  <c r="CD6" i="13"/>
  <c r="CC6" i="13"/>
  <c r="CB6" i="13"/>
  <c r="CA6" i="13"/>
  <c r="BZ6" i="13"/>
  <c r="BY6" i="13"/>
  <c r="BX6" i="13"/>
  <c r="DP5" i="13"/>
  <c r="DO5" i="13"/>
  <c r="DN5" i="13"/>
  <c r="DM5" i="13"/>
  <c r="DL5" i="13"/>
  <c r="DK5" i="13"/>
  <c r="DJ5" i="13"/>
  <c r="DI5" i="13"/>
  <c r="DH5" i="13"/>
  <c r="DG5" i="13"/>
  <c r="DF5" i="13"/>
  <c r="DE5" i="13"/>
  <c r="DD5" i="13"/>
  <c r="DC5" i="13"/>
  <c r="DB5" i="13"/>
  <c r="DA5" i="13"/>
  <c r="CZ5" i="13"/>
  <c r="CY5" i="13"/>
  <c r="CX5" i="13"/>
  <c r="CW5" i="13"/>
  <c r="CV5" i="13"/>
  <c r="CU5" i="13"/>
  <c r="CT5" i="13"/>
  <c r="CS5" i="13"/>
  <c r="CR5" i="13"/>
  <c r="CQ5" i="13"/>
  <c r="CP5" i="13"/>
  <c r="CO5" i="13"/>
  <c r="CN5" i="13"/>
  <c r="CM5" i="13"/>
  <c r="CL5" i="13"/>
  <c r="CK5" i="13"/>
  <c r="CJ5" i="13"/>
  <c r="CI5" i="13"/>
  <c r="CH5" i="13"/>
  <c r="CG5" i="13"/>
  <c r="CF5" i="13"/>
  <c r="CE5" i="13"/>
  <c r="CD5" i="13"/>
  <c r="CC5" i="13"/>
  <c r="CB5" i="13"/>
  <c r="CA5" i="13"/>
  <c r="BZ5" i="13"/>
  <c r="BY5" i="13"/>
  <c r="BX5" i="13"/>
  <c r="DP4" i="13"/>
  <c r="DO4" i="13"/>
  <c r="DN4" i="13"/>
  <c r="DM4" i="13"/>
  <c r="DL4" i="13"/>
  <c r="DK4" i="13"/>
  <c r="DJ4" i="13"/>
  <c r="DI4" i="13"/>
  <c r="DH4" i="13"/>
  <c r="DG4" i="13"/>
  <c r="DF4" i="13"/>
  <c r="DE4" i="13"/>
  <c r="DD4" i="13"/>
  <c r="DC4" i="13"/>
  <c r="DB4" i="13"/>
  <c r="DA4" i="13"/>
  <c r="CZ4" i="13"/>
  <c r="CY4" i="13"/>
  <c r="CX4" i="13"/>
  <c r="CW4" i="13"/>
  <c r="CV4" i="13"/>
  <c r="CU4" i="13"/>
  <c r="CT4" i="13"/>
  <c r="CS4" i="13"/>
  <c r="CR4" i="13"/>
  <c r="CQ4" i="13"/>
  <c r="CP4" i="13"/>
  <c r="CO4" i="13"/>
  <c r="CN4" i="13"/>
  <c r="CM4" i="13"/>
  <c r="CL4" i="13"/>
  <c r="CK4" i="13"/>
  <c r="CJ4" i="13"/>
  <c r="CI4" i="13"/>
  <c r="CH4" i="13"/>
  <c r="CG4" i="13"/>
  <c r="CF4" i="13"/>
  <c r="CE4" i="13"/>
  <c r="CD4" i="13"/>
  <c r="CC4" i="13"/>
  <c r="CB4" i="13"/>
  <c r="CA4" i="13"/>
  <c r="BZ4" i="13"/>
  <c r="BY4" i="13"/>
  <c r="BX4" i="13"/>
  <c r="DP3" i="13"/>
  <c r="DO3" i="13"/>
  <c r="DN3" i="13"/>
  <c r="DM3" i="13"/>
  <c r="DL3" i="13"/>
  <c r="DK3" i="13"/>
  <c r="DJ3" i="13"/>
  <c r="DI3" i="13"/>
  <c r="DH3" i="13"/>
  <c r="DG3" i="13"/>
  <c r="DF3" i="13"/>
  <c r="DE3" i="13"/>
  <c r="DD3" i="13"/>
  <c r="DC3" i="13"/>
  <c r="DB3" i="13"/>
  <c r="DA3" i="13"/>
  <c r="CZ3" i="13"/>
  <c r="CY3" i="13"/>
  <c r="CX3" i="13"/>
  <c r="BP3" i="13" s="1"/>
  <c r="BF3" i="13" s="1"/>
  <c r="CW3" i="13"/>
  <c r="CV3" i="13"/>
  <c r="CU3" i="13"/>
  <c r="CT3" i="13"/>
  <c r="CS3" i="13"/>
  <c r="CR3" i="13"/>
  <c r="CQ3" i="13"/>
  <c r="CP3" i="13"/>
  <c r="CO3" i="13"/>
  <c r="CN3" i="13"/>
  <c r="CM3" i="13"/>
  <c r="CL3" i="13"/>
  <c r="CK3" i="13"/>
  <c r="CJ3" i="13"/>
  <c r="CI3" i="13"/>
  <c r="CH3" i="13"/>
  <c r="CG3" i="13"/>
  <c r="CF3" i="13"/>
  <c r="CE3" i="13"/>
  <c r="CD3" i="13"/>
  <c r="CC3" i="13"/>
  <c r="CB3" i="13"/>
  <c r="CA3" i="13"/>
  <c r="BZ3" i="13"/>
  <c r="BY3" i="13"/>
  <c r="BX3" i="13"/>
  <c r="BO15" i="13" l="1"/>
  <c r="BE15" i="13" s="1"/>
  <c r="BM7" i="14"/>
  <c r="BC7" i="14" s="1"/>
  <c r="BU7" i="14"/>
  <c r="BK7" i="14" s="1"/>
  <c r="BU16" i="14"/>
  <c r="BK16" i="14" s="1"/>
  <c r="BN24" i="14"/>
  <c r="BD24" i="14" s="1"/>
  <c r="BN27" i="14"/>
  <c r="BD27" i="14" s="1"/>
  <c r="BU4" i="14"/>
  <c r="BK4" i="14" s="1"/>
  <c r="BP6" i="14"/>
  <c r="BF6" i="14" s="1"/>
  <c r="BR10" i="14"/>
  <c r="BH10" i="14" s="1"/>
  <c r="BN23" i="14"/>
  <c r="BD23" i="14" s="1"/>
  <c r="BP9" i="14"/>
  <c r="BF9" i="14" s="1"/>
  <c r="BP22" i="14"/>
  <c r="BF22" i="14" s="1"/>
  <c r="BS14" i="14"/>
  <c r="BI14" i="14" s="1"/>
  <c r="BS16" i="14"/>
  <c r="BI16" i="14" s="1"/>
  <c r="BW19" i="14"/>
  <c r="BM4" i="14"/>
  <c r="BC4" i="14" s="1"/>
  <c r="BQ4" i="14"/>
  <c r="BG4" i="14" s="1"/>
  <c r="BQ7" i="14"/>
  <c r="BG7" i="14" s="1"/>
  <c r="BM14" i="14"/>
  <c r="BC14" i="14" s="1"/>
  <c r="BX24" i="14"/>
  <c r="G24" i="14" s="1"/>
  <c r="BQ24" i="14"/>
  <c r="BG24" i="14" s="1"/>
  <c r="BR24" i="14"/>
  <c r="BH24" i="14" s="1"/>
  <c r="BW25" i="14"/>
  <c r="BM8" i="14"/>
  <c r="BC8" i="14" s="1"/>
  <c r="BU11" i="14"/>
  <c r="BK11" i="14" s="1"/>
  <c r="BT12" i="14"/>
  <c r="BJ12" i="14" s="1"/>
  <c r="BQ13" i="14"/>
  <c r="BG13" i="14" s="1"/>
  <c r="BW17" i="14"/>
  <c r="BP17" i="14"/>
  <c r="BF17" i="14" s="1"/>
  <c r="BT17" i="14"/>
  <c r="BJ17" i="14" s="1"/>
  <c r="BT22" i="14"/>
  <c r="BJ22" i="14" s="1"/>
  <c r="BW23" i="14"/>
  <c r="BU25" i="14"/>
  <c r="BK25" i="14" s="1"/>
  <c r="BP26" i="14"/>
  <c r="BF26" i="14" s="1"/>
  <c r="BS26" i="14"/>
  <c r="BI26" i="14" s="1"/>
  <c r="BU24" i="14"/>
  <c r="BK24" i="14" s="1"/>
  <c r="BP25" i="14"/>
  <c r="BF25" i="14" s="1"/>
  <c r="BT25" i="14"/>
  <c r="BJ25" i="14" s="1"/>
  <c r="BR27" i="14"/>
  <c r="BH27" i="14" s="1"/>
  <c r="BW5" i="14"/>
  <c r="BP5" i="14"/>
  <c r="BF5" i="14" s="1"/>
  <c r="BT5" i="14"/>
  <c r="BJ5" i="14" s="1"/>
  <c r="BX6" i="14"/>
  <c r="BN6" i="14"/>
  <c r="BD6" i="14" s="1"/>
  <c r="BO6" i="14"/>
  <c r="BE6" i="14" s="1"/>
  <c r="BS6" i="14"/>
  <c r="BI6" i="14" s="1"/>
  <c r="BQ8" i="14"/>
  <c r="BG8" i="14" s="1"/>
  <c r="BX9" i="14"/>
  <c r="BO9" i="14"/>
  <c r="BE9" i="14" s="1"/>
  <c r="BS9" i="14"/>
  <c r="BI9" i="14" s="1"/>
  <c r="BX12" i="14"/>
  <c r="BP12" i="14"/>
  <c r="BF12" i="14" s="1"/>
  <c r="BM13" i="14"/>
  <c r="BC13" i="14" s="1"/>
  <c r="BR13" i="14"/>
  <c r="BH13" i="14" s="1"/>
  <c r="BS15" i="14"/>
  <c r="BI15" i="14" s="1"/>
  <c r="BN19" i="14"/>
  <c r="BD19" i="14" s="1"/>
  <c r="BP21" i="14"/>
  <c r="BF21" i="14" s="1"/>
  <c r="BU21" i="14"/>
  <c r="BK21" i="14" s="1"/>
  <c r="BR23" i="14"/>
  <c r="BH23" i="14" s="1"/>
  <c r="BX26" i="14"/>
  <c r="BM14" i="13"/>
  <c r="BC14" i="13" s="1"/>
  <c r="BR14" i="13"/>
  <c r="BH14" i="13" s="1"/>
  <c r="BQ20" i="13"/>
  <c r="BG20" i="13" s="1"/>
  <c r="BS21" i="13"/>
  <c r="BI21" i="13" s="1"/>
  <c r="BL7" i="13"/>
  <c r="BB7" i="13" s="1"/>
  <c r="BP9" i="13"/>
  <c r="BF9" i="13" s="1"/>
  <c r="BP13" i="13"/>
  <c r="BF13" i="13" s="1"/>
  <c r="BU19" i="13"/>
  <c r="BU4" i="13"/>
  <c r="BN4" i="13"/>
  <c r="BD4" i="13" s="1"/>
  <c r="BR4" i="13"/>
  <c r="BH4" i="13" s="1"/>
  <c r="BL10" i="13"/>
  <c r="BB10" i="13" s="1"/>
  <c r="BU10" i="13"/>
  <c r="BU23" i="13"/>
  <c r="BS23" i="13"/>
  <c r="BI23" i="13" s="1"/>
  <c r="BQ24" i="13"/>
  <c r="BG24" i="13" s="1"/>
  <c r="BV27" i="13"/>
  <c r="BL27" i="13"/>
  <c r="BB27" i="13" s="1"/>
  <c r="BO27" i="13"/>
  <c r="BE27" i="13" s="1"/>
  <c r="BS27" i="13"/>
  <c r="BI27" i="13" s="1"/>
  <c r="BU5" i="13"/>
  <c r="BP5" i="13"/>
  <c r="BF5" i="13" s="1"/>
  <c r="BU7" i="13"/>
  <c r="BV9" i="13"/>
  <c r="BP10" i="13"/>
  <c r="BF10" i="13" s="1"/>
  <c r="BV12" i="13"/>
  <c r="BN12" i="13"/>
  <c r="BD12" i="13" s="1"/>
  <c r="BV24" i="13"/>
  <c r="BX5" i="14"/>
  <c r="G5" i="14" s="1"/>
  <c r="BX11" i="14"/>
  <c r="BQ11" i="14"/>
  <c r="BG11" i="14" s="1"/>
  <c r="BP13" i="14"/>
  <c r="BF13" i="14" s="1"/>
  <c r="BT13" i="14"/>
  <c r="BJ13" i="14" s="1"/>
  <c r="BW14" i="14"/>
  <c r="BP14" i="14"/>
  <c r="BF14" i="14" s="1"/>
  <c r="BT14" i="14"/>
  <c r="BJ14" i="14" s="1"/>
  <c r="BW18" i="14"/>
  <c r="BP18" i="14"/>
  <c r="BF18" i="14" s="1"/>
  <c r="BT18" i="14"/>
  <c r="BJ18" i="14" s="1"/>
  <c r="BL3" i="13"/>
  <c r="BB3" i="13" s="1"/>
  <c r="BK8" i="13"/>
  <c r="BA8" i="13" s="1"/>
  <c r="BO8" i="13"/>
  <c r="BE8" i="13" s="1"/>
  <c r="BP8" i="13"/>
  <c r="BF8" i="13" s="1"/>
  <c r="BS8" i="13"/>
  <c r="BI8" i="13" s="1"/>
  <c r="BU15" i="13"/>
  <c r="BP15" i="13"/>
  <c r="BF15" i="13" s="1"/>
  <c r="BV17" i="13"/>
  <c r="BO17" i="13"/>
  <c r="BE17" i="13" s="1"/>
  <c r="BS17" i="13"/>
  <c r="BI17" i="13" s="1"/>
  <c r="BU18" i="13"/>
  <c r="BN18" i="13"/>
  <c r="BD18" i="13" s="1"/>
  <c r="BR18" i="13"/>
  <c r="BH18" i="13" s="1"/>
  <c r="BK19" i="13"/>
  <c r="BA19" i="13" s="1"/>
  <c r="BL19" i="13"/>
  <c r="BB19" i="13" s="1"/>
  <c r="BV22" i="13"/>
  <c r="BL23" i="13"/>
  <c r="BB23" i="13" s="1"/>
  <c r="BO23" i="13"/>
  <c r="BE23" i="13" s="1"/>
  <c r="BP23" i="13"/>
  <c r="BF23" i="13" s="1"/>
  <c r="BK25" i="13"/>
  <c r="BA25" i="13" s="1"/>
  <c r="BP25" i="13"/>
  <c r="BF25" i="13" s="1"/>
  <c r="BU26" i="13"/>
  <c r="BN26" i="13"/>
  <c r="BD26" i="13" s="1"/>
  <c r="BQ26" i="13"/>
  <c r="BG26" i="13" s="1"/>
  <c r="BR26" i="13"/>
  <c r="BH26" i="13" s="1"/>
  <c r="BX4" i="14"/>
  <c r="BX8" i="14"/>
  <c r="BM11" i="14"/>
  <c r="BC11" i="14" s="1"/>
  <c r="BU13" i="14"/>
  <c r="BK13" i="14" s="1"/>
  <c r="BX14" i="14"/>
  <c r="BQ14" i="14"/>
  <c r="BG14" i="14" s="1"/>
  <c r="BU14" i="14"/>
  <c r="BK14" i="14" s="1"/>
  <c r="BQ16" i="14"/>
  <c r="BG16" i="14" s="1"/>
  <c r="BN17" i="14"/>
  <c r="BD17" i="14" s="1"/>
  <c r="BR17" i="14"/>
  <c r="BH17" i="14" s="1"/>
  <c r="BR19" i="14"/>
  <c r="BH19" i="14" s="1"/>
  <c r="BQ20" i="14"/>
  <c r="BG20" i="14" s="1"/>
  <c r="BU20" i="14"/>
  <c r="BK20" i="14" s="1"/>
  <c r="BW22" i="14"/>
  <c r="BS23" i="14"/>
  <c r="BI23" i="14" s="1"/>
  <c r="BL5" i="13"/>
  <c r="BB5" i="13" s="1"/>
  <c r="BV6" i="13"/>
  <c r="BN6" i="13"/>
  <c r="BD6" i="13" s="1"/>
  <c r="BR6" i="13"/>
  <c r="BH6" i="13" s="1"/>
  <c r="BP7" i="13"/>
  <c r="BF7" i="13" s="1"/>
  <c r="BK10" i="13"/>
  <c r="BA10" i="13" s="1"/>
  <c r="BO10" i="13"/>
  <c r="BE10" i="13" s="1"/>
  <c r="BR10" i="13"/>
  <c r="BH10" i="13" s="1"/>
  <c r="BU11" i="13"/>
  <c r="BN11" i="13"/>
  <c r="BD11" i="13" s="1"/>
  <c r="BR11" i="13"/>
  <c r="BH11" i="13" s="1"/>
  <c r="BU13" i="13"/>
  <c r="BN13" i="13"/>
  <c r="BD13" i="13" s="1"/>
  <c r="BO13" i="13"/>
  <c r="BE13" i="13" s="1"/>
  <c r="BS13" i="13"/>
  <c r="BI13" i="13" s="1"/>
  <c r="BM16" i="13"/>
  <c r="BC16" i="13" s="1"/>
  <c r="BN16" i="13"/>
  <c r="BD16" i="13" s="1"/>
  <c r="BQ16" i="13"/>
  <c r="BG16" i="13" s="1"/>
  <c r="BV20" i="13"/>
  <c r="BR20" i="13"/>
  <c r="BH20" i="13" s="1"/>
  <c r="BL21" i="13"/>
  <c r="BB21" i="13" s="1"/>
  <c r="BO21" i="13"/>
  <c r="BE21" i="13" s="1"/>
  <c r="BR6" i="14"/>
  <c r="BH6" i="14" s="1"/>
  <c r="BN7" i="14"/>
  <c r="BD7" i="14" s="1"/>
  <c r="BR7" i="14"/>
  <c r="BH7" i="14" s="1"/>
  <c r="BW9" i="14"/>
  <c r="BN10" i="14"/>
  <c r="BD10" i="14" s="1"/>
  <c r="BW12" i="14"/>
  <c r="BW15" i="14"/>
  <c r="BP15" i="14"/>
  <c r="BF15" i="14" s="1"/>
  <c r="BT15" i="14"/>
  <c r="BJ15" i="14" s="1"/>
  <c r="BS19" i="14"/>
  <c r="BI19" i="14" s="1"/>
  <c r="BW21" i="14"/>
  <c r="BT21" i="14"/>
  <c r="BJ21" i="14" s="1"/>
  <c r="BO26" i="14"/>
  <c r="BE26" i="14" s="1"/>
  <c r="BL25" i="13"/>
  <c r="BB25" i="13" s="1"/>
  <c r="BM22" i="13"/>
  <c r="BC22" i="13" s="1"/>
  <c r="BQ22" i="13"/>
  <c r="BG22" i="13" s="1"/>
  <c r="BN22" i="13"/>
  <c r="BD22" i="13" s="1"/>
  <c r="BR22" i="13"/>
  <c r="BH22" i="13" s="1"/>
  <c r="BM24" i="13"/>
  <c r="BC24" i="13" s="1"/>
  <c r="BV4" i="13"/>
  <c r="BM9" i="13"/>
  <c r="BC9" i="13" s="1"/>
  <c r="BQ9" i="13"/>
  <c r="BG9" i="13" s="1"/>
  <c r="BN10" i="13"/>
  <c r="BD10" i="13" s="1"/>
  <c r="BS15" i="13"/>
  <c r="BI15" i="13" s="1"/>
  <c r="BN9" i="13"/>
  <c r="BD9" i="13" s="1"/>
  <c r="BS10" i="13"/>
  <c r="BI10" i="13" s="1"/>
  <c r="BM12" i="13"/>
  <c r="BC12" i="13" s="1"/>
  <c r="BU14" i="13"/>
  <c r="BN14" i="13"/>
  <c r="BD14" i="13" s="1"/>
  <c r="BM20" i="13"/>
  <c r="BC20" i="13" s="1"/>
  <c r="F4" i="13"/>
  <c r="F4" i="14" s="1"/>
  <c r="BU9" i="13"/>
  <c r="BR9" i="13"/>
  <c r="BH9" i="13" s="1"/>
  <c r="BL11" i="13"/>
  <c r="BB11" i="13" s="1"/>
  <c r="BP11" i="13"/>
  <c r="BF11" i="13" s="1"/>
  <c r="BQ12" i="13"/>
  <c r="BG12" i="13" s="1"/>
  <c r="BU6" i="13"/>
  <c r="F6" i="13" s="1"/>
  <c r="F6" i="14" s="1"/>
  <c r="BU8" i="13"/>
  <c r="BN8" i="13"/>
  <c r="BD8" i="13" s="1"/>
  <c r="BR8" i="13"/>
  <c r="BH8" i="13" s="1"/>
  <c r="BM11" i="13"/>
  <c r="BC11" i="13" s="1"/>
  <c r="BU12" i="13"/>
  <c r="F12" i="13" s="1"/>
  <c r="F12" i="14" s="1"/>
  <c r="BV19" i="13"/>
  <c r="F19" i="13" s="1"/>
  <c r="F19" i="14" s="1"/>
  <c r="BO19" i="13"/>
  <c r="BE19" i="13" s="1"/>
  <c r="BS19" i="13"/>
  <c r="BI19" i="13" s="1"/>
  <c r="BP21" i="13"/>
  <c r="BF21" i="13" s="1"/>
  <c r="BU3" i="13"/>
  <c r="BM3" i="13"/>
  <c r="BC3" i="13" s="1"/>
  <c r="BN3" i="13"/>
  <c r="BD3" i="13" s="1"/>
  <c r="BO3" i="13"/>
  <c r="BE3" i="13" s="1"/>
  <c r="BQ3" i="13"/>
  <c r="BG3" i="13" s="1"/>
  <c r="BR3" i="13"/>
  <c r="BH3" i="13" s="1"/>
  <c r="BS3" i="13"/>
  <c r="BI3" i="13" s="1"/>
  <c r="BK4" i="13"/>
  <c r="BA4" i="13" s="1"/>
  <c r="BL4" i="13"/>
  <c r="BB4" i="13" s="1"/>
  <c r="BM4" i="13"/>
  <c r="BC4" i="13" s="1"/>
  <c r="BO4" i="13"/>
  <c r="BE4" i="13" s="1"/>
  <c r="BP4" i="13"/>
  <c r="BF4" i="13" s="1"/>
  <c r="BQ4" i="13"/>
  <c r="BG4" i="13" s="1"/>
  <c r="BS4" i="13"/>
  <c r="BI4" i="13" s="1"/>
  <c r="BK5" i="13"/>
  <c r="BA5" i="13" s="1"/>
  <c r="BM5" i="13"/>
  <c r="BC5" i="13" s="1"/>
  <c r="BN5" i="13"/>
  <c r="BD5" i="13" s="1"/>
  <c r="BO5" i="13"/>
  <c r="BE5" i="13" s="1"/>
  <c r="BQ5" i="13"/>
  <c r="BG5" i="13" s="1"/>
  <c r="BR5" i="13"/>
  <c r="BH5" i="13" s="1"/>
  <c r="BS5" i="13"/>
  <c r="BI5" i="13" s="1"/>
  <c r="BK6" i="13"/>
  <c r="BA6" i="13" s="1"/>
  <c r="BL6" i="13"/>
  <c r="BB6" i="13" s="1"/>
  <c r="BM6" i="13"/>
  <c r="BC6" i="13" s="1"/>
  <c r="BO6" i="13"/>
  <c r="BE6" i="13" s="1"/>
  <c r="BP6" i="13"/>
  <c r="BF6" i="13" s="1"/>
  <c r="BQ6" i="13"/>
  <c r="BG6" i="13" s="1"/>
  <c r="BS6" i="13"/>
  <c r="BI6" i="13" s="1"/>
  <c r="BK7" i="13"/>
  <c r="BA7" i="13" s="1"/>
  <c r="BM7" i="13"/>
  <c r="BC7" i="13" s="1"/>
  <c r="BN7" i="13"/>
  <c r="BD7" i="13" s="1"/>
  <c r="BO7" i="13"/>
  <c r="BE7" i="13" s="1"/>
  <c r="BQ7" i="13"/>
  <c r="BG7" i="13" s="1"/>
  <c r="BR7" i="13"/>
  <c r="BH7" i="13" s="1"/>
  <c r="BS7" i="13"/>
  <c r="BI7" i="13" s="1"/>
  <c r="BL8" i="13"/>
  <c r="BB8" i="13" s="1"/>
  <c r="BM8" i="13"/>
  <c r="BC8" i="13" s="1"/>
  <c r="BQ8" i="13"/>
  <c r="BG8" i="13" s="1"/>
  <c r="BL9" i="13"/>
  <c r="BB9" i="13" s="1"/>
  <c r="BM10" i="13"/>
  <c r="BC10" i="13" s="1"/>
  <c r="BQ10" i="13"/>
  <c r="BG10" i="13" s="1"/>
  <c r="BK11" i="13"/>
  <c r="BA11" i="13" s="1"/>
  <c r="BO11" i="13"/>
  <c r="BE11" i="13" s="1"/>
  <c r="BQ11" i="13"/>
  <c r="BG11" i="13" s="1"/>
  <c r="BS11" i="13"/>
  <c r="BI11" i="13" s="1"/>
  <c r="BK12" i="13"/>
  <c r="BA12" i="13" s="1"/>
  <c r="BL12" i="13"/>
  <c r="BB12" i="13" s="1"/>
  <c r="BP12" i="13"/>
  <c r="BF12" i="13" s="1"/>
  <c r="BK13" i="13"/>
  <c r="BA13" i="13" s="1"/>
  <c r="BM13" i="13"/>
  <c r="BC13" i="13" s="1"/>
  <c r="BQ13" i="13"/>
  <c r="BG13" i="13" s="1"/>
  <c r="BR13" i="13"/>
  <c r="BH13" i="13" s="1"/>
  <c r="BK14" i="13"/>
  <c r="BA14" i="13" s="1"/>
  <c r="BV14" i="13"/>
  <c r="F14" i="13" s="1"/>
  <c r="F14" i="14" s="1"/>
  <c r="BO14" i="13"/>
  <c r="BE14" i="13" s="1"/>
  <c r="BS14" i="13"/>
  <c r="BI14" i="13" s="1"/>
  <c r="BM15" i="13"/>
  <c r="BC15" i="13" s="1"/>
  <c r="BN15" i="13"/>
  <c r="BD15" i="13" s="1"/>
  <c r="BQ15" i="13"/>
  <c r="BG15" i="13" s="1"/>
  <c r="BR15" i="13"/>
  <c r="BH15" i="13" s="1"/>
  <c r="BL16" i="13"/>
  <c r="BB16" i="13" s="1"/>
  <c r="BP16" i="13"/>
  <c r="BF16" i="13" s="1"/>
  <c r="BU17" i="13"/>
  <c r="BN17" i="13"/>
  <c r="BD17" i="13" s="1"/>
  <c r="BP17" i="13"/>
  <c r="BF17" i="13" s="1"/>
  <c r="BR17" i="13"/>
  <c r="BH17" i="13" s="1"/>
  <c r="BV18" i="13"/>
  <c r="F18" i="13" s="1"/>
  <c r="F18" i="14" s="1"/>
  <c r="BM18" i="13"/>
  <c r="BC18" i="13" s="1"/>
  <c r="BQ18" i="13"/>
  <c r="BG18" i="13" s="1"/>
  <c r="BN19" i="13"/>
  <c r="BD19" i="13" s="1"/>
  <c r="BR19" i="13"/>
  <c r="BH19" i="13" s="1"/>
  <c r="BK20" i="13"/>
  <c r="BA20" i="13" s="1"/>
  <c r="BL20" i="13"/>
  <c r="BB20" i="13" s="1"/>
  <c r="BN20" i="13"/>
  <c r="BD20" i="13" s="1"/>
  <c r="BO20" i="13"/>
  <c r="BE20" i="13" s="1"/>
  <c r="BP20" i="13"/>
  <c r="BF20" i="13" s="1"/>
  <c r="BS20" i="13"/>
  <c r="BI20" i="13" s="1"/>
  <c r="BK21" i="13"/>
  <c r="BA21" i="13" s="1"/>
  <c r="BU21" i="13"/>
  <c r="BM21" i="13"/>
  <c r="BC21" i="13" s="1"/>
  <c r="BK22" i="13"/>
  <c r="BA22" i="13" s="1"/>
  <c r="BL22" i="13"/>
  <c r="BB22" i="13" s="1"/>
  <c r="BO22" i="13"/>
  <c r="BE22" i="13" s="1"/>
  <c r="BP22" i="13"/>
  <c r="BF22" i="13" s="1"/>
  <c r="BS22" i="13"/>
  <c r="BI22" i="13" s="1"/>
  <c r="BM23" i="13"/>
  <c r="BC23" i="13" s="1"/>
  <c r="BN23" i="13"/>
  <c r="BD23" i="13" s="1"/>
  <c r="BQ23" i="13"/>
  <c r="BG23" i="13" s="1"/>
  <c r="BR23" i="13"/>
  <c r="BH23" i="13" s="1"/>
  <c r="BK24" i="13"/>
  <c r="BA24" i="13" s="1"/>
  <c r="BL24" i="13"/>
  <c r="BB24" i="13" s="1"/>
  <c r="BN24" i="13"/>
  <c r="BD24" i="13" s="1"/>
  <c r="BO24" i="13"/>
  <c r="BE24" i="13" s="1"/>
  <c r="BP24" i="13"/>
  <c r="BF24" i="13" s="1"/>
  <c r="BS24" i="13"/>
  <c r="BI24" i="13" s="1"/>
  <c r="BO25" i="13"/>
  <c r="BE25" i="13" s="1"/>
  <c r="BS25" i="13"/>
  <c r="BI25" i="13" s="1"/>
  <c r="BV26" i="13"/>
  <c r="F26" i="13" s="1"/>
  <c r="F26" i="14" s="1"/>
  <c r="BM26" i="13"/>
  <c r="BC26" i="13" s="1"/>
  <c r="BU27" i="13"/>
  <c r="F27" i="13" s="1"/>
  <c r="F27" i="14" s="1"/>
  <c r="BM27" i="13"/>
  <c r="BC27" i="13" s="1"/>
  <c r="BN27" i="13"/>
  <c r="BD27" i="13" s="1"/>
  <c r="BP27" i="13"/>
  <c r="BF27" i="13" s="1"/>
  <c r="BQ27" i="13"/>
  <c r="BG27" i="13" s="1"/>
  <c r="BR27" i="13"/>
  <c r="BH27" i="13" s="1"/>
  <c r="BM3" i="14"/>
  <c r="BC3" i="14" s="1"/>
  <c r="BO3" i="14"/>
  <c r="BE3" i="14" s="1"/>
  <c r="BP3" i="14"/>
  <c r="BF3" i="14" s="1"/>
  <c r="BQ3" i="14"/>
  <c r="BG3" i="14" s="1"/>
  <c r="BS3" i="14"/>
  <c r="BI3" i="14" s="1"/>
  <c r="BT3" i="14"/>
  <c r="BJ3" i="14" s="1"/>
  <c r="BU3" i="14"/>
  <c r="BK3" i="14" s="1"/>
  <c r="BW4" i="14"/>
  <c r="BN4" i="14"/>
  <c r="BD4" i="14" s="1"/>
  <c r="BO4" i="14"/>
  <c r="BE4" i="14" s="1"/>
  <c r="BP4" i="14"/>
  <c r="BF4" i="14" s="1"/>
  <c r="BR4" i="14"/>
  <c r="BH4" i="14" s="1"/>
  <c r="BS4" i="14"/>
  <c r="BI4" i="14" s="1"/>
  <c r="BT4" i="14"/>
  <c r="BJ4" i="14" s="1"/>
  <c r="BM5" i="14"/>
  <c r="BC5" i="14" s="1"/>
  <c r="BN5" i="14"/>
  <c r="BD5" i="14" s="1"/>
  <c r="BO5" i="14"/>
  <c r="BE5" i="14" s="1"/>
  <c r="BQ5" i="14"/>
  <c r="BG5" i="14" s="1"/>
  <c r="BR5" i="14"/>
  <c r="BH5" i="14" s="1"/>
  <c r="BS5" i="14"/>
  <c r="BI5" i="14" s="1"/>
  <c r="BU5" i="14"/>
  <c r="BK5" i="14" s="1"/>
  <c r="BW6" i="14"/>
  <c r="G6" i="14" s="1"/>
  <c r="BW7" i="14"/>
  <c r="BP8" i="14"/>
  <c r="BF8" i="14" s="1"/>
  <c r="BT8" i="14"/>
  <c r="BJ8" i="14" s="1"/>
  <c r="G9" i="14"/>
  <c r="BM9" i="14"/>
  <c r="BC9" i="14" s="1"/>
  <c r="BN9" i="14"/>
  <c r="BD9" i="14" s="1"/>
  <c r="BQ9" i="14"/>
  <c r="BG9" i="14" s="1"/>
  <c r="BR9" i="14"/>
  <c r="BH9" i="14" s="1"/>
  <c r="BT9" i="14"/>
  <c r="BJ9" i="14" s="1"/>
  <c r="BU9" i="14"/>
  <c r="BK9" i="14" s="1"/>
  <c r="BW10" i="14"/>
  <c r="BO10" i="14"/>
  <c r="BE10" i="14" s="1"/>
  <c r="BP10" i="14"/>
  <c r="BF10" i="14" s="1"/>
  <c r="BQ10" i="14"/>
  <c r="BG10" i="14" s="1"/>
  <c r="BS10" i="14"/>
  <c r="BI10" i="14" s="1"/>
  <c r="BT10" i="14"/>
  <c r="BJ10" i="14" s="1"/>
  <c r="BU10" i="14"/>
  <c r="BK10" i="14" s="1"/>
  <c r="BW11" i="14"/>
  <c r="BN11" i="14"/>
  <c r="BD11" i="14" s="1"/>
  <c r="BO11" i="14"/>
  <c r="BE11" i="14" s="1"/>
  <c r="BP11" i="14"/>
  <c r="BF11" i="14" s="1"/>
  <c r="BR11" i="14"/>
  <c r="BH11" i="14" s="1"/>
  <c r="BS11" i="14"/>
  <c r="BI11" i="14" s="1"/>
  <c r="BT11" i="14"/>
  <c r="BJ11" i="14" s="1"/>
  <c r="BM12" i="14"/>
  <c r="BC12" i="14" s="1"/>
  <c r="BN12" i="14"/>
  <c r="BD12" i="14" s="1"/>
  <c r="BO12" i="14"/>
  <c r="BE12" i="14" s="1"/>
  <c r="BQ12" i="14"/>
  <c r="BG12" i="14" s="1"/>
  <c r="BR12" i="14"/>
  <c r="BH12" i="14" s="1"/>
  <c r="BS12" i="14"/>
  <c r="BI12" i="14" s="1"/>
  <c r="BU12" i="14"/>
  <c r="BK12" i="14" s="1"/>
  <c r="BN13" i="14"/>
  <c r="BD13" i="14" s="1"/>
  <c r="BO13" i="14"/>
  <c r="BE13" i="14" s="1"/>
  <c r="BS13" i="14"/>
  <c r="BI13" i="14" s="1"/>
  <c r="BO14" i="14"/>
  <c r="BE14" i="14" s="1"/>
  <c r="BN15" i="14"/>
  <c r="BD15" i="14" s="1"/>
  <c r="BO15" i="14"/>
  <c r="BE15" i="14" s="1"/>
  <c r="BW16" i="14"/>
  <c r="BO16" i="14"/>
  <c r="BE16" i="14" s="1"/>
  <c r="BP16" i="14"/>
  <c r="BF16" i="14" s="1"/>
  <c r="BR16" i="14"/>
  <c r="BH16" i="14" s="1"/>
  <c r="BT16" i="14"/>
  <c r="BJ16" i="14" s="1"/>
  <c r="BM17" i="14"/>
  <c r="BC17" i="14" s="1"/>
  <c r="BQ17" i="14"/>
  <c r="BG17" i="14" s="1"/>
  <c r="BU17" i="14"/>
  <c r="BK17" i="14" s="1"/>
  <c r="BX18" i="14"/>
  <c r="BO18" i="14"/>
  <c r="BE18" i="14" s="1"/>
  <c r="BS18" i="14"/>
  <c r="BI18" i="14" s="1"/>
  <c r="BO19" i="14"/>
  <c r="BE19" i="14" s="1"/>
  <c r="BP19" i="14"/>
  <c r="BF19" i="14" s="1"/>
  <c r="BQ19" i="14"/>
  <c r="BG19" i="14" s="1"/>
  <c r="BT19" i="14"/>
  <c r="BJ19" i="14" s="1"/>
  <c r="BU19" i="14"/>
  <c r="BK19" i="14" s="1"/>
  <c r="BW20" i="14"/>
  <c r="BN20" i="14"/>
  <c r="BD20" i="14" s="1"/>
  <c r="BO20" i="14"/>
  <c r="BE20" i="14" s="1"/>
  <c r="BP20" i="14"/>
  <c r="BF20" i="14" s="1"/>
  <c r="BR20" i="14"/>
  <c r="BH20" i="14" s="1"/>
  <c r="BS20" i="14"/>
  <c r="BI20" i="14" s="1"/>
  <c r="BT20" i="14"/>
  <c r="BJ20" i="14" s="1"/>
  <c r="BN21" i="14"/>
  <c r="BD21" i="14" s="1"/>
  <c r="BO21" i="14"/>
  <c r="BE21" i="14" s="1"/>
  <c r="BQ21" i="14"/>
  <c r="BG21" i="14" s="1"/>
  <c r="BR21" i="14"/>
  <c r="BH21" i="14" s="1"/>
  <c r="BS21" i="14"/>
  <c r="BI21" i="14" s="1"/>
  <c r="BX22" i="14"/>
  <c r="BO22" i="14"/>
  <c r="BE22" i="14" s="1"/>
  <c r="BS22" i="14"/>
  <c r="BI22" i="14" s="1"/>
  <c r="BM23" i="14"/>
  <c r="BC23" i="14" s="1"/>
  <c r="BO23" i="14"/>
  <c r="BE23" i="14" s="1"/>
  <c r="BP23" i="14"/>
  <c r="BF23" i="14" s="1"/>
  <c r="BQ23" i="14"/>
  <c r="BG23" i="14" s="1"/>
  <c r="BT23" i="14"/>
  <c r="BJ23" i="14" s="1"/>
  <c r="BU23" i="14"/>
  <c r="BK23" i="14" s="1"/>
  <c r="BO24" i="14"/>
  <c r="BE24" i="14" s="1"/>
  <c r="BP24" i="14"/>
  <c r="BF24" i="14" s="1"/>
  <c r="BS24" i="14"/>
  <c r="BI24" i="14" s="1"/>
  <c r="BT24" i="14"/>
  <c r="BJ24" i="14" s="1"/>
  <c r="BM25" i="14"/>
  <c r="BC25" i="14" s="1"/>
  <c r="BN25" i="14"/>
  <c r="BD25" i="14" s="1"/>
  <c r="BO25" i="14"/>
  <c r="BE25" i="14" s="1"/>
  <c r="BQ25" i="14"/>
  <c r="BG25" i="14" s="1"/>
  <c r="BR25" i="14"/>
  <c r="BH25" i="14" s="1"/>
  <c r="BS25" i="14"/>
  <c r="BI25" i="14" s="1"/>
  <c r="BM26" i="14"/>
  <c r="BC26" i="14" s="1"/>
  <c r="BN26" i="14"/>
  <c r="BD26" i="14" s="1"/>
  <c r="BQ26" i="14"/>
  <c r="BG26" i="14" s="1"/>
  <c r="BR26" i="14"/>
  <c r="BH26" i="14" s="1"/>
  <c r="BT26" i="14"/>
  <c r="BJ26" i="14" s="1"/>
  <c r="BU26" i="14"/>
  <c r="BK26" i="14" s="1"/>
  <c r="BW27" i="14"/>
  <c r="BO27" i="14"/>
  <c r="BE27" i="14" s="1"/>
  <c r="BP27" i="14"/>
  <c r="BF27" i="14" s="1"/>
  <c r="BQ27" i="14"/>
  <c r="BG27" i="14" s="1"/>
  <c r="BS27" i="14"/>
  <c r="BI27" i="14" s="1"/>
  <c r="BT27" i="14"/>
  <c r="BJ27" i="14" s="1"/>
  <c r="BU27" i="14"/>
  <c r="BK27" i="14" s="1"/>
  <c r="BN3" i="14"/>
  <c r="BD3" i="14" s="1"/>
  <c r="BW3" i="14"/>
  <c r="H6" i="14"/>
  <c r="DT6" i="14" s="1"/>
  <c r="BK3" i="13"/>
  <c r="BA3" i="13" s="1"/>
  <c r="G4" i="14"/>
  <c r="BM10" i="14"/>
  <c r="BC10" i="14" s="1"/>
  <c r="BX10" i="14"/>
  <c r="BX3" i="14"/>
  <c r="BM6" i="14"/>
  <c r="BC6" i="14" s="1"/>
  <c r="BQ6" i="14"/>
  <c r="BG6" i="14" s="1"/>
  <c r="BT6" i="14"/>
  <c r="BJ6" i="14" s="1"/>
  <c r="BU6" i="14"/>
  <c r="BK6" i="14" s="1"/>
  <c r="BX7" i="14"/>
  <c r="BO7" i="14"/>
  <c r="BE7" i="14" s="1"/>
  <c r="BP7" i="14"/>
  <c r="BF7" i="14" s="1"/>
  <c r="BS7" i="14"/>
  <c r="BI7" i="14" s="1"/>
  <c r="BT7" i="14"/>
  <c r="BJ7" i="14" s="1"/>
  <c r="BW8" i="14"/>
  <c r="BN8" i="14"/>
  <c r="BD8" i="14" s="1"/>
  <c r="BO8" i="14"/>
  <c r="BE8" i="14" s="1"/>
  <c r="BR8" i="14"/>
  <c r="BH8" i="14" s="1"/>
  <c r="BS8" i="14"/>
  <c r="BI8" i="14" s="1"/>
  <c r="G12" i="14"/>
  <c r="BR15" i="14"/>
  <c r="BH15" i="14" s="1"/>
  <c r="BX16" i="14"/>
  <c r="G16" i="14" s="1"/>
  <c r="BM16" i="14"/>
  <c r="BC16" i="14" s="1"/>
  <c r="BN16" i="14"/>
  <c r="BD16" i="14" s="1"/>
  <c r="BM19" i="14"/>
  <c r="BC19" i="14" s="1"/>
  <c r="BX19" i="14"/>
  <c r="G19" i="14" s="1"/>
  <c r="BX20" i="14"/>
  <c r="G20" i="14" s="1"/>
  <c r="BM20" i="14"/>
  <c r="BC20" i="14" s="1"/>
  <c r="BX21" i="14"/>
  <c r="BM22" i="14"/>
  <c r="BC22" i="14" s="1"/>
  <c r="BN22" i="14"/>
  <c r="BD22" i="14" s="1"/>
  <c r="BQ22" i="14"/>
  <c r="BG22" i="14" s="1"/>
  <c r="BR22" i="14"/>
  <c r="BH22" i="14" s="1"/>
  <c r="BU22" i="14"/>
  <c r="BK22" i="14" s="1"/>
  <c r="BM27" i="14"/>
  <c r="BC27" i="14" s="1"/>
  <c r="BX27" i="14"/>
  <c r="BX13" i="14"/>
  <c r="G13" i="14" s="1"/>
  <c r="BM15" i="14"/>
  <c r="BC15" i="14" s="1"/>
  <c r="BQ15" i="14"/>
  <c r="BG15" i="14" s="1"/>
  <c r="BU15" i="14"/>
  <c r="BK15" i="14" s="1"/>
  <c r="BO17" i="14"/>
  <c r="BE17" i="14" s="1"/>
  <c r="BS17" i="14"/>
  <c r="BI17" i="14" s="1"/>
  <c r="BN14" i="14"/>
  <c r="BD14" i="14" s="1"/>
  <c r="BR14" i="14"/>
  <c r="BH14" i="14" s="1"/>
  <c r="BX15" i="14"/>
  <c r="G15" i="14" s="1"/>
  <c r="BX17" i="14"/>
  <c r="G17" i="14" s="1"/>
  <c r="BM18" i="14"/>
  <c r="BC18" i="14" s="1"/>
  <c r="BN18" i="14"/>
  <c r="BD18" i="14" s="1"/>
  <c r="BQ18" i="14"/>
  <c r="BG18" i="14" s="1"/>
  <c r="BR18" i="14"/>
  <c r="BH18" i="14" s="1"/>
  <c r="BU18" i="14"/>
  <c r="BK18" i="14" s="1"/>
  <c r="BM21" i="14"/>
  <c r="BC21" i="14" s="1"/>
  <c r="BX23" i="14"/>
  <c r="G23" i="14" s="1"/>
  <c r="BM24" i="14"/>
  <c r="BC24" i="14" s="1"/>
  <c r="BX25" i="14"/>
  <c r="G25" i="14" s="1"/>
  <c r="BW26" i="14"/>
  <c r="G26" i="14" s="1"/>
  <c r="F17" i="13"/>
  <c r="F17" i="14" s="1"/>
  <c r="H17" i="14" s="1"/>
  <c r="DT17" i="14" s="1"/>
  <c r="BV3" i="13"/>
  <c r="BV5" i="13"/>
  <c r="F5" i="13" s="1"/>
  <c r="F5" i="14" s="1"/>
  <c r="BV7" i="13"/>
  <c r="F7" i="13" s="1"/>
  <c r="F7" i="14" s="1"/>
  <c r="BV8" i="13"/>
  <c r="F8" i="13" s="1"/>
  <c r="F8" i="14" s="1"/>
  <c r="BV11" i="13"/>
  <c r="BR12" i="13"/>
  <c r="BH12" i="13" s="1"/>
  <c r="BL14" i="13"/>
  <c r="BB14" i="13" s="1"/>
  <c r="BP14" i="13"/>
  <c r="BF14" i="13" s="1"/>
  <c r="BQ14" i="13"/>
  <c r="BG14" i="13" s="1"/>
  <c r="BL17" i="13"/>
  <c r="BB17" i="13" s="1"/>
  <c r="BU22" i="13"/>
  <c r="F22" i="13" s="1"/>
  <c r="F22" i="14" s="1"/>
  <c r="BV10" i="13"/>
  <c r="F10" i="13" s="1"/>
  <c r="F10" i="14" s="1"/>
  <c r="BK18" i="13"/>
  <c r="BA18" i="13" s="1"/>
  <c r="BO18" i="13"/>
  <c r="BE18" i="13" s="1"/>
  <c r="BS18" i="13"/>
  <c r="BI18" i="13" s="1"/>
  <c r="BV23" i="13"/>
  <c r="F23" i="13" s="1"/>
  <c r="F23" i="14" s="1"/>
  <c r="BK23" i="13"/>
  <c r="BA23" i="13" s="1"/>
  <c r="BU24" i="13"/>
  <c r="BR24" i="13"/>
  <c r="BH24" i="13" s="1"/>
  <c r="BK9" i="13"/>
  <c r="BA9" i="13" s="1"/>
  <c r="BO9" i="13"/>
  <c r="BE9" i="13" s="1"/>
  <c r="BS9" i="13"/>
  <c r="BI9" i="13" s="1"/>
  <c r="BO12" i="13"/>
  <c r="BE12" i="13" s="1"/>
  <c r="BS12" i="13"/>
  <c r="BI12" i="13" s="1"/>
  <c r="BL13" i="13"/>
  <c r="BB13" i="13" s="1"/>
  <c r="BV15" i="13"/>
  <c r="F15" i="13" s="1"/>
  <c r="F15" i="14" s="1"/>
  <c r="BK15" i="13"/>
  <c r="BA15" i="13" s="1"/>
  <c r="BU16" i="13"/>
  <c r="F16" i="13" s="1"/>
  <c r="F16" i="14" s="1"/>
  <c r="BR16" i="13"/>
  <c r="BH16" i="13" s="1"/>
  <c r="BK17" i="13"/>
  <c r="BA17" i="13" s="1"/>
  <c r="BM17" i="13"/>
  <c r="BC17" i="13" s="1"/>
  <c r="BQ17" i="13"/>
  <c r="BG17" i="13" s="1"/>
  <c r="BV25" i="13"/>
  <c r="BU25" i="13"/>
  <c r="BM25" i="13"/>
  <c r="BC25" i="13" s="1"/>
  <c r="BN25" i="13"/>
  <c r="BD25" i="13" s="1"/>
  <c r="BQ25" i="13"/>
  <c r="BG25" i="13" s="1"/>
  <c r="BR25" i="13"/>
  <c r="BH25" i="13" s="1"/>
  <c r="BK27" i="13"/>
  <c r="BA27" i="13" s="1"/>
  <c r="BV13" i="13"/>
  <c r="F13" i="13" s="1"/>
  <c r="F13" i="14" s="1"/>
  <c r="BK16" i="13"/>
  <c r="BA16" i="13" s="1"/>
  <c r="BO16" i="13"/>
  <c r="BE16" i="13" s="1"/>
  <c r="BS16" i="13"/>
  <c r="BI16" i="13" s="1"/>
  <c r="BL18" i="13"/>
  <c r="BB18" i="13" s="1"/>
  <c r="BP18" i="13"/>
  <c r="BF18" i="13" s="1"/>
  <c r="BM19" i="13"/>
  <c r="BC19" i="13" s="1"/>
  <c r="BQ19" i="13"/>
  <c r="BG19" i="13" s="1"/>
  <c r="BU20" i="13"/>
  <c r="F20" i="13" s="1"/>
  <c r="F20" i="14" s="1"/>
  <c r="H20" i="14" s="1"/>
  <c r="DT20" i="14" s="1"/>
  <c r="BV21" i="13"/>
  <c r="F21" i="13" s="1"/>
  <c r="F21" i="14" s="1"/>
  <c r="BN21" i="13"/>
  <c r="BD21" i="13" s="1"/>
  <c r="BQ21" i="13"/>
  <c r="BG21" i="13" s="1"/>
  <c r="BR21" i="13"/>
  <c r="BH21" i="13" s="1"/>
  <c r="BK26" i="13"/>
  <c r="BA26" i="13" s="1"/>
  <c r="BL26" i="13"/>
  <c r="BB26" i="13" s="1"/>
  <c r="BO26" i="13"/>
  <c r="BE26" i="13" s="1"/>
  <c r="BP26" i="13"/>
  <c r="BF26" i="13" s="1"/>
  <c r="BS26" i="13"/>
  <c r="BI26" i="13" s="1"/>
  <c r="G22" i="14" l="1"/>
  <c r="G14" i="14"/>
  <c r="F9" i="13"/>
  <c r="F9" i="14" s="1"/>
  <c r="G8" i="14"/>
  <c r="G27" i="14"/>
  <c r="G18" i="14"/>
  <c r="H18" i="14" s="1"/>
  <c r="DT18" i="14" s="1"/>
  <c r="G11" i="14"/>
  <c r="G10" i="14"/>
  <c r="F24" i="13"/>
  <c r="F24" i="14" s="1"/>
  <c r="H24" i="14" s="1"/>
  <c r="DT24" i="14" s="1"/>
  <c r="H5" i="14"/>
  <c r="DT5" i="14" s="1"/>
  <c r="G21" i="14"/>
  <c r="H21" i="14" s="1"/>
  <c r="DT21" i="14" s="1"/>
  <c r="H12" i="14"/>
  <c r="DT12" i="14" s="1"/>
  <c r="F11" i="13"/>
  <c r="F11" i="14" s="1"/>
  <c r="F3" i="13"/>
  <c r="F3" i="14" s="1"/>
  <c r="G7" i="14"/>
  <c r="H7" i="14" s="1"/>
  <c r="DT7" i="14" s="1"/>
  <c r="H4" i="14"/>
  <c r="DT4" i="14" s="1"/>
  <c r="F25" i="13"/>
  <c r="F25" i="14" s="1"/>
  <c r="H25" i="14" s="1"/>
  <c r="DT25" i="14" s="1"/>
  <c r="H26" i="14"/>
  <c r="DT26" i="14" s="1"/>
  <c r="H19" i="14"/>
  <c r="DT19" i="14" s="1"/>
  <c r="H23" i="14"/>
  <c r="DT23" i="14" s="1"/>
  <c r="H15" i="14"/>
  <c r="DT15" i="14" s="1"/>
  <c r="H22" i="14"/>
  <c r="DT22" i="14" s="1"/>
  <c r="H13" i="14"/>
  <c r="DT13" i="14" s="1"/>
  <c r="H27" i="14"/>
  <c r="DT27" i="14" s="1"/>
  <c r="H16" i="14"/>
  <c r="DT16" i="14" s="1"/>
  <c r="H14" i="14"/>
  <c r="DT14" i="14" s="1"/>
  <c r="H8" i="14"/>
  <c r="DT8" i="14" s="1"/>
  <c r="H10" i="14"/>
  <c r="DT10" i="14" s="1"/>
  <c r="H9" i="14"/>
  <c r="DT9" i="14" s="1"/>
  <c r="G3" i="14"/>
  <c r="H3" i="14" s="1"/>
  <c r="DT3" i="14" s="1"/>
  <c r="V28" i="1"/>
  <c r="T28" i="2"/>
  <c r="U28" i="2"/>
  <c r="V28" i="2"/>
  <c r="H11" i="14" l="1"/>
  <c r="DT11" i="14" s="1"/>
  <c r="W28" i="1"/>
  <c r="X28" i="2"/>
  <c r="P27" i="7"/>
  <c r="Q27" i="7" s="1"/>
  <c r="P26" i="7"/>
  <c r="P25" i="7"/>
  <c r="P24" i="7"/>
  <c r="P23" i="7"/>
  <c r="Q23" i="7" s="1"/>
  <c r="P22" i="7"/>
  <c r="P21" i="7"/>
  <c r="Q21" i="7" s="1"/>
  <c r="P20" i="7"/>
  <c r="P19" i="7"/>
  <c r="Q19" i="7" s="1"/>
  <c r="P18" i="7"/>
  <c r="P17" i="7"/>
  <c r="P16" i="7"/>
  <c r="P15" i="7"/>
  <c r="Q15" i="7" s="1"/>
  <c r="P14" i="7"/>
  <c r="P13" i="7"/>
  <c r="Q13" i="7" s="1"/>
  <c r="Q11" i="7"/>
  <c r="Q7" i="7"/>
  <c r="Q5" i="7"/>
  <c r="F4" i="8" l="1"/>
  <c r="Q4" i="8" s="1"/>
  <c r="Q4" i="7"/>
  <c r="F8" i="8"/>
  <c r="Q8" i="8" s="1"/>
  <c r="Q8" i="7"/>
  <c r="F12" i="8"/>
  <c r="Q12" i="7"/>
  <c r="F16" i="8"/>
  <c r="Q16" i="7"/>
  <c r="F20" i="8"/>
  <c r="Q20" i="8" s="1"/>
  <c r="Q20" i="7"/>
  <c r="F24" i="8"/>
  <c r="Q24" i="8" s="1"/>
  <c r="Q24" i="7"/>
  <c r="F3" i="8"/>
  <c r="Q3" i="8" s="1"/>
  <c r="Q3" i="7"/>
  <c r="F9" i="8"/>
  <c r="Q9" i="7"/>
  <c r="F17" i="8"/>
  <c r="Q17" i="8" s="1"/>
  <c r="Q17" i="7"/>
  <c r="F25" i="8"/>
  <c r="Q25" i="8" s="1"/>
  <c r="Q25" i="7"/>
  <c r="F6" i="8"/>
  <c r="Q6" i="8" s="1"/>
  <c r="Q6" i="7"/>
  <c r="F10" i="8"/>
  <c r="Q10" i="7"/>
  <c r="F14" i="8"/>
  <c r="Q14" i="7"/>
  <c r="F18" i="8"/>
  <c r="Q18" i="8" s="1"/>
  <c r="Q18" i="7"/>
  <c r="F22" i="8"/>
  <c r="Q22" i="8" s="1"/>
  <c r="Q22" i="7"/>
  <c r="F26" i="8"/>
  <c r="Q26" i="8" s="1"/>
  <c r="Q26" i="7"/>
  <c r="X28" i="1"/>
  <c r="Y28" i="1" s="1"/>
  <c r="F19" i="8"/>
  <c r="Q19" i="8" s="1"/>
  <c r="F11" i="8"/>
  <c r="F27" i="8"/>
  <c r="Q27" i="8" s="1"/>
  <c r="F23" i="8"/>
  <c r="Q23" i="8" s="1"/>
  <c r="F7" i="8"/>
  <c r="Q7" i="8" s="1"/>
  <c r="F15" i="8"/>
  <c r="F21" i="8"/>
  <c r="Q21" i="8" s="1"/>
  <c r="F13" i="8"/>
  <c r="F5" i="8"/>
  <c r="Q5" i="8" s="1"/>
  <c r="V27" i="2"/>
  <c r="U27" i="2"/>
  <c r="T27" i="2"/>
  <c r="V26" i="2"/>
  <c r="U26" i="2"/>
  <c r="T26" i="2"/>
  <c r="V25" i="2"/>
  <c r="U25" i="2"/>
  <c r="T25" i="2"/>
  <c r="V24" i="2"/>
  <c r="U24" i="2"/>
  <c r="T24" i="2"/>
  <c r="V23" i="2"/>
  <c r="U23" i="2"/>
  <c r="T23" i="2"/>
  <c r="V22" i="2"/>
  <c r="U22" i="2"/>
  <c r="T22" i="2"/>
  <c r="V21" i="2"/>
  <c r="U21" i="2"/>
  <c r="T21" i="2"/>
  <c r="V20" i="2"/>
  <c r="U20" i="2"/>
  <c r="T20" i="2"/>
  <c r="V19" i="2"/>
  <c r="U19" i="2"/>
  <c r="T19" i="2"/>
  <c r="V18" i="2"/>
  <c r="U18" i="2"/>
  <c r="T18" i="2"/>
  <c r="V17" i="2"/>
  <c r="U17" i="2"/>
  <c r="T17" i="2"/>
  <c r="V16" i="2"/>
  <c r="U16" i="2"/>
  <c r="T16" i="2"/>
  <c r="V15" i="2"/>
  <c r="U15" i="2"/>
  <c r="T15" i="2"/>
  <c r="V14" i="2"/>
  <c r="U14" i="2"/>
  <c r="T14" i="2"/>
  <c r="V13" i="2"/>
  <c r="U13" i="2"/>
  <c r="T13" i="2"/>
  <c r="V12" i="2"/>
  <c r="U12" i="2"/>
  <c r="T12" i="2"/>
  <c r="V11" i="2"/>
  <c r="U11" i="2"/>
  <c r="T11" i="2"/>
  <c r="V10" i="2"/>
  <c r="U10" i="2"/>
  <c r="T10" i="2"/>
  <c r="V9" i="2"/>
  <c r="U9" i="2"/>
  <c r="T9" i="2"/>
  <c r="V8" i="2"/>
  <c r="U8" i="2"/>
  <c r="T8" i="2"/>
  <c r="V7" i="2"/>
  <c r="U7" i="2"/>
  <c r="T7" i="2"/>
  <c r="V6" i="2"/>
  <c r="U6" i="2"/>
  <c r="T6" i="2"/>
  <c r="V5" i="2"/>
  <c r="U5" i="2"/>
  <c r="V4" i="2"/>
  <c r="U4" i="2"/>
  <c r="V4" i="1"/>
  <c r="F4" i="2" s="1"/>
  <c r="W4" i="2" s="1"/>
  <c r="R21" i="8" l="1"/>
  <c r="W21" i="8" s="1"/>
  <c r="S21" i="8" s="1"/>
  <c r="R15" i="8"/>
  <c r="W15" i="8" s="1"/>
  <c r="S15" i="8" s="1"/>
  <c r="R26" i="8"/>
  <c r="W26" i="8" s="1"/>
  <c r="S26" i="8" s="1"/>
  <c r="R18" i="8"/>
  <c r="W18" i="8" s="1"/>
  <c r="S18" i="8" s="1"/>
  <c r="R25" i="8"/>
  <c r="W25" i="8" s="1"/>
  <c r="S25" i="8" s="1"/>
  <c r="R9" i="8"/>
  <c r="W9" i="8" s="1"/>
  <c r="S9" i="8" s="1"/>
  <c r="R24" i="8"/>
  <c r="W24" i="8" s="1"/>
  <c r="S24" i="8" s="1"/>
  <c r="R16" i="8"/>
  <c r="W16" i="8" s="1"/>
  <c r="S16" i="8" s="1"/>
  <c r="R8" i="8"/>
  <c r="W8" i="8" s="1"/>
  <c r="S8" i="8" s="1"/>
  <c r="R27" i="8"/>
  <c r="W27" i="8" s="1"/>
  <c r="S27" i="8" s="1"/>
  <c r="R11" i="8"/>
  <c r="W11" i="8" s="1"/>
  <c r="S11" i="8" s="1"/>
  <c r="R10" i="8"/>
  <c r="W10" i="8" s="1"/>
  <c r="S10" i="8" s="1"/>
  <c r="R5" i="8"/>
  <c r="W5" i="8" s="1"/>
  <c r="S5" i="8" s="1"/>
  <c r="R7" i="8"/>
  <c r="W7" i="8" s="1"/>
  <c r="S7" i="8" s="1"/>
  <c r="R19" i="8"/>
  <c r="W19" i="8" s="1"/>
  <c r="S19" i="8" s="1"/>
  <c r="R13" i="8"/>
  <c r="W13" i="8" s="1"/>
  <c r="S13" i="8" s="1"/>
  <c r="R23" i="8"/>
  <c r="W23" i="8" s="1"/>
  <c r="S23" i="8" s="1"/>
  <c r="R22" i="8"/>
  <c r="W22" i="8" s="1"/>
  <c r="S22" i="8" s="1"/>
  <c r="R14" i="8"/>
  <c r="W14" i="8" s="1"/>
  <c r="S14" i="8" s="1"/>
  <c r="R6" i="8"/>
  <c r="W6" i="8" s="1"/>
  <c r="S6" i="8" s="1"/>
  <c r="R17" i="8"/>
  <c r="W17" i="8" s="1"/>
  <c r="S17" i="8" s="1"/>
  <c r="R3" i="8"/>
  <c r="W3" i="8" s="1"/>
  <c r="S3" i="8" s="1"/>
  <c r="R20" i="8"/>
  <c r="W20" i="8" s="1"/>
  <c r="S20" i="8" s="1"/>
  <c r="R12" i="8"/>
  <c r="W12" i="8" s="1"/>
  <c r="S12" i="8" s="1"/>
  <c r="R4" i="8"/>
  <c r="W4" i="8" s="1"/>
  <c r="S4" i="8" s="1"/>
  <c r="X7" i="2"/>
  <c r="X11" i="2"/>
  <c r="X15" i="2"/>
  <c r="X19" i="2"/>
  <c r="X23" i="2"/>
  <c r="X27" i="2"/>
  <c r="X5" i="2"/>
  <c r="X9" i="2"/>
  <c r="X13" i="2"/>
  <c r="X17" i="2"/>
  <c r="X21" i="2"/>
  <c r="X25" i="2"/>
  <c r="X4" i="2"/>
  <c r="X8" i="2"/>
  <c r="X12" i="2"/>
  <c r="X16" i="2"/>
  <c r="X20" i="2"/>
  <c r="X24" i="2"/>
  <c r="X6" i="2"/>
  <c r="X10" i="2"/>
  <c r="X14" i="2"/>
  <c r="X18" i="2"/>
  <c r="X22" i="2"/>
  <c r="X26" i="2"/>
  <c r="F28" i="2" l="1"/>
  <c r="W28" i="2" s="1"/>
  <c r="Y28" i="2" s="1"/>
  <c r="Z28" i="2" s="1"/>
  <c r="V26" i="1"/>
  <c r="F26" i="2" s="1"/>
  <c r="W26" i="2" s="1"/>
  <c r="V27" i="1"/>
  <c r="F27" i="2" s="1"/>
  <c r="W27" i="2" s="1"/>
  <c r="V20" i="1"/>
  <c r="F20" i="2" s="1"/>
  <c r="W20" i="2" s="1"/>
  <c r="V21" i="1"/>
  <c r="F21" i="2" s="1"/>
  <c r="W21" i="2" s="1"/>
  <c r="V22" i="1"/>
  <c r="F22" i="2" s="1"/>
  <c r="W22" i="2" s="1"/>
  <c r="V23" i="1"/>
  <c r="F23" i="2" s="1"/>
  <c r="W23" i="2" s="1"/>
  <c r="V24" i="1"/>
  <c r="F24" i="2" s="1"/>
  <c r="W24" i="2" s="1"/>
  <c r="V25" i="1"/>
  <c r="F25" i="2" s="1"/>
  <c r="W25" i="2" s="1"/>
  <c r="V18" i="1"/>
  <c r="F18" i="2" s="1"/>
  <c r="W18" i="2" s="1"/>
  <c r="V19" i="1"/>
  <c r="F19" i="2" s="1"/>
  <c r="W19" i="2" s="1"/>
  <c r="V11" i="1"/>
  <c r="F11" i="2" s="1"/>
  <c r="W11" i="2" s="1"/>
  <c r="V12" i="1"/>
  <c r="F12" i="2" s="1"/>
  <c r="W12" i="2" s="1"/>
  <c r="V13" i="1"/>
  <c r="F13" i="2" s="1"/>
  <c r="W13" i="2" s="1"/>
  <c r="V14" i="1"/>
  <c r="F14" i="2" s="1"/>
  <c r="W14" i="2" s="1"/>
  <c r="V15" i="1"/>
  <c r="F15" i="2" s="1"/>
  <c r="W15" i="2" s="1"/>
  <c r="V16" i="1"/>
  <c r="F16" i="2" s="1"/>
  <c r="W16" i="2" s="1"/>
  <c r="V17" i="1"/>
  <c r="F17" i="2" s="1"/>
  <c r="W17" i="2" s="1"/>
  <c r="W18" i="1" l="1"/>
  <c r="W26" i="1"/>
  <c r="W22" i="1"/>
  <c r="X22" i="1" s="1"/>
  <c r="W24" i="1"/>
  <c r="X24" i="1" s="1"/>
  <c r="W25" i="1"/>
  <c r="X25" i="1" s="1"/>
  <c r="W21" i="1"/>
  <c r="X21" i="1" s="1"/>
  <c r="W23" i="1"/>
  <c r="X23" i="1" s="1"/>
  <c r="W19" i="1"/>
  <c r="X19" i="1" s="1"/>
  <c r="W27" i="1"/>
  <c r="X27" i="1" s="1"/>
  <c r="W13" i="1"/>
  <c r="X13" i="1" s="1"/>
  <c r="W20" i="1"/>
  <c r="X20" i="1" s="1"/>
  <c r="W17" i="1"/>
  <c r="X17" i="1" s="1"/>
  <c r="W16" i="1"/>
  <c r="X16" i="1" s="1"/>
  <c r="W12" i="1"/>
  <c r="X12" i="1" s="1"/>
  <c r="W15" i="1"/>
  <c r="X15" i="1" s="1"/>
  <c r="W11" i="1"/>
  <c r="X11" i="1" s="1"/>
  <c r="W14" i="1"/>
  <c r="X14" i="1" s="1"/>
  <c r="Y26" i="2" l="1"/>
  <c r="Z26" i="2" s="1"/>
  <c r="X26" i="1"/>
  <c r="Y26" i="1" s="1"/>
  <c r="Y18" i="2"/>
  <c r="Z18" i="2" s="1"/>
  <c r="X18" i="1"/>
  <c r="Y18" i="1" s="1"/>
  <c r="AE28" i="2"/>
  <c r="AA28" i="2" s="1"/>
  <c r="Y15" i="1"/>
  <c r="Y15" i="2"/>
  <c r="Z15" i="2" s="1"/>
  <c r="Y20" i="1"/>
  <c r="Y20" i="2"/>
  <c r="Z20" i="2" s="1"/>
  <c r="Y19" i="1"/>
  <c r="Y19" i="2"/>
  <c r="Z19" i="2" s="1"/>
  <c r="Y24" i="1"/>
  <c r="Y24" i="2"/>
  <c r="Z24" i="2" s="1"/>
  <c r="Y11" i="1"/>
  <c r="Y11" i="2"/>
  <c r="Z11" i="2" s="1"/>
  <c r="Y17" i="1"/>
  <c r="Y17" i="2"/>
  <c r="Z17" i="2" s="1"/>
  <c r="Y25" i="1"/>
  <c r="Y25" i="2"/>
  <c r="Z25" i="2" s="1"/>
  <c r="Y12" i="1"/>
  <c r="Y12" i="2"/>
  <c r="Z12" i="2" s="1"/>
  <c r="Y23" i="1"/>
  <c r="Y23" i="2"/>
  <c r="Z23" i="2" s="1"/>
  <c r="Y27" i="1"/>
  <c r="Y27" i="2"/>
  <c r="Z27" i="2" s="1"/>
  <c r="Y14" i="1"/>
  <c r="Y14" i="2"/>
  <c r="Z14" i="2" s="1"/>
  <c r="Y16" i="1"/>
  <c r="Y16" i="2"/>
  <c r="Z16" i="2" s="1"/>
  <c r="Y13" i="1"/>
  <c r="Y13" i="2"/>
  <c r="Z13" i="2" s="1"/>
  <c r="Y21" i="1"/>
  <c r="Y21" i="2"/>
  <c r="Z21" i="2" s="1"/>
  <c r="Y22" i="1"/>
  <c r="Y22" i="2"/>
  <c r="Z22" i="2" s="1"/>
  <c r="AE18" i="2" l="1"/>
  <c r="AA18" i="2" s="1"/>
  <c r="AE26" i="2"/>
  <c r="AA26" i="2" s="1"/>
  <c r="AE15" i="2"/>
  <c r="V8" i="1"/>
  <c r="F8" i="2" s="1"/>
  <c r="W8" i="2" s="1"/>
  <c r="V5" i="1"/>
  <c r="F5" i="2" s="1"/>
  <c r="W5" i="2" s="1"/>
  <c r="V6" i="1"/>
  <c r="F6" i="2" s="1"/>
  <c r="W6" i="2" s="1"/>
  <c r="V7" i="1"/>
  <c r="F7" i="2" s="1"/>
  <c r="W7" i="2" s="1"/>
  <c r="V9" i="1"/>
  <c r="F9" i="2" s="1"/>
  <c r="W9" i="2" s="1"/>
  <c r="V10" i="1"/>
  <c r="F10" i="2" s="1"/>
  <c r="W10" i="2" s="1"/>
  <c r="AE12" i="2" l="1"/>
  <c r="AA12" i="2" s="1"/>
  <c r="AE20" i="2"/>
  <c r="AA20" i="2" s="1"/>
  <c r="AE13" i="2"/>
  <c r="AA13" i="2" s="1"/>
  <c r="AE11" i="2"/>
  <c r="AA11" i="2" s="1"/>
  <c r="AE19" i="2"/>
  <c r="AA19" i="2" s="1"/>
  <c r="AE24" i="2"/>
  <c r="AA24" i="2" s="1"/>
  <c r="AE27" i="2"/>
  <c r="AA27" i="2" s="1"/>
  <c r="AE23" i="2"/>
  <c r="AA23" i="2" s="1"/>
  <c r="AE25" i="2"/>
  <c r="AA25" i="2" s="1"/>
  <c r="AE21" i="2"/>
  <c r="AA21" i="2" s="1"/>
  <c r="AA15" i="2"/>
  <c r="AE17" i="2"/>
  <c r="AA17" i="2" s="1"/>
  <c r="AE16" i="2"/>
  <c r="AA16" i="2" s="1"/>
  <c r="AE22" i="2"/>
  <c r="AA22" i="2" s="1"/>
  <c r="AE14" i="2"/>
  <c r="AA14" i="2" s="1"/>
  <c r="W7" i="1"/>
  <c r="W4" i="1"/>
  <c r="X4" i="1" s="1"/>
  <c r="W9" i="1"/>
  <c r="X9" i="1" s="1"/>
  <c r="W5" i="1"/>
  <c r="X5" i="1" s="1"/>
  <c r="W6" i="1"/>
  <c r="X6" i="1" s="1"/>
  <c r="W8" i="1"/>
  <c r="W10" i="1"/>
  <c r="X10" i="1" s="1"/>
  <c r="Y7" i="2" l="1"/>
  <c r="Z7" i="2" s="1"/>
  <c r="X7" i="1"/>
  <c r="Y7" i="1" s="1"/>
  <c r="Y8" i="2"/>
  <c r="Z8" i="2" s="1"/>
  <c r="X8" i="1"/>
  <c r="Y8" i="1" s="1"/>
  <c r="Y4" i="2"/>
  <c r="Z4" i="2" s="1"/>
  <c r="Y4" i="1"/>
  <c r="Y5" i="1"/>
  <c r="Y5" i="2"/>
  <c r="Z5" i="2" s="1"/>
  <c r="Y10" i="1"/>
  <c r="Y10" i="2"/>
  <c r="Z10" i="2" s="1"/>
  <c r="Y9" i="1"/>
  <c r="Y9" i="2"/>
  <c r="Z9" i="2" s="1"/>
  <c r="Y6" i="1"/>
  <c r="Y6" i="2"/>
  <c r="Z6" i="2" s="1"/>
  <c r="AE4" i="2" l="1"/>
  <c r="AA4" i="2" s="1"/>
  <c r="AE8" i="2"/>
  <c r="AA8" i="2" s="1"/>
  <c r="AE7" i="2"/>
  <c r="AA7" i="2" s="1"/>
  <c r="AE5" i="2"/>
  <c r="AA5" i="2" s="1"/>
  <c r="AE6" i="2" l="1"/>
  <c r="AA6" i="2" s="1"/>
  <c r="AE9" i="2"/>
  <c r="AA9" i="2" s="1"/>
  <c r="AE10" i="2"/>
  <c r="AA10" i="2" s="1"/>
</calcChain>
</file>

<file path=xl/sharedStrings.xml><?xml version="1.0" encoding="utf-8"?>
<sst xmlns="http://schemas.openxmlformats.org/spreadsheetml/2006/main" count="2641" uniqueCount="156">
  <si>
    <t>Informasi / Keterangan</t>
  </si>
  <si>
    <t>NS (Mid.S)</t>
  </si>
  <si>
    <t>Nilai Sikap Mid Semester</t>
  </si>
  <si>
    <t>NS (S)</t>
  </si>
  <si>
    <t>Nilai Sikap Semester</t>
  </si>
  <si>
    <t>Nag (Mid.S)</t>
  </si>
  <si>
    <t>Nilai Agama Mid Semester</t>
  </si>
  <si>
    <t>Nag (S)</t>
  </si>
  <si>
    <t>Nilai Agama Semester</t>
  </si>
  <si>
    <t>NP (Mid.S)</t>
  </si>
  <si>
    <t>Nilai Pengetahuan Mid Semester</t>
  </si>
  <si>
    <t>NP (S)</t>
  </si>
  <si>
    <t>Nilai Pengetahuan Semester</t>
  </si>
  <si>
    <t>NK (Mid.S)</t>
  </si>
  <si>
    <t>Nilai Keterampilan Mid Semester</t>
  </si>
  <si>
    <t>NK (S)</t>
  </si>
  <si>
    <t>Nilai Keterampilan Semester</t>
  </si>
  <si>
    <t>Perhatian</t>
  </si>
  <si>
    <t>Untuk Nilai Sikap dan Nilai Agama untuk tidak dilakukannya pengisian nilai dengan cara Copy - Paste. Lakukanlah penilaian dengan memilih</t>
  </si>
  <si>
    <t>Minggu 1</t>
  </si>
  <si>
    <t>Minggu 2</t>
  </si>
  <si>
    <t>Minggu 3</t>
  </si>
  <si>
    <t>Minggu 4</t>
  </si>
  <si>
    <t>Minggu 5</t>
  </si>
  <si>
    <t>Minggu 6</t>
  </si>
  <si>
    <t>Minggu 7</t>
  </si>
  <si>
    <t>Minggu 8</t>
  </si>
  <si>
    <t>Minggu 9</t>
  </si>
  <si>
    <t>Cambridge Report</t>
  </si>
  <si>
    <t>Level of Effort Cambridge</t>
  </si>
  <si>
    <t>Cambridge Score Converstion Result</t>
  </si>
  <si>
    <t>No</t>
  </si>
  <si>
    <t>Nama Siswa</t>
  </si>
  <si>
    <t>Nomor Induk</t>
  </si>
  <si>
    <t>NISN</t>
  </si>
  <si>
    <t>Jurusan</t>
  </si>
  <si>
    <t>Nsi.TS</t>
  </si>
  <si>
    <t>KU.1</t>
  </si>
  <si>
    <t>TJ.1</t>
  </si>
  <si>
    <t>Ker.1</t>
  </si>
  <si>
    <t>Ped.1</t>
  </si>
  <si>
    <t>Pro-A.1</t>
  </si>
  <si>
    <t>KU.2</t>
  </si>
  <si>
    <t>TJ.2</t>
  </si>
  <si>
    <t>Ker.2</t>
  </si>
  <si>
    <t>Ped.2</t>
  </si>
  <si>
    <t>Pro-A.2</t>
  </si>
  <si>
    <t>KU.3</t>
  </si>
  <si>
    <t>TJ.3</t>
  </si>
  <si>
    <t>Ker.3</t>
  </si>
  <si>
    <t>Ped.3</t>
  </si>
  <si>
    <t>Pro-A.3</t>
  </si>
  <si>
    <t>KU.4</t>
  </si>
  <si>
    <t>TJ.4</t>
  </si>
  <si>
    <t>Ker.4</t>
  </si>
  <si>
    <t>Ped.4</t>
  </si>
  <si>
    <t>Pro-A.4</t>
  </si>
  <si>
    <t>KU.5</t>
  </si>
  <si>
    <t>TJ.5</t>
  </si>
  <si>
    <t>Ker.5</t>
  </si>
  <si>
    <t>Ped.5</t>
  </si>
  <si>
    <t>Pro-A.5</t>
  </si>
  <si>
    <t>KU.6</t>
  </si>
  <si>
    <t>TJ.6</t>
  </si>
  <si>
    <t>Ker.6</t>
  </si>
  <si>
    <t>Ped.6</t>
  </si>
  <si>
    <t>Pro-A.6</t>
  </si>
  <si>
    <t>KU.7</t>
  </si>
  <si>
    <t>TJ.7</t>
  </si>
  <si>
    <t>Ker.7</t>
  </si>
  <si>
    <t>Ped.7</t>
  </si>
  <si>
    <t>Pro-A.7</t>
  </si>
  <si>
    <t>KU.8</t>
  </si>
  <si>
    <t>TJ.8</t>
  </si>
  <si>
    <t>Ker.8</t>
  </si>
  <si>
    <t>Ped.8</t>
  </si>
  <si>
    <t>Pro-A.8</t>
  </si>
  <si>
    <t>KU.9</t>
  </si>
  <si>
    <t>TJ.9</t>
  </si>
  <si>
    <t>Ker.9</t>
  </si>
  <si>
    <t>Ped.9</t>
  </si>
  <si>
    <t>Pro-A.9</t>
  </si>
  <si>
    <t>Week 1</t>
  </si>
  <si>
    <t>Week 2</t>
  </si>
  <si>
    <t>Week 3</t>
  </si>
  <si>
    <t>Week 4</t>
  </si>
  <si>
    <t>Week 5</t>
  </si>
  <si>
    <t>Week 6</t>
  </si>
  <si>
    <t>Week 7</t>
  </si>
  <si>
    <t>Week 8</t>
  </si>
  <si>
    <t>Week 9</t>
  </si>
  <si>
    <t>LE.1</t>
  </si>
  <si>
    <t>LE.2</t>
  </si>
  <si>
    <t>LE.3</t>
  </si>
  <si>
    <t>LE.4</t>
  </si>
  <si>
    <t>LE.5</t>
  </si>
  <si>
    <t>LE.6</t>
  </si>
  <si>
    <t>LE.7</t>
  </si>
  <si>
    <t>LE.8</t>
  </si>
  <si>
    <t>LE.9</t>
  </si>
  <si>
    <t>KU Average</t>
  </si>
  <si>
    <t>TKPP Average</t>
  </si>
  <si>
    <t>-</t>
  </si>
  <si>
    <t>Nilai Ujian Tengah Semester</t>
  </si>
  <si>
    <t>Nilai Pengetahuan</t>
  </si>
  <si>
    <t>Nilai Raport Nasional &amp; Cambridge</t>
  </si>
  <si>
    <t>NP 1</t>
  </si>
  <si>
    <t>NP 2</t>
  </si>
  <si>
    <t>NP 3</t>
  </si>
  <si>
    <t>NP 4</t>
  </si>
  <si>
    <t>NP 5</t>
  </si>
  <si>
    <t>NP 6</t>
  </si>
  <si>
    <t>NP 7</t>
  </si>
  <si>
    <t>NP 8</t>
  </si>
  <si>
    <t>NP 9</t>
  </si>
  <si>
    <t>NP 10</t>
  </si>
  <si>
    <t>Paper 1</t>
  </si>
  <si>
    <t>Paper 2</t>
  </si>
  <si>
    <t>Paper 3</t>
  </si>
  <si>
    <t>Nilai P1</t>
  </si>
  <si>
    <t>Nilai P2</t>
  </si>
  <si>
    <t>Nilai P3</t>
  </si>
  <si>
    <t>Rata2 NP</t>
  </si>
  <si>
    <t>NTS</t>
  </si>
  <si>
    <t>NRap.TS</t>
  </si>
  <si>
    <t>Predikat</t>
  </si>
  <si>
    <t>Nilai Keterampilan</t>
  </si>
  <si>
    <t>NK 1</t>
  </si>
  <si>
    <t>NK 2</t>
  </si>
  <si>
    <t>NK 3</t>
  </si>
  <si>
    <t>NK 4</t>
  </si>
  <si>
    <t>NK 5</t>
  </si>
  <si>
    <t>NK 6</t>
  </si>
  <si>
    <t>NK 7</t>
  </si>
  <si>
    <t>NK 8</t>
  </si>
  <si>
    <t>NK 9</t>
  </si>
  <si>
    <t>NK 10</t>
  </si>
  <si>
    <t>Rata2 NK</t>
  </si>
  <si>
    <t>Deskripsi Nilai Sikap</t>
  </si>
  <si>
    <t>NS.iS</t>
  </si>
  <si>
    <t>NSi.SR</t>
  </si>
  <si>
    <t>Deskripsi</t>
  </si>
  <si>
    <t>Nilai Semester</t>
  </si>
  <si>
    <t>Rata2 NP Mid.S</t>
  </si>
  <si>
    <t>Rata2 NP2</t>
  </si>
  <si>
    <t>NS</t>
  </si>
  <si>
    <t>NRap.S</t>
  </si>
  <si>
    <t>Deskripsi Nilai</t>
  </si>
  <si>
    <t>Kompetensi Dasar</t>
  </si>
  <si>
    <t>Skala Predikat</t>
  </si>
  <si>
    <t>Nilai Konversi Predikat</t>
  </si>
  <si>
    <t xml:space="preserve">sangat baik </t>
  </si>
  <si>
    <t xml:space="preserve">baik </t>
  </si>
  <si>
    <t xml:space="preserve">cukup baik </t>
  </si>
  <si>
    <t xml:space="preserve">namun masih memerlukan bimbingan </t>
  </si>
  <si>
    <t>Rata2 Mid.NK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</si>
</sst>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
      <b/>
      <i/>
      <sz val="11"/>
      <name val="Calibri"/>
      <family val="2"/>
      <scheme val="minor"/>
    </font>
    <font>
      <b/>
      <sz val="11"/>
      <name val="Calibri"/>
      <family val="2"/>
      <scheme val="minor"/>
    </font>
    <font>
      <sz val="11"/>
      <name val="Calibri"/>
      <family val="2"/>
      <scheme val="minor"/>
    </font>
    <font>
      <b/>
      <sz val="18"/>
      <color rgb="FFFF0000"/>
      <name val="Calibri"/>
      <family val="2"/>
      <scheme val="minor"/>
    </font>
    <font>
      <b/>
      <u/>
      <sz val="22"/>
      <color rgb="FFFF0000"/>
      <name val="Calibri"/>
      <family val="2"/>
      <scheme val="minor"/>
    </font>
    <font>
      <b/>
      <i/>
      <sz val="18"/>
      <color rgb="FFFF0000"/>
      <name val="Calibri"/>
      <family val="2"/>
      <scheme val="minor"/>
    </font>
    <font>
      <sz val="12"/>
      <color theme="1"/>
      <name val="Calibri"/>
      <family val="2"/>
      <scheme val="minor"/>
    </font>
  </fonts>
  <fills count="22">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theme="7"/>
        <bgColor indexed="64"/>
      </patternFill>
    </fill>
    <fill>
      <patternFill patternType="solid">
        <fgColor theme="7"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3" tint="0.79998168889431442"/>
        <bgColor rgb="FF000000"/>
      </patternFill>
    </fill>
    <fill>
      <patternFill patternType="solid">
        <fgColor theme="8"/>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7"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theme="4" tint="0.39997558519241921"/>
      </bottom>
      <diagonal/>
    </border>
    <border>
      <left style="thin">
        <color indexed="64"/>
      </left>
      <right style="thin">
        <color indexed="64"/>
      </right>
      <top style="thin">
        <color indexed="64"/>
      </top>
      <bottom style="thin">
        <color theme="4" tint="0.39997558519241921"/>
      </bottom>
      <diagonal/>
    </border>
  </borders>
  <cellStyleXfs count="4">
    <xf numFmtId="0" fontId="0" fillId="0" borderId="0"/>
    <xf numFmtId="9" fontId="1" fillId="0" borderId="0" applyFont="0" applyFill="0" applyBorder="0" applyAlignment="0" applyProtection="0"/>
    <xf numFmtId="0" fontId="1" fillId="0" borderId="0"/>
    <xf numFmtId="0" fontId="12" fillId="0" borderId="0"/>
  </cellStyleXfs>
  <cellXfs count="104">
    <xf numFmtId="0" fontId="0" fillId="0" borderId="0" xfId="0"/>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4" fillId="4" borderId="3" xfId="0" applyFont="1" applyFill="1" applyBorder="1" applyAlignment="1">
      <alignment horizontal="center" vertical="center"/>
    </xf>
    <xf numFmtId="0" fontId="4" fillId="7" borderId="3" xfId="0" applyFont="1" applyFill="1" applyBorder="1" applyAlignment="1">
      <alignment horizontal="center" vertical="center"/>
    </xf>
    <xf numFmtId="0" fontId="4" fillId="5" borderId="3" xfId="0" applyFont="1" applyFill="1" applyBorder="1" applyAlignment="1">
      <alignment horizontal="center" vertical="center"/>
    </xf>
    <xf numFmtId="0" fontId="4" fillId="9" borderId="4" xfId="0" applyFont="1" applyFill="1" applyBorder="1" applyAlignment="1">
      <alignment horizontal="center" vertical="center"/>
    </xf>
    <xf numFmtId="0" fontId="0" fillId="3" borderId="1" xfId="0" applyFill="1" applyBorder="1" applyAlignment="1">
      <alignment horizontal="center" vertical="center"/>
    </xf>
    <xf numFmtId="0" fontId="0" fillId="8" borderId="1" xfId="0" applyFill="1" applyBorder="1" applyAlignment="1">
      <alignment horizontal="center" vertical="center"/>
    </xf>
    <xf numFmtId="0" fontId="0" fillId="2" borderId="5" xfId="0" applyFill="1" applyBorder="1" applyAlignment="1">
      <alignment horizontal="center" vertical="center"/>
    </xf>
    <xf numFmtId="0" fontId="0" fillId="10" borderId="6" xfId="0" applyFill="1" applyBorder="1" applyAlignment="1">
      <alignment horizontal="center" vertical="center"/>
    </xf>
    <xf numFmtId="0" fontId="2" fillId="7" borderId="3" xfId="0" applyFont="1" applyFill="1" applyBorder="1" applyAlignment="1">
      <alignment horizontal="center" vertical="center"/>
    </xf>
    <xf numFmtId="0" fontId="4" fillId="9" borderId="3" xfId="0" applyFont="1" applyFill="1" applyBorder="1" applyAlignment="1">
      <alignment horizontal="center" vertical="center"/>
    </xf>
    <xf numFmtId="0" fontId="0" fillId="10" borderId="1" xfId="0" applyFill="1" applyBorder="1" applyAlignment="1">
      <alignment horizontal="center" vertical="center"/>
    </xf>
    <xf numFmtId="0" fontId="0" fillId="3" borderId="1" xfId="0"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6" fillId="5" borderId="1" xfId="0" applyFont="1" applyFill="1" applyBorder="1" applyAlignment="1" applyProtection="1">
      <alignment horizontal="center" vertical="center"/>
      <protection locked="0"/>
    </xf>
    <xf numFmtId="9" fontId="6" fillId="7" borderId="1" xfId="1" applyFont="1" applyFill="1" applyBorder="1" applyAlignment="1" applyProtection="1">
      <alignment horizontal="center" vertical="center"/>
      <protection locked="0"/>
    </xf>
    <xf numFmtId="0" fontId="4" fillId="11" borderId="3" xfId="0" applyFont="1" applyFill="1" applyBorder="1" applyAlignment="1">
      <alignment horizontal="center" vertical="center"/>
    </xf>
    <xf numFmtId="0" fontId="0" fillId="12" borderId="1" xfId="0" applyFill="1" applyBorder="1" applyAlignment="1">
      <alignment horizontal="center" vertical="center"/>
    </xf>
    <xf numFmtId="0" fontId="4" fillId="9" borderId="10" xfId="0" applyFont="1" applyFill="1" applyBorder="1" applyAlignment="1">
      <alignment horizontal="center" vertical="center"/>
    </xf>
    <xf numFmtId="0" fontId="0" fillId="13" borderId="6" xfId="0" applyFill="1" applyBorder="1" applyAlignment="1">
      <alignment horizontal="left" vertical="center" wrapText="1"/>
    </xf>
    <xf numFmtId="0" fontId="0" fillId="0" borderId="0" xfId="0" applyAlignment="1">
      <alignment vertical="center"/>
    </xf>
    <xf numFmtId="0" fontId="0" fillId="0" borderId="11" xfId="0" applyBorder="1" applyAlignment="1">
      <alignment horizontal="center" vertical="center"/>
    </xf>
    <xf numFmtId="0" fontId="0" fillId="0" borderId="9" xfId="0"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3" fillId="0" borderId="0" xfId="0" applyFont="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8" fillId="15" borderId="11" xfId="0" applyFont="1" applyFill="1" applyBorder="1" applyAlignment="1">
      <alignment horizontal="center" vertical="center"/>
    </xf>
    <xf numFmtId="0" fontId="2" fillId="14" borderId="3" xfId="0" applyFont="1" applyFill="1" applyBorder="1" applyAlignment="1">
      <alignment horizontal="center" vertical="center"/>
    </xf>
    <xf numFmtId="0" fontId="8" fillId="3" borderId="11" xfId="0" applyFont="1" applyFill="1" applyBorder="1" applyAlignment="1" applyProtection="1">
      <alignment horizontal="center" vertical="center"/>
      <protection locked="0"/>
    </xf>
    <xf numFmtId="0" fontId="4" fillId="16" borderId="3" xfId="0" applyFont="1" applyFill="1" applyBorder="1" applyAlignment="1">
      <alignment horizontal="center" vertical="center"/>
    </xf>
    <xf numFmtId="0" fontId="0" fillId="17" borderId="1" xfId="0" applyFill="1" applyBorder="1" applyAlignment="1">
      <alignment horizontal="center" vertical="center"/>
    </xf>
    <xf numFmtId="0" fontId="8" fillId="15" borderId="1" xfId="0" applyFont="1" applyFill="1" applyBorder="1" applyAlignment="1">
      <alignment horizontal="center" vertical="center"/>
    </xf>
    <xf numFmtId="0" fontId="8" fillId="6" borderId="1" xfId="0" applyFont="1" applyFill="1" applyBorder="1" applyAlignment="1" applyProtection="1">
      <alignment horizontal="center" vertical="center"/>
      <protection locked="0"/>
    </xf>
    <xf numFmtId="0" fontId="0" fillId="2"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2" borderId="5" xfId="0" applyFill="1" applyBorder="1" applyAlignment="1">
      <alignment horizontal="left" vertical="center"/>
    </xf>
    <xf numFmtId="0" fontId="0" fillId="0" borderId="1" xfId="0" applyBorder="1" applyAlignment="1">
      <alignment vertical="center"/>
    </xf>
    <xf numFmtId="0" fontId="0" fillId="0" borderId="0" xfId="0" applyAlignment="1">
      <alignment vertical="top"/>
    </xf>
    <xf numFmtId="0" fontId="10" fillId="0" borderId="0" xfId="0" applyFont="1" applyAlignment="1">
      <alignment vertical="center"/>
    </xf>
    <xf numFmtId="0" fontId="9" fillId="0" borderId="0" xfId="0" applyFont="1" applyAlignment="1">
      <alignment vertical="top" wrapText="1"/>
    </xf>
    <xf numFmtId="0" fontId="0" fillId="0" borderId="0" xfId="0" applyAlignment="1">
      <alignment horizontal="left" vertical="center"/>
    </xf>
    <xf numFmtId="0" fontId="0" fillId="0" borderId="0" xfId="0" applyAlignment="1">
      <alignment vertical="center" wrapText="1"/>
    </xf>
    <xf numFmtId="0" fontId="2" fillId="9" borderId="1" xfId="0" applyFont="1" applyFill="1" applyBorder="1" applyAlignment="1">
      <alignment horizontal="center" vertical="center" wrapText="1"/>
    </xf>
    <xf numFmtId="0" fontId="2" fillId="16" borderId="1" xfId="0" applyFont="1" applyFill="1" applyBorder="1" applyAlignment="1">
      <alignment horizontal="center" vertical="center"/>
    </xf>
    <xf numFmtId="0" fontId="2" fillId="19" borderId="1" xfId="0" applyFont="1" applyFill="1" applyBorder="1" applyAlignment="1">
      <alignment horizontal="center" vertical="center"/>
    </xf>
    <xf numFmtId="0" fontId="0" fillId="8" borderId="1" xfId="0" applyFill="1" applyBorder="1" applyAlignment="1">
      <alignment horizontal="left" vertical="center"/>
    </xf>
    <xf numFmtId="0" fontId="0" fillId="20" borderId="1" xfId="0" applyFill="1" applyBorder="1" applyAlignment="1">
      <alignment horizontal="center" vertical="center"/>
    </xf>
    <xf numFmtId="0" fontId="0" fillId="13" borderId="0" xfId="0" applyFill="1" applyAlignment="1">
      <alignment horizontal="left" vertical="center" wrapText="1"/>
    </xf>
    <xf numFmtId="0" fontId="3" fillId="0" borderId="8" xfId="0" applyFont="1" applyBorder="1" applyAlignment="1">
      <alignment vertical="center"/>
    </xf>
    <xf numFmtId="0" fontId="8" fillId="2" borderId="7" xfId="0" applyFont="1" applyFill="1" applyBorder="1" applyAlignment="1">
      <alignment horizontal="center" vertical="center" wrapText="1"/>
    </xf>
    <xf numFmtId="0" fontId="8" fillId="2" borderId="11" xfId="0" applyFont="1" applyFill="1" applyBorder="1" applyAlignment="1">
      <alignment horizontal="left" vertical="center" wrapText="1"/>
    </xf>
    <xf numFmtId="0" fontId="8" fillId="2" borderId="11"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left" vertical="center" wrapText="1"/>
    </xf>
    <xf numFmtId="0" fontId="3" fillId="21" borderId="1" xfId="0" applyFont="1" applyFill="1" applyBorder="1" applyAlignment="1">
      <alignment horizontal="center" vertical="center"/>
    </xf>
    <xf numFmtId="0" fontId="2" fillId="4" borderId="2" xfId="0" applyFont="1" applyFill="1" applyBorder="1" applyAlignment="1">
      <alignment horizontal="center"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11" xfId="0" applyFont="1" applyFill="1" applyBorder="1" applyAlignment="1">
      <alignment horizontal="center" vertical="center"/>
    </xf>
    <xf numFmtId="0" fontId="0" fillId="0" borderId="14" xfId="0" applyBorder="1" applyAlignment="1" applyProtection="1">
      <alignment vertical="center" wrapText="1"/>
      <protection locked="0"/>
    </xf>
    <xf numFmtId="0" fontId="0" fillId="0" borderId="13" xfId="0" applyBorder="1" applyAlignment="1" applyProtection="1">
      <alignment vertical="center" wrapText="1"/>
      <protection locked="0"/>
    </xf>
    <xf numFmtId="0" fontId="3" fillId="0" borderId="0" xfId="0" applyFont="1" applyAlignment="1">
      <alignment horizontal="center" vertical="center"/>
    </xf>
    <xf numFmtId="0" fontId="0" fillId="2" borderId="10" xfId="0" applyFill="1" applyBorder="1" applyAlignment="1">
      <alignment horizontal="center" vertical="center"/>
    </xf>
    <xf numFmtId="0" fontId="7" fillId="2" borderId="10" xfId="0" applyFont="1" applyFill="1" applyBorder="1" applyAlignment="1">
      <alignment horizontal="center" vertical="center"/>
    </xf>
    <xf numFmtId="0" fontId="8" fillId="2" borderId="7" xfId="0" applyFont="1" applyFill="1" applyBorder="1" applyAlignment="1" applyProtection="1">
      <alignment horizontal="center" vertical="center" wrapText="1"/>
      <protection locked="0"/>
    </xf>
    <xf numFmtId="49" fontId="8" fillId="2" borderId="11" xfId="0" applyNumberFormat="1" applyFont="1" applyFill="1" applyBorder="1" applyAlignment="1" applyProtection="1">
      <alignment horizontal="left" vertical="center" wrapText="1"/>
      <protection locked="0"/>
    </xf>
    <xf numFmtId="49" fontId="8" fillId="2" borderId="11" xfId="0" applyNumberFormat="1" applyFont="1" applyFill="1" applyBorder="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49" fontId="8" fillId="2" borderId="1" xfId="0" applyNumberFormat="1" applyFont="1" applyFill="1" applyBorder="1" applyAlignment="1" applyProtection="1">
      <alignment horizontal="left" vertical="center" wrapText="1"/>
      <protection locked="0"/>
    </xf>
    <xf numFmtId="49" fontId="8" fillId="2" borderId="1" xfId="0" applyNumberFormat="1" applyFont="1" applyFill="1" applyBorder="1" applyAlignment="1" applyProtection="1">
      <alignment horizontal="center" vertical="center" wrapText="1"/>
      <protection locked="0"/>
    </xf>
    <xf numFmtId="49" fontId="8" fillId="2" borderId="3" xfId="0" applyNumberFormat="1" applyFont="1" applyFill="1" applyBorder="1" applyAlignment="1" applyProtection="1">
      <alignment horizontal="center" vertical="center" wrapText="1"/>
      <protection locked="0"/>
    </xf>
    <xf numFmtId="0" fontId="0" fillId="0" borderId="1" xfId="0" applyBorder="1"/>
    <xf numFmtId="0" fontId="0" fillId="2" borderId="1" xfId="0" applyFill="1" applyBorder="1" applyAlignment="1">
      <alignment vertical="center"/>
    </xf>
    <xf numFmtId="0" fontId="0" fillId="2" borderId="1" xfId="0" applyFill="1" applyBorder="1"/>
    <xf numFmtId="0" fontId="11" fillId="0" borderId="0" xfId="0" applyFont="1" applyAlignment="1">
      <alignment horizontal="left" vertical="top" wrapText="1"/>
    </xf>
    <xf numFmtId="0" fontId="0" fillId="21" borderId="1" xfId="0" applyFill="1" applyBorder="1" applyAlignment="1" applyProtection="1">
      <alignment horizontal="left" vertical="center"/>
      <protection locked="0"/>
    </xf>
    <xf numFmtId="0" fontId="3" fillId="12" borderId="0" xfId="0" applyFont="1" applyFill="1" applyAlignment="1" applyProtection="1">
      <alignment horizontal="center" vertical="center"/>
      <protection locked="0"/>
    </xf>
    <xf numFmtId="0" fontId="3" fillId="12" borderId="15" xfId="0" applyFont="1" applyFill="1" applyBorder="1" applyAlignment="1" applyProtection="1">
      <alignment horizontal="center" vertical="center"/>
      <protection locked="0"/>
    </xf>
    <xf numFmtId="0" fontId="3" fillId="0" borderId="0" xfId="0" applyFont="1" applyAlignment="1">
      <alignment horizontal="center" vertical="center"/>
    </xf>
    <xf numFmtId="0" fontId="3" fillId="0" borderId="8" xfId="0" applyFont="1" applyBorder="1" applyAlignment="1">
      <alignment horizontal="center" vertical="center"/>
    </xf>
    <xf numFmtId="0" fontId="3" fillId="12" borderId="0" xfId="0" applyFont="1" applyFill="1" applyAlignment="1">
      <alignment horizontal="center" vertical="center"/>
    </xf>
    <xf numFmtId="0" fontId="3" fillId="12" borderId="15" xfId="0" applyFont="1" applyFill="1" applyBorder="1" applyAlignment="1">
      <alignment horizontal="center" vertical="center"/>
    </xf>
    <xf numFmtId="0" fontId="0" fillId="18" borderId="1" xfId="0" applyFill="1" applyBorder="1" applyAlignment="1" applyProtection="1">
      <alignment vertical="top" wrapText="1"/>
      <protection locked="0"/>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cellXfs>
  <cellStyles count="4">
    <cellStyle name="Normal" xfId="0" builtinId="0"/>
    <cellStyle name="Normal 2" xfId="2" xr:uid="{012388AA-DB3E-4FDC-B436-7D88B4BCC798}"/>
    <cellStyle name="Normal 3" xfId="3" xr:uid="{9254EA3A-16D6-478A-BBEE-8C70DED4A61E}"/>
    <cellStyle name="Percent" xfId="1" builtinId="5"/>
  </cellStyles>
  <dxfs count="406">
    <dxf>
      <font>
        <color rgb="FF006100"/>
      </font>
      <fill>
        <patternFill>
          <bgColor rgb="FFC6EFCE"/>
        </patternFill>
      </fill>
    </dxf>
    <dxf>
      <font>
        <color rgb="FF9C5700"/>
      </font>
      <fill>
        <patternFill>
          <bgColor rgb="FFFFEB9C"/>
        </patternFill>
      </fill>
    </dxf>
    <dxf>
      <font>
        <color rgb="FF006100"/>
      </font>
      <fill>
        <patternFill>
          <bgColor rgb="FFC6EFCE"/>
        </patternFill>
      </fill>
    </dxf>
    <dxf>
      <numFmt numFmtId="0" formatCode="General"/>
      <fill>
        <patternFill patternType="solid">
          <fgColor rgb="FF000000"/>
          <bgColor theme="3" tint="0.79998168889431442"/>
        </patternFill>
      </fill>
      <alignment horizontal="left" vertical="center" textRotation="0" wrapText="1"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rgb="FF000000"/>
          <bgColor theme="3" tint="0.79998168889431442"/>
        </patternFill>
      </fill>
      <alignment horizontal="center" vertical="center" textRotation="0" wrapText="0"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general" vertical="center" textRotation="0" wrapText="1" indent="0" justifyLastLine="0" shrinkToFit="0" readingOrder="0"/>
      <border diagonalUp="0" diagonalDown="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protection locked="0" hidden="0"/>
    </dxf>
    <dxf>
      <border>
        <bottom style="thin">
          <color indexed="64"/>
        </bottom>
      </border>
    </dxf>
    <dxf>
      <font>
        <b/>
      </font>
      <alignment horizontal="general"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Calibri"/>
        <family val="2"/>
        <scheme val="none"/>
      </font>
      <fill>
        <patternFill patternType="solid">
          <fgColor rgb="FF000000"/>
          <bgColor rgb="FFFFF2CC"/>
        </patternFill>
      </fill>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dxf>
    <dxf>
      <border>
        <bottom style="thin">
          <color rgb="FF000000"/>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none"/>
      </font>
      <alignment horizontal="center"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theme="0" tint="-4.9989318521683403E-2"/>
        </patternFill>
      </fill>
    </dxf>
    <dxf>
      <fill>
        <patternFill>
          <bgColor theme="0" tint="-4.9989318521683403E-2"/>
        </patternFill>
      </fill>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right/>
        <top style="thin">
          <color indexed="64"/>
        </top>
        <bottom style="thin">
          <color indexed="64"/>
        </bottom>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protection locked="1" hidden="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5B0D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D20368D-1341-4651-A9DF-0D3A02EFDCE8}" name="NSi.TS" displayName="NSi.TS" ref="A2:AY27" totalsRowShown="0" headerRowDxfId="405" dataDxfId="403" headerRowBorderDxfId="404" tableBorderDxfId="402" totalsRowBorderDxfId="401">
  <autoFilter ref="A2:AY27" xr:uid="{1D8F9E49-C4C7-4B29-93E9-1FA37E6E028E}"/>
  <tableColumns count="51">
    <tableColumn id="1" xr3:uid="{78A7E1E5-79ED-4979-883E-F345E90E65F1}" name="No" dataDxfId="400"/>
    <tableColumn id="2" xr3:uid="{D9B66794-6C25-4D19-B24B-D2DD5AECE534}" name="Nama Siswa" dataDxfId="399"/>
    <tableColumn id="3" xr3:uid="{43575615-066E-49EC-AB74-23D1320A49A4}" name="Nomor Induk" dataDxfId="398"/>
    <tableColumn id="10" xr3:uid="{09098A0D-F3A4-45C4-BF5E-5787F4C44CC2}" name="NISN" dataDxfId="397"/>
    <tableColumn id="4" xr3:uid="{A3CFB980-E4A0-43CE-B694-4E7EFAB27763}" name="Jurusan" dataDxfId="396"/>
    <tableColumn id="60" xr3:uid="{C220267E-67EF-4698-86BD-42B4C5973B64}" name="Nsi.TS" dataDxfId="395">
      <calculatedColumnFormula>IFERROR(ROUND(AVERAGE(CSCR[#This Row]),0),"")</calculatedColumnFormula>
    </tableColumn>
    <tableColumn id="5" xr3:uid="{DD72CAFB-3185-45E3-9BD4-E3D1E25DDE96}" name="KU.1" dataDxfId="394"/>
    <tableColumn id="6" xr3:uid="{761FD9B8-7D4B-4BAD-AD6D-19BB5C3B4BFF}" name="TJ.1" dataDxfId="393"/>
    <tableColumn id="7" xr3:uid="{67324E88-3711-48F6-844E-7D35AF095FA8}" name="Ker.1" dataDxfId="392"/>
    <tableColumn id="8" xr3:uid="{22A51FA2-BD6D-4592-86C8-9E09594C7148}" name="Ped.1" dataDxfId="391"/>
    <tableColumn id="9" xr3:uid="{FA43C0AD-B7ED-4FAE-BFD1-925FBABB340E}" name="Pro-A.1" dataDxfId="390"/>
    <tableColumn id="20" xr3:uid="{D31ABBD9-A642-4D50-B643-60DD6121E942}" name="KU.2" dataDxfId="389"/>
    <tableColumn id="21" xr3:uid="{FBD248AF-0D4C-44D4-8854-C6F90D76B090}" name="TJ.2" dataDxfId="388"/>
    <tableColumn id="22" xr3:uid="{27FCFE0E-8189-4577-8779-E9B588F28528}" name="Ker.2" dataDxfId="387"/>
    <tableColumn id="23" xr3:uid="{CCA0DB0D-CF3C-4354-A1C6-476E4B89889D}" name="Ped.2" dataDxfId="386"/>
    <tableColumn id="24" xr3:uid="{C6F7C292-053E-460E-8FAB-18DC41B5AD5B}" name="Pro-A.2" dataDxfId="385"/>
    <tableColumn id="25" xr3:uid="{17A1B911-1777-4FDC-89FD-409F0C2DE4E9}" name="KU.3" dataDxfId="384"/>
    <tableColumn id="26" xr3:uid="{8E7EF905-3643-456B-9F6A-2615A6EA006F}" name="TJ.3" dataDxfId="383"/>
    <tableColumn id="27" xr3:uid="{057C2E27-396B-47F1-AAF2-F0AA9505733A}" name="Ker.3" dataDxfId="382"/>
    <tableColumn id="28" xr3:uid="{184A3A1F-FA25-4EB9-82A2-1C59F7AC349D}" name="Ped.3" dataDxfId="381"/>
    <tableColumn id="29" xr3:uid="{12652E5A-0720-498D-9D41-F2389D5C49E7}" name="Pro-A.3" dataDxfId="380"/>
    <tableColumn id="30" xr3:uid="{6C82E4A0-4C64-431D-B349-0841FB8794D4}" name="KU.4" dataDxfId="379"/>
    <tableColumn id="31" xr3:uid="{6A937D98-B571-47EF-A739-E1B0E73B7D33}" name="TJ.4" dataDxfId="378"/>
    <tableColumn id="32" xr3:uid="{333714F2-453E-4A30-BB1F-88435BBBC079}" name="Ker.4" dataDxfId="377"/>
    <tableColumn id="33" xr3:uid="{CFE563FC-708A-443E-A2FE-29045EA9B640}" name="Ped.4" dataDxfId="376"/>
    <tableColumn id="34" xr3:uid="{08123448-0889-46F0-88D4-59999A55FF0E}" name="Pro-A.4" dataDxfId="375"/>
    <tableColumn id="35" xr3:uid="{ACE634DA-1E21-446A-B23B-E537C40DE121}" name="KU.5" dataDxfId="374"/>
    <tableColumn id="36" xr3:uid="{E576BA24-930F-4EA6-99DA-7D01D7E5E80A}" name="TJ.5" dataDxfId="373"/>
    <tableColumn id="37" xr3:uid="{27C7F4FC-46A3-4F14-BF1F-2EB47AA118A9}" name="Ker.5" dataDxfId="372"/>
    <tableColumn id="38" xr3:uid="{867F8EF9-1E49-4D03-9860-72A6061F1A27}" name="Ped.5" dataDxfId="371"/>
    <tableColumn id="39" xr3:uid="{0A29DE8F-7377-454E-B891-227C5A54A339}" name="Pro-A.5" dataDxfId="370"/>
    <tableColumn id="40" xr3:uid="{3CF9CEAE-7483-450D-BB92-F67270830C9E}" name="KU.6" dataDxfId="369"/>
    <tableColumn id="41" xr3:uid="{BA0475D4-4A2B-46F6-8785-2956DAC5F1CE}" name="TJ.6" dataDxfId="368"/>
    <tableColumn id="42" xr3:uid="{3532C79C-142E-4BF4-A127-4E4BC174A1CC}" name="Ker.6" dataDxfId="367"/>
    <tableColumn id="43" xr3:uid="{EE95A382-F39C-4BBB-9F8B-760A26B23E9C}" name="Ped.6" dataDxfId="366"/>
    <tableColumn id="44" xr3:uid="{BB878126-B78F-413E-AE8E-5F5B32B92EEE}" name="Pro-A.6" dataDxfId="365"/>
    <tableColumn id="45" xr3:uid="{2DA749C4-B7C3-4088-82EE-671674E703DE}" name="KU.7" dataDxfId="364"/>
    <tableColumn id="46" xr3:uid="{8920D008-5E3C-4CF4-ADC5-1A325C89BB0C}" name="TJ.7" dataDxfId="363"/>
    <tableColumn id="47" xr3:uid="{27F0C4DF-5201-416F-B814-A5A89B29942E}" name="Ker.7" dataDxfId="362"/>
    <tableColumn id="48" xr3:uid="{21FF7A34-5B1B-4099-9ED7-0816F02EDF9F}" name="Ped.7" dataDxfId="361"/>
    <tableColumn id="49" xr3:uid="{60A748AF-E34B-4FAC-8F62-076A16467F1F}" name="Pro-A.7" dataDxfId="360"/>
    <tableColumn id="50" xr3:uid="{3E632843-E978-4EBD-98D8-5946F619612A}" name="KU.8" dataDxfId="359"/>
    <tableColumn id="51" xr3:uid="{D465555E-311F-46C8-88C6-3E1CFC19D020}" name="TJ.8" dataDxfId="358"/>
    <tableColumn id="52" xr3:uid="{3031F3F3-23C5-4CF6-9B91-3EF81EE564E5}" name="Ker.8" dataDxfId="357"/>
    <tableColumn id="53" xr3:uid="{6D52E33F-1739-4121-B5FC-F7AB429E8E59}" name="Ped.8" dataDxfId="356"/>
    <tableColumn id="54" xr3:uid="{83076D9C-7C03-4FD5-A1D1-8167171D2333}" name="Pro-A.8" dataDxfId="355"/>
    <tableColumn id="55" xr3:uid="{6F6E0303-5C3A-4673-BA3A-711CBB461467}" name="KU.9" dataDxfId="354"/>
    <tableColumn id="56" xr3:uid="{9A0E7269-5396-4F9F-9A63-42D77E9B55EA}" name="TJ.9" dataDxfId="353"/>
    <tableColumn id="57" xr3:uid="{5F0A741C-F46F-4FF9-95DA-F627639D8975}" name="Ker.9" dataDxfId="352"/>
    <tableColumn id="58" xr3:uid="{786E176E-E58B-435E-8BB3-A94DADE7349D}" name="Ped.9" dataDxfId="351"/>
    <tableColumn id="59" xr3:uid="{27A2B5CD-5CB4-4D7B-8A9D-B52381673A78}" name="Pro-A.9" dataDxfId="35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55EB6B5-7EAB-43BE-AE92-3BF5FB67B2B2}" name="A.LoE.S" displayName="A.LoE.S" ref="BM2:BU27" totalsRowShown="0" headerRowDxfId="136" dataDxfId="134" headerRowBorderDxfId="135" tableBorderDxfId="133" totalsRowBorderDxfId="132">
  <autoFilter ref="BM2:BU27" xr:uid="{7AC1B0CA-E2AC-4A60-98FB-62FF0F60E91E}"/>
  <tableColumns count="9">
    <tableColumn id="1" xr3:uid="{B816BC09-F993-4702-B68F-586CB0467EA5}" name="LE.1" dataDxfId="131">
      <calculatedColumnFormula>IFERROR(ROUND(AVERAGE(Con.Sk.S[[#This Row],[TJ.1]:[Pro-A.1]]),0),"-")</calculatedColumnFormula>
    </tableColumn>
    <tableColumn id="2" xr3:uid="{E53AF893-C8A5-45A2-A4C4-07324242FC81}" name="LE.2" dataDxfId="130">
      <calculatedColumnFormula>IFERROR(ROUND(AVERAGE(Con.Sk.S[[#This Row],[TJ.2]:[Pro-A.2]]),0),"-")</calculatedColumnFormula>
    </tableColumn>
    <tableColumn id="3" xr3:uid="{A691989F-A116-4C4F-88CD-F6FF0BC32688}" name="LE.3" dataDxfId="129">
      <calculatedColumnFormula>IFERROR(ROUND(AVERAGE(Con.Sk.S[[#This Row],[TJ.3]:[Pro-A.3]]),0),"-")</calculatedColumnFormula>
    </tableColumn>
    <tableColumn id="4" xr3:uid="{C757FCEF-92C0-4E0B-AD1B-6720496DB8FC}" name="LE.4" dataDxfId="128">
      <calculatedColumnFormula>IFERROR(ROUND(AVERAGE(Con.Sk.S[[#This Row],[TJ.4]:[Pro-A.4]]),0),"-")</calculatedColumnFormula>
    </tableColumn>
    <tableColumn id="5" xr3:uid="{58C8B831-0BFC-4825-8256-41D6C57FE1D8}" name="LE.5" dataDxfId="127">
      <calculatedColumnFormula>IFERROR(ROUND(AVERAGE(Con.Sk.S[[#This Row],[TJ.5]:[Pro-A.5]]),0),"-")</calculatedColumnFormula>
    </tableColumn>
    <tableColumn id="6" xr3:uid="{7B7670BB-99C9-44C5-A5BA-47C4417D9C01}" name="LE.6" dataDxfId="126">
      <calculatedColumnFormula>IFERROR(ROUND(AVERAGE(Con.Sk.S[[#This Row],[TJ.6]:[Pro-A.6]]),0),"-")</calculatedColumnFormula>
    </tableColumn>
    <tableColumn id="7" xr3:uid="{251C358F-F268-4053-823C-F1B0E48DD1E7}" name="LE.7" dataDxfId="125">
      <calculatedColumnFormula>IFERROR(ROUND(AVERAGE(Con.Sk.S[[#This Row],[TJ.7]:[Pro-A.7]]),0),"-")</calculatedColumnFormula>
    </tableColumn>
    <tableColumn id="8" xr3:uid="{C6A2B8F7-E4F0-414D-89EB-76F4C98432DB}" name="LE.8" dataDxfId="124">
      <calculatedColumnFormula>IFERROR(ROUND(AVERAGE(Con.Sk.S[[#This Row],[TJ.8]:[Pro-A.8]]),0),"-")</calculatedColumnFormula>
    </tableColumn>
    <tableColumn id="9" xr3:uid="{D5FF678A-311C-4BEA-A6E6-74640727C14B}" name="LE.9" dataDxfId="123">
      <calculatedColumnFormula>IFERROR(ROUND(AVERAGE(Con.Sk.S[[#This Row],[TJ.9]:[Pro-A.9]]),0),"-")</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621731-5513-43AB-B915-F228FE1B578F}" name="Con.Sk.S" displayName="Con.Sk.S" ref="BZ2:DR27" totalsRowShown="0" headerRowDxfId="122" dataDxfId="120" headerRowBorderDxfId="121" tableBorderDxfId="119" totalsRowBorderDxfId="118">
  <autoFilter ref="BZ2:DR27" xr:uid="{568A4AAF-F7BF-4DD6-958D-C4FC5EAEDEFE}"/>
  <tableColumns count="45">
    <tableColumn id="1" xr3:uid="{BFF5AE67-6D97-40DE-A016-BD8D64AF9F6F}" name="KU.1" dataDxfId="117">
      <calculatedColumnFormula>IF(NSi.SE[[#This Row],[KU.1]]="A",100,IF(NSi.SE[[#This Row],[KU.1]]="B",89,IF(NSi.SE[[#This Row],[KU.1]]="C",79,IF(NSi.SE[[#This Row],[KU.1]]="D",69,IF(NSi.SE[[#This Row],[KU.1]]="E",0,"-")))))</calculatedColumnFormula>
    </tableColumn>
    <tableColumn id="2" xr3:uid="{88D7F6A5-E43A-436A-A4AF-919331E3FA10}" name="TJ.1" dataDxfId="116">
      <calculatedColumnFormula>IF(NSi.SE[[#This Row],[TJ.1]]=1,100,IF(NSi.SE[[#This Row],[TJ.1]]=2,89,IF(NSi.SE[[#This Row],[TJ.1]]=3,79,IF(NSi.SE[[#This Row],[TJ.1]]=4,69,IF(NSi.SE[[#This Row],[TJ.1]]=5,0,"-")))))</calculatedColumnFormula>
    </tableColumn>
    <tableColumn id="3" xr3:uid="{175338B4-5DF4-4817-9EFD-5C4B31F15906}" name="Ker.1" dataDxfId="115">
      <calculatedColumnFormula>IF(NSi.SE[[#This Row],[Ker.1]]=1,100,IF(NSi.SE[[#This Row],[Ker.1]]=2,89,IF(NSi.SE[[#This Row],[Ker.1]]=3,79,IF(NSi.SE[[#This Row],[Ker.1]]=4,69,IF(NSi.SE[[#This Row],[Ker.1]]=5,0,"-")))))</calculatedColumnFormula>
    </tableColumn>
    <tableColumn id="4" xr3:uid="{644DB5D3-8465-4541-A1DF-2FF785A751E8}" name="Ped.1" dataDxfId="114">
      <calculatedColumnFormula>IF(NSi.SE[[#This Row],[Ped.1]]=1,100,IF(NSi.SE[[#This Row],[Ped.1]]=2,89,IF(NSi.SE[[#This Row],[Ped.1]]=3,79,IF(NSi.SE[[#This Row],[Ped.1]]=4,69,IF(NSi.SE[[#This Row],[Ped.1]]=5,0,"-")))))</calculatedColumnFormula>
    </tableColumn>
    <tableColumn id="5" xr3:uid="{C818D2F8-03B6-42B7-B266-DA77896A856E}" name="Pro-A.1" dataDxfId="113">
      <calculatedColumnFormula>IF(NSi.SE[[#This Row],[Pro-A.1]]=1,100,IF(NSi.SE[[#This Row],[Pro-A.1]]=2,89,IF(NSi.SE[[#This Row],[Pro-A.1]]=3,79,IF(NSi.SE[[#This Row],[Pro-A.1]]=4,69,IF(NSi.SE[[#This Row],[Pro-A.1]]=5,0,"-")))))</calculatedColumnFormula>
    </tableColumn>
    <tableColumn id="6" xr3:uid="{029B8B64-A3B1-48E1-B71C-3DCA0892B305}" name="KU.2" dataDxfId="112">
      <calculatedColumnFormula>IF(NSi.SE[[#This Row],[KU.2]]="A",100,IF(NSi.SE[[#This Row],[KU.2]]="B",89,IF(NSi.SE[[#This Row],[KU.2]]="C",79,IF(NSi.SE[[#This Row],[KU.2]]="D",69,IF(NSi.SE[[#This Row],[KU.2]]="E",0,"-")))))</calculatedColumnFormula>
    </tableColumn>
    <tableColumn id="7" xr3:uid="{9BB78704-55B5-46FC-8368-24720256FE42}" name="TJ.2" dataDxfId="111">
      <calculatedColumnFormula>IF(NSi.SE[[#This Row],[TJ.2]]=1,100,IF(NSi.SE[[#This Row],[TJ.2]]=2,89,IF(NSi.SE[[#This Row],[TJ.2]]=3,79,IF(NSi.SE[[#This Row],[TJ.2]]=4,69,IF(NSi.SE[[#This Row],[TJ.2]]=5,0,"-")))))</calculatedColumnFormula>
    </tableColumn>
    <tableColumn id="8" xr3:uid="{A9774561-C615-40FC-BB2A-62852398CF92}" name="Ker.2" dataDxfId="110">
      <calculatedColumnFormula>IF(NSi.SE[[#This Row],[Ker.2]]=1,100,IF(NSi.SE[[#This Row],[Ker.2]]=2,89,IF(NSi.SE[[#This Row],[Ker.2]]=3,79,IF(NSi.SE[[#This Row],[Ker.2]]=4,69,IF(NSi.SE[[#This Row],[Ker.2]]=5,0,"-")))))</calculatedColumnFormula>
    </tableColumn>
    <tableColumn id="9" xr3:uid="{D2D0C99D-2FEB-4F27-A211-C5CB77ED785C}" name="Ped.2" dataDxfId="109">
      <calculatedColumnFormula>IF(NSi.SE[[#This Row],[Ped.2]]=1,100,IF(NSi.SE[[#This Row],[Ped.2]]=2,89,IF(NSi.SE[[#This Row],[Ped.2]]=3,79,IF(NSi.SE[[#This Row],[Ped.2]]=4,69,IF(NSi.SE[[#This Row],[Ped.2]]=5,0,"-")))))</calculatedColumnFormula>
    </tableColumn>
    <tableColumn id="10" xr3:uid="{8B9DD157-8EF2-40B0-B454-ECEC8B4F58E0}" name="Pro-A.2" dataDxfId="108">
      <calculatedColumnFormula>IF(NSi.SE[[#This Row],[Pro-A.2]]=1,100,IF(NSi.SE[[#This Row],[Pro-A.2]]=2,89,IF(NSi.SE[[#This Row],[Pro-A.2]]=3,79,IF(NSi.SE[[#This Row],[Pro-A.2]]=4,69,IF(NSi.SE[[#This Row],[Pro-A.2]]=5,0,"-")))))</calculatedColumnFormula>
    </tableColumn>
    <tableColumn id="11" xr3:uid="{2C0302D7-512E-40AA-82C3-D1884D4ED630}" name="KU.3" dataDxfId="107">
      <calculatedColumnFormula>IF(NSi.SE[[#This Row],[KU.3]]="A",100,IF(NSi.SE[[#This Row],[KU.3]]="B",89,IF(NSi.SE[[#This Row],[KU.3]]="C",79,IF(NSi.SE[[#This Row],[KU.3]]="D",69,IF(NSi.SE[[#This Row],[KU.3]]="E",0,"-")))))</calculatedColumnFormula>
    </tableColumn>
    <tableColumn id="12" xr3:uid="{7975156F-4661-49BC-A9D4-951A50693D90}" name="TJ.3" dataDxfId="106">
      <calculatedColumnFormula>IF(NSi.SE[[#This Row],[TJ.3]]=1,100,IF(NSi.SE[[#This Row],[TJ.3]]=2,89,IF(NSi.SE[[#This Row],[TJ.3]]=3,79,IF(NSi.SE[[#This Row],[TJ.3]]=4,69,IF(NSi.SE[[#This Row],[TJ.3]]=5,0,"-")))))</calculatedColumnFormula>
    </tableColumn>
    <tableColumn id="13" xr3:uid="{613E0F33-C255-4486-B454-6925B78BF56F}" name="Ker.3" dataDxfId="105">
      <calculatedColumnFormula>IF(NSi.SE[[#This Row],[Ker.3]]=1,100,IF(NSi.SE[[#This Row],[Ker.3]]=2,89,IF(NSi.SE[[#This Row],[Ker.3]]=3,79,IF(NSi.SE[[#This Row],[Ker.3]]=4,69,IF(NSi.SE[[#This Row],[Ker.3]]=5,0,"-")))))</calculatedColumnFormula>
    </tableColumn>
    <tableColumn id="14" xr3:uid="{07669616-D1C4-4B59-978D-9D5AE6744ED3}" name="Ped.3" dataDxfId="104">
      <calculatedColumnFormula>IF(NSi.SE[[#This Row],[Ped.3]]=1,100,IF(NSi.SE[[#This Row],[Ped.3]]=2,89,IF(NSi.SE[[#This Row],[Ped.3]]=3,79,IF(NSi.SE[[#This Row],[Ped.3]]=4,69,IF(NSi.SE[[#This Row],[Ped.3]]=5,0,"-")))))</calculatedColumnFormula>
    </tableColumn>
    <tableColumn id="15" xr3:uid="{5ACEB335-BCB5-42CD-BF3F-5771D2A52303}" name="Pro-A.3" dataDxfId="103">
      <calculatedColumnFormula>IF(NSi.SE[[#This Row],[Pro-A.3]]=1,100,IF(NSi.SE[[#This Row],[Pro-A.3]]=2,89,IF(NSi.SE[[#This Row],[Pro-A.3]]=3,79,IF(NSi.SE[[#This Row],[Pro-A.3]]=4,69,IF(NSi.SE[[#This Row],[Pro-A.3]]=5,0,"-")))))</calculatedColumnFormula>
    </tableColumn>
    <tableColumn id="16" xr3:uid="{60C3BB15-F2BD-411B-9430-F0D717170364}" name="KU.4" dataDxfId="102">
      <calculatedColumnFormula>IF(NSi.SE[[#This Row],[KU.4]]="A",100,IF(NSi.SE[[#This Row],[KU.4]]="B",89,IF(NSi.SE[[#This Row],[KU.4]]="C",79,IF(NSi.SE[[#This Row],[KU.4]]="D",69,IF(NSi.SE[[#This Row],[KU.4]]="E",0,"-")))))</calculatedColumnFormula>
    </tableColumn>
    <tableColumn id="17" xr3:uid="{5B4E48F8-0F9E-4028-BAFA-28E7383B9AAE}" name="TJ.4" dataDxfId="101">
      <calculatedColumnFormula>IF(NSi.SE[[#This Row],[TJ.4]]=1,100,IF(NSi.SE[[#This Row],[TJ.4]]=2,89,IF(NSi.SE[[#This Row],[TJ.4]]=3,79,IF(NSi.SE[[#This Row],[TJ.4]]=4,69,IF(NSi.SE[[#This Row],[TJ.4]]=5,0,"-")))))</calculatedColumnFormula>
    </tableColumn>
    <tableColumn id="18" xr3:uid="{C81A1EED-CA92-47D4-B29D-3E524DF1B183}" name="Ker.4" dataDxfId="100">
      <calculatedColumnFormula>IF(NSi.SE[[#This Row],[Ker.4]]=1,100,IF(NSi.SE[[#This Row],[Ker.4]]=2,89,IF(NSi.SE[[#This Row],[Ker.4]]=3,79,IF(NSi.SE[[#This Row],[Ker.4]]=4,69,IF(NSi.SE[[#This Row],[Ker.4]]=5,0,"-")))))</calculatedColumnFormula>
    </tableColumn>
    <tableColumn id="19" xr3:uid="{43A21204-8BAB-4FDD-BD5A-94F43661B4AC}" name="Ped.4" dataDxfId="99">
      <calculatedColumnFormula>IF(NSi.SE[[#This Row],[Ped.4]]=1,100,IF(NSi.SE[[#This Row],[Ped.4]]=2,89,IF(NSi.SE[[#This Row],[Ped.4]]=3,79,IF(NSi.SE[[#This Row],[Ped.4]]=4,69,IF(NSi.SE[[#This Row],[Ped.4]]=5,0,"-")))))</calculatedColumnFormula>
    </tableColumn>
    <tableColumn id="20" xr3:uid="{9FDE1D44-7CAF-43B6-B36F-E8BA78E3CB79}" name="Pro-A.4" dataDxfId="98">
      <calculatedColumnFormula>IF(NSi.SE[[#This Row],[Pro-A.4]]=1,100,IF(NSi.SE[[#This Row],[Pro-A.4]]=2,89,IF(NSi.SE[[#This Row],[Pro-A.4]]=3,79,IF(NSi.SE[[#This Row],[Pro-A.4]]=4,69,IF(NSi.SE[[#This Row],[Pro-A.4]]=5,0,"-")))))</calculatedColumnFormula>
    </tableColumn>
    <tableColumn id="21" xr3:uid="{6BADA13E-9129-4114-9BB5-2D190D999D9D}" name="KU.5" dataDxfId="97">
      <calculatedColumnFormula>IF(NSi.SE[[#This Row],[KU.5]]="A",100,IF(NSi.SE[[#This Row],[KU.5]]="B",89,IF(NSi.SE[[#This Row],[KU.5]]="C",79,IF(NSi.SE[[#This Row],[KU.5]]="D",69,IF(NSi.SE[[#This Row],[KU.5]]="E",0,"-")))))</calculatedColumnFormula>
    </tableColumn>
    <tableColumn id="22" xr3:uid="{75F67629-BB0B-4D44-80D5-F38BFBA46DF4}" name="TJ.5" dataDxfId="96">
      <calculatedColumnFormula>IF(NSi.SE[[#This Row],[TJ.5]]=1,100,IF(NSi.SE[[#This Row],[TJ.5]]=2,89,IF(NSi.SE[[#This Row],[TJ.5]]=3,79,IF(NSi.SE[[#This Row],[TJ.5]]=4,69,IF(NSi.SE[[#This Row],[TJ.5]]=5,0,"-")))))</calculatedColumnFormula>
    </tableColumn>
    <tableColumn id="23" xr3:uid="{703DCFFA-8FE2-47B6-BB24-C04E3BA50E83}" name="Ker.5" dataDxfId="95">
      <calculatedColumnFormula>IF(NSi.SE[[#This Row],[Ker.5]]=1,100,IF(NSi.SE[[#This Row],[Ker.5]]=2,89,IF(NSi.SE[[#This Row],[Ker.5]]=3,79,IF(NSi.SE[[#This Row],[Ker.5]]=4,69,IF(NSi.SE[[#This Row],[Ker.5]]=5,0,"-")))))</calculatedColumnFormula>
    </tableColumn>
    <tableColumn id="24" xr3:uid="{276C96BD-DED8-4EE5-AB1F-CB8F72FFBF5C}" name="Ped.5" dataDxfId="94">
      <calculatedColumnFormula>IF(NSi.SE[[#This Row],[Ped.5]]=1,100,IF(NSi.SE[[#This Row],[Ped.5]]=2,89,IF(NSi.SE[[#This Row],[Ped.5]]=3,79,IF(NSi.SE[[#This Row],[Ped.5]]=4,69,IF(NSi.SE[[#This Row],[Ped.5]]=5,0,"-")))))</calculatedColumnFormula>
    </tableColumn>
    <tableColumn id="25" xr3:uid="{7607BFE8-571B-4AFE-B1FF-7D79697F1EA4}" name="Pro-A.5" dataDxfId="93">
      <calculatedColumnFormula>IF(NSi.SE[[#This Row],[Pro-A.5]]=1,100,IF(NSi.SE[[#This Row],[Pro-A.5]]=2,89,IF(NSi.SE[[#This Row],[Pro-A.5]]=3,79,IF(NSi.SE[[#This Row],[Pro-A.5]]=4,69,IF(NSi.SE[[#This Row],[Pro-A.5]]=5,0,"-")))))</calculatedColumnFormula>
    </tableColumn>
    <tableColumn id="26" xr3:uid="{D2E27BA0-C78A-412A-A175-A9A85A5F59F2}" name="KU.6" dataDxfId="92">
      <calculatedColumnFormula>IF(NSi.SE[[#This Row],[KU.6]]="A",100,IF(NSi.SE[[#This Row],[KU.6]]="B",89,IF(NSi.SE[[#This Row],[KU.6]]="C",79,IF(NSi.SE[[#This Row],[KU.6]]="D",69,IF(NSi.SE[[#This Row],[KU.6]]="E",0,"-")))))</calculatedColumnFormula>
    </tableColumn>
    <tableColumn id="27" xr3:uid="{93E78491-68A9-4230-AED4-D2DDE3F6FE4D}" name="TJ.6" dataDxfId="91">
      <calculatedColumnFormula>IF(NSi.SE[[#This Row],[TJ.6]]=1,100,IF(NSi.SE[[#This Row],[TJ.6]]=2,89,IF(NSi.SE[[#This Row],[TJ.6]]=3,79,IF(NSi.SE[[#This Row],[TJ.6]]=4,69,IF(NSi.SE[[#This Row],[TJ.6]]=5,0,"-")))))</calculatedColumnFormula>
    </tableColumn>
    <tableColumn id="28" xr3:uid="{1C5B87E0-DC69-4D56-90C8-910838BC668E}" name="Ker.6" dataDxfId="90">
      <calculatedColumnFormula>IF(NSi.SE[[#This Row],[Ker.6]]=1,100,IF(NSi.SE[[#This Row],[Ker.6]]=2,89,IF(NSi.SE[[#This Row],[Ker.6]]=3,79,IF(NSi.SE[[#This Row],[Ker.6]]=4,69,IF(NSi.SE[[#This Row],[Ker.6]]=5,0,"-")))))</calculatedColumnFormula>
    </tableColumn>
    <tableColumn id="29" xr3:uid="{85962964-3DE4-4E0D-89F0-D255930BBF8E}" name="Ped.6" dataDxfId="89">
      <calculatedColumnFormula>IF(NSi.SE[[#This Row],[Ped.6]]=1,100,IF(NSi.SE[[#This Row],[Ped.6]]=2,89,IF(NSi.SE[[#This Row],[Ped.6]]=3,79,IF(NSi.SE[[#This Row],[Ped.6]]=4,69,IF(NSi.SE[[#This Row],[Ped.6]]=5,0,"-")))))</calculatedColumnFormula>
    </tableColumn>
    <tableColumn id="30" xr3:uid="{C6E8127D-2A69-48DE-A81F-7F121DE57DB4}" name="Pro-A.6" dataDxfId="88">
      <calculatedColumnFormula>IF(NSi.SE[[#This Row],[Pro-A.6]]=1,100,IF(NSi.SE[[#This Row],[Pro-A.6]]=2,89,IF(NSi.SE[[#This Row],[Pro-A.6]]=3,79,IF(NSi.SE[[#This Row],[Pro-A.6]]=4,69,IF(NSi.SE[[#This Row],[Pro-A.6]]=5,0,"-")))))</calculatedColumnFormula>
    </tableColumn>
    <tableColumn id="31" xr3:uid="{7F367D3B-0533-42F1-9A9B-17E67143E085}" name="KU.7" dataDxfId="87">
      <calculatedColumnFormula>IF(NSi.SE[[#This Row],[KU.7]]="A",100,IF(NSi.SE[[#This Row],[KU.7]]="B",89,IF(NSi.SE[[#This Row],[KU.7]]="C",79,IF(NSi.SE[[#This Row],[KU.7]]="D",69,IF(NSi.SE[[#This Row],[KU.7]]="E",0,"-")))))</calculatedColumnFormula>
    </tableColumn>
    <tableColumn id="32" xr3:uid="{23AA5A4F-B59C-4737-B3D5-66C926DA1F11}" name="TJ.7" dataDxfId="86">
      <calculatedColumnFormula>IF(NSi.SE[[#This Row],[TJ.7]]=1,100,IF(NSi.SE[[#This Row],[TJ.7]]=2,89,IF(NSi.SE[[#This Row],[TJ.7]]=3,79,IF(NSi.SE[[#This Row],[TJ.7]]=4,69,IF(NSi.SE[[#This Row],[TJ.7]]=5,0,"-")))))</calculatedColumnFormula>
    </tableColumn>
    <tableColumn id="33" xr3:uid="{A2D995B3-F45C-4296-AA42-32C010B9AE48}" name="Ker.7" dataDxfId="85">
      <calculatedColumnFormula>IF(NSi.SE[[#This Row],[Ker.7]]=1,100,IF(NSi.SE[[#This Row],[Ker.7]]=2,89,IF(NSi.SE[[#This Row],[Ker.7]]=3,79,IF(NSi.SE[[#This Row],[Ker.7]]=4,69,IF(NSi.SE[[#This Row],[Ker.7]]=5,0,"-")))))</calculatedColumnFormula>
    </tableColumn>
    <tableColumn id="34" xr3:uid="{924CCE77-ADF1-4EA6-8725-6D4A4E006C23}" name="Ped.7" dataDxfId="84">
      <calculatedColumnFormula>IF(NSi.SE[[#This Row],[Ped.7]]=1,100,IF(NSi.SE[[#This Row],[Ped.7]]=2,89,IF(NSi.SE[[#This Row],[Ped.7]]=3,79,IF(NSi.SE[[#This Row],[Ped.7]]=4,69,IF(NSi.SE[[#This Row],[Ped.7]]=5,0,"-")))))</calculatedColumnFormula>
    </tableColumn>
    <tableColumn id="35" xr3:uid="{4463B93B-7A53-4048-83D8-2623963640E4}" name="Pro-A.7" dataDxfId="83">
      <calculatedColumnFormula>IF(NSi.SE[[#This Row],[Pro-A.7]]=1,100,IF(NSi.SE[[#This Row],[Pro-A.7]]=2,89,IF(NSi.SE[[#This Row],[Pro-A.7]]=3,79,IF(NSi.SE[[#This Row],[Pro-A.7]]=4,69,IF(NSi.SE[[#This Row],[Pro-A.7]]=5,0,"-")))))</calculatedColumnFormula>
    </tableColumn>
    <tableColumn id="36" xr3:uid="{0D36605A-EF4A-4831-BFE9-12381337CD35}" name="KU.8" dataDxfId="82">
      <calculatedColumnFormula>IF(NSi.SE[[#This Row],[KU.8]]="A",100,IF(NSi.SE[[#This Row],[KU.8]]="B",89,IF(NSi.SE[[#This Row],[KU.8]]="C",79,IF(NSi.SE[[#This Row],[KU.8]]="D",69,IF(NSi.SE[[#This Row],[KU.8]]="E",0,"-")))))</calculatedColumnFormula>
    </tableColumn>
    <tableColumn id="37" xr3:uid="{EF22A786-F166-4866-BA41-7EA8CA701AB0}" name="TJ.8" dataDxfId="81">
      <calculatedColumnFormula>IF(NSi.SE[[#This Row],[TJ.8]]=1,100,IF(NSi.SE[[#This Row],[TJ.8]]=2,89,IF(NSi.SE[[#This Row],[TJ.8]]=3,79,IF(NSi.SE[[#This Row],[TJ.8]]=4,69,IF(NSi.SE[[#This Row],[TJ.8]]=5,0,"-")))))</calculatedColumnFormula>
    </tableColumn>
    <tableColumn id="38" xr3:uid="{7CD4B88C-C9B9-4B21-854F-6C5400531F8F}" name="Ker.8" dataDxfId="80">
      <calculatedColumnFormula>IF(NSi.SE[[#This Row],[Ker.8]]=1,100,IF(NSi.SE[[#This Row],[Ker.8]]=2,89,IF(NSi.SE[[#This Row],[Ker.8]]=3,79,IF(NSi.SE[[#This Row],[Ker.8]]=4,69,IF(NSi.SE[[#This Row],[Ker.8]]=5,0,"-")))))</calculatedColumnFormula>
    </tableColumn>
    <tableColumn id="39" xr3:uid="{395BF314-5804-4024-A606-36457C7F6B07}" name="Ped.8" dataDxfId="79">
      <calculatedColumnFormula>IF(NSi.SE[[#This Row],[Ped.8]]=1,100,IF(NSi.SE[[#This Row],[Ped.8]]=2,89,IF(NSi.SE[[#This Row],[Ped.8]]=3,79,IF(NSi.SE[[#This Row],[Ped.8]]=4,69,IF(NSi.SE[[#This Row],[Ped.8]]=5,0,"-")))))</calculatedColumnFormula>
    </tableColumn>
    <tableColumn id="40" xr3:uid="{C77D3276-8A4B-477A-9553-75DDA7B3684C}" name="Pro-A.8" dataDxfId="78">
      <calculatedColumnFormula>IF(NSi.SE[[#This Row],[Pro-A.8]]=1,100,IF(NSi.SE[[#This Row],[Pro-A.8]]=2,89,IF(NSi.SE[[#This Row],[Pro-A.8]]=3,79,IF(NSi.SE[[#This Row],[Pro-A.8]]=4,69,IF(NSi.SE[[#This Row],[Pro-A.8]]=5,0,"-")))))</calculatedColumnFormula>
    </tableColumn>
    <tableColumn id="41" xr3:uid="{95E42EF0-EEE0-409D-A8E6-B2331D3FF530}" name="KU.9" dataDxfId="77">
      <calculatedColumnFormula>IF(NSi.SE[[#This Row],[KU.9]]="A",100,IF(NSi.SE[[#This Row],[KU.9]]="B",89,IF(NSi.SE[[#This Row],[KU.9]]="C",79,IF(NSi.SE[[#This Row],[KU.9]]="D",69,IF(NSi.SE[[#This Row],[KU.9]]="E",0,"-")))))</calculatedColumnFormula>
    </tableColumn>
    <tableColumn id="42" xr3:uid="{60465201-E901-47C7-BE38-885FF22F5CA2}" name="TJ.9" dataDxfId="76">
      <calculatedColumnFormula>IF(NSi.SE[[#This Row],[TJ.9]]=1,100,IF(NSi.SE[[#This Row],[TJ.9]]=2,89,IF(NSi.SE[[#This Row],[TJ.9]]=3,79,IF(NSi.SE[[#This Row],[TJ.9]]=4,69,IF(NSi.SE[[#This Row],[TJ.9]]=5,0,"-")))))</calculatedColumnFormula>
    </tableColumn>
    <tableColumn id="43" xr3:uid="{ACE7E4D6-9D0E-4EFA-A09B-57F1582624AA}" name="Ker.9" dataDxfId="75">
      <calculatedColumnFormula>IF(NSi.SE[[#This Row],[Ker.9]]=1,100,IF(NSi.SE[[#This Row],[Ker.9]]=2,89,IF(NSi.SE[[#This Row],[Ker.9]]=3,79,IF(NSi.SE[[#This Row],[Ker.9]]=4,69,IF(NSi.SE[[#This Row],[Ker.9]]=5,0,"-")))))</calculatedColumnFormula>
    </tableColumn>
    <tableColumn id="44" xr3:uid="{84C1D81F-CC57-41FE-815D-02686E6EECAF}" name="Ped.9" dataDxfId="74">
      <calculatedColumnFormula>IF(NSi.SE[[#This Row],[Ped.9]]=1,100,IF(NSi.SE[[#This Row],[Ped.9]]=2,89,IF(NSi.SE[[#This Row],[Ped.9]]=3,79,IF(NSi.SE[[#This Row],[Ped.9]]=4,69,IF(NSi.SE[[#This Row],[Ped.9]]=5,0,"-")))))</calculatedColumnFormula>
    </tableColumn>
    <tableColumn id="45" xr3:uid="{D24B87BC-902E-496C-8AF3-E1EC5F8BB065}" name="Pro-A.9" dataDxfId="73">
      <calculatedColumnFormula>IF(NSi.SE[[#This Row],[Pro-A.9]]=1,100,IF(NSi.SE[[#This Row],[Pro-A.9]]=2,89,IF(NSi.SE[[#This Row],[Pro-A.9]]=3,79,IF(NSi.SE[[#This Row],[Pro-A.9]]=4,69,IF(NSi.SE[[#This Row],[Pro-A.9]]=5,0,"-")))))</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786FBEB-337C-4C5B-A616-FAAC3FF6572B}" name="CSCR.S" displayName="CSCR.S" ref="BW2:BX27" totalsRowShown="0" headerRowDxfId="72" headerRowBorderDxfId="71" tableBorderDxfId="70" totalsRowBorderDxfId="69">
  <autoFilter ref="BW2:BX27" xr:uid="{31828A06-E6A7-42A1-8247-CDFCBCDE56F5}"/>
  <tableColumns count="2">
    <tableColumn id="1" xr3:uid="{8D2DC3B6-F72C-4ACD-B51C-53B4EF34E5ED}" name="KU Average" dataDxfId="68">
      <calculatedColumnFormula>IFERROR(ROUND(AVERAGE(Con.Sk.S[[#This Row],[KU.1]],Con.Sk.S[[#This Row],[KU.2]],Con.Sk.S[[#This Row],[KU.3]],Con.Sk.S[[#This Row],[KU.4]],Con.Sk.S[[#This Row],[KU.5]],Con.Sk.S[[#This Row],[KU.6]],Con.Sk.S[[#This Row],[KU.7]],Con.Sk.S[[#This Row],[KU.8]],Con.Sk.S[[#This Row],[KU.9]]),0),"")</calculatedColumnFormula>
    </tableColumn>
    <tableColumn id="2" xr3:uid="{C91BCB4E-BDB3-47CB-8701-53A9BA5D0AA6}" name="TKPP Average" dataDxfId="67">
      <calculatedColumnFormula>IFERROR(ROUND(AVERAGE(Con.Sk.S[[#This Row],[TJ.1]:[Pro-A.1]],Con.Sk.S[[#This Row],[TJ.2]:[Pro-A.2]],Con.Sk.S[[#This Row],[TJ.3]:[Pro-A.3]],Con.Sk.S[[#This Row],[TJ.4]:[Pro-A.4]],Con.Sk.S[[#This Row],[TJ.5]:[Pro-A.5]],Con.Sk.S[[#This Row],[TJ.6]:[Pro-A.6]],Con.Sk.S[[#This Row],[TJ.7]:[Pro-A.7]],Con.Sk.S[[#This Row],[TJ.8]:[Pro-A.8]],Con.Sk.S[[#This Row],[TJ.9]:[Pro-A.9]]),0),"")</calculatedColumn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D504297-8F07-4F9B-AFEA-5FBE1D69BF24}" name="Des.NS27" displayName="Des.NS27" ref="DT2:DT27" totalsRowShown="0" headerRowDxfId="66" dataDxfId="64" headerRowBorderDxfId="65" tableBorderDxfId="63" totalsRowBorderDxfId="62">
  <autoFilter ref="DT2:DT27" xr:uid="{C8C215DF-0052-4679-AE3A-4BD27F64A597}"/>
  <tableColumns count="1">
    <tableColumn id="1" xr3:uid="{6735E575-2360-4283-907E-A525F601FA1F}" name="Deskripsi" dataDxfId="61">
      <calculatedColumnFormula>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calculatedColumnFormula>
    </tableColumn>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5B018D-7F94-47A2-95B9-0A0B31D62385}" name="Sem" displayName="Sem" ref="A3:AA28" totalsRowShown="0" headerRowDxfId="59" dataDxfId="57" headerRowBorderDxfId="58" tableBorderDxfId="56" totalsRowBorderDxfId="55">
  <autoFilter ref="A3:AA28" xr:uid="{35726CA7-7731-4FAA-ADF6-59ECB1C6EA9E}"/>
  <tableColumns count="27">
    <tableColumn id="1" xr3:uid="{02E5C56B-3CEE-48C8-A5E1-A96D07A267A0}" name="No" dataDxfId="54">
      <calculatedColumnFormula>IF('NS (Mid.S)'!A3=0,"",'NS (Mid.S)'!A3)</calculatedColumnFormula>
    </tableColumn>
    <tableColumn id="2" xr3:uid="{7905DA01-E7FC-4FDB-B9DD-CA142F7D27B9}" name="Nama Siswa" dataDxfId="53">
      <calculatedColumnFormula>IF('NS (Mid.S)'!B3=0,"",'NS (Mid.S)'!B3)</calculatedColumnFormula>
    </tableColumn>
    <tableColumn id="3" xr3:uid="{1132ACC8-A0BE-43F4-9E13-BD860C78FDE3}" name="Nomor Induk" dataDxfId="52">
      <calculatedColumnFormula>IF('NS (Mid.S)'!C3=0,"",'NS (Mid.S)'!C3)</calculatedColumnFormula>
    </tableColumn>
    <tableColumn id="27" xr3:uid="{429EC176-C95E-40EA-A458-104A8B9E3085}" name="NISN" dataDxfId="51">
      <calculatedColumnFormula>IF('NS (Mid.S)'!D3=0,"",'NS (Mid.S)'!D3)</calculatedColumnFormula>
    </tableColumn>
    <tableColumn id="4" xr3:uid="{FA42354E-DC30-4412-B3F0-08BF455A7E70}" name="Jurusan" dataDxfId="50">
      <calculatedColumnFormula>IF('NS (Mid.S)'!E3=0,"",'NS (Mid.S)'!E3)</calculatedColumnFormula>
    </tableColumn>
    <tableColumn id="25" xr3:uid="{483308F1-62C6-49B1-AE5C-88B190E5F69B}" name="Rata2 NP Mid.S" dataDxfId="49">
      <calculatedColumnFormula>Mid.S[[#This Row],[Rata2 NP]]</calculatedColumnFormula>
    </tableColumn>
    <tableColumn id="5" xr3:uid="{C6C8B13D-1BDB-4259-8763-CB51AE7AF868}" name="NP 1" dataDxfId="48">
      <calculatedColumnFormula>INT(RAND()*100)</calculatedColumnFormula>
    </tableColumn>
    <tableColumn id="6" xr3:uid="{11B424E7-5576-438B-B733-289B82C9A6DA}" name="NP 2" dataDxfId="47"/>
    <tableColumn id="7" xr3:uid="{FE4C8EA1-EFF4-4645-9F73-A366CC453801}" name="NP 3" dataDxfId="46"/>
    <tableColumn id="8" xr3:uid="{A6C18B72-FB82-4F44-A1D6-E1077C04AC65}" name="NP 4" dataDxfId="45"/>
    <tableColumn id="9" xr3:uid="{BE8BAD73-F370-427E-A39A-0F7DFCB6AD08}" name="NP 5" dataDxfId="44"/>
    <tableColumn id="10" xr3:uid="{B72A7DD5-3DB2-4B70-B602-8A463796AD8B}" name="NP 6" dataDxfId="43"/>
    <tableColumn id="11" xr3:uid="{56CEBDDA-B131-41EB-AABD-96A8CC49C4BA}" name="NP 7" dataDxfId="42"/>
    <tableColumn id="12" xr3:uid="{6DF83133-6DE8-4BAF-9D88-A447799C9BA0}" name="NP 8" dataDxfId="41"/>
    <tableColumn id="13" xr3:uid="{DAE62618-ECAA-4E1E-9C21-F2D28EE97CE8}" name="NP 9" dataDxfId="40"/>
    <tableColumn id="14" xr3:uid="{93E3163B-41EA-4F77-8890-1BEF7DA167F8}" name="NP 10" dataDxfId="39"/>
    <tableColumn id="15" xr3:uid="{3FB7CA18-7810-4FD1-9B23-574EFDD64C33}" name="Paper 1" dataDxfId="38">
      <calculatedColumnFormula>INT(RAND()*100)</calculatedColumnFormula>
    </tableColumn>
    <tableColumn id="16" xr3:uid="{F40E83DF-193C-4571-9B27-3F75A53564F0}" name="Paper 2" dataDxfId="37"/>
    <tableColumn id="17" xr3:uid="{37B82E95-ECDD-4123-B540-3C4887AC18F7}" name="Paper 3" dataDxfId="36"/>
    <tableColumn id="18" xr3:uid="{0F2F23A0-917E-425E-B5A8-FD8EABCA12DA}" name="Nilai P1" dataDxfId="35">
      <calculatedColumnFormula>IFERROR(ROUND((Sem[[#This Row],[Paper 1]]/$Q$2*100)*$T$2,0),"")</calculatedColumnFormula>
    </tableColumn>
    <tableColumn id="19" xr3:uid="{31F93F26-7468-4EF9-8558-324D69418EE0}" name="Nilai P2" dataDxfId="34">
      <calculatedColumnFormula>IFERROR(ROUND((Sem[[#This Row],[Paper 2]]/$R$2*100)*$U$2,0),"")</calculatedColumnFormula>
    </tableColumn>
    <tableColumn id="20" xr3:uid="{020C6C69-56FA-4D48-81B7-9A7A23967B71}" name="Nilai P3" dataDxfId="33">
      <calculatedColumnFormula>IFERROR(ROUND((Sem[[#This Row],[Paper 3]]/$S$2*100)*$V$2,0),"")</calculatedColumnFormula>
    </tableColumn>
    <tableColumn id="22" xr3:uid="{3CD813E4-7A94-456D-87C3-36EF761C61F2}" name="Rata2 NP2" dataDxfId="32">
      <calculatedColumnFormula>IFERROR(ROUND(AVERAGE(Sem[[#This Row],[Rata2 NP Mid.S]:[NP 10]]),0),"")</calculatedColumnFormula>
    </tableColumn>
    <tableColumn id="21" xr3:uid="{134C4811-8CBC-41F8-8BE4-E6BA8AC42CDD}" name="NS" dataDxfId="31">
      <calculatedColumnFormula>IFERROR(IF(SUM(Sem[[#This Row],[Nilai P1]:[Nilai P3]])=0,"",SUM(Sem[[#This Row],[Nilai P1]:[Nilai P3]])),"")</calculatedColumnFormula>
    </tableColumn>
    <tableColumn id="23" xr3:uid="{0CDAC18D-C915-4BB6-8CEE-8771D5417483}" name="NRap.S" dataDxfId="30">
      <calculatedColumnFormula>IFERROR(ROUND(((Mid.S[[#This Row],[NTS]]*1)+(Sem[[#This Row],[NS]]*2)+(Sem[[#This Row],[Rata2 NP2]]*7))/10,0),"")</calculatedColumnFormula>
    </tableColumn>
    <tableColumn id="24" xr3:uid="{7F3D93A3-00BF-417A-A546-1794432188D2}" name="Predikat" dataDxfId="29">
      <calculatedColumnFormula>IF(Sem[[#This Row],[NRap.S]]="","Belum Terukur",IF(Sem[[#This Row],[NRap.S]]&gt;=92,"A",IF(Sem[[#This Row],[NRap.S]]&gt;=83,"B",IF(Sem[[#This Row],[NRap.S]]&gt;=75,"C","D"))))</calculatedColumnFormula>
    </tableColumn>
    <tableColumn id="26" xr3:uid="{5C96215C-DFA8-48EC-9D41-BEDBA3C4D752}" name="Deskripsi Nilai" dataDxfId="28">
      <calculatedColumnFormula>CONCATENATE("Siswa menunjukkan kemampuannya ",AE4,"dalam ",$AC$4)</calculatedColumnFormula>
    </tableColumn>
  </tableColumns>
  <tableStyleInfo name="TableStyleLight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BB5FB83-C2F0-4722-9C6E-91BF94137337}" name="K.Sem" displayName="K.Sem" ref="A2:S27" totalsRowShown="0" headerRowDxfId="26" dataDxfId="24" headerRowBorderDxfId="25" tableBorderDxfId="23" totalsRowBorderDxfId="22">
  <autoFilter ref="A2:S27" xr:uid="{35726CA7-7731-4FAA-ADF6-59ECB1C6EA9E}"/>
  <tableColumns count="19">
    <tableColumn id="1" xr3:uid="{73F07895-FF01-436A-BA20-19C31B2F9BF1}" name="No" dataDxfId="21">
      <calculatedColumnFormula>IF(NSi.TS[[#This Row],[No]]=0,"",NSi.TS[[#This Row],[No]])</calculatedColumnFormula>
    </tableColumn>
    <tableColumn id="2" xr3:uid="{8DB5DA28-E424-405F-B4A7-268D8A7DD861}" name="Nama Siswa" dataDxfId="20">
      <calculatedColumnFormula>IF(NSi.TS[[#This Row],[Nama Siswa]]=0,"",NSi.TS[[#This Row],[Nama Siswa]])</calculatedColumnFormula>
    </tableColumn>
    <tableColumn id="3" xr3:uid="{9B8201F7-3CF6-4CE4-9977-499D30EF06BF}" name="Nomor Induk" dataDxfId="19">
      <calculatedColumnFormula>IF(NSi.TS[[#This Row],[Nomor Induk]]=0,"",NSi.TS[[#This Row],[Nomor Induk]])</calculatedColumnFormula>
    </tableColumn>
    <tableColumn id="17" xr3:uid="{322B030A-7BAD-400B-B899-57209E8734B8}" name="NISN" dataDxfId="18">
      <calculatedColumnFormula>IF(NSi.TS[[#This Row],[NISN]]=0,"",NSi.TS[[#This Row],[NISN]])</calculatedColumnFormula>
    </tableColumn>
    <tableColumn id="4" xr3:uid="{F24EB34B-0DC9-4E33-92F0-A8D68FF80D06}" name="Jurusan" dataDxfId="17">
      <calculatedColumnFormula>IF(NSi.TS[[#This Row],[Jurusan]]=0,"",NSi.TS[[#This Row],[Jurusan]])</calculatedColumnFormula>
    </tableColumn>
    <tableColumn id="15" xr3:uid="{DACCCFA5-6221-4625-A408-0D2ECF11EE64}" name="Rata2 Mid.NK" dataDxfId="16">
      <calculatedColumnFormula>K.Mid.S[[#This Row],[Rata2 NK]]</calculatedColumnFormula>
    </tableColumn>
    <tableColumn id="5" xr3:uid="{20AEFFF2-FD7A-49F8-989C-9E22630A2DF8}" name="NK 1" dataDxfId="15">
      <calculatedColumnFormula>INT(RAND()*100)</calculatedColumnFormula>
    </tableColumn>
    <tableColumn id="6" xr3:uid="{75AC25B6-06B0-4128-9BB1-4752CCFBFEA1}" name="NK 2" dataDxfId="14"/>
    <tableColumn id="7" xr3:uid="{44ECA998-281E-42BD-A31A-A75407207F94}" name="NK 3" dataDxfId="13"/>
    <tableColumn id="8" xr3:uid="{7C3FF6F1-47CA-47C0-9E00-E6893BA8A537}" name="NK 4" dataDxfId="12"/>
    <tableColumn id="9" xr3:uid="{5A6E3772-69CA-47CC-A03B-FA62275AA984}" name="NK 5" dataDxfId="11"/>
    <tableColumn id="10" xr3:uid="{DF2B536F-552E-4086-B441-8A0440BDC003}" name="NK 6" dataDxfId="10"/>
    <tableColumn id="11" xr3:uid="{1C08BA8F-0E26-45AC-A3D0-BFF2F9D71A3F}" name="NK 7" dataDxfId="9"/>
    <tableColumn id="12" xr3:uid="{3B3B3A0A-90B1-4399-9993-EABCFCD3BF90}" name="NK 8" dataDxfId="8"/>
    <tableColumn id="13" xr3:uid="{DCCD03A5-7C8B-43E3-9665-351CDBBCBFAE}" name="NK 9" dataDxfId="7"/>
    <tableColumn id="14" xr3:uid="{68DC55C6-798C-4EAC-99C6-4BF8A39836DC}" name="NK 10" dataDxfId="6"/>
    <tableColumn id="22" xr3:uid="{53FE5981-2693-4EF1-AF36-4C704AA6692F}" name="Rata2 NK" dataDxfId="5">
      <calculatedColumnFormula>IFERROR(ROUND(AVERAGE(K.Sem[[#This Row],[Rata2 Mid.NK]:[NK 10]]),0),"")</calculatedColumnFormula>
    </tableColumn>
    <tableColumn id="24" xr3:uid="{0E2DDBA9-DCA0-4776-BEA9-6AF562B03BFC}" name="Predikat" dataDxfId="4">
      <calculatedColumnFormula>IF(K.Sem[[#This Row],[Rata2 NK]]="","Belum Terukur",IF(K.Sem[[#This Row],[Rata2 NK]]&gt;=92,"A",IF(K.Sem[[#This Row],[Rata2 NK]]&gt;=83,"B",IF(K.Sem[[#This Row],[Rata2 NK]]&gt;=75,"C","D"))))</calculatedColumnFormula>
    </tableColumn>
    <tableColumn id="16" xr3:uid="{68E275CD-2780-4D94-8BDD-DA332C6390CE}" name="Deskripsi Nilai" dataDxfId="3">
      <calculatedColumnFormula>CONCATENATE("Siswa menunjukkan kemampuannya ",W3,"dalam ",$AC$4)</calculatedColumnFormula>
    </tableColum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61E0100-505C-4BA5-90A5-E03AAB927EAE}" name="Mid.Week.R" displayName="Mid.Week.R" ref="BA2:BI27" totalsRowShown="0" headerRowDxfId="349" dataDxfId="347" headerRowBorderDxfId="348" tableBorderDxfId="346" totalsRowBorderDxfId="345">
  <autoFilter ref="BA2:BI27" xr:uid="{622FEE11-82D9-4763-B259-9BDAA97047F5}"/>
  <tableColumns count="9">
    <tableColumn id="1" xr3:uid="{A72EB973-8A6A-42CC-8834-964E13149079}" name="Week 1" dataDxfId="344">
      <calculatedColumnFormula>CONCATENATE(NSi.TS[[#This Row],[KU.1]],(IF(A.LoE[[#This Row],[LE.1]]="-","-",IF(A.LoE[[#This Row],[LE.1]]&gt;=90,1,IF(A.LoE[[#This Row],[LE.1]]&gt;=80,2,IF(A.LoE[[#This Row],[LE.1]]&gt;=70,3,IF(A.LoE[[#This Row],[LE.1]]&gt;=1,4,5)))))))</calculatedColumnFormula>
    </tableColumn>
    <tableColumn id="3" xr3:uid="{B6E30AFC-56DA-4FE9-98EF-0DB10911CC80}" name="Week 2" dataDxfId="343">
      <calculatedColumnFormula>_xlfn.TEXTJOIN("",TRUE,NSi.TS[[#This Row],[KU.2]],(IF(A.LoE[[#This Row],[LE.2]]="-","-",IF(A.LoE[[#This Row],[LE.2]]&gt;=90,1,IF(A.LoE[[#This Row],[LE.2]]&gt;=80,2,IF(A.LoE[[#This Row],[LE.2]]&gt;=70,3,IF(A.LoE[[#This Row],[LE.2]]&gt;=1,4,5)))))))</calculatedColumnFormula>
    </tableColumn>
    <tableColumn id="10" xr3:uid="{7596A007-F773-48C2-8C58-78C15414F5C1}" name="Week 3" dataDxfId="342">
      <calculatedColumnFormula>_xlfn.TEXTJOIN("",TRUE,NSi.TS[[#This Row],[KU.3]],(IF(A.LoE[[#This Row],[LE.3]]="-","-",IF(A.LoE[[#This Row],[LE.3]]&gt;=90,1,IF(A.LoE[[#This Row],[LE.3]]&gt;=80,2,IF(A.LoE[[#This Row],[LE.3]]&gt;=70,3,IF(A.LoE[[#This Row],[LE.3]]&gt;=1,4,5)))))))</calculatedColumnFormula>
    </tableColumn>
    <tableColumn id="9" xr3:uid="{EAFDB83E-BBEB-4526-B5E9-1421EA68ACE4}" name="Week 4" dataDxfId="341">
      <calculatedColumnFormula>_xlfn.TEXTJOIN("",TRUE,NSi.TS[[#This Row],[KU.4]],(IF(A.LoE[[#This Row],[LE.4]]="-","-",IF(A.LoE[[#This Row],[LE.4]]&gt;=90,1,IF(A.LoE[[#This Row],[LE.4]]&gt;=80,2,IF(A.LoE[[#This Row],[LE.4]]&gt;=70,3,IF(A.LoE[[#This Row],[LE.4]]&gt;=1,4,5)))))))</calculatedColumnFormula>
    </tableColumn>
    <tableColumn id="8" xr3:uid="{6207A27F-BD09-4E9D-9170-856A6BB237FD}" name="Week 5" dataDxfId="340">
      <calculatedColumnFormula>_xlfn.TEXTJOIN("",TRUE,NSi.TS[[#This Row],[KU.5]],(IF(A.LoE[[#This Row],[LE.5]]="-","-",IF(A.LoE[[#This Row],[LE.5]]&gt;=90,1,IF(A.LoE[[#This Row],[LE.5]]&gt;=80,2,IF(A.LoE[[#This Row],[LE.5]]&gt;=70,3,IF(A.LoE[[#This Row],[LE.5]]&gt;=1,4,5)))))))</calculatedColumnFormula>
    </tableColumn>
    <tableColumn id="7" xr3:uid="{116440BF-BC41-4EBA-96E3-71B9F7C07B42}" name="Week 6" dataDxfId="339">
      <calculatedColumnFormula>_xlfn.TEXTJOIN("",TRUE,NSi.TS[[#This Row],[KU.6]],(IF(A.LoE[[#This Row],[LE.6]]="-","-",IF(A.LoE[[#This Row],[LE.6]]&gt;=90,1,IF(A.LoE[[#This Row],[LE.6]]&gt;=80,2,IF(A.LoE[[#This Row],[LE.6]]&gt;=70,3,IF(A.LoE[[#This Row],[LE.6]]&gt;=1,4,5)))))))</calculatedColumnFormula>
    </tableColumn>
    <tableColumn id="6" xr3:uid="{7BD3540B-22B2-40A3-B2D3-834CCB8A8AFE}" name="Week 7" dataDxfId="338">
      <calculatedColumnFormula>_xlfn.TEXTJOIN("",TRUE,NSi.TS[[#This Row],[KU.7]],(IF(A.LoE[[#This Row],[LE.7]]="-","-",IF(A.LoE[[#This Row],[LE.7]]&gt;=90,1,IF(A.LoE[[#This Row],[LE.7]]&gt;=80,2,IF(A.LoE[[#This Row],[LE.7]]&gt;=70,3,IF(A.LoE[[#This Row],[LE.7]]&gt;=1,4,5)))))))</calculatedColumnFormula>
    </tableColumn>
    <tableColumn id="5" xr3:uid="{9F509557-AC80-4515-819B-7E592E0C2DD8}" name="Week 8" dataDxfId="337">
      <calculatedColumnFormula>_xlfn.TEXTJOIN("",TRUE,NSi.TS[[#This Row],[KU.8]],(IF(A.LoE[[#This Row],[LE.8]]="-","-",IF(A.LoE[[#This Row],[LE.8]]&gt;=90,1,IF(A.LoE[[#This Row],[LE.8]]&gt;=80,2,IF(A.LoE[[#This Row],[LE.8]]&gt;=70,3,IF(A.LoE[[#This Row],[LE.8]]&gt;=1,4,5)))))))</calculatedColumnFormula>
    </tableColumn>
    <tableColumn id="4" xr3:uid="{8B0197D6-E210-4BD2-A0FC-0E7BDA987ACC}" name="Week 9" dataDxfId="336">
      <calculatedColumnFormula>_xlfn.TEXTJOIN("",TRUE,NSi.TS[[#This Row],[KU.9]],(IF(A.LoE[[#This Row],[LE.9]]="-","-",IF(A.LoE[[#This Row],[LE.9]]&gt;=90,1,IF(A.LoE[[#This Row],[LE.9]]&gt;=80,2,IF(A.LoE[[#This Row],[LE.9]]&gt;=70,3,IF(A.LoE[[#This Row],[LE.9]]&gt;=1,4,5)))))))</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EF2D698-25F0-49E7-B565-C0C5A2C30FFF}" name="A.LoE" displayName="A.LoE" ref="BK2:BS27" totalsRowShown="0" headerRowDxfId="335" dataDxfId="333" headerRowBorderDxfId="334" tableBorderDxfId="332" totalsRowBorderDxfId="331">
  <autoFilter ref="BK2:BS27" xr:uid="{7AC1B0CA-E2AC-4A60-98FB-62FF0F60E91E}"/>
  <tableColumns count="9">
    <tableColumn id="1" xr3:uid="{8C3D9AC3-B450-4F7C-B403-713831BA3EAB}" name="LE.1" dataDxfId="330">
      <calculatedColumnFormula>IFERROR(ROUND(AVERAGE(Con.Sk[[#This Row],[TJ.1]:[Pro-A.1]]),0),"-")</calculatedColumnFormula>
    </tableColumn>
    <tableColumn id="2" xr3:uid="{9C2175A3-E409-40EA-B727-C7D613B04792}" name="LE.2" dataDxfId="329">
      <calculatedColumnFormula>IFERROR(ROUND(AVERAGE(Con.Sk[[#This Row],[TJ.2]:[Pro-A.2]]),0),"-")</calculatedColumnFormula>
    </tableColumn>
    <tableColumn id="3" xr3:uid="{A4208016-1F65-409B-8D3F-7163A6815A45}" name="LE.3" dataDxfId="328">
      <calculatedColumnFormula>IFERROR(ROUND(AVERAGE(Con.Sk[[#This Row],[TJ.3]:[Pro-A.3]]),0),"-")</calculatedColumnFormula>
    </tableColumn>
    <tableColumn id="4" xr3:uid="{75C03E4D-F145-44BC-8E88-52DFA488818E}" name="LE.4" dataDxfId="327">
      <calculatedColumnFormula>IFERROR(ROUND(AVERAGE(Con.Sk[[#This Row],[TJ.4]:[Pro-A.4]]),0),"-")</calculatedColumnFormula>
    </tableColumn>
    <tableColumn id="5" xr3:uid="{31CAE339-4105-428B-A17F-EAD3BA6BDF7F}" name="LE.5" dataDxfId="326">
      <calculatedColumnFormula>IFERROR(ROUND(AVERAGE(Con.Sk[[#This Row],[TJ.5]:[Pro-A.5]]),0),"-")</calculatedColumnFormula>
    </tableColumn>
    <tableColumn id="6" xr3:uid="{D63DB87A-68C5-43FC-8461-16DF5C5FEF6A}" name="LE.6" dataDxfId="325">
      <calculatedColumnFormula>IFERROR(ROUND(AVERAGE(Con.Sk[[#This Row],[TJ.6]:[Pro-A.6]]),0),"-")</calculatedColumnFormula>
    </tableColumn>
    <tableColumn id="7" xr3:uid="{1F5A6222-718A-49DC-BC68-D653FDD094D4}" name="LE.7" dataDxfId="324">
      <calculatedColumnFormula>IFERROR(ROUND(AVERAGE(Con.Sk[[#This Row],[TJ.7]:[Pro-A.7]]),0),"-")</calculatedColumnFormula>
    </tableColumn>
    <tableColumn id="8" xr3:uid="{5C7CA969-F6AE-40A7-8878-352098CC60F7}" name="LE.8" dataDxfId="323">
      <calculatedColumnFormula>IFERROR(ROUND(AVERAGE(Con.Sk[[#This Row],[TJ.8]:[Pro-A.8]]),0),"-")</calculatedColumnFormula>
    </tableColumn>
    <tableColumn id="9" xr3:uid="{DD80CEA4-B7C6-4EEC-BBE3-65FC17DE2955}" name="LE.9" dataDxfId="322">
      <calculatedColumnFormula>IFERROR(ROUND(AVERAGE(Con.Sk[[#This Row],[TJ.9]:[Pro-A.9]]),0),"-")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87F9B13-6CFA-474B-9837-7941201FAF2D}" name="Con.Sk" displayName="Con.Sk" ref="BX2:DP27" totalsRowShown="0" headerRowDxfId="321" dataDxfId="319" headerRowBorderDxfId="320" tableBorderDxfId="318" totalsRowBorderDxfId="317">
  <autoFilter ref="BX2:DP27" xr:uid="{568A4AAF-F7BF-4DD6-958D-C4FC5EAEDEFE}"/>
  <tableColumns count="45">
    <tableColumn id="1" xr3:uid="{42F5B4C3-945F-4EB6-88A1-C0C3FDC502E1}" name="KU.1" dataDxfId="316">
      <calculatedColumnFormula>IF(NSi.TS[[#This Row],[KU.1]]="A",100,IF(NSi.TS[[#This Row],[KU.1]]="B",89,IF(NSi.TS[[#This Row],[KU.1]]="C",79,IF(NSi.TS[[#This Row],[KU.1]]="D",69,IF(NSi.TS[[#This Row],[KU.1]]="E",0,"-")))))</calculatedColumnFormula>
    </tableColumn>
    <tableColumn id="2" xr3:uid="{8BDF36ED-9349-4DD6-A129-F0E3E08004B1}" name="TJ.1" dataDxfId="315">
      <calculatedColumnFormula>IF(NSi.TS[[#This Row],[TJ.1]]=1,100,IF(NSi.TS[[#This Row],[TJ.1]]=2,89,IF(NSi.TS[[#This Row],[TJ.1]]=3,79,IF(NSi.TS[[#This Row],[TJ.1]]=4,69,IF(NSi.TS[[#This Row],[TJ.1]]=5,0,"-")))))</calculatedColumnFormula>
    </tableColumn>
    <tableColumn id="3" xr3:uid="{60BD9FCC-5353-4922-951F-ED2D9DCB30DE}" name="Ker.1" dataDxfId="314">
      <calculatedColumnFormula>IF(NSi.TS[[#This Row],[Ker.1]]=1,100,IF(NSi.TS[[#This Row],[Ker.1]]=2,89,IF(NSi.TS[[#This Row],[Ker.1]]=3,79,IF(NSi.TS[[#This Row],[Ker.1]]=4,69,IF(NSi.TS[[#This Row],[Ker.1]]=5,0,"-")))))</calculatedColumnFormula>
    </tableColumn>
    <tableColumn id="4" xr3:uid="{F7A595D8-2C08-47AF-AF18-89927338AE57}" name="Ped.1" dataDxfId="313">
      <calculatedColumnFormula>IF(NSi.TS[[#This Row],[Ped.1]]=1,100,IF(NSi.TS[[#This Row],[Ped.1]]=2,89,IF(NSi.TS[[#This Row],[Ped.1]]=3,79,IF(NSi.TS[[#This Row],[Ped.1]]=4,69,IF(NSi.TS[[#This Row],[Ped.1]]=5,0,"-")))))</calculatedColumnFormula>
    </tableColumn>
    <tableColumn id="5" xr3:uid="{B27EFA5E-6FCA-490C-B96C-8B6712B4B471}" name="Pro-A.1" dataDxfId="312">
      <calculatedColumnFormula>IF(NSi.TS[[#This Row],[Pro-A.1]]=1,100,IF(NSi.TS[[#This Row],[Pro-A.1]]=2,89,IF(NSi.TS[[#This Row],[Pro-A.1]]=3,79,IF(NSi.TS[[#This Row],[Pro-A.1]]=4,69,IF(NSi.TS[[#This Row],[Pro-A.1]]=5,0,"-")))))</calculatedColumnFormula>
    </tableColumn>
    <tableColumn id="6" xr3:uid="{14745F52-FA2B-469F-A0EA-CBC464D2CD06}" name="KU.2" dataDxfId="311">
      <calculatedColumnFormula>IF(NSi.TS[[#This Row],[KU.2]]="A",100,IF(NSi.TS[[#This Row],[KU.2]]="B",89,IF(NSi.TS[[#This Row],[KU.2]]="C",79,IF(NSi.TS[[#This Row],[KU.2]]="D",69,IF(NSi.TS[[#This Row],[KU.2]]="E",0,"-")))))</calculatedColumnFormula>
    </tableColumn>
    <tableColumn id="7" xr3:uid="{79E8D544-6712-47FA-B024-E1D8F6F9743D}" name="TJ.2" dataDxfId="310">
      <calculatedColumnFormula>IF(NSi.TS[[#This Row],[TJ.2]]=1,100,IF(NSi.TS[[#This Row],[TJ.2]]=2,89,IF(NSi.TS[[#This Row],[TJ.2]]=3,79,IF(NSi.TS[[#This Row],[TJ.2]]=4,69,IF(NSi.TS[[#This Row],[TJ.2]]=5,0,"-")))))</calculatedColumnFormula>
    </tableColumn>
    <tableColumn id="8" xr3:uid="{C1BA0A07-EF6B-4CFA-8A11-4A761F490EB2}" name="Ker.2" dataDxfId="309">
      <calculatedColumnFormula>IF(NSi.TS[[#This Row],[Ker.2]]=1,100,IF(NSi.TS[[#This Row],[Ker.2]]=2,89,IF(NSi.TS[[#This Row],[Ker.2]]=3,79,IF(NSi.TS[[#This Row],[Ker.2]]=4,69,IF(NSi.TS[[#This Row],[Ker.2]]=5,0,"-")))))</calculatedColumnFormula>
    </tableColumn>
    <tableColumn id="9" xr3:uid="{59DEB591-4C3A-4CB4-8AFB-70AF58ADC439}" name="Ped.2" dataDxfId="308">
      <calculatedColumnFormula>IF(NSi.TS[[#This Row],[Ped.2]]=1,100,IF(NSi.TS[[#This Row],[Ped.2]]=2,89,IF(NSi.TS[[#This Row],[Ped.2]]=3,79,IF(NSi.TS[[#This Row],[Ped.2]]=4,69,IF(NSi.TS[[#This Row],[Ped.2]]=5,0,"-")))))</calculatedColumnFormula>
    </tableColumn>
    <tableColumn id="10" xr3:uid="{5C42B653-C184-461C-90F6-81BF80D0B090}" name="Pro-A.2" dataDxfId="307">
      <calculatedColumnFormula>IF(NSi.TS[[#This Row],[Pro-A.2]]=1,100,IF(NSi.TS[[#This Row],[Pro-A.2]]=2,89,IF(NSi.TS[[#This Row],[Pro-A.2]]=3,79,IF(NSi.TS[[#This Row],[Pro-A.2]]=4,69,IF(NSi.TS[[#This Row],[Pro-A.2]]=5,0,"-")))))</calculatedColumnFormula>
    </tableColumn>
    <tableColumn id="11" xr3:uid="{CD906E9B-24B3-4674-B515-02B09798F61F}" name="KU.3" dataDxfId="306">
      <calculatedColumnFormula>IF(NSi.TS[[#This Row],[KU.3]]="A",100,IF(NSi.TS[[#This Row],[KU.3]]="B",89,IF(NSi.TS[[#This Row],[KU.3]]="C",79,IF(NSi.TS[[#This Row],[KU.3]]="D",69,IF(NSi.TS[[#This Row],[KU.3]]="E",0,"-")))))</calculatedColumnFormula>
    </tableColumn>
    <tableColumn id="12" xr3:uid="{E68D928A-6B10-49C7-9660-764F7655DEC0}" name="TJ.3" dataDxfId="305">
      <calculatedColumnFormula>IF(NSi.TS[[#This Row],[TJ.3]]=1,100,IF(NSi.TS[[#This Row],[TJ.3]]=2,89,IF(NSi.TS[[#This Row],[TJ.3]]=3,79,IF(NSi.TS[[#This Row],[TJ.3]]=4,69,IF(NSi.TS[[#This Row],[TJ.3]]=5,0,"-")))))</calculatedColumnFormula>
    </tableColumn>
    <tableColumn id="13" xr3:uid="{0F982BA8-72F7-45DA-8204-092448BC5D60}" name="Ker.3" dataDxfId="304">
      <calculatedColumnFormula>IF(NSi.TS[[#This Row],[Ker.3]]=1,100,IF(NSi.TS[[#This Row],[Ker.3]]=2,89,IF(NSi.TS[[#This Row],[Ker.3]]=3,79,IF(NSi.TS[[#This Row],[Ker.3]]=4,69,IF(NSi.TS[[#This Row],[Ker.3]]=5,0,"-")))))</calculatedColumnFormula>
    </tableColumn>
    <tableColumn id="14" xr3:uid="{F0DEC5F2-9B5A-4EC3-9C01-0A2BBB791C79}" name="Ped.3" dataDxfId="303">
      <calculatedColumnFormula>IF(NSi.TS[[#This Row],[Ped.3]]=1,100,IF(NSi.TS[[#This Row],[Ped.3]]=2,89,IF(NSi.TS[[#This Row],[Ped.3]]=3,79,IF(NSi.TS[[#This Row],[Ped.3]]=4,69,IF(NSi.TS[[#This Row],[Ped.3]]=5,0,"-")))))</calculatedColumnFormula>
    </tableColumn>
    <tableColumn id="15" xr3:uid="{FC9E99CA-3DC9-4CB3-A3B4-85832AB654EB}" name="Pro-A.3" dataDxfId="302">
      <calculatedColumnFormula>IF(NSi.TS[[#This Row],[Pro-A.3]]=1,100,IF(NSi.TS[[#This Row],[Pro-A.3]]=2,89,IF(NSi.TS[[#This Row],[Pro-A.3]]=3,79,IF(NSi.TS[[#This Row],[Pro-A.3]]=4,69,IF(NSi.TS[[#This Row],[Pro-A.3]]=5,0,"-")))))</calculatedColumnFormula>
    </tableColumn>
    <tableColumn id="16" xr3:uid="{E51C9B57-A854-476A-AA2F-EA5167F332E7}" name="KU.4" dataDxfId="301">
      <calculatedColumnFormula>IF(NSi.TS[[#This Row],[KU.4]]="A",100,IF(NSi.TS[[#This Row],[KU.4]]="B",89,IF(NSi.TS[[#This Row],[KU.4]]="C",79,IF(NSi.TS[[#This Row],[KU.4]]="D",69,IF(NSi.TS[[#This Row],[KU.4]]="E",0,"-")))))</calculatedColumnFormula>
    </tableColumn>
    <tableColumn id="17" xr3:uid="{E7C07C7D-3F97-44A1-B456-576C22103147}" name="TJ.4" dataDxfId="300">
      <calculatedColumnFormula>IF(NSi.TS[[#This Row],[TJ.4]]=1,100,IF(NSi.TS[[#This Row],[TJ.4]]=2,89,IF(NSi.TS[[#This Row],[TJ.4]]=3,79,IF(NSi.TS[[#This Row],[TJ.4]]=4,69,IF(NSi.TS[[#This Row],[TJ.4]]=5,0,"-")))))</calculatedColumnFormula>
    </tableColumn>
    <tableColumn id="18" xr3:uid="{10859023-6ED3-4A6F-9FDB-B3578A7959E7}" name="Ker.4" dataDxfId="299">
      <calculatedColumnFormula>IF(NSi.TS[[#This Row],[Ker.4]]=1,100,IF(NSi.TS[[#This Row],[Ker.4]]=2,89,IF(NSi.TS[[#This Row],[Ker.4]]=3,79,IF(NSi.TS[[#This Row],[Ker.4]]=4,69,IF(NSi.TS[[#This Row],[Ker.4]]=5,0,"-")))))</calculatedColumnFormula>
    </tableColumn>
    <tableColumn id="19" xr3:uid="{BBD05E4E-C274-4893-B910-314E9AC69364}" name="Ped.4" dataDxfId="298">
      <calculatedColumnFormula>IF(NSi.TS[[#This Row],[Ped.4]]=1,100,IF(NSi.TS[[#This Row],[Ped.4]]=2,89,IF(NSi.TS[[#This Row],[Ped.4]]=3,79,IF(NSi.TS[[#This Row],[Ped.4]]=4,69,IF(NSi.TS[[#This Row],[Ped.4]]=5,0,"-")))))</calculatedColumnFormula>
    </tableColumn>
    <tableColumn id="20" xr3:uid="{E6EE76B6-6307-404F-923C-EE8E1226BC6D}" name="Pro-A.4" dataDxfId="297">
      <calculatedColumnFormula>IF(NSi.TS[[#This Row],[Pro-A.4]]=1,100,IF(NSi.TS[[#This Row],[Pro-A.4]]=2,89,IF(NSi.TS[[#This Row],[Pro-A.4]]=3,79,IF(NSi.TS[[#This Row],[Pro-A.4]]=4,69,IF(NSi.TS[[#This Row],[Pro-A.4]]=5,0,"-")))))</calculatedColumnFormula>
    </tableColumn>
    <tableColumn id="21" xr3:uid="{722D40C6-07EE-45AB-ACB1-5C40C8C523EC}" name="KU.5" dataDxfId="296">
      <calculatedColumnFormula>IF(NSi.TS[[#This Row],[KU.5]]="A",100,IF(NSi.TS[[#This Row],[KU.5]]="B",89,IF(NSi.TS[[#This Row],[KU.5]]="C",79,IF(NSi.TS[[#This Row],[KU.5]]="D",69,IF(NSi.TS[[#This Row],[KU.5]]="E",0,"-")))))</calculatedColumnFormula>
    </tableColumn>
    <tableColumn id="22" xr3:uid="{6C55F34B-F568-4A27-8DED-16F403CB17A7}" name="TJ.5" dataDxfId="295">
      <calculatedColumnFormula>IF(NSi.TS[[#This Row],[TJ.5]]=1,100,IF(NSi.TS[[#This Row],[TJ.5]]=2,89,IF(NSi.TS[[#This Row],[TJ.5]]=3,79,IF(NSi.TS[[#This Row],[TJ.5]]=4,69,IF(NSi.TS[[#This Row],[TJ.5]]=5,0,"-")))))</calculatedColumnFormula>
    </tableColumn>
    <tableColumn id="23" xr3:uid="{39E92EE1-8FF4-4B3A-A340-30DE24504FEF}" name="Ker.5" dataDxfId="294">
      <calculatedColumnFormula>IF(NSi.TS[[#This Row],[Ker.5]]=1,100,IF(NSi.TS[[#This Row],[Ker.5]]=2,89,IF(NSi.TS[[#This Row],[Ker.5]]=3,79,IF(NSi.TS[[#This Row],[Ker.5]]=4,69,IF(NSi.TS[[#This Row],[Ker.5]]=5,0,"-")))))</calculatedColumnFormula>
    </tableColumn>
    <tableColumn id="24" xr3:uid="{B7BE2EE8-DF18-4ECD-AE56-446393A224D3}" name="Ped.5" dataDxfId="293">
      <calculatedColumnFormula>IF(NSi.TS[[#This Row],[Ped.5]]=1,100,IF(NSi.TS[[#This Row],[Ped.5]]=2,89,IF(NSi.TS[[#This Row],[Ped.5]]=3,79,IF(NSi.TS[[#This Row],[Ped.5]]=4,69,IF(NSi.TS[[#This Row],[Ped.5]]=5,0,"-")))))</calculatedColumnFormula>
    </tableColumn>
    <tableColumn id="25" xr3:uid="{FE4A8342-6521-4513-8AEC-FCBE11E4B521}" name="Pro-A.5" dataDxfId="292">
      <calculatedColumnFormula>IF(NSi.TS[[#This Row],[Pro-A.5]]=1,100,IF(NSi.TS[[#This Row],[Pro-A.5]]=2,89,IF(NSi.TS[[#This Row],[Pro-A.5]]=3,79,IF(NSi.TS[[#This Row],[Pro-A.5]]=4,69,IF(NSi.TS[[#This Row],[Pro-A.5]]=5,0,"-")))))</calculatedColumnFormula>
    </tableColumn>
    <tableColumn id="26" xr3:uid="{785B760C-305C-45F5-A90F-3D65C33DC862}" name="KU.6" dataDxfId="291">
      <calculatedColumnFormula>IF(NSi.TS[[#This Row],[KU.6]]="A",100,IF(NSi.TS[[#This Row],[KU.6]]="B",89,IF(NSi.TS[[#This Row],[KU.6]]="C",79,IF(NSi.TS[[#This Row],[KU.6]]="D",69,IF(NSi.TS[[#This Row],[KU.6]]="E",0,"-")))))</calculatedColumnFormula>
    </tableColumn>
    <tableColumn id="27" xr3:uid="{58B28CCD-108D-4EDB-8723-89026486DA35}" name="TJ.6" dataDxfId="290">
      <calculatedColumnFormula>IF(NSi.TS[[#This Row],[TJ.6]]=1,100,IF(NSi.TS[[#This Row],[TJ.6]]=2,89,IF(NSi.TS[[#This Row],[TJ.6]]=3,79,IF(NSi.TS[[#This Row],[TJ.6]]=4,69,IF(NSi.TS[[#This Row],[TJ.6]]=5,0,"-")))))</calculatedColumnFormula>
    </tableColumn>
    <tableColumn id="28" xr3:uid="{344B9FC5-4EFF-44D2-8D2F-9CFD70953091}" name="Ker.6" dataDxfId="289">
      <calculatedColumnFormula>IF(NSi.TS[[#This Row],[Ker.6]]=1,100,IF(NSi.TS[[#This Row],[Ker.6]]=2,89,IF(NSi.TS[[#This Row],[Ker.6]]=3,79,IF(NSi.TS[[#This Row],[Ker.6]]=4,69,IF(NSi.TS[[#This Row],[Ker.6]]=5,0,"-")))))</calculatedColumnFormula>
    </tableColumn>
    <tableColumn id="29" xr3:uid="{8060F67F-9612-40B9-9890-772211533ACC}" name="Ped.6" dataDxfId="288">
      <calculatedColumnFormula>IF(NSi.TS[[#This Row],[Ped.6]]=1,100,IF(NSi.TS[[#This Row],[Ped.6]]=2,89,IF(NSi.TS[[#This Row],[Ped.6]]=3,79,IF(NSi.TS[[#This Row],[Ped.6]]=4,69,IF(NSi.TS[[#This Row],[Ped.6]]=5,0,"-")))))</calculatedColumnFormula>
    </tableColumn>
    <tableColumn id="30" xr3:uid="{CFE9F17F-06F8-4A48-9082-71AE12CD5CE4}" name="Pro-A.6" dataDxfId="287">
      <calculatedColumnFormula>IF(NSi.TS[[#This Row],[Pro-A.6]]=1,100,IF(NSi.TS[[#This Row],[Pro-A.6]]=2,89,IF(NSi.TS[[#This Row],[Pro-A.6]]=3,79,IF(NSi.TS[[#This Row],[Pro-A.6]]=4,69,IF(NSi.TS[[#This Row],[Pro-A.6]]=5,0,"-")))))</calculatedColumnFormula>
    </tableColumn>
    <tableColumn id="31" xr3:uid="{C62AF072-51C3-417E-86D2-2F6C18A4BE71}" name="KU.7" dataDxfId="286">
      <calculatedColumnFormula>IF(NSi.TS[[#This Row],[KU.7]]="A",100,IF(NSi.TS[[#This Row],[KU.7]]="B",89,IF(NSi.TS[[#This Row],[KU.7]]="C",79,IF(NSi.TS[[#This Row],[KU.7]]="D",69,IF(NSi.TS[[#This Row],[KU.7]]="E",0,"-")))))</calculatedColumnFormula>
    </tableColumn>
    <tableColumn id="32" xr3:uid="{04566A4D-A6AD-4612-9CF9-152255949FAF}" name="TJ.7" dataDxfId="285">
      <calculatedColumnFormula>IF(NSi.TS[[#This Row],[TJ.7]]=1,100,IF(NSi.TS[[#This Row],[TJ.7]]=2,89,IF(NSi.TS[[#This Row],[TJ.7]]=3,79,IF(NSi.TS[[#This Row],[TJ.7]]=4,69,IF(NSi.TS[[#This Row],[TJ.7]]=5,0,"-")))))</calculatedColumnFormula>
    </tableColumn>
    <tableColumn id="33" xr3:uid="{6E59D36C-BC96-46AC-A0A7-799C50808A5F}" name="Ker.7" dataDxfId="284">
      <calculatedColumnFormula>IF(NSi.TS[[#This Row],[Ker.7]]=1,100,IF(NSi.TS[[#This Row],[Ker.7]]=2,89,IF(NSi.TS[[#This Row],[Ker.7]]=3,79,IF(NSi.TS[[#This Row],[Ker.7]]=4,69,IF(NSi.TS[[#This Row],[Ker.7]]=5,0,"-")))))</calculatedColumnFormula>
    </tableColumn>
    <tableColumn id="34" xr3:uid="{DBDCF510-0298-4D13-8FAE-E429E48D7ABC}" name="Ped.7" dataDxfId="283">
      <calculatedColumnFormula>IF(NSi.TS[[#This Row],[Ped.7]]=1,100,IF(NSi.TS[[#This Row],[Ped.7]]=2,89,IF(NSi.TS[[#This Row],[Ped.7]]=3,79,IF(NSi.TS[[#This Row],[Ped.7]]=4,69,IF(NSi.TS[[#This Row],[Ped.7]]=5,0,"-")))))</calculatedColumnFormula>
    </tableColumn>
    <tableColumn id="35" xr3:uid="{B3FCB410-0BA7-424D-8393-5624CE3EF84B}" name="Pro-A.7" dataDxfId="282">
      <calculatedColumnFormula>IF(NSi.TS[[#This Row],[Pro-A.7]]=1,100,IF(NSi.TS[[#This Row],[Pro-A.7]]=2,89,IF(NSi.TS[[#This Row],[Pro-A.7]]=3,79,IF(NSi.TS[[#This Row],[Pro-A.7]]=4,69,IF(NSi.TS[[#This Row],[Pro-A.7]]=5,0,"-")))))</calculatedColumnFormula>
    </tableColumn>
    <tableColumn id="36" xr3:uid="{50FCB5C9-E4C5-485F-970E-6E772C463D0A}" name="KU.8" dataDxfId="281">
      <calculatedColumnFormula>IF(NSi.TS[[#This Row],[KU.8]]="A",100,IF(NSi.TS[[#This Row],[KU.8]]="B",89,IF(NSi.TS[[#This Row],[KU.8]]="C",79,IF(NSi.TS[[#This Row],[KU.8]]="D",69,IF(NSi.TS[[#This Row],[KU.8]]="E",0,"-")))))</calculatedColumnFormula>
    </tableColumn>
    <tableColumn id="37" xr3:uid="{8BF6598F-6A2D-4C30-BCB0-A1C43203568F}" name="TJ.8" dataDxfId="280">
      <calculatedColumnFormula>IF(NSi.TS[[#This Row],[TJ.8]]=1,100,IF(NSi.TS[[#This Row],[TJ.8]]=2,89,IF(NSi.TS[[#This Row],[TJ.8]]=3,79,IF(NSi.TS[[#This Row],[TJ.8]]=4,69,IF(NSi.TS[[#This Row],[TJ.8]]=5,0,"-")))))</calculatedColumnFormula>
    </tableColumn>
    <tableColumn id="38" xr3:uid="{6E388A34-BD41-4657-A7E1-DEDC2174D9FE}" name="Ker.8" dataDxfId="279">
      <calculatedColumnFormula>IF(NSi.TS[[#This Row],[Ker.8]]=1,100,IF(NSi.TS[[#This Row],[Ker.8]]=2,89,IF(NSi.TS[[#This Row],[Ker.8]]=3,79,IF(NSi.TS[[#This Row],[Ker.8]]=4,69,IF(NSi.TS[[#This Row],[Ker.8]]=5,0,"-")))))</calculatedColumnFormula>
    </tableColumn>
    <tableColumn id="39" xr3:uid="{3C875097-A6FF-4CBD-953F-FAC87088D788}" name="Ped.8" dataDxfId="278">
      <calculatedColumnFormula>IF(NSi.TS[[#This Row],[Ped.8]]=1,100,IF(NSi.TS[[#This Row],[Ped.8]]=2,89,IF(NSi.TS[[#This Row],[Ped.8]]=3,79,IF(NSi.TS[[#This Row],[Ped.8]]=4,69,IF(NSi.TS[[#This Row],[Ped.8]]=5,0,"-")))))</calculatedColumnFormula>
    </tableColumn>
    <tableColumn id="40" xr3:uid="{8FB3C960-8266-40A7-B85B-FA4C2A9AC974}" name="Pro-A.8" dataDxfId="277">
      <calculatedColumnFormula>IF(NSi.TS[[#This Row],[Pro-A.8]]=1,100,IF(NSi.TS[[#This Row],[Pro-A.8]]=2,89,IF(NSi.TS[[#This Row],[Pro-A.8]]=3,79,IF(NSi.TS[[#This Row],[Pro-A.8]]=4,69,IF(NSi.TS[[#This Row],[Pro-A.8]]=5,0,"-")))))</calculatedColumnFormula>
    </tableColumn>
    <tableColumn id="41" xr3:uid="{E21FCE1B-0987-48CD-8E42-30A4BF283E36}" name="KU.9" dataDxfId="276">
      <calculatedColumnFormula>IF(NSi.TS[[#This Row],[KU.9]]="A",100,IF(NSi.TS[[#This Row],[KU.9]]="B",89,IF(NSi.TS[[#This Row],[KU.9]]="C",79,IF(NSi.TS[[#This Row],[KU.9]]="D",69,IF(NSi.TS[[#This Row],[KU.9]]="E",0,"-")))))</calculatedColumnFormula>
    </tableColumn>
    <tableColumn id="42" xr3:uid="{63397430-773D-4D38-B33C-843865974B6B}" name="TJ.9" dataDxfId="275">
      <calculatedColumnFormula>IF(NSi.TS[[#This Row],[TJ.9]]=1,100,IF(NSi.TS[[#This Row],[TJ.9]]=2,89,IF(NSi.TS[[#This Row],[TJ.9]]=3,79,IF(NSi.TS[[#This Row],[TJ.9]]=4,69,IF(NSi.TS[[#This Row],[TJ.9]]=5,0,"-")))))</calculatedColumnFormula>
    </tableColumn>
    <tableColumn id="43" xr3:uid="{64F6BB43-940B-49D3-AE4C-45D21D64F0E4}" name="Ker.9" dataDxfId="274">
      <calculatedColumnFormula>IF(NSi.TS[[#This Row],[Ker.9]]=1,100,IF(NSi.TS[[#This Row],[Ker.9]]=2,89,IF(NSi.TS[[#This Row],[Ker.9]]=3,79,IF(NSi.TS[[#This Row],[Ker.9]]=4,69,IF(NSi.TS[[#This Row],[Ker.9]]=5,0,"-")))))</calculatedColumnFormula>
    </tableColumn>
    <tableColumn id="44" xr3:uid="{4E6481F9-9552-4D12-96A9-4B5F73806D5B}" name="Ped.9" dataDxfId="273">
      <calculatedColumnFormula>IF(NSi.TS[[#This Row],[Ped.9]]=1,100,IF(NSi.TS[[#This Row],[Ped.9]]=2,89,IF(NSi.TS[[#This Row],[Ped.9]]=3,79,IF(NSi.TS[[#This Row],[Ped.9]]=4,69,IF(NSi.TS[[#This Row],[Ped.9]]=5,0,"-")))))</calculatedColumnFormula>
    </tableColumn>
    <tableColumn id="45" xr3:uid="{65136694-E01C-4BC8-9AD6-BCCE94ED706E}" name="Pro-A.9" dataDxfId="272">
      <calculatedColumnFormula>IF(NSi.TS[[#This Row],[Pro-A.9]]=1,100,IF(NSi.TS[[#This Row],[Pro-A.9]]=2,89,IF(NSi.TS[[#This Row],[Pro-A.9]]=3,79,IF(NSi.TS[[#This Row],[Pro-A.9]]=4,69,IF(NSi.TS[[#This Row],[Pro-A.9]]=5,0,"-")))))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FD1EEF4-1761-4D3B-B79A-5DB31580CC3E}" name="CSCR" displayName="CSCR" ref="BU2:BV27" totalsRowShown="0" headerRowDxfId="271" headerRowBorderDxfId="270" tableBorderDxfId="269" totalsRowBorderDxfId="268">
  <autoFilter ref="BU2:BV27" xr:uid="{31828A06-E6A7-42A1-8247-CDFCBCDE56F5}"/>
  <tableColumns count="2">
    <tableColumn id="1" xr3:uid="{AE1B0309-FCDD-4401-96D6-F619D41301C1}" name="KU Average" dataDxfId="267">
      <calculatedColumnFormula>IFERROR(ROUND(AVERAGE(Con.Sk[[#This Row],[KU.1]],Con.Sk[[#This Row],[KU.2]],Con.Sk[[#This Row],[KU.3]],Con.Sk[[#This Row],[KU.4]],Con.Sk[[#This Row],[KU.5]],Con.Sk[[#This Row],[KU.6]],Con.Sk[[#This Row],[KU.7]],Con.Sk[[#This Row],[KU.8]],Con.Sk[[#This Row],[KU.9]]),0),"")</calculatedColumnFormula>
    </tableColumn>
    <tableColumn id="2" xr3:uid="{5A479A9C-39FE-4B26-A4EE-3754C7CCBFAE}" name="TKPP Average" dataDxfId="266">
      <calculatedColumnFormula>IFERROR(ROUND(AVERAGE(Con.Sk[[#This Row],[TJ.1]:[Pro-A.1]],Con.Sk[[#This Row],[TJ.2]:[Pro-A.2]],Con.Sk[[#This Row],[TJ.3]:[Pro-A.3]],Con.Sk[[#This Row],[TJ.4]:[Pro-A.4]],Con.Sk[[#This Row],[TJ.5]:[Pro-A.5]],Con.Sk[[#This Row],[TJ.6]:[Pro-A.6]],Con.Sk[[#This Row],[TJ.7]:[Pro-A.7]],Con.Sk[[#This Row],[TJ.8]:[Pro-A.8]],Con.Sk[[#This Row],[TJ.9]:[Pro-A.9]]),0),"")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31CB46-33F9-49EE-B179-5C7B860912E6}" name="Mid.S" displayName="Mid.S" ref="A3:Y28" totalsRowShown="0" headerRowDxfId="264" dataDxfId="262" headerRowBorderDxfId="263" tableBorderDxfId="261" totalsRowBorderDxfId="260">
  <autoFilter ref="A3:Y28" xr:uid="{35726CA7-7731-4FAA-ADF6-59ECB1C6EA9E}"/>
  <tableColumns count="25">
    <tableColumn id="1" xr3:uid="{8B890536-2593-4F6E-9571-B83AE80C5E57}" name="No" dataDxfId="259">
      <calculatedColumnFormula>IF('NS (Mid.S)'!A3=0,"",'NS (Mid.S)'!A3)</calculatedColumnFormula>
    </tableColumn>
    <tableColumn id="2" xr3:uid="{AAFD35DF-F2D8-4E5E-BE03-B6FFCA23C23B}" name="Nama Siswa" dataDxfId="258">
      <calculatedColumnFormula>IF('NS (Mid.S)'!B3=0,"",'NS (Mid.S)'!B3)</calculatedColumnFormula>
    </tableColumn>
    <tableColumn id="3" xr3:uid="{1524FFF6-57F0-447B-9004-7AF30CD66681}" name="Nomor Induk" dataDxfId="257">
      <calculatedColumnFormula>IF('NS (Mid.S)'!C3=0,"",'NS (Mid.S)'!C3)</calculatedColumnFormula>
    </tableColumn>
    <tableColumn id="25" xr3:uid="{8C498AAA-4C04-428B-93C5-9C1CFAFFBFE1}" name="NISN" dataDxfId="256">
      <calculatedColumnFormula>IF('NS (Mid.S)'!D3=0,"",'NS (Mid.S)'!D3)</calculatedColumnFormula>
    </tableColumn>
    <tableColumn id="4" xr3:uid="{1EACCED0-3CDA-4FEC-873D-F4CFA40E9280}" name="Jurusan" dataDxfId="255">
      <calculatedColumnFormula>IF('NS (Mid.S)'!E3=0,"",'NS (Mid.S)'!E3)</calculatedColumnFormula>
    </tableColumn>
    <tableColumn id="5" xr3:uid="{6BF5E72D-F7AF-430D-9ACB-CA105A9DC115}" name="NP 1" dataDxfId="254"/>
    <tableColumn id="6" xr3:uid="{7096725E-C910-4409-90F7-DDACF58BEBBC}" name="NP 2" dataDxfId="253">
      <calculatedColumnFormula>INT(RAND()*100)</calculatedColumnFormula>
    </tableColumn>
    <tableColumn id="7" xr3:uid="{5750C149-E86D-4979-9F2C-3B8A2A6AFC69}" name="NP 3" dataDxfId="252"/>
    <tableColumn id="8" xr3:uid="{AACD66BC-66A2-4507-BE14-0236998A38AE}" name="NP 4" dataDxfId="251"/>
    <tableColumn id="9" xr3:uid="{A962F7D4-66C6-4744-9E62-6F75A10661B7}" name="NP 5" dataDxfId="250"/>
    <tableColumn id="10" xr3:uid="{74283E1D-2B02-4F6F-9BCA-3A96B29BD1E1}" name="NP 6" dataDxfId="249"/>
    <tableColumn id="11" xr3:uid="{24D76CDA-11D7-4004-92C3-1FBEE14C773B}" name="NP 7" dataDxfId="248"/>
    <tableColumn id="12" xr3:uid="{83410516-660D-4AC7-9894-DC0DB4D3028B}" name="NP 8" dataDxfId="247"/>
    <tableColumn id="13" xr3:uid="{8281E4A2-5D17-445D-BBD9-16F312722CBE}" name="NP 9" dataDxfId="246"/>
    <tableColumn id="14" xr3:uid="{D0D0F4D7-0141-4987-B563-29DC36DC761D}" name="NP 10" dataDxfId="245"/>
    <tableColumn id="15" xr3:uid="{7DD5016A-D91B-477A-8FDC-4E614498196A}" name="Paper 1" dataDxfId="244"/>
    <tableColumn id="16" xr3:uid="{C8100871-0F17-41DA-B54D-4C9B85EF0C2C}" name="Paper 2" dataDxfId="243"/>
    <tableColumn id="17" xr3:uid="{E62707F4-AA02-45E4-B3E8-16D8581D990D}" name="Paper 3" dataDxfId="242"/>
    <tableColumn id="18" xr3:uid="{175A86E2-51D1-46E0-A8EF-55098CC275D2}" name="Nilai P1" dataDxfId="241">
      <calculatedColumnFormula>IFERROR(ROUND((Mid.S[[#This Row],[Paper 1]]/$P$2*100)*$S$2,0),"")</calculatedColumnFormula>
    </tableColumn>
    <tableColumn id="19" xr3:uid="{BF8B5C6F-AF9F-4B33-9D36-D628F5AA683E}" name="Nilai P2" dataDxfId="240"/>
    <tableColumn id="20" xr3:uid="{F9992503-531E-4EBD-A011-DC9101541891}" name="Nilai P3" dataDxfId="239"/>
    <tableColumn id="22" xr3:uid="{167E1924-6F45-4588-A449-2B0D553F073D}" name="Rata2 NP" dataDxfId="238">
      <calculatedColumnFormula>IFERROR(ROUND(AVERAGE(Mid.S[[#This Row],[NP 1]:[NP 10]]),0),"")</calculatedColumnFormula>
    </tableColumn>
    <tableColumn id="21" xr3:uid="{69C11279-132C-48CA-9303-B8605F7B210C}" name="NTS" dataDxfId="237">
      <calculatedColumnFormula>IFERROR(IF(SUM(Mid.S[[#This Row],[Nilai P1]:[Nilai P3]])=0,"",SUM(Mid.S[[#This Row],[Nilai P1]:[Nilai P3]])),"")</calculatedColumnFormula>
    </tableColumn>
    <tableColumn id="23" xr3:uid="{CA01DE85-4368-41E6-A9A1-3F7BCDCF152C}" name="NRap.TS" dataDxfId="236">
      <calculatedColumnFormula>IFERROR(ROUND(((Mid.S[[#This Row],[NTS]]*2)+(Mid.S[[#This Row],[Rata2 NP]]*3))/5,0),"")</calculatedColumnFormula>
    </tableColumn>
    <tableColumn id="24" xr3:uid="{6DF7E8AA-526E-4E9A-8A04-4131D4FD5BD1}" name="Predikat" dataDxfId="235">
      <calculatedColumnFormula>IF(Mid.S[[#This Row],[NRap.TS]]="","Belum Terukur",IF(Mid.S[[#This Row],[NRap.TS]]&gt;=92,"A",IF(Mid.S[[#This Row],[NRap.TS]]&gt;=83,"B",IF(Mid.S[[#This Row],[NRap.TS]]&gt;=75,"C","D"))))</calculatedColumnFormula>
    </tableColumn>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F4F1B76-50E8-4CEB-885A-879C9F907D6C}" name="K.Mid.S" displayName="K.Mid.S" ref="A2:Q27" totalsRowShown="0" headerRowDxfId="233" dataDxfId="231" headerRowBorderDxfId="232" tableBorderDxfId="230" totalsRowBorderDxfId="229">
  <autoFilter ref="A2:Q27" xr:uid="{35726CA7-7731-4FAA-ADF6-59ECB1C6EA9E}"/>
  <tableColumns count="17">
    <tableColumn id="1" xr3:uid="{9B0F4E94-CC83-47E0-9E8D-7E0828F0CF5F}" name="No" dataDxfId="228">
      <calculatedColumnFormula>IF(NSi.TS[[#This Row],[No]]=0,"",NSi.TS[[#This Row],[No]])</calculatedColumnFormula>
    </tableColumn>
    <tableColumn id="2" xr3:uid="{023005B7-52E4-45DE-94B6-09DAD432E208}" name="Nama Siswa" dataDxfId="227">
      <calculatedColumnFormula>IF(NSi.TS[[#This Row],[Nama Siswa]]=0,"",NSi.TS[[#This Row],[Nama Siswa]])</calculatedColumnFormula>
    </tableColumn>
    <tableColumn id="3" xr3:uid="{FA48DB89-0781-40F4-8251-B05F482E3AEA}" name="Nomor Induk" dataDxfId="226">
      <calculatedColumnFormula>IF(NSi.TS[[#This Row],[Nomor Induk]]=0,"",NSi.TS[[#This Row],[Nomor Induk]])</calculatedColumnFormula>
    </tableColumn>
    <tableColumn id="15" xr3:uid="{A4C5D512-C934-4D0E-9012-D1035F439455}" name="NISN" dataDxfId="225">
      <calculatedColumnFormula>IF(NSi.TS[[#This Row],[NISN]]=0,"",NSi.TS[[#This Row],[NISN]])</calculatedColumnFormula>
    </tableColumn>
    <tableColumn id="4" xr3:uid="{1EC28C3B-A14D-4686-9A2E-462B71C2D42B}" name="Jurusan" dataDxfId="224">
      <calculatedColumnFormula>IF(NSi.TS[[#This Row],[Jurusan]]=0,"",NSi.TS[[#This Row],[Jurusan]])</calculatedColumnFormula>
    </tableColumn>
    <tableColumn id="5" xr3:uid="{97820157-D7C1-4327-BD53-3E922463F9EB}" name="NK 1" dataDxfId="223">
      <calculatedColumnFormula>INT(RAND()*100)</calculatedColumnFormula>
    </tableColumn>
    <tableColumn id="6" xr3:uid="{9DFFBCFA-18D8-48D6-BD0F-C357756CDADE}" name="NK 2" dataDxfId="222"/>
    <tableColumn id="7" xr3:uid="{14E29C41-3173-4E2E-B46D-215CDE547F23}" name="NK 3" dataDxfId="221"/>
    <tableColumn id="8" xr3:uid="{F5763FA4-E9C2-4C85-AF80-7F0E109D2BC3}" name="NK 4" dataDxfId="220"/>
    <tableColumn id="9" xr3:uid="{784DD0BA-C9B9-41D3-993C-3F2A498E4ED0}" name="NK 5" dataDxfId="219"/>
    <tableColumn id="10" xr3:uid="{E0E94159-F4FC-4993-98C1-B105B58F437C}" name="NK 6" dataDxfId="218"/>
    <tableColumn id="11" xr3:uid="{F925289A-0575-4F4D-8F1E-7295BA4150A9}" name="NK 7" dataDxfId="217"/>
    <tableColumn id="12" xr3:uid="{61EA4474-D318-48F4-AD06-1F0FB58B2409}" name="NK 8" dataDxfId="216"/>
    <tableColumn id="13" xr3:uid="{F7D01A95-C302-4EED-9D92-F4C7AF227D0B}" name="NK 9" dataDxfId="215"/>
    <tableColumn id="14" xr3:uid="{E36AE789-5694-4FE6-BBC7-61068C3313C8}" name="NK 10" dataDxfId="214"/>
    <tableColumn id="22" xr3:uid="{C8292BF0-0806-4C34-A4CD-CD906B4B40DC}" name="Rata2 NK" dataDxfId="213">
      <calculatedColumnFormula>IFERROR(ROUND(AVERAGE(K.Mid.S[[#This Row],[NK 1]:[NK 10]]),0),"")</calculatedColumnFormula>
    </tableColumn>
    <tableColumn id="24" xr3:uid="{09C8F101-8811-49FC-99E5-F27E6CE07347}" name="Predikat" dataDxfId="212">
      <calculatedColumnFormula>IF(K.Mid.S[[#This Row],[Rata2 NK]]="","Belum Terukur",IF(K.Mid.S[[#This Row],[Rata2 NK]]&gt;=92,"A",IF(K.Mid.S[[#This Row],[Rata2 NK]]&gt;=83,"B",IF(K.Mid.S[[#This Row],[Rata2 NK]]&gt;=75,"C","D"))))</calculatedColumnFormula>
    </tableColumn>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EA71483-B90D-428F-B8F2-22587EFD0038}" name="NSi.SE" displayName="NSi.SE" ref="A2:BA27" totalsRowShown="0" headerRowDxfId="208" dataDxfId="206" headerRowBorderDxfId="207" tableBorderDxfId="205" totalsRowBorderDxfId="204">
  <autoFilter ref="A2:BA27" xr:uid="{1D8F9E49-C4C7-4B29-93E9-1FA37E6E028E}"/>
  <tableColumns count="53">
    <tableColumn id="1" xr3:uid="{89031263-2EB5-4EAF-B807-4F8684836112}" name="No" dataDxfId="203">
      <calculatedColumnFormula>IF(NSi.TS[[#This Row],[No]]=0,"",NSi.TS[[#This Row],[No]])</calculatedColumnFormula>
    </tableColumn>
    <tableColumn id="2" xr3:uid="{29F3CB92-C385-4AE7-90C2-EF65DEDD6DB5}" name="Nama Siswa" dataDxfId="202">
      <calculatedColumnFormula>IF(NSi.TS[[#This Row],[Nama Siswa]]=0,"",NSi.TS[[#This Row],[Nama Siswa]])</calculatedColumnFormula>
    </tableColumn>
    <tableColumn id="3" xr3:uid="{D33C2BEF-1B9D-44BE-A843-C27E9AA5DBF5}" name="Nomor Induk" dataDxfId="201">
      <calculatedColumnFormula>IF(NSi.TS[[#This Row],[Nomor Induk]]=0,"",NSi.TS[[#This Row],[Nomor Induk]])</calculatedColumnFormula>
    </tableColumn>
    <tableColumn id="12" xr3:uid="{F2444AFA-9F60-45E8-9365-D02727AEC3F0}" name="NISN" dataDxfId="200">
      <calculatedColumnFormula>IF(NSi.TS[[#This Row],[NISN]]=0,"",NSi.TS[[#This Row],[NISN]])</calculatedColumnFormula>
    </tableColumn>
    <tableColumn id="4" xr3:uid="{D095A4EC-07EE-476E-B302-2E825F10AEA9}" name="Jurusan" dataDxfId="199">
      <calculatedColumnFormula>IF(NSi.TS[[#This Row],[Jurusan]]=0,"",NSi.TS[[#This Row],[Jurusan]])</calculatedColumnFormula>
    </tableColumn>
    <tableColumn id="60" xr3:uid="{AE9FED12-4467-48A4-A7B8-E22A5DF90A6A}" name="Nsi.TS" dataDxfId="198">
      <calculatedColumnFormula>NSi.TS[[#This Row],[Nsi.TS]]</calculatedColumnFormula>
    </tableColumn>
    <tableColumn id="10" xr3:uid="{516A5C3C-532B-4BCF-841B-48BC48FC4DD9}" name="NS.iS" dataDxfId="197">
      <calculatedColumnFormula>IFERROR(ROUND(AVERAGE(CSCR.S[#This Row]),0),"")</calculatedColumnFormula>
    </tableColumn>
    <tableColumn id="11" xr3:uid="{75B24C81-62B1-4FC2-B272-6B7DDC656BA6}" name="NSi.SR" dataDxfId="196">
      <calculatedColumnFormula>IFERROR(ROUND(AVERAGE(NSi.SE[[#This Row],[Nsi.TS]:[NS.iS]]),0),"")</calculatedColumnFormula>
    </tableColumn>
    <tableColumn id="5" xr3:uid="{76D57FE1-1A2E-43B2-A963-B1858050E1BE}" name="KU.1" dataDxfId="195"/>
    <tableColumn id="6" xr3:uid="{B8F12E20-CE94-4269-8CAB-811EB43AC930}" name="TJ.1" dataDxfId="194"/>
    <tableColumn id="7" xr3:uid="{403DECF6-580A-444C-A02F-A8B65964E437}" name="Ker.1" dataDxfId="193"/>
    <tableColumn id="8" xr3:uid="{43078087-DA7E-48E8-B521-64EBA1FC9F9D}" name="Ped.1" dataDxfId="192"/>
    <tableColumn id="9" xr3:uid="{3DA53CD8-A604-4AC4-8F84-328B69110D7B}" name="Pro-A.1" dataDxfId="191"/>
    <tableColumn id="20" xr3:uid="{90ECADAC-A441-46AF-B72B-5308C178F63F}" name="KU.2" dataDxfId="190"/>
    <tableColumn id="21" xr3:uid="{38F86F51-FB41-42C5-8204-E57849879C88}" name="TJ.2" dataDxfId="189"/>
    <tableColumn id="22" xr3:uid="{B8C76E06-B188-4C20-ADBB-4707FF6E4AE6}" name="Ker.2" dataDxfId="188"/>
    <tableColumn id="23" xr3:uid="{82B29448-E29D-433A-9177-A7DEA68013E3}" name="Ped.2" dataDxfId="187"/>
    <tableColumn id="24" xr3:uid="{4485DC9A-7991-4D0C-9EC9-0373D8E35440}" name="Pro-A.2" dataDxfId="186"/>
    <tableColumn id="25" xr3:uid="{352ECBF4-CDEF-40B7-A0DD-D9E705EA071C}" name="KU.3" dataDxfId="185"/>
    <tableColumn id="26" xr3:uid="{E39D26D9-8CEE-448E-83E0-50EE9FC3C28E}" name="TJ.3" dataDxfId="184"/>
    <tableColumn id="27" xr3:uid="{777DE598-124A-415F-8277-8D703BC84BC4}" name="Ker.3" dataDxfId="183"/>
    <tableColumn id="28" xr3:uid="{DE3A8341-AC07-45B3-BAFF-C2949EF71BE7}" name="Ped.3" dataDxfId="182"/>
    <tableColumn id="29" xr3:uid="{8DBC58D4-5E8A-40F7-9325-E5E1C4E1E25B}" name="Pro-A.3" dataDxfId="181"/>
    <tableColumn id="30" xr3:uid="{77943B4D-568D-4AF0-80BC-26A62FB16093}" name="KU.4" dataDxfId="180"/>
    <tableColumn id="31" xr3:uid="{FACDED49-1714-4564-8FA7-800CF895EDDA}" name="TJ.4" dataDxfId="179"/>
    <tableColumn id="32" xr3:uid="{03D6548F-FCD0-4248-BC01-185E8E9EC645}" name="Ker.4" dataDxfId="178"/>
    <tableColumn id="33" xr3:uid="{B3ECE3BC-EC22-45E2-9F55-48A30D6C88F1}" name="Ped.4" dataDxfId="177"/>
    <tableColumn id="34" xr3:uid="{8F52674C-128C-4707-93BF-28A6757A6691}" name="Pro-A.4" dataDxfId="176"/>
    <tableColumn id="35" xr3:uid="{FCDEDEBA-C127-435D-8AA5-61B0F257E285}" name="KU.5" dataDxfId="175"/>
    <tableColumn id="36" xr3:uid="{B4A18F07-BD3C-43CC-94D7-CDE3294BD80B}" name="TJ.5" dataDxfId="174"/>
    <tableColumn id="37" xr3:uid="{E1808701-2F4A-4D23-8A71-614EDFA82CE1}" name="Ker.5" dataDxfId="173"/>
    <tableColumn id="38" xr3:uid="{43C7023F-1014-4536-81B2-25E5D20D20E8}" name="Ped.5" dataDxfId="172"/>
    <tableColumn id="39" xr3:uid="{E336D3F4-7CD5-4FC1-BA3F-F664851D5B9C}" name="Pro-A.5" dataDxfId="171"/>
    <tableColumn id="40" xr3:uid="{9AB54C55-4B0F-412D-B0C6-AD078EE4E365}" name="KU.6" dataDxfId="170"/>
    <tableColumn id="41" xr3:uid="{0F8FDFAA-7E4B-4354-91B5-C03462C39E66}" name="TJ.6" dataDxfId="169"/>
    <tableColumn id="42" xr3:uid="{238CCE10-C994-40A9-8932-D29A482FF3F2}" name="Ker.6" dataDxfId="168"/>
    <tableColumn id="43" xr3:uid="{327AA952-B5AE-43EA-8AFA-AF223EFDB2B8}" name="Ped.6" dataDxfId="167"/>
    <tableColumn id="44" xr3:uid="{A746FE51-7FC2-4664-9E97-3340E08A59D1}" name="Pro-A.6" dataDxfId="166"/>
    <tableColumn id="45" xr3:uid="{A27FF0AF-FBC7-4746-AD43-1CF6BF6BADDD}" name="KU.7" dataDxfId="165"/>
    <tableColumn id="46" xr3:uid="{0AE43F02-DFF6-4556-BCB3-D50134611262}" name="TJ.7" dataDxfId="164"/>
    <tableColumn id="47" xr3:uid="{879C43BC-B589-4380-92AD-33F4ABBB1EC3}" name="Ker.7" dataDxfId="163"/>
    <tableColumn id="48" xr3:uid="{B475C932-5A16-4999-8FB7-915EDB0E884B}" name="Ped.7" dataDxfId="162"/>
    <tableColumn id="49" xr3:uid="{B9804D73-780C-46BC-8F21-210B6447CB0F}" name="Pro-A.7" dataDxfId="161"/>
    <tableColumn id="50" xr3:uid="{4A0097AA-14EB-4685-8F75-1953E5BCAE11}" name="KU.8" dataDxfId="160"/>
    <tableColumn id="51" xr3:uid="{5B8BB909-37DB-4BC9-B1DC-985472FC4A4C}" name="TJ.8" dataDxfId="159"/>
    <tableColumn id="52" xr3:uid="{6BD016D6-53A2-4009-B388-A7F33D5A95B8}" name="Ker.8" dataDxfId="158"/>
    <tableColumn id="53" xr3:uid="{66AA3738-946D-45DD-8D9C-F8AE5AF630F8}" name="Ped.8" dataDxfId="157"/>
    <tableColumn id="54" xr3:uid="{76FBCE39-0C00-470A-94AA-A1680BA37D31}" name="Pro-A.8" dataDxfId="156"/>
    <tableColumn id="55" xr3:uid="{D932EB35-0FD9-4F25-8BCD-B0396F1EB096}" name="KU.9" dataDxfId="155"/>
    <tableColumn id="56" xr3:uid="{503A3F60-158B-4697-8966-C3132775D7BC}" name="TJ.9" dataDxfId="154"/>
    <tableColumn id="57" xr3:uid="{2FB5763B-B816-4D28-91D5-C84715C7E2D3}" name="Ker.9" dataDxfId="153"/>
    <tableColumn id="58" xr3:uid="{23402C18-5687-499B-999A-AE04A4A3761D}" name="Ped.9" dataDxfId="152"/>
    <tableColumn id="59" xr3:uid="{EDDA669F-2B7C-497C-B344-DBA35BA89877}" name="Pro-A.9" dataDxfId="15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3026C89-870C-4918-897A-94E5F2AB3D39}" name="Sem.Week" displayName="Sem.Week" ref="BC2:BK27" totalsRowShown="0" headerRowDxfId="150" dataDxfId="148" headerRowBorderDxfId="149" tableBorderDxfId="147" totalsRowBorderDxfId="146">
  <autoFilter ref="BC2:BK27" xr:uid="{622FEE11-82D9-4763-B259-9BDAA97047F5}"/>
  <tableColumns count="9">
    <tableColumn id="1" xr3:uid="{9CA0E656-1DBA-47F7-BF99-5D0D0D9EBADD}" name="Week 1" dataDxfId="145">
      <calculatedColumnFormula>_xlfn.TEXTJOIN("",TRUE,NSi.SE[[#This Row],[KU.1]],(IF(A.LoE.S[[#This Row],[LE.1]]="-","-",IF(A.LoE.S[[#This Row],[LE.1]]&gt;=90,1,IF(A.LoE.S[[#This Row],[LE.1]]&gt;=80,2,IF(A.LoE.S[[#This Row],[LE.1]]&gt;=70,3,IF(A.LoE.S[[#This Row],[LE.1]]&gt;=1,4,5)))))))</calculatedColumnFormula>
    </tableColumn>
    <tableColumn id="3" xr3:uid="{30F44290-503F-4E16-A4E7-F1D0848A5111}" name="Week 2" dataDxfId="144">
      <calculatedColumnFormula>_xlfn.TEXTJOIN("",TRUE,NSi.SE[[#This Row],[KU.2]],(IF(A.LoE.S[[#This Row],[LE.2]]="-","-",IF(A.LoE.S[[#This Row],[LE.2]]&gt;=90,1,IF(A.LoE.S[[#This Row],[LE.2]]&gt;=80,2,IF(A.LoE.S[[#This Row],[LE.2]]&gt;=70,3,IF(A.LoE.S[[#This Row],[LE.2]]&gt;=1,4,5)))))))</calculatedColumnFormula>
    </tableColumn>
    <tableColumn id="10" xr3:uid="{7DAF7C3F-1496-4136-858E-C1C74711B6FB}" name="Week 3" dataDxfId="143">
      <calculatedColumnFormula>_xlfn.TEXTJOIN("",TRUE,NSi.SE[[#This Row],[KU.3]],(IF(A.LoE.S[[#This Row],[LE.3]]="-","-",IF(A.LoE.S[[#This Row],[LE.3]]&gt;=90,1,IF(A.LoE.S[[#This Row],[LE.3]]&gt;=80,2,IF(A.LoE.S[[#This Row],[LE.3]]&gt;=70,3,IF(A.LoE.S[[#This Row],[LE.3]]&gt;=1,4,5)))))))</calculatedColumnFormula>
    </tableColumn>
    <tableColumn id="9" xr3:uid="{4A05E1EA-D02F-4EBB-B096-D162E5E166BD}" name="Week 4" dataDxfId="142">
      <calculatedColumnFormula>_xlfn.TEXTJOIN("",TRUE,NSi.SE[[#This Row],[KU.4]],(IF(A.LoE.S[[#This Row],[LE.4]]="-","-",IF(A.LoE.S[[#This Row],[LE.4]]&gt;=90,1,IF(A.LoE.S[[#This Row],[LE.4]]&gt;=80,2,IF(A.LoE.S[[#This Row],[LE.4]]&gt;=70,3,IF(A.LoE.S[[#This Row],[LE.4]]&gt;=1,4,5)))))))</calculatedColumnFormula>
    </tableColumn>
    <tableColumn id="8" xr3:uid="{8FB6054F-4168-4B36-8DCD-8839CB8C0F77}" name="Week 5" dataDxfId="141">
      <calculatedColumnFormula>_xlfn.TEXTJOIN("",TRUE,NSi.SE[[#This Row],[KU.5]],(IF(A.LoE.S[[#This Row],[LE.5]]="-","-",IF(A.LoE.S[[#This Row],[LE.5]]&gt;=90,1,IF(A.LoE.S[[#This Row],[LE.5]]&gt;=80,2,IF(A.LoE.S[[#This Row],[LE.5]]&gt;=70,3,IF(A.LoE.S[[#This Row],[LE.5]]&gt;=1,4,5)))))))</calculatedColumnFormula>
    </tableColumn>
    <tableColumn id="7" xr3:uid="{0C43F3BB-33AB-4188-BBDD-2EC8DFB489E0}" name="Week 6" dataDxfId="140">
      <calculatedColumnFormula>_xlfn.TEXTJOIN("",TRUE,NSi.SE[[#This Row],[KU.6]],(IF(A.LoE.S[[#This Row],[LE.6]]="-","-",IF(A.LoE.S[[#This Row],[LE.6]]&gt;=90,1,IF(A.LoE.S[[#This Row],[LE.6]]&gt;=80,2,IF(A.LoE.S[[#This Row],[LE.6]]&gt;=70,3,IF(A.LoE.S[[#This Row],[LE.6]]&gt;=1,4,5)))))))</calculatedColumnFormula>
    </tableColumn>
    <tableColumn id="6" xr3:uid="{6DF9F62D-C5F8-4224-91D8-63B551FE689C}" name="Week 7" dataDxfId="139">
      <calculatedColumnFormula>_xlfn.TEXTJOIN("",TRUE,NSi.SE[[#This Row],[KU.7]],(IF(A.LoE.S[[#This Row],[LE.7]]="-","-",IF(A.LoE.S[[#This Row],[LE.7]]&gt;=90,1,IF(A.LoE.S[[#This Row],[LE.7]]&gt;=80,2,IF(A.LoE.S[[#This Row],[LE.7]]&gt;=70,3,IF(A.LoE.S[[#This Row],[LE.7]]&gt;=1,4,5)))))))</calculatedColumnFormula>
    </tableColumn>
    <tableColumn id="5" xr3:uid="{AE6A19EA-6175-405A-A2D4-B9A446F9D57C}" name="Week 8" dataDxfId="138">
      <calculatedColumnFormula>_xlfn.TEXTJOIN("",TRUE,NSi.SE[[#This Row],[KU.8]],(IF(A.LoE.S[[#This Row],[LE.8]]="-","-",IF(A.LoE.S[[#This Row],[LE.8]]&gt;=90,1,IF(A.LoE.S[[#This Row],[LE.8]]&gt;=80,2,IF(A.LoE.S[[#This Row],[LE.8]]&gt;=70,3,IF(A.LoE.S[[#This Row],[LE.8]]&gt;=1,4,5)))))))</calculatedColumnFormula>
    </tableColumn>
    <tableColumn id="4" xr3:uid="{0DB8C4D9-F0D3-436C-995D-09066BF03A28}" name="Week 9" dataDxfId="137">
      <calculatedColumnFormula>_xlfn.TEXTJOIN("",TRUE,NSi.SE[[#This Row],[KU.9]],(IF(A.LoE.S[[#This Row],[LE.9]]="-","-",IF(A.LoE.S[[#This Row],[LE.9]]&gt;=90,1,IF(A.LoE.S[[#This Row],[LE.9]]&gt;=80,2,IF(A.LoE.S[[#This Row],[LE.9]]&gt;=70,3,IF(A.LoE.S[[#This Row],[LE.9]]&gt;=1,4,5)))))))</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7" Type="http://schemas.openxmlformats.org/officeDocument/2006/relationships/table" Target="../tables/table13.xml"/><Relationship Id="rId2" Type="http://schemas.openxmlformats.org/officeDocument/2006/relationships/table" Target="../tables/table8.xml"/><Relationship Id="rId1" Type="http://schemas.openxmlformats.org/officeDocument/2006/relationships/printerSettings" Target="../printerSettings/printerSettings5.bin"/><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10222-A723-4B27-8B4B-BC550924C46C}">
  <dimension ref="B3:F20"/>
  <sheetViews>
    <sheetView showGridLines="0" topLeftCell="A3" workbookViewId="0">
      <selection activeCell="H10" sqref="H10"/>
    </sheetView>
  </sheetViews>
  <sheetFormatPr defaultColWidth="9.109375" defaultRowHeight="14.4" x14ac:dyDescent="0.3"/>
  <cols>
    <col min="1" max="1" width="9.109375" style="23"/>
    <col min="2" max="2" width="21.6640625" style="23" bestFit="1" customWidth="1"/>
    <col min="3" max="3" width="31" style="23" bestFit="1" customWidth="1"/>
    <col min="4" max="16384" width="9.109375" style="23"/>
  </cols>
  <sheetData>
    <row r="3" spans="2:6" x14ac:dyDescent="0.3">
      <c r="B3" s="31" t="s">
        <v>0</v>
      </c>
    </row>
    <row r="4" spans="2:6" x14ac:dyDescent="0.3">
      <c r="B4" s="50" t="s">
        <v>1</v>
      </c>
      <c r="C4" s="50" t="s">
        <v>2</v>
      </c>
    </row>
    <row r="5" spans="2:6" x14ac:dyDescent="0.3">
      <c r="B5" s="50" t="s">
        <v>3</v>
      </c>
      <c r="C5" s="50" t="s">
        <v>4</v>
      </c>
    </row>
    <row r="6" spans="2:6" x14ac:dyDescent="0.3">
      <c r="B6" s="50" t="s">
        <v>5</v>
      </c>
      <c r="C6" s="50" t="s">
        <v>6</v>
      </c>
    </row>
    <row r="7" spans="2:6" x14ac:dyDescent="0.3">
      <c r="B7" s="50" t="s">
        <v>7</v>
      </c>
      <c r="C7" s="50" t="s">
        <v>8</v>
      </c>
    </row>
    <row r="8" spans="2:6" x14ac:dyDescent="0.3">
      <c r="B8" s="50" t="s">
        <v>9</v>
      </c>
      <c r="C8" s="50" t="s">
        <v>10</v>
      </c>
    </row>
    <row r="9" spans="2:6" x14ac:dyDescent="0.3">
      <c r="B9" s="50" t="s">
        <v>11</v>
      </c>
      <c r="C9" s="50" t="s">
        <v>12</v>
      </c>
    </row>
    <row r="10" spans="2:6" x14ac:dyDescent="0.3">
      <c r="B10" s="50" t="s">
        <v>13</v>
      </c>
      <c r="C10" s="50" t="s">
        <v>14</v>
      </c>
    </row>
    <row r="11" spans="2:6" x14ac:dyDescent="0.3">
      <c r="B11" s="50" t="s">
        <v>15</v>
      </c>
      <c r="C11" s="50" t="s">
        <v>16</v>
      </c>
    </row>
    <row r="13" spans="2:6" ht="28.8" x14ac:dyDescent="0.3">
      <c r="B13" s="52" t="s">
        <v>17</v>
      </c>
    </row>
    <row r="14" spans="2:6" s="51" customFormat="1" ht="15" customHeight="1" x14ac:dyDescent="0.3">
      <c r="B14" s="92" t="s">
        <v>18</v>
      </c>
      <c r="C14" s="92"/>
      <c r="D14" s="92"/>
      <c r="E14" s="92"/>
      <c r="F14" s="92"/>
    </row>
    <row r="15" spans="2:6" ht="15" customHeight="1" x14ac:dyDescent="0.3">
      <c r="B15" s="92"/>
      <c r="C15" s="92"/>
      <c r="D15" s="92"/>
      <c r="E15" s="92"/>
      <c r="F15" s="92"/>
    </row>
    <row r="16" spans="2:6" ht="15" customHeight="1" x14ac:dyDescent="0.3">
      <c r="B16" s="92"/>
      <c r="C16" s="92"/>
      <c r="D16" s="92"/>
      <c r="E16" s="92"/>
      <c r="F16" s="92"/>
    </row>
    <row r="17" spans="2:6" ht="15" customHeight="1" x14ac:dyDescent="0.3">
      <c r="B17" s="92"/>
      <c r="C17" s="92"/>
      <c r="D17" s="92"/>
      <c r="E17" s="92"/>
      <c r="F17" s="92"/>
    </row>
    <row r="18" spans="2:6" ht="15" customHeight="1" x14ac:dyDescent="0.3">
      <c r="B18" s="92"/>
      <c r="C18" s="92"/>
      <c r="D18" s="92"/>
      <c r="E18" s="92"/>
      <c r="F18" s="92"/>
    </row>
    <row r="19" spans="2:6" ht="15" customHeight="1" x14ac:dyDescent="0.3">
      <c r="B19" s="92"/>
      <c r="C19" s="92"/>
      <c r="D19" s="92"/>
      <c r="E19" s="92"/>
      <c r="F19" s="92"/>
    </row>
    <row r="20" spans="2:6" ht="15" customHeight="1" x14ac:dyDescent="0.3">
      <c r="B20" s="53"/>
      <c r="C20" s="53"/>
      <c r="D20" s="53"/>
      <c r="E20" s="53"/>
      <c r="F20" s="53"/>
    </row>
  </sheetData>
  <mergeCells count="1">
    <mergeCell ref="B14:F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E2B74-D9E8-4086-AEC4-B5AD472300C6}">
  <sheetPr>
    <tabColor theme="9" tint="0.39997558519241921"/>
  </sheetPr>
  <dimension ref="A1:DP27"/>
  <sheetViews>
    <sheetView showGridLines="0" tabSelected="1" zoomScale="70" zoomScaleNormal="70" workbookViewId="0">
      <selection activeCell="E3" sqref="E3"/>
    </sheetView>
  </sheetViews>
  <sheetFormatPr defaultColWidth="9.109375" defaultRowHeight="14.4" x14ac:dyDescent="0.3"/>
  <cols>
    <col min="1" max="1" width="9.109375" style="23"/>
    <col min="2" max="2" width="50.6640625" style="23" customWidth="1"/>
    <col min="3" max="5" width="20.6640625" style="23" customWidth="1"/>
    <col min="6" max="6" width="11" style="23" bestFit="1" customWidth="1"/>
    <col min="7" max="7" width="9.6640625" style="23" bestFit="1" customWidth="1"/>
    <col min="8" max="8" width="8.88671875" style="23" bestFit="1" customWidth="1"/>
    <col min="9" max="9" width="10.109375" style="23" bestFit="1" customWidth="1"/>
    <col min="10" max="10" width="10.5546875" style="23" bestFit="1" customWidth="1"/>
    <col min="11" max="11" width="12.109375" style="23" bestFit="1" customWidth="1"/>
    <col min="12" max="12" width="9.6640625" style="23" bestFit="1" customWidth="1"/>
    <col min="13" max="13" width="8.88671875" style="23" bestFit="1" customWidth="1"/>
    <col min="14" max="14" width="10.109375" style="23" bestFit="1" customWidth="1"/>
    <col min="15" max="15" width="10.5546875" style="23" bestFit="1" customWidth="1"/>
    <col min="16" max="16" width="12.109375" style="23" bestFit="1" customWidth="1"/>
    <col min="17" max="17" width="9.6640625" style="23" bestFit="1" customWidth="1"/>
    <col min="18" max="18" width="8.88671875" style="23" bestFit="1" customWidth="1"/>
    <col min="19" max="19" width="10.109375" style="23" bestFit="1" customWidth="1"/>
    <col min="20" max="20" width="10.5546875" style="23" bestFit="1" customWidth="1"/>
    <col min="21" max="21" width="12.109375" style="23" bestFit="1" customWidth="1"/>
    <col min="22" max="22" width="9.6640625" style="23" bestFit="1" customWidth="1"/>
    <col min="23" max="23" width="8.88671875" style="23" bestFit="1" customWidth="1"/>
    <col min="24" max="24" width="10.109375" style="23" bestFit="1" customWidth="1"/>
    <col min="25" max="25" width="10.5546875" style="23" bestFit="1" customWidth="1"/>
    <col min="26" max="26" width="12.109375" style="23" bestFit="1" customWidth="1"/>
    <col min="27" max="27" width="9.6640625" style="23" bestFit="1" customWidth="1"/>
    <col min="28" max="28" width="8.88671875" style="23" bestFit="1" customWidth="1"/>
    <col min="29" max="29" width="10.109375" style="23" bestFit="1" customWidth="1"/>
    <col min="30" max="30" width="10.5546875" style="23" bestFit="1" customWidth="1"/>
    <col min="31" max="31" width="12.109375" style="23" bestFit="1" customWidth="1"/>
    <col min="32" max="32" width="9.6640625" style="23" bestFit="1" customWidth="1"/>
    <col min="33" max="33" width="8.88671875" style="23" bestFit="1" customWidth="1"/>
    <col min="34" max="34" width="10.109375" style="23" bestFit="1" customWidth="1"/>
    <col min="35" max="35" width="10.5546875" style="23" bestFit="1" customWidth="1"/>
    <col min="36" max="36" width="12.109375" style="23" bestFit="1" customWidth="1"/>
    <col min="37" max="37" width="9.6640625" style="23" bestFit="1" customWidth="1"/>
    <col min="38" max="38" width="8.88671875" style="23" bestFit="1" customWidth="1"/>
    <col min="39" max="39" width="10.109375" style="23" bestFit="1" customWidth="1"/>
    <col min="40" max="40" width="10.5546875" style="23" bestFit="1" customWidth="1"/>
    <col min="41" max="41" width="12.109375" style="23" bestFit="1" customWidth="1"/>
    <col min="42" max="42" width="9.6640625" style="23" bestFit="1" customWidth="1"/>
    <col min="43" max="43" width="8.88671875" style="23" bestFit="1" customWidth="1"/>
    <col min="44" max="44" width="10.109375" style="23" bestFit="1" customWidth="1"/>
    <col min="45" max="45" width="10.5546875" style="23" bestFit="1" customWidth="1"/>
    <col min="46" max="46" width="12.109375" style="23" bestFit="1" customWidth="1"/>
    <col min="47" max="47" width="9.6640625" style="23" bestFit="1" customWidth="1"/>
    <col min="48" max="48" width="8.88671875" style="23" bestFit="1" customWidth="1"/>
    <col min="49" max="49" width="10.109375" style="23" bestFit="1" customWidth="1"/>
    <col min="50" max="50" width="10.5546875" style="23" bestFit="1" customWidth="1"/>
    <col min="51" max="51" width="12.109375" style="23" bestFit="1" customWidth="1"/>
    <col min="52" max="52" width="9.109375" style="23"/>
    <col min="53" max="53" width="12.33203125" style="23" bestFit="1" customWidth="1"/>
    <col min="54" max="61" width="12.33203125" style="23" customWidth="1"/>
    <col min="62" max="62" width="9.109375" style="23"/>
    <col min="63" max="72" width="0" style="23" hidden="1" customWidth="1"/>
    <col min="73" max="73" width="16.5546875" style="23" hidden="1" customWidth="1"/>
    <col min="74" max="74" width="18.33203125" style="23" hidden="1" customWidth="1"/>
    <col min="75" max="75" width="12.88671875" style="23" hidden="1" customWidth="1"/>
    <col min="76" max="79" width="0" style="23" hidden="1" customWidth="1"/>
    <col min="80" max="80" width="9.33203125" style="23" hidden="1" customWidth="1"/>
    <col min="81" max="84" width="0" style="23" hidden="1" customWidth="1"/>
    <col min="85" max="85" width="9.33203125" style="23" hidden="1" customWidth="1"/>
    <col min="86" max="89" width="0" style="23" hidden="1" customWidth="1"/>
    <col min="90" max="90" width="9.33203125" style="23" hidden="1" customWidth="1"/>
    <col min="91" max="94" width="0" style="23" hidden="1" customWidth="1"/>
    <col min="95" max="95" width="9.33203125" style="23" hidden="1" customWidth="1"/>
    <col min="96" max="99" width="0" style="23" hidden="1" customWidth="1"/>
    <col min="100" max="100" width="9.33203125" style="23" hidden="1" customWidth="1"/>
    <col min="101" max="101" width="10.5546875" style="23" hidden="1" customWidth="1"/>
    <col min="102" max="102" width="9.6640625" style="23" hidden="1" customWidth="1"/>
    <col min="103" max="103" width="10.88671875" style="23" hidden="1" customWidth="1"/>
    <col min="104" max="104" width="11" style="23" hidden="1" customWidth="1"/>
    <col min="105" max="105" width="12.5546875" style="23" hidden="1" customWidth="1"/>
    <col min="106" max="109" width="0" style="23" hidden="1" customWidth="1"/>
    <col min="110" max="110" width="9.33203125" style="23" hidden="1" customWidth="1"/>
    <col min="111" max="114" width="0" style="23" hidden="1" customWidth="1"/>
    <col min="115" max="115" width="9.33203125" style="23" hidden="1" customWidth="1"/>
    <col min="116" max="119" width="0" style="23" hidden="1" customWidth="1"/>
    <col min="120" max="120" width="9.33203125" style="23" hidden="1" customWidth="1"/>
    <col min="121" max="121" width="9.109375" style="23"/>
    <col min="122" max="122" width="11.33203125" style="23" bestFit="1" customWidth="1"/>
    <col min="123" max="123" width="13.33203125" style="23" bestFit="1" customWidth="1"/>
    <col min="124" max="16384" width="9.109375" style="23"/>
  </cols>
  <sheetData>
    <row r="1" spans="1:120" x14ac:dyDescent="0.3">
      <c r="A1" s="94"/>
      <c r="B1" s="94"/>
      <c r="C1" s="94"/>
      <c r="D1" s="94"/>
      <c r="E1" s="94"/>
      <c r="F1" s="95"/>
      <c r="G1" s="71" t="s">
        <v>19</v>
      </c>
      <c r="H1" s="93"/>
      <c r="I1" s="93"/>
      <c r="J1" s="93"/>
      <c r="K1" s="93"/>
      <c r="L1" s="71" t="s">
        <v>20</v>
      </c>
      <c r="M1" s="93"/>
      <c r="N1" s="93"/>
      <c r="O1" s="93"/>
      <c r="P1" s="93"/>
      <c r="Q1" s="71" t="s">
        <v>21</v>
      </c>
      <c r="R1" s="93"/>
      <c r="S1" s="93"/>
      <c r="T1" s="93"/>
      <c r="U1" s="93"/>
      <c r="V1" s="71" t="s">
        <v>22</v>
      </c>
      <c r="W1" s="93"/>
      <c r="X1" s="93"/>
      <c r="Y1" s="93"/>
      <c r="Z1" s="93"/>
      <c r="AA1" s="71" t="s">
        <v>23</v>
      </c>
      <c r="AB1" s="93"/>
      <c r="AC1" s="93"/>
      <c r="AD1" s="93"/>
      <c r="AE1" s="93"/>
      <c r="AF1" s="71" t="s">
        <v>24</v>
      </c>
      <c r="AG1" s="93"/>
      <c r="AH1" s="93"/>
      <c r="AI1" s="93"/>
      <c r="AJ1" s="93"/>
      <c r="AK1" s="71" t="s">
        <v>25</v>
      </c>
      <c r="AL1" s="93"/>
      <c r="AM1" s="93"/>
      <c r="AN1" s="93"/>
      <c r="AO1" s="93"/>
      <c r="AP1" s="71" t="s">
        <v>26</v>
      </c>
      <c r="AQ1" s="93"/>
      <c r="AR1" s="93"/>
      <c r="AS1" s="93"/>
      <c r="AT1" s="93"/>
      <c r="AU1" s="71" t="s">
        <v>27</v>
      </c>
      <c r="AV1" s="93"/>
      <c r="AW1" s="93"/>
      <c r="AX1" s="93"/>
      <c r="AY1" s="93"/>
      <c r="BA1" s="31" t="s">
        <v>28</v>
      </c>
      <c r="BK1" s="31" t="s">
        <v>29</v>
      </c>
      <c r="BU1" s="23" t="s">
        <v>30</v>
      </c>
    </row>
    <row r="2" spans="1:120" x14ac:dyDescent="0.3">
      <c r="A2" s="26" t="s">
        <v>31</v>
      </c>
      <c r="B2" s="27" t="s">
        <v>32</v>
      </c>
      <c r="C2" s="27" t="s">
        <v>33</v>
      </c>
      <c r="D2" s="27" t="s">
        <v>34</v>
      </c>
      <c r="E2" s="27" t="s">
        <v>35</v>
      </c>
      <c r="F2" s="40" t="s">
        <v>36</v>
      </c>
      <c r="G2" s="28" t="s">
        <v>37</v>
      </c>
      <c r="H2" s="29" t="s">
        <v>38</v>
      </c>
      <c r="I2" s="29" t="s">
        <v>39</v>
      </c>
      <c r="J2" s="29" t="s">
        <v>40</v>
      </c>
      <c r="K2" s="29" t="s">
        <v>41</v>
      </c>
      <c r="L2" s="28" t="s">
        <v>42</v>
      </c>
      <c r="M2" s="29" t="s">
        <v>43</v>
      </c>
      <c r="N2" s="29" t="s">
        <v>44</v>
      </c>
      <c r="O2" s="29" t="s">
        <v>45</v>
      </c>
      <c r="P2" s="29" t="s">
        <v>46</v>
      </c>
      <c r="Q2" s="28" t="s">
        <v>47</v>
      </c>
      <c r="R2" s="29" t="s">
        <v>48</v>
      </c>
      <c r="S2" s="29" t="s">
        <v>49</v>
      </c>
      <c r="T2" s="29" t="s">
        <v>50</v>
      </c>
      <c r="U2" s="29" t="s">
        <v>51</v>
      </c>
      <c r="V2" s="28" t="s">
        <v>52</v>
      </c>
      <c r="W2" s="29" t="s">
        <v>53</v>
      </c>
      <c r="X2" s="29" t="s">
        <v>54</v>
      </c>
      <c r="Y2" s="29" t="s">
        <v>55</v>
      </c>
      <c r="Z2" s="29" t="s">
        <v>56</v>
      </c>
      <c r="AA2" s="28" t="s">
        <v>57</v>
      </c>
      <c r="AB2" s="29" t="s">
        <v>58</v>
      </c>
      <c r="AC2" s="29" t="s">
        <v>59</v>
      </c>
      <c r="AD2" s="29" t="s">
        <v>60</v>
      </c>
      <c r="AE2" s="29" t="s">
        <v>61</v>
      </c>
      <c r="AF2" s="28" t="s">
        <v>62</v>
      </c>
      <c r="AG2" s="29" t="s">
        <v>63</v>
      </c>
      <c r="AH2" s="29" t="s">
        <v>64</v>
      </c>
      <c r="AI2" s="29" t="s">
        <v>65</v>
      </c>
      <c r="AJ2" s="29" t="s">
        <v>66</v>
      </c>
      <c r="AK2" s="28" t="s">
        <v>67</v>
      </c>
      <c r="AL2" s="29" t="s">
        <v>68</v>
      </c>
      <c r="AM2" s="29" t="s">
        <v>69</v>
      </c>
      <c r="AN2" s="29" t="s">
        <v>70</v>
      </c>
      <c r="AO2" s="29" t="s">
        <v>71</v>
      </c>
      <c r="AP2" s="28" t="s">
        <v>72</v>
      </c>
      <c r="AQ2" s="29" t="s">
        <v>73</v>
      </c>
      <c r="AR2" s="29" t="s">
        <v>74</v>
      </c>
      <c r="AS2" s="29" t="s">
        <v>75</v>
      </c>
      <c r="AT2" s="29" t="s">
        <v>76</v>
      </c>
      <c r="AU2" s="28" t="s">
        <v>77</v>
      </c>
      <c r="AV2" s="29" t="s">
        <v>78</v>
      </c>
      <c r="AW2" s="29" t="s">
        <v>79</v>
      </c>
      <c r="AX2" s="29" t="s">
        <v>80</v>
      </c>
      <c r="AY2" s="30" t="s">
        <v>81</v>
      </c>
      <c r="BA2" s="1" t="s">
        <v>82</v>
      </c>
      <c r="BB2" s="2" t="s">
        <v>83</v>
      </c>
      <c r="BC2" s="2" t="s">
        <v>84</v>
      </c>
      <c r="BD2" s="2" t="s">
        <v>85</v>
      </c>
      <c r="BE2" s="2" t="s">
        <v>86</v>
      </c>
      <c r="BF2" s="2" t="s">
        <v>87</v>
      </c>
      <c r="BG2" s="2" t="s">
        <v>88</v>
      </c>
      <c r="BH2" s="2" t="s">
        <v>89</v>
      </c>
      <c r="BI2" s="36" t="s">
        <v>90</v>
      </c>
      <c r="BK2" s="32" t="s">
        <v>91</v>
      </c>
      <c r="BL2" s="33" t="s">
        <v>92</v>
      </c>
      <c r="BM2" s="33" t="s">
        <v>93</v>
      </c>
      <c r="BN2" s="33" t="s">
        <v>94</v>
      </c>
      <c r="BO2" s="33" t="s">
        <v>95</v>
      </c>
      <c r="BP2" s="33" t="s">
        <v>96</v>
      </c>
      <c r="BQ2" s="33" t="s">
        <v>97</v>
      </c>
      <c r="BR2" s="33" t="s">
        <v>98</v>
      </c>
      <c r="BS2" s="34" t="s">
        <v>99</v>
      </c>
      <c r="BU2" s="32" t="s">
        <v>100</v>
      </c>
      <c r="BV2" s="34" t="s">
        <v>101</v>
      </c>
      <c r="BW2" s="3"/>
      <c r="BX2" s="72" t="s">
        <v>37</v>
      </c>
      <c r="BY2" s="29" t="s">
        <v>38</v>
      </c>
      <c r="BZ2" s="29" t="s">
        <v>39</v>
      </c>
      <c r="CA2" s="29" t="s">
        <v>40</v>
      </c>
      <c r="CB2" s="29" t="s">
        <v>41</v>
      </c>
      <c r="CC2" s="28" t="s">
        <v>42</v>
      </c>
      <c r="CD2" s="29" t="s">
        <v>43</v>
      </c>
      <c r="CE2" s="29" t="s">
        <v>44</v>
      </c>
      <c r="CF2" s="29" t="s">
        <v>45</v>
      </c>
      <c r="CG2" s="29" t="s">
        <v>46</v>
      </c>
      <c r="CH2" s="28" t="s">
        <v>47</v>
      </c>
      <c r="CI2" s="29" t="s">
        <v>48</v>
      </c>
      <c r="CJ2" s="29" t="s">
        <v>49</v>
      </c>
      <c r="CK2" s="29" t="s">
        <v>50</v>
      </c>
      <c r="CL2" s="29" t="s">
        <v>51</v>
      </c>
      <c r="CM2" s="28" t="s">
        <v>52</v>
      </c>
      <c r="CN2" s="29" t="s">
        <v>53</v>
      </c>
      <c r="CO2" s="29" t="s">
        <v>54</v>
      </c>
      <c r="CP2" s="29" t="s">
        <v>55</v>
      </c>
      <c r="CQ2" s="29" t="s">
        <v>56</v>
      </c>
      <c r="CR2" s="28" t="s">
        <v>57</v>
      </c>
      <c r="CS2" s="29" t="s">
        <v>58</v>
      </c>
      <c r="CT2" s="29" t="s">
        <v>59</v>
      </c>
      <c r="CU2" s="29" t="s">
        <v>60</v>
      </c>
      <c r="CV2" s="29" t="s">
        <v>61</v>
      </c>
      <c r="CW2" s="28" t="s">
        <v>62</v>
      </c>
      <c r="CX2" s="29" t="s">
        <v>63</v>
      </c>
      <c r="CY2" s="29" t="s">
        <v>64</v>
      </c>
      <c r="CZ2" s="29" t="s">
        <v>65</v>
      </c>
      <c r="DA2" s="29" t="s">
        <v>66</v>
      </c>
      <c r="DB2" s="28" t="s">
        <v>67</v>
      </c>
      <c r="DC2" s="29" t="s">
        <v>68</v>
      </c>
      <c r="DD2" s="29" t="s">
        <v>69</v>
      </c>
      <c r="DE2" s="29" t="s">
        <v>70</v>
      </c>
      <c r="DF2" s="29" t="s">
        <v>71</v>
      </c>
      <c r="DG2" s="28" t="s">
        <v>72</v>
      </c>
      <c r="DH2" s="29" t="s">
        <v>73</v>
      </c>
      <c r="DI2" s="29" t="s">
        <v>74</v>
      </c>
      <c r="DJ2" s="29" t="s">
        <v>75</v>
      </c>
      <c r="DK2" s="29" t="s">
        <v>76</v>
      </c>
      <c r="DL2" s="28" t="s">
        <v>77</v>
      </c>
      <c r="DM2" s="29" t="s">
        <v>78</v>
      </c>
      <c r="DN2" s="29" t="s">
        <v>79</v>
      </c>
      <c r="DO2" s="29" t="s">
        <v>80</v>
      </c>
      <c r="DP2" s="30" t="s">
        <v>81</v>
      </c>
    </row>
    <row r="3" spans="1:120" ht="50.1" customHeight="1" x14ac:dyDescent="0.3">
      <c r="A3" s="82">
        <v>1</v>
      </c>
      <c r="B3" s="90"/>
      <c r="C3" s="91"/>
      <c r="D3" s="87"/>
      <c r="E3" s="46"/>
      <c r="F3" s="39" t="str">
        <f>IFERROR(ROUND(AVERAGE(CSCR[#This Row]),0),"")</f>
        <v/>
      </c>
      <c r="G3" s="41" t="s">
        <v>102</v>
      </c>
      <c r="H3" s="45" t="s">
        <v>102</v>
      </c>
      <c r="I3" s="45" t="s">
        <v>102</v>
      </c>
      <c r="J3" s="45" t="s">
        <v>102</v>
      </c>
      <c r="K3" s="45" t="s">
        <v>102</v>
      </c>
      <c r="L3" s="41" t="s">
        <v>102</v>
      </c>
      <c r="M3" s="45" t="s">
        <v>102</v>
      </c>
      <c r="N3" s="45" t="s">
        <v>102</v>
      </c>
      <c r="O3" s="45" t="s">
        <v>102</v>
      </c>
      <c r="P3" s="45" t="s">
        <v>102</v>
      </c>
      <c r="Q3" s="41" t="s">
        <v>102</v>
      </c>
      <c r="R3" s="45" t="s">
        <v>102</v>
      </c>
      <c r="S3" s="45" t="s">
        <v>102</v>
      </c>
      <c r="T3" s="45" t="s">
        <v>102</v>
      </c>
      <c r="U3" s="45" t="s">
        <v>102</v>
      </c>
      <c r="V3" s="41" t="s">
        <v>102</v>
      </c>
      <c r="W3" s="45" t="s">
        <v>102</v>
      </c>
      <c r="X3" s="45" t="s">
        <v>102</v>
      </c>
      <c r="Y3" s="45" t="s">
        <v>102</v>
      </c>
      <c r="Z3" s="45" t="s">
        <v>102</v>
      </c>
      <c r="AA3" s="41" t="s">
        <v>102</v>
      </c>
      <c r="AB3" s="45" t="s">
        <v>102</v>
      </c>
      <c r="AC3" s="45" t="s">
        <v>102</v>
      </c>
      <c r="AD3" s="45" t="s">
        <v>102</v>
      </c>
      <c r="AE3" s="45" t="s">
        <v>102</v>
      </c>
      <c r="AF3" s="41" t="s">
        <v>102</v>
      </c>
      <c r="AG3" s="45" t="s">
        <v>102</v>
      </c>
      <c r="AH3" s="45" t="s">
        <v>102</v>
      </c>
      <c r="AI3" s="45" t="s">
        <v>102</v>
      </c>
      <c r="AJ3" s="45" t="s">
        <v>102</v>
      </c>
      <c r="AK3" s="41" t="s">
        <v>102</v>
      </c>
      <c r="AL3" s="45" t="s">
        <v>102</v>
      </c>
      <c r="AM3" s="45" t="s">
        <v>102</v>
      </c>
      <c r="AN3" s="45" t="s">
        <v>102</v>
      </c>
      <c r="AO3" s="45" t="s">
        <v>102</v>
      </c>
      <c r="AP3" s="41" t="s">
        <v>102</v>
      </c>
      <c r="AQ3" s="45" t="s">
        <v>102</v>
      </c>
      <c r="AR3" s="45" t="s">
        <v>102</v>
      </c>
      <c r="AS3" s="45" t="s">
        <v>102</v>
      </c>
      <c r="AT3" s="45" t="s">
        <v>102</v>
      </c>
      <c r="AU3" s="41" t="s">
        <v>102</v>
      </c>
      <c r="AV3" s="45" t="s">
        <v>102</v>
      </c>
      <c r="AW3" s="45" t="s">
        <v>102</v>
      </c>
      <c r="AX3" s="45" t="s">
        <v>102</v>
      </c>
      <c r="AY3" s="45" t="s">
        <v>102</v>
      </c>
      <c r="BA3" s="37" t="str">
        <f>CONCATENATE(NSi.TS[[#This Row],[KU.1]],(IF(A.LoE[[#This Row],[LE.1]]="-","-",IF(A.LoE[[#This Row],[LE.1]]&gt;=90,1,IF(A.LoE[[#This Row],[LE.1]]&gt;=80,2,IF(A.LoE[[#This Row],[LE.1]]&gt;=70,3,IF(A.LoE[[#This Row],[LE.1]]&gt;=1,4,5)))))))</f>
        <v>--</v>
      </c>
      <c r="BB3" s="37" t="str">
        <f>CONCATENATE(NSi.TS[[#This Row],[KU.2]],(IF(A.LoE[[#This Row],[LE.2]]="-","-",IF(A.LoE[[#This Row],[LE.2]]&gt;=90,1,IF(A.LoE[[#This Row],[LE.2]]&gt;=80,2,IF(A.LoE[[#This Row],[LE.2]]&gt;=70,3,IF(A.LoE[[#This Row],[LE.2]]&gt;=1,4,5)))))))</f>
        <v>--</v>
      </c>
      <c r="BC3" s="37" t="str">
        <f>CONCATENATE(NSi.TS[[#This Row],[KU.3]],(IF(A.LoE[[#This Row],[LE.3]]="-","-",IF(A.LoE[[#This Row],[LE.3]]&gt;=90,1,IF(A.LoE[[#This Row],[LE.3]]&gt;=80,2,IF(A.LoE[[#This Row],[LE.3]]&gt;=70,3,IF(A.LoE[[#This Row],[LE.3]]&gt;=1,4,5)))))))</f>
        <v>--</v>
      </c>
      <c r="BD3" s="37" t="str">
        <f>CONCATENATE(NSi.TS[[#This Row],[KU.4]],(IF(A.LoE[[#This Row],[LE.4]]="-","-",IF(A.LoE[[#This Row],[LE.4]]&gt;=90,1,IF(A.LoE[[#This Row],[LE.4]]&gt;=80,2,IF(A.LoE[[#This Row],[LE.4]]&gt;=70,3,IF(A.LoE[[#This Row],[LE.4]]&gt;=1,4,5)))))))</f>
        <v>--</v>
      </c>
      <c r="BE3" s="37" t="str">
        <f>CONCATENATE(NSi.TS[[#This Row],[KU.5]],(IF(A.LoE[[#This Row],[LE.5]]="-","-",IF(A.LoE[[#This Row],[LE.5]]&gt;=90,1,IF(A.LoE[[#This Row],[LE.5]]&gt;=80,2,IF(A.LoE[[#This Row],[LE.5]]&gt;=70,3,IF(A.LoE[[#This Row],[LE.5]]&gt;=1,4,5)))))))</f>
        <v>--</v>
      </c>
      <c r="BF3" s="37" t="str">
        <f>CONCATENATE(NSi.TS[[#This Row],[KU.6]],(IF(A.LoE[[#This Row],[LE.6]]="-","-",IF(A.LoE[[#This Row],[LE.6]]&gt;=90,1,IF(A.LoE[[#This Row],[LE.6]]&gt;=80,2,IF(A.LoE[[#This Row],[LE.6]]&gt;=70,3,IF(A.LoE[[#This Row],[LE.6]]&gt;=1,4,5)))))))</f>
        <v>--</v>
      </c>
      <c r="BG3" s="37" t="str">
        <f>CONCATENATE(NSi.TS[[#This Row],[KU.7]],(IF(A.LoE[[#This Row],[LE.7]]="-","-",IF(A.LoE[[#This Row],[LE.7]]&gt;=90,1,IF(A.LoE[[#This Row],[LE.7]]&gt;=80,2,IF(A.LoE[[#This Row],[LE.7]]&gt;=70,3,IF(A.LoE[[#This Row],[LE.7]]&gt;=1,4,5)))))))</f>
        <v>--</v>
      </c>
      <c r="BH3" s="37" t="str">
        <f>CONCATENATE(NSi.TS[[#This Row],[KU.8]],(IF(A.LoE[[#This Row],[LE.8]]="-","-",IF(A.LoE[[#This Row],[LE.8]]&gt;=90,1,IF(A.LoE[[#This Row],[LE.8]]&gt;=80,2,IF(A.LoE[[#This Row],[LE.8]]&gt;=70,3,IF(A.LoE[[#This Row],[LE.8]]&gt;=1,4,5)))))))</f>
        <v>--</v>
      </c>
      <c r="BI3" s="37" t="str">
        <f>CONCATENATE(NSi.TS[[#This Row],[KU.9]],(IF(A.LoE[[#This Row],[LE.9]]="-","-",IF(A.LoE[[#This Row],[LE.9]]&gt;=90,1,IF(A.LoE[[#This Row],[LE.9]]&gt;=80,2,IF(A.LoE[[#This Row],[LE.9]]&gt;=70,3,IF(A.LoE[[#This Row],[LE.9]]&gt;=1,4,5)))))))</f>
        <v>--</v>
      </c>
      <c r="BK3" s="35" t="str">
        <f>IFERROR(ROUND(AVERAGE(Con.Sk[[#This Row],[TJ.1]:[Pro-A.1]]),0),"-")</f>
        <v>-</v>
      </c>
      <c r="BL3" s="24" t="str">
        <f>IFERROR(ROUND(AVERAGE(Con.Sk[[#This Row],[TJ.2]:[Pro-A.2]]),0),"-")</f>
        <v>-</v>
      </c>
      <c r="BM3" s="24" t="str">
        <f>IFERROR(ROUND(AVERAGE(Con.Sk[[#This Row],[TJ.3]:[Pro-A.3]]),0),"-")</f>
        <v>-</v>
      </c>
      <c r="BN3" s="24" t="str">
        <f>IFERROR(ROUND(AVERAGE(Con.Sk[[#This Row],[TJ.4]:[Pro-A.4]]),0),"-")</f>
        <v>-</v>
      </c>
      <c r="BO3" s="24" t="str">
        <f>IFERROR(ROUND(AVERAGE(Con.Sk[[#This Row],[TJ.5]:[Pro-A.5]]),0),"-")</f>
        <v>-</v>
      </c>
      <c r="BP3" s="24" t="str">
        <f>IFERROR(ROUND(AVERAGE(Con.Sk[[#This Row],[TJ.6]:[Pro-A.6]]),0),"-")</f>
        <v>-</v>
      </c>
      <c r="BQ3" s="24" t="str">
        <f>IFERROR(ROUND(AVERAGE(Con.Sk[[#This Row],[TJ.7]:[Pro-A.7]]),0),"-")</f>
        <v>-</v>
      </c>
      <c r="BR3" s="24" t="str">
        <f>IFERROR(ROUND(AVERAGE(Con.Sk[[#This Row],[TJ.8]:[Pro-A.8]]),0),"-")</f>
        <v>-</v>
      </c>
      <c r="BS3" s="25" t="str">
        <f>IFERROR(ROUND(AVERAGE(Con.Sk[[#This Row],[TJ.9]:[Pro-A.9]]),0),"-")</f>
        <v>-</v>
      </c>
      <c r="BU3" s="47" t="str">
        <f>IFERROR(ROUND(AVERAGE(Con.Sk[[#This Row],[KU.1]],Con.Sk[[#This Row],[KU.2]],Con.Sk[[#This Row],[KU.3]],Con.Sk[[#This Row],[KU.4]],Con.Sk[[#This Row],[KU.5]],Con.Sk[[#This Row],[KU.6]],Con.Sk[[#This Row],[KU.7]],Con.Sk[[#This Row],[KU.8]],Con.Sk[[#This Row],[KU.9]]),0),"")</f>
        <v/>
      </c>
      <c r="BV3" s="48" t="str">
        <f>IFERROR(ROUND(AVERAGE(Con.Sk[[#This Row],[TJ.1]:[Pro-A.1]],Con.Sk[[#This Row],[TJ.2]:[Pro-A.2]],Con.Sk[[#This Row],[TJ.3]:[Pro-A.3]],Con.Sk[[#This Row],[TJ.4]:[Pro-A.4]],Con.Sk[[#This Row],[TJ.5]:[Pro-A.5]],Con.Sk[[#This Row],[TJ.6]:[Pro-A.6]],Con.Sk[[#This Row],[TJ.7]:[Pro-A.7]],Con.Sk[[#This Row],[TJ.8]:[Pro-A.8]],Con.Sk[[#This Row],[TJ.9]:[Pro-A.9]]),0),"")</f>
        <v/>
      </c>
      <c r="BW3" s="3"/>
      <c r="BX3" s="73" t="str">
        <f>IF(NSi.TS[[#This Row],[KU.1]]="A",100,IF(NSi.TS[[#This Row],[KU.1]]="B",89,IF(NSi.TS[[#This Row],[KU.1]]="C",79,IF(NSi.TS[[#This Row],[KU.1]]="D",69,IF(NSi.TS[[#This Row],[KU.1]]="E",0,"-")))))</f>
        <v>-</v>
      </c>
      <c r="BY3" s="73" t="str">
        <f>IF(NSi.TS[[#This Row],[TJ.1]]=1,100,IF(NSi.TS[[#This Row],[TJ.1]]=2,89,IF(NSi.TS[[#This Row],[TJ.1]]=3,79,IF(NSi.TS[[#This Row],[TJ.1]]=4,69,IF(NSi.TS[[#This Row],[TJ.1]]=5,0,"-")))))</f>
        <v>-</v>
      </c>
      <c r="BZ3" s="73" t="str">
        <f>IF(NSi.TS[[#This Row],[Ker.1]]=1,100,IF(NSi.TS[[#This Row],[Ker.1]]=2,89,IF(NSi.TS[[#This Row],[Ker.1]]=3,79,IF(NSi.TS[[#This Row],[Ker.1]]=4,69,IF(NSi.TS[[#This Row],[Ker.1]]=5,0,"-")))))</f>
        <v>-</v>
      </c>
      <c r="CA3" s="73" t="str">
        <f>IF(NSi.TS[[#This Row],[Ped.1]]=1,100,IF(NSi.TS[[#This Row],[Ped.1]]=2,89,IF(NSi.TS[[#This Row],[Ped.1]]=3,79,IF(NSi.TS[[#This Row],[Ped.1]]=4,69,IF(NSi.TS[[#This Row],[Ped.1]]=5,0,"-")))))</f>
        <v>-</v>
      </c>
      <c r="CB3" s="73" t="str">
        <f>IF(NSi.TS[[#This Row],[Pro-A.1]]=1,100,IF(NSi.TS[[#This Row],[Pro-A.1]]=2,89,IF(NSi.TS[[#This Row],[Pro-A.1]]=3,79,IF(NSi.TS[[#This Row],[Pro-A.1]]=4,69,IF(NSi.TS[[#This Row],[Pro-A.1]]=5,0,"-")))))</f>
        <v>-</v>
      </c>
      <c r="CC3" s="73" t="str">
        <f>IF(NSi.TS[[#This Row],[KU.2]]="A",100,IF(NSi.TS[[#This Row],[KU.2]]="B",89,IF(NSi.TS[[#This Row],[KU.2]]="C",79,IF(NSi.TS[[#This Row],[KU.2]]="D",69,IF(NSi.TS[[#This Row],[KU.2]]="E",0,"-")))))</f>
        <v>-</v>
      </c>
      <c r="CD3" s="73" t="str">
        <f>IF(NSi.TS[[#This Row],[TJ.2]]=1,100,IF(NSi.TS[[#This Row],[TJ.2]]=2,89,IF(NSi.TS[[#This Row],[TJ.2]]=3,79,IF(NSi.TS[[#This Row],[TJ.2]]=4,69,IF(NSi.TS[[#This Row],[TJ.2]]=5,0,"-")))))</f>
        <v>-</v>
      </c>
      <c r="CE3" s="73" t="str">
        <f>IF(NSi.TS[[#This Row],[Ker.2]]=1,100,IF(NSi.TS[[#This Row],[Ker.2]]=2,89,IF(NSi.TS[[#This Row],[Ker.2]]=3,79,IF(NSi.TS[[#This Row],[Ker.2]]=4,69,IF(NSi.TS[[#This Row],[Ker.2]]=5,0,"-")))))</f>
        <v>-</v>
      </c>
      <c r="CF3" s="73" t="str">
        <f>IF(NSi.TS[[#This Row],[Ped.2]]=1,100,IF(NSi.TS[[#This Row],[Ped.2]]=2,89,IF(NSi.TS[[#This Row],[Ped.2]]=3,79,IF(NSi.TS[[#This Row],[Ped.2]]=4,69,IF(NSi.TS[[#This Row],[Ped.2]]=5,0,"-")))))</f>
        <v>-</v>
      </c>
      <c r="CG3" s="73" t="str">
        <f>IF(NSi.TS[[#This Row],[Pro-A.2]]=1,100,IF(NSi.TS[[#This Row],[Pro-A.2]]=2,89,IF(NSi.TS[[#This Row],[Pro-A.2]]=3,79,IF(NSi.TS[[#This Row],[Pro-A.2]]=4,69,IF(NSi.TS[[#This Row],[Pro-A.2]]=5,0,"-")))))</f>
        <v>-</v>
      </c>
      <c r="CH3" s="73" t="str">
        <f>IF(NSi.TS[[#This Row],[KU.3]]="A",100,IF(NSi.TS[[#This Row],[KU.3]]="B",89,IF(NSi.TS[[#This Row],[KU.3]]="C",79,IF(NSi.TS[[#This Row],[KU.3]]="D",69,IF(NSi.TS[[#This Row],[KU.3]]="E",0,"-")))))</f>
        <v>-</v>
      </c>
      <c r="CI3" s="73" t="str">
        <f>IF(NSi.TS[[#This Row],[TJ.3]]=1,100,IF(NSi.TS[[#This Row],[TJ.3]]=2,89,IF(NSi.TS[[#This Row],[TJ.3]]=3,79,IF(NSi.TS[[#This Row],[TJ.3]]=4,69,IF(NSi.TS[[#This Row],[TJ.3]]=5,0,"-")))))</f>
        <v>-</v>
      </c>
      <c r="CJ3" s="73" t="str">
        <f>IF(NSi.TS[[#This Row],[Ker.3]]=1,100,IF(NSi.TS[[#This Row],[Ker.3]]=2,89,IF(NSi.TS[[#This Row],[Ker.3]]=3,79,IF(NSi.TS[[#This Row],[Ker.3]]=4,69,IF(NSi.TS[[#This Row],[Ker.3]]=5,0,"-")))))</f>
        <v>-</v>
      </c>
      <c r="CK3" s="73" t="str">
        <f>IF(NSi.TS[[#This Row],[Ped.3]]=1,100,IF(NSi.TS[[#This Row],[Ped.3]]=2,89,IF(NSi.TS[[#This Row],[Ped.3]]=3,79,IF(NSi.TS[[#This Row],[Ped.3]]=4,69,IF(NSi.TS[[#This Row],[Ped.3]]=5,0,"-")))))</f>
        <v>-</v>
      </c>
      <c r="CL3" s="73" t="str">
        <f>IF(NSi.TS[[#This Row],[Pro-A.3]]=1,100,IF(NSi.TS[[#This Row],[Pro-A.3]]=2,89,IF(NSi.TS[[#This Row],[Pro-A.3]]=3,79,IF(NSi.TS[[#This Row],[Pro-A.3]]=4,69,IF(NSi.TS[[#This Row],[Pro-A.3]]=5,0,"-")))))</f>
        <v>-</v>
      </c>
      <c r="CM3" s="73" t="str">
        <f>IF(NSi.TS[[#This Row],[KU.4]]="A",100,IF(NSi.TS[[#This Row],[KU.4]]="B",89,IF(NSi.TS[[#This Row],[KU.4]]="C",79,IF(NSi.TS[[#This Row],[KU.4]]="D",69,IF(NSi.TS[[#This Row],[KU.4]]="E",0,"-")))))</f>
        <v>-</v>
      </c>
      <c r="CN3" s="73" t="str">
        <f>IF(NSi.TS[[#This Row],[TJ.4]]=1,100,IF(NSi.TS[[#This Row],[TJ.4]]=2,89,IF(NSi.TS[[#This Row],[TJ.4]]=3,79,IF(NSi.TS[[#This Row],[TJ.4]]=4,69,IF(NSi.TS[[#This Row],[TJ.4]]=5,0,"-")))))</f>
        <v>-</v>
      </c>
      <c r="CO3" s="73" t="str">
        <f>IF(NSi.TS[[#This Row],[Ker.4]]=1,100,IF(NSi.TS[[#This Row],[Ker.4]]=2,89,IF(NSi.TS[[#This Row],[Ker.4]]=3,79,IF(NSi.TS[[#This Row],[Ker.4]]=4,69,IF(NSi.TS[[#This Row],[Ker.4]]=5,0,"-")))))</f>
        <v>-</v>
      </c>
      <c r="CP3" s="73" t="str">
        <f>IF(NSi.TS[[#This Row],[Ped.4]]=1,100,IF(NSi.TS[[#This Row],[Ped.4]]=2,89,IF(NSi.TS[[#This Row],[Ped.4]]=3,79,IF(NSi.TS[[#This Row],[Ped.4]]=4,69,IF(NSi.TS[[#This Row],[Ped.4]]=5,0,"-")))))</f>
        <v>-</v>
      </c>
      <c r="CQ3" s="73" t="str">
        <f>IF(NSi.TS[[#This Row],[Pro-A.4]]=1,100,IF(NSi.TS[[#This Row],[Pro-A.4]]=2,89,IF(NSi.TS[[#This Row],[Pro-A.4]]=3,79,IF(NSi.TS[[#This Row],[Pro-A.4]]=4,69,IF(NSi.TS[[#This Row],[Pro-A.4]]=5,0,"-")))))</f>
        <v>-</v>
      </c>
      <c r="CR3" s="73" t="str">
        <f>IF(NSi.TS[[#This Row],[KU.5]]="A",100,IF(NSi.TS[[#This Row],[KU.5]]="B",89,IF(NSi.TS[[#This Row],[KU.5]]="C",79,IF(NSi.TS[[#This Row],[KU.5]]="D",69,IF(NSi.TS[[#This Row],[KU.5]]="E",0,"-")))))</f>
        <v>-</v>
      </c>
      <c r="CS3" s="73" t="str">
        <f>IF(NSi.TS[[#This Row],[TJ.5]]=1,100,IF(NSi.TS[[#This Row],[TJ.5]]=2,89,IF(NSi.TS[[#This Row],[TJ.5]]=3,79,IF(NSi.TS[[#This Row],[TJ.5]]=4,69,IF(NSi.TS[[#This Row],[TJ.5]]=5,0,"-")))))</f>
        <v>-</v>
      </c>
      <c r="CT3" s="73" t="str">
        <f>IF(NSi.TS[[#This Row],[Ker.5]]=1,100,IF(NSi.TS[[#This Row],[Ker.5]]=2,89,IF(NSi.TS[[#This Row],[Ker.5]]=3,79,IF(NSi.TS[[#This Row],[Ker.5]]=4,69,IF(NSi.TS[[#This Row],[Ker.5]]=5,0,"-")))))</f>
        <v>-</v>
      </c>
      <c r="CU3" s="73" t="str">
        <f>IF(NSi.TS[[#This Row],[Ped.5]]=1,100,IF(NSi.TS[[#This Row],[Ped.5]]=2,89,IF(NSi.TS[[#This Row],[Ped.5]]=3,79,IF(NSi.TS[[#This Row],[Ped.5]]=4,69,IF(NSi.TS[[#This Row],[Ped.5]]=5,0,"-")))))</f>
        <v>-</v>
      </c>
      <c r="CV3" s="73" t="str">
        <f>IF(NSi.TS[[#This Row],[Pro-A.5]]=1,100,IF(NSi.TS[[#This Row],[Pro-A.5]]=2,89,IF(NSi.TS[[#This Row],[Pro-A.5]]=3,79,IF(NSi.TS[[#This Row],[Pro-A.5]]=4,69,IF(NSi.TS[[#This Row],[Pro-A.5]]=5,0,"-")))))</f>
        <v>-</v>
      </c>
      <c r="CW3" s="73" t="str">
        <f>IF(NSi.TS[[#This Row],[KU.6]]="A",100,IF(NSi.TS[[#This Row],[KU.6]]="B",89,IF(NSi.TS[[#This Row],[KU.6]]="C",79,IF(NSi.TS[[#This Row],[KU.6]]="D",69,IF(NSi.TS[[#This Row],[KU.6]]="E",0,"-")))))</f>
        <v>-</v>
      </c>
      <c r="CX3" s="73" t="str">
        <f>IF(NSi.TS[[#This Row],[TJ.6]]=1,100,IF(NSi.TS[[#This Row],[TJ.6]]=2,89,IF(NSi.TS[[#This Row],[TJ.6]]=3,79,IF(NSi.TS[[#This Row],[TJ.6]]=4,69,IF(NSi.TS[[#This Row],[TJ.6]]=5,0,"-")))))</f>
        <v>-</v>
      </c>
      <c r="CY3" s="73" t="str">
        <f>IF(NSi.TS[[#This Row],[Ker.6]]=1,100,IF(NSi.TS[[#This Row],[Ker.6]]=2,89,IF(NSi.TS[[#This Row],[Ker.6]]=3,79,IF(NSi.TS[[#This Row],[Ker.6]]=4,69,IF(NSi.TS[[#This Row],[Ker.6]]=5,0,"-")))))</f>
        <v>-</v>
      </c>
      <c r="CZ3" s="73" t="str">
        <f>IF(NSi.TS[[#This Row],[Ped.6]]=1,100,IF(NSi.TS[[#This Row],[Ped.6]]=2,89,IF(NSi.TS[[#This Row],[Ped.6]]=3,79,IF(NSi.TS[[#This Row],[Ped.6]]=4,69,IF(NSi.TS[[#This Row],[Ped.6]]=5,0,"-")))))</f>
        <v>-</v>
      </c>
      <c r="DA3" s="73" t="str">
        <f>IF(NSi.TS[[#This Row],[Pro-A.6]]=1,100,IF(NSi.TS[[#This Row],[Pro-A.6]]=2,89,IF(NSi.TS[[#This Row],[Pro-A.6]]=3,79,IF(NSi.TS[[#This Row],[Pro-A.6]]=4,69,IF(NSi.TS[[#This Row],[Pro-A.6]]=5,0,"-")))))</f>
        <v>-</v>
      </c>
      <c r="DB3" s="73" t="str">
        <f>IF(NSi.TS[[#This Row],[KU.7]]="A",100,IF(NSi.TS[[#This Row],[KU.7]]="B",89,IF(NSi.TS[[#This Row],[KU.7]]="C",79,IF(NSi.TS[[#This Row],[KU.7]]="D",69,IF(NSi.TS[[#This Row],[KU.7]]="E",0,"-")))))</f>
        <v>-</v>
      </c>
      <c r="DC3" s="73" t="str">
        <f>IF(NSi.TS[[#This Row],[TJ.7]]=1,100,IF(NSi.TS[[#This Row],[TJ.7]]=2,89,IF(NSi.TS[[#This Row],[TJ.7]]=3,79,IF(NSi.TS[[#This Row],[TJ.7]]=4,69,IF(NSi.TS[[#This Row],[TJ.7]]=5,0,"-")))))</f>
        <v>-</v>
      </c>
      <c r="DD3" s="73" t="str">
        <f>IF(NSi.TS[[#This Row],[Ker.7]]=1,100,IF(NSi.TS[[#This Row],[Ker.7]]=2,89,IF(NSi.TS[[#This Row],[Ker.7]]=3,79,IF(NSi.TS[[#This Row],[Ker.7]]=4,69,IF(NSi.TS[[#This Row],[Ker.7]]=5,0,"-")))))</f>
        <v>-</v>
      </c>
      <c r="DE3" s="73" t="str">
        <f>IF(NSi.TS[[#This Row],[Ped.7]]=1,100,IF(NSi.TS[[#This Row],[Ped.7]]=2,89,IF(NSi.TS[[#This Row],[Ped.7]]=3,79,IF(NSi.TS[[#This Row],[Ped.7]]=4,69,IF(NSi.TS[[#This Row],[Ped.7]]=5,0,"-")))))</f>
        <v>-</v>
      </c>
      <c r="DF3" s="73" t="str">
        <f>IF(NSi.TS[[#This Row],[Pro-A.7]]=1,100,IF(NSi.TS[[#This Row],[Pro-A.7]]=2,89,IF(NSi.TS[[#This Row],[Pro-A.7]]=3,79,IF(NSi.TS[[#This Row],[Pro-A.7]]=4,69,IF(NSi.TS[[#This Row],[Pro-A.7]]=5,0,"-")))))</f>
        <v>-</v>
      </c>
      <c r="DG3" s="73" t="str">
        <f>IF(NSi.TS[[#This Row],[KU.8]]="A",100,IF(NSi.TS[[#This Row],[KU.8]]="B",89,IF(NSi.TS[[#This Row],[KU.8]]="C",79,IF(NSi.TS[[#This Row],[KU.8]]="D",69,IF(NSi.TS[[#This Row],[KU.8]]="E",0,"-")))))</f>
        <v>-</v>
      </c>
      <c r="DH3" s="73" t="str">
        <f>IF(NSi.TS[[#This Row],[TJ.8]]=1,100,IF(NSi.TS[[#This Row],[TJ.8]]=2,89,IF(NSi.TS[[#This Row],[TJ.8]]=3,79,IF(NSi.TS[[#This Row],[TJ.8]]=4,69,IF(NSi.TS[[#This Row],[TJ.8]]=5,0,"-")))))</f>
        <v>-</v>
      </c>
      <c r="DI3" s="73" t="str">
        <f>IF(NSi.TS[[#This Row],[Ker.8]]=1,100,IF(NSi.TS[[#This Row],[Ker.8]]=2,89,IF(NSi.TS[[#This Row],[Ker.8]]=3,79,IF(NSi.TS[[#This Row],[Ker.8]]=4,69,IF(NSi.TS[[#This Row],[Ker.8]]=5,0,"-")))))</f>
        <v>-</v>
      </c>
      <c r="DJ3" s="73" t="str">
        <f>IF(NSi.TS[[#This Row],[Ped.8]]=1,100,IF(NSi.TS[[#This Row],[Ped.8]]=2,89,IF(NSi.TS[[#This Row],[Ped.8]]=3,79,IF(NSi.TS[[#This Row],[Ped.8]]=4,69,IF(NSi.TS[[#This Row],[Ped.8]]=5,0,"-")))))</f>
        <v>-</v>
      </c>
      <c r="DK3" s="73" t="str">
        <f>IF(NSi.TS[[#This Row],[Pro-A.8]]=1,100,IF(NSi.TS[[#This Row],[Pro-A.8]]=2,89,IF(NSi.TS[[#This Row],[Pro-A.8]]=3,79,IF(NSi.TS[[#This Row],[Pro-A.8]]=4,69,IF(NSi.TS[[#This Row],[Pro-A.8]]=5,0,"-")))))</f>
        <v>-</v>
      </c>
      <c r="DL3" s="73" t="str">
        <f>IF(NSi.TS[[#This Row],[KU.9]]="A",100,IF(NSi.TS[[#This Row],[KU.9]]="B",89,IF(NSi.TS[[#This Row],[KU.9]]="C",79,IF(NSi.TS[[#This Row],[KU.9]]="D",69,IF(NSi.TS[[#This Row],[KU.9]]="E",0,"-")))))</f>
        <v>-</v>
      </c>
      <c r="DM3" s="73" t="str">
        <f>IF(NSi.TS[[#This Row],[TJ.9]]=1,100,IF(NSi.TS[[#This Row],[TJ.9]]=2,89,IF(NSi.TS[[#This Row],[TJ.9]]=3,79,IF(NSi.TS[[#This Row],[TJ.9]]=4,69,IF(NSi.TS[[#This Row],[TJ.9]]=5,0,"-")))))</f>
        <v>-</v>
      </c>
      <c r="DN3" s="73" t="str">
        <f>IF(NSi.TS[[#This Row],[Ker.9]]=1,100,IF(NSi.TS[[#This Row],[Ker.9]]=2,89,IF(NSi.TS[[#This Row],[Ker.9]]=3,79,IF(NSi.TS[[#This Row],[Ker.9]]=4,69,IF(NSi.TS[[#This Row],[Ker.9]]=5,0,"-")))))</f>
        <v>-</v>
      </c>
      <c r="DO3" s="73" t="str">
        <f>IF(NSi.TS[[#This Row],[Ped.9]]=1,100,IF(NSi.TS[[#This Row],[Ped.9]]=2,89,IF(NSi.TS[[#This Row],[Ped.9]]=3,79,IF(NSi.TS[[#This Row],[Ped.9]]=4,69,IF(NSi.TS[[#This Row],[Ped.9]]=5,0,"-")))))</f>
        <v>-</v>
      </c>
      <c r="DP3" s="73" t="str">
        <f>IF(NSi.TS[[#This Row],[Pro-A.9]]=1,100,IF(NSi.TS[[#This Row],[Pro-A.9]]=2,89,IF(NSi.TS[[#This Row],[Pro-A.9]]=3,79,IF(NSi.TS[[#This Row],[Pro-A.9]]=4,69,IF(NSi.TS[[#This Row],[Pro-A.9]]=5,0,"-")))))</f>
        <v>-</v>
      </c>
    </row>
    <row r="4" spans="1:120" ht="50.1" customHeight="1" x14ac:dyDescent="0.3">
      <c r="A4" s="82">
        <v>2</v>
      </c>
      <c r="B4" s="90"/>
      <c r="C4" s="91"/>
      <c r="D4" s="87"/>
      <c r="E4" s="46"/>
      <c r="F4" s="44" t="str">
        <f>IFERROR(ROUND(AVERAGE(CSCR[#This Row]),0),"")</f>
        <v/>
      </c>
      <c r="G4" s="41" t="s">
        <v>102</v>
      </c>
      <c r="H4" s="45" t="s">
        <v>102</v>
      </c>
      <c r="I4" s="45" t="s">
        <v>102</v>
      </c>
      <c r="J4" s="45" t="s">
        <v>102</v>
      </c>
      <c r="K4" s="45" t="s">
        <v>102</v>
      </c>
      <c r="L4" s="41" t="s">
        <v>102</v>
      </c>
      <c r="M4" s="45" t="s">
        <v>102</v>
      </c>
      <c r="N4" s="45" t="s">
        <v>102</v>
      </c>
      <c r="O4" s="45" t="s">
        <v>102</v>
      </c>
      <c r="P4" s="45" t="s">
        <v>102</v>
      </c>
      <c r="Q4" s="41" t="s">
        <v>102</v>
      </c>
      <c r="R4" s="45" t="s">
        <v>102</v>
      </c>
      <c r="S4" s="45" t="s">
        <v>102</v>
      </c>
      <c r="T4" s="45" t="s">
        <v>102</v>
      </c>
      <c r="U4" s="45" t="s">
        <v>102</v>
      </c>
      <c r="V4" s="41" t="s">
        <v>102</v>
      </c>
      <c r="W4" s="45" t="s">
        <v>102</v>
      </c>
      <c r="X4" s="45" t="s">
        <v>102</v>
      </c>
      <c r="Y4" s="45" t="s">
        <v>102</v>
      </c>
      <c r="Z4" s="45" t="s">
        <v>102</v>
      </c>
      <c r="AA4" s="41" t="s">
        <v>102</v>
      </c>
      <c r="AB4" s="45" t="s">
        <v>102</v>
      </c>
      <c r="AC4" s="45" t="s">
        <v>102</v>
      </c>
      <c r="AD4" s="45" t="s">
        <v>102</v>
      </c>
      <c r="AE4" s="45" t="s">
        <v>102</v>
      </c>
      <c r="AF4" s="41" t="s">
        <v>102</v>
      </c>
      <c r="AG4" s="45" t="s">
        <v>102</v>
      </c>
      <c r="AH4" s="45" t="s">
        <v>102</v>
      </c>
      <c r="AI4" s="45" t="s">
        <v>102</v>
      </c>
      <c r="AJ4" s="45" t="s">
        <v>102</v>
      </c>
      <c r="AK4" s="41" t="s">
        <v>102</v>
      </c>
      <c r="AL4" s="45" t="s">
        <v>102</v>
      </c>
      <c r="AM4" s="45" t="s">
        <v>102</v>
      </c>
      <c r="AN4" s="45" t="s">
        <v>102</v>
      </c>
      <c r="AO4" s="45" t="s">
        <v>102</v>
      </c>
      <c r="AP4" s="41" t="s">
        <v>102</v>
      </c>
      <c r="AQ4" s="45" t="s">
        <v>102</v>
      </c>
      <c r="AR4" s="45" t="s">
        <v>102</v>
      </c>
      <c r="AS4" s="45" t="s">
        <v>102</v>
      </c>
      <c r="AT4" s="45" t="s">
        <v>102</v>
      </c>
      <c r="AU4" s="41" t="s">
        <v>102</v>
      </c>
      <c r="AV4" s="45" t="s">
        <v>102</v>
      </c>
      <c r="AW4" s="45" t="s">
        <v>102</v>
      </c>
      <c r="AX4" s="45" t="s">
        <v>102</v>
      </c>
      <c r="AY4" s="45" t="s">
        <v>102</v>
      </c>
      <c r="BA4" s="10" t="str">
        <f>CONCATENATE(NSi.TS[[#This Row],[KU.1]],(IF(A.LoE[[#This Row],[LE.1]]="-","-",IF(A.LoE[[#This Row],[LE.1]]&gt;=90,1,IF(A.LoE[[#This Row],[LE.1]]&gt;=80,2,IF(A.LoE[[#This Row],[LE.1]]&gt;=70,3,IF(A.LoE[[#This Row],[LE.1]]&gt;=1,4,5)))))))</f>
        <v>--</v>
      </c>
      <c r="BB4" s="46" t="str">
        <f>CONCATENATE(NSi.TS[[#This Row],[KU.2]],(IF(A.LoE[[#This Row],[LE.2]]="-","-",IF(A.LoE[[#This Row],[LE.2]]&gt;=90,1,IF(A.LoE[[#This Row],[LE.2]]&gt;=80,2,IF(A.LoE[[#This Row],[LE.2]]&gt;=70,3,IF(A.LoE[[#This Row],[LE.2]]&gt;=1,4,5)))))))</f>
        <v>--</v>
      </c>
      <c r="BC4" s="46" t="str">
        <f>CONCATENATE(NSi.TS[[#This Row],[KU.3]],(IF(A.LoE[[#This Row],[LE.3]]="-","-",IF(A.LoE[[#This Row],[LE.3]]&gt;=90,1,IF(A.LoE[[#This Row],[LE.3]]&gt;=80,2,IF(A.LoE[[#This Row],[LE.3]]&gt;=70,3,IF(A.LoE[[#This Row],[LE.3]]&gt;=1,4,5)))))))</f>
        <v>--</v>
      </c>
      <c r="BD4" s="46" t="str">
        <f>CONCATENATE(NSi.TS[[#This Row],[KU.4]],(IF(A.LoE[[#This Row],[LE.4]]="-","-",IF(A.LoE[[#This Row],[LE.4]]&gt;=90,1,IF(A.LoE[[#This Row],[LE.4]]&gt;=80,2,IF(A.LoE[[#This Row],[LE.4]]&gt;=70,3,IF(A.LoE[[#This Row],[LE.4]]&gt;=1,4,5)))))))</f>
        <v>--</v>
      </c>
      <c r="BE4" s="46" t="str">
        <f>CONCATENATE(NSi.TS[[#This Row],[KU.5]],(IF(A.LoE[[#This Row],[LE.5]]="-","-",IF(A.LoE[[#This Row],[LE.5]]&gt;=90,1,IF(A.LoE[[#This Row],[LE.5]]&gt;=80,2,IF(A.LoE[[#This Row],[LE.5]]&gt;=70,3,IF(A.LoE[[#This Row],[LE.5]]&gt;=1,4,5)))))))</f>
        <v>--</v>
      </c>
      <c r="BF4" s="46" t="str">
        <f>CONCATENATE(NSi.TS[[#This Row],[KU.6]],(IF(A.LoE[[#This Row],[LE.6]]="-","-",IF(A.LoE[[#This Row],[LE.6]]&gt;=90,1,IF(A.LoE[[#This Row],[LE.6]]&gt;=80,2,IF(A.LoE[[#This Row],[LE.6]]&gt;=70,3,IF(A.LoE[[#This Row],[LE.6]]&gt;=1,4,5)))))))</f>
        <v>--</v>
      </c>
      <c r="BG4" s="46" t="str">
        <f>CONCATENATE(NSi.TS[[#This Row],[KU.7]],(IF(A.LoE[[#This Row],[LE.7]]="-","-",IF(A.LoE[[#This Row],[LE.7]]&gt;=90,1,IF(A.LoE[[#This Row],[LE.7]]&gt;=80,2,IF(A.LoE[[#This Row],[LE.7]]&gt;=70,3,IF(A.LoE[[#This Row],[LE.7]]&gt;=1,4,5)))))))</f>
        <v>--</v>
      </c>
      <c r="BH4" s="46" t="str">
        <f>CONCATENATE(NSi.TS[[#This Row],[KU.8]],(IF(A.LoE[[#This Row],[LE.8]]="-","-",IF(A.LoE[[#This Row],[LE.8]]&gt;=90,1,IF(A.LoE[[#This Row],[LE.8]]&gt;=80,2,IF(A.LoE[[#This Row],[LE.8]]&gt;=70,3,IF(A.LoE[[#This Row],[LE.8]]&gt;=1,4,5)))))))</f>
        <v>--</v>
      </c>
      <c r="BI4" s="38" t="str">
        <f>CONCATENATE(NSi.TS[[#This Row],[KU.9]],(IF(A.LoE[[#This Row],[LE.9]]="-","-",IF(A.LoE[[#This Row],[LE.9]]&gt;=90,1,IF(A.LoE[[#This Row],[LE.9]]&gt;=80,2,IF(A.LoE[[#This Row],[LE.9]]&gt;=70,3,IF(A.LoE[[#This Row],[LE.9]]&gt;=1,4,5)))))))</f>
        <v>--</v>
      </c>
      <c r="BK4" s="35" t="str">
        <f>IFERROR(ROUND(AVERAGE(Con.Sk[[#This Row],[TJ.1]:[Pro-A.1]]),0),"-")</f>
        <v>-</v>
      </c>
      <c r="BL4" s="24" t="str">
        <f>IFERROR(ROUND(AVERAGE(Con.Sk[[#This Row],[TJ.2]:[Pro-A.2]]),0),"-")</f>
        <v>-</v>
      </c>
      <c r="BM4" s="24" t="str">
        <f>IFERROR(ROUND(AVERAGE(Con.Sk[[#This Row],[TJ.3]:[Pro-A.3]]),0),"-")</f>
        <v>-</v>
      </c>
      <c r="BN4" s="24" t="str">
        <f>IFERROR(ROUND(AVERAGE(Con.Sk[[#This Row],[TJ.4]:[Pro-A.4]]),0),"-")</f>
        <v>-</v>
      </c>
      <c r="BO4" s="24" t="str">
        <f>IFERROR(ROUND(AVERAGE(Con.Sk[[#This Row],[TJ.5]:[Pro-A.5]]),0),"-")</f>
        <v>-</v>
      </c>
      <c r="BP4" s="24" t="str">
        <f>IFERROR(ROUND(AVERAGE(Con.Sk[[#This Row],[TJ.6]:[Pro-A.6]]),0),"-")</f>
        <v>-</v>
      </c>
      <c r="BQ4" s="24" t="str">
        <f>IFERROR(ROUND(AVERAGE(Con.Sk[[#This Row],[TJ.7]:[Pro-A.7]]),0),"-")</f>
        <v>-</v>
      </c>
      <c r="BR4" s="24" t="str">
        <f>IFERROR(ROUND(AVERAGE(Con.Sk[[#This Row],[TJ.8]:[Pro-A.8]]),0),"-")</f>
        <v>-</v>
      </c>
      <c r="BS4" s="25" t="str">
        <f>IFERROR(ROUND(AVERAGE(Con.Sk[[#This Row],[TJ.9]:[Pro-A.9]]),0),"-")</f>
        <v>-</v>
      </c>
      <c r="BU4" s="47" t="str">
        <f>IFERROR(ROUND(AVERAGE(Con.Sk[[#This Row],[KU.1]],Con.Sk[[#This Row],[KU.2]],Con.Sk[[#This Row],[KU.3]],Con.Sk[[#This Row],[KU.4]],Con.Sk[[#This Row],[KU.5]],Con.Sk[[#This Row],[KU.6]],Con.Sk[[#This Row],[KU.7]],Con.Sk[[#This Row],[KU.8]],Con.Sk[[#This Row],[KU.9]]),0),"")</f>
        <v/>
      </c>
      <c r="BV4" s="48" t="str">
        <f>IFERROR(ROUND(AVERAGE(Con.Sk[[#This Row],[TJ.1]:[Pro-A.1]],Con.Sk[[#This Row],[TJ.2]:[Pro-A.2]],Con.Sk[[#This Row],[TJ.3]:[Pro-A.3]],Con.Sk[[#This Row],[TJ.4]:[Pro-A.4]],Con.Sk[[#This Row],[TJ.5]:[Pro-A.5]],Con.Sk[[#This Row],[TJ.6]:[Pro-A.6]],Con.Sk[[#This Row],[TJ.7]:[Pro-A.7]],Con.Sk[[#This Row],[TJ.8]:[Pro-A.8]],Con.Sk[[#This Row],[TJ.9]:[Pro-A.9]]),0),"")</f>
        <v/>
      </c>
      <c r="BW4" s="3"/>
      <c r="BX4" s="73" t="str">
        <f>IF(NSi.TS[[#This Row],[KU.1]]="A",100,IF(NSi.TS[[#This Row],[KU.1]]="B",89,IF(NSi.TS[[#This Row],[KU.1]]="C",79,IF(NSi.TS[[#This Row],[KU.1]]="D",69,IF(NSi.TS[[#This Row],[KU.1]]="E",0,"-")))))</f>
        <v>-</v>
      </c>
      <c r="BY4" s="73" t="str">
        <f>IF(NSi.TS[[#This Row],[TJ.1]]=1,100,IF(NSi.TS[[#This Row],[TJ.1]]=2,89,IF(NSi.TS[[#This Row],[TJ.1]]=3,79,IF(NSi.TS[[#This Row],[TJ.1]]=4,69,IF(NSi.TS[[#This Row],[TJ.1]]=5,0,"-")))))</f>
        <v>-</v>
      </c>
      <c r="BZ4" s="73" t="str">
        <f>IF(NSi.TS[[#This Row],[Ker.1]]=1,100,IF(NSi.TS[[#This Row],[Ker.1]]=2,89,IF(NSi.TS[[#This Row],[Ker.1]]=3,79,IF(NSi.TS[[#This Row],[Ker.1]]=4,69,IF(NSi.TS[[#This Row],[Ker.1]]=5,0,"-")))))</f>
        <v>-</v>
      </c>
      <c r="CA4" s="73" t="str">
        <f>IF(NSi.TS[[#This Row],[Ped.1]]=1,100,IF(NSi.TS[[#This Row],[Ped.1]]=2,89,IF(NSi.TS[[#This Row],[Ped.1]]=3,79,IF(NSi.TS[[#This Row],[Ped.1]]=4,69,IF(NSi.TS[[#This Row],[Ped.1]]=5,0,"-")))))</f>
        <v>-</v>
      </c>
      <c r="CB4" s="73" t="str">
        <f>IF(NSi.TS[[#This Row],[Pro-A.1]]=1,100,IF(NSi.TS[[#This Row],[Pro-A.1]]=2,89,IF(NSi.TS[[#This Row],[Pro-A.1]]=3,79,IF(NSi.TS[[#This Row],[Pro-A.1]]=4,69,IF(NSi.TS[[#This Row],[Pro-A.1]]=5,0,"-")))))</f>
        <v>-</v>
      </c>
      <c r="CC4" s="73" t="str">
        <f>IF(NSi.TS[[#This Row],[KU.2]]="A",100,IF(NSi.TS[[#This Row],[KU.2]]="B",89,IF(NSi.TS[[#This Row],[KU.2]]="C",79,IF(NSi.TS[[#This Row],[KU.2]]="D",69,IF(NSi.TS[[#This Row],[KU.2]]="E",0,"-")))))</f>
        <v>-</v>
      </c>
      <c r="CD4" s="73" t="str">
        <f>IF(NSi.TS[[#This Row],[TJ.2]]=1,100,IF(NSi.TS[[#This Row],[TJ.2]]=2,89,IF(NSi.TS[[#This Row],[TJ.2]]=3,79,IF(NSi.TS[[#This Row],[TJ.2]]=4,69,IF(NSi.TS[[#This Row],[TJ.2]]=5,0,"-")))))</f>
        <v>-</v>
      </c>
      <c r="CE4" s="73" t="str">
        <f>IF(NSi.TS[[#This Row],[Ker.2]]=1,100,IF(NSi.TS[[#This Row],[Ker.2]]=2,89,IF(NSi.TS[[#This Row],[Ker.2]]=3,79,IF(NSi.TS[[#This Row],[Ker.2]]=4,69,IF(NSi.TS[[#This Row],[Ker.2]]=5,0,"-")))))</f>
        <v>-</v>
      </c>
      <c r="CF4" s="73" t="str">
        <f>IF(NSi.TS[[#This Row],[Ped.2]]=1,100,IF(NSi.TS[[#This Row],[Ped.2]]=2,89,IF(NSi.TS[[#This Row],[Ped.2]]=3,79,IF(NSi.TS[[#This Row],[Ped.2]]=4,69,IF(NSi.TS[[#This Row],[Ped.2]]=5,0,"-")))))</f>
        <v>-</v>
      </c>
      <c r="CG4" s="73" t="str">
        <f>IF(NSi.TS[[#This Row],[Pro-A.2]]=1,100,IF(NSi.TS[[#This Row],[Pro-A.2]]=2,89,IF(NSi.TS[[#This Row],[Pro-A.2]]=3,79,IF(NSi.TS[[#This Row],[Pro-A.2]]=4,69,IF(NSi.TS[[#This Row],[Pro-A.2]]=5,0,"-")))))</f>
        <v>-</v>
      </c>
      <c r="CH4" s="74" t="str">
        <f>IF(NSi.TS[[#This Row],[KU.3]]="A",100,IF(NSi.TS[[#This Row],[KU.3]]="B",89,IF(NSi.TS[[#This Row],[KU.3]]="C",79,IF(NSi.TS[[#This Row],[KU.3]]="D",69,IF(NSi.TS[[#This Row],[KU.3]]="E",0,"-")))))</f>
        <v>-</v>
      </c>
      <c r="CI4" s="73" t="str">
        <f>IF(NSi.TS[[#This Row],[TJ.3]]=1,100,IF(NSi.TS[[#This Row],[TJ.3]]=2,89,IF(NSi.TS[[#This Row],[TJ.3]]=3,79,IF(NSi.TS[[#This Row],[TJ.3]]=4,69,IF(NSi.TS[[#This Row],[TJ.3]]=5,0,"-")))))</f>
        <v>-</v>
      </c>
      <c r="CJ4" s="73" t="str">
        <f>IF(NSi.TS[[#This Row],[Ker.3]]=1,100,IF(NSi.TS[[#This Row],[Ker.3]]=2,89,IF(NSi.TS[[#This Row],[Ker.3]]=3,79,IF(NSi.TS[[#This Row],[Ker.3]]=4,69,IF(NSi.TS[[#This Row],[Ker.3]]=5,0,"-")))))</f>
        <v>-</v>
      </c>
      <c r="CK4" s="73" t="str">
        <f>IF(NSi.TS[[#This Row],[Ped.3]]=1,100,IF(NSi.TS[[#This Row],[Ped.3]]=2,89,IF(NSi.TS[[#This Row],[Ped.3]]=3,79,IF(NSi.TS[[#This Row],[Ped.3]]=4,69,IF(NSi.TS[[#This Row],[Ped.3]]=5,0,"-")))))</f>
        <v>-</v>
      </c>
      <c r="CL4" s="73" t="str">
        <f>IF(NSi.TS[[#This Row],[Pro-A.3]]=1,100,IF(NSi.TS[[#This Row],[Pro-A.3]]=2,89,IF(NSi.TS[[#This Row],[Pro-A.3]]=3,79,IF(NSi.TS[[#This Row],[Pro-A.3]]=4,69,IF(NSi.TS[[#This Row],[Pro-A.3]]=5,0,"-")))))</f>
        <v>-</v>
      </c>
      <c r="CM4" s="74" t="str">
        <f>IF(NSi.TS[[#This Row],[KU.4]]="A",100,IF(NSi.TS[[#This Row],[KU.4]]="B",89,IF(NSi.TS[[#This Row],[KU.4]]="C",79,IF(NSi.TS[[#This Row],[KU.4]]="D",69,IF(NSi.TS[[#This Row],[KU.4]]="E",0,"-")))))</f>
        <v>-</v>
      </c>
      <c r="CN4" s="73" t="str">
        <f>IF(NSi.TS[[#This Row],[TJ.4]]=1,100,IF(NSi.TS[[#This Row],[TJ.4]]=2,89,IF(NSi.TS[[#This Row],[TJ.4]]=3,79,IF(NSi.TS[[#This Row],[TJ.4]]=4,69,IF(NSi.TS[[#This Row],[TJ.4]]=5,0,"-")))))</f>
        <v>-</v>
      </c>
      <c r="CO4" s="73" t="str">
        <f>IF(NSi.TS[[#This Row],[Ker.4]]=1,100,IF(NSi.TS[[#This Row],[Ker.4]]=2,89,IF(NSi.TS[[#This Row],[Ker.4]]=3,79,IF(NSi.TS[[#This Row],[Ker.4]]=4,69,IF(NSi.TS[[#This Row],[Ker.4]]=5,0,"-")))))</f>
        <v>-</v>
      </c>
      <c r="CP4" s="73" t="str">
        <f>IF(NSi.TS[[#This Row],[Ped.4]]=1,100,IF(NSi.TS[[#This Row],[Ped.4]]=2,89,IF(NSi.TS[[#This Row],[Ped.4]]=3,79,IF(NSi.TS[[#This Row],[Ped.4]]=4,69,IF(NSi.TS[[#This Row],[Ped.4]]=5,0,"-")))))</f>
        <v>-</v>
      </c>
      <c r="CQ4" s="73" t="str">
        <f>IF(NSi.TS[[#This Row],[Pro-A.4]]=1,100,IF(NSi.TS[[#This Row],[Pro-A.4]]=2,89,IF(NSi.TS[[#This Row],[Pro-A.4]]=3,79,IF(NSi.TS[[#This Row],[Pro-A.4]]=4,69,IF(NSi.TS[[#This Row],[Pro-A.4]]=5,0,"-")))))</f>
        <v>-</v>
      </c>
      <c r="CR4" s="74" t="str">
        <f>IF(NSi.TS[[#This Row],[KU.5]]="A",100,IF(NSi.TS[[#This Row],[KU.5]]="B",89,IF(NSi.TS[[#This Row],[KU.5]]="C",79,IF(NSi.TS[[#This Row],[KU.5]]="D",69,IF(NSi.TS[[#This Row],[KU.5]]="E",0,"-")))))</f>
        <v>-</v>
      </c>
      <c r="CS4" s="73" t="str">
        <f>IF(NSi.TS[[#This Row],[TJ.5]]=1,100,IF(NSi.TS[[#This Row],[TJ.5]]=2,89,IF(NSi.TS[[#This Row],[TJ.5]]=3,79,IF(NSi.TS[[#This Row],[TJ.5]]=4,69,IF(NSi.TS[[#This Row],[TJ.5]]=5,0,"-")))))</f>
        <v>-</v>
      </c>
      <c r="CT4" s="73" t="str">
        <f>IF(NSi.TS[[#This Row],[Ker.5]]=1,100,IF(NSi.TS[[#This Row],[Ker.5]]=2,89,IF(NSi.TS[[#This Row],[Ker.5]]=3,79,IF(NSi.TS[[#This Row],[Ker.5]]=4,69,IF(NSi.TS[[#This Row],[Ker.5]]=5,0,"-")))))</f>
        <v>-</v>
      </c>
      <c r="CU4" s="73" t="str">
        <f>IF(NSi.TS[[#This Row],[Ped.5]]=1,100,IF(NSi.TS[[#This Row],[Ped.5]]=2,89,IF(NSi.TS[[#This Row],[Ped.5]]=3,79,IF(NSi.TS[[#This Row],[Ped.5]]=4,69,IF(NSi.TS[[#This Row],[Ped.5]]=5,0,"-")))))</f>
        <v>-</v>
      </c>
      <c r="CV4" s="73" t="str">
        <f>IF(NSi.TS[[#This Row],[Pro-A.5]]=1,100,IF(NSi.TS[[#This Row],[Pro-A.5]]=2,89,IF(NSi.TS[[#This Row],[Pro-A.5]]=3,79,IF(NSi.TS[[#This Row],[Pro-A.5]]=4,69,IF(NSi.TS[[#This Row],[Pro-A.5]]=5,0,"-")))))</f>
        <v>-</v>
      </c>
      <c r="CW4" s="74" t="str">
        <f>IF(NSi.TS[[#This Row],[KU.6]]="A",100,IF(NSi.TS[[#This Row],[KU.6]]="B",89,IF(NSi.TS[[#This Row],[KU.6]]="C",79,IF(NSi.TS[[#This Row],[KU.6]]="D",69,IF(NSi.TS[[#This Row],[KU.6]]="E",0,"-")))))</f>
        <v>-</v>
      </c>
      <c r="CX4" s="73" t="str">
        <f>IF(NSi.TS[[#This Row],[TJ.6]]=1,100,IF(NSi.TS[[#This Row],[TJ.6]]=2,89,IF(NSi.TS[[#This Row],[TJ.6]]=3,79,IF(NSi.TS[[#This Row],[TJ.6]]=4,69,IF(NSi.TS[[#This Row],[TJ.6]]=5,0,"-")))))</f>
        <v>-</v>
      </c>
      <c r="CY4" s="73" t="str">
        <f>IF(NSi.TS[[#This Row],[Ker.6]]=1,100,IF(NSi.TS[[#This Row],[Ker.6]]=2,89,IF(NSi.TS[[#This Row],[Ker.6]]=3,79,IF(NSi.TS[[#This Row],[Ker.6]]=4,69,IF(NSi.TS[[#This Row],[Ker.6]]=5,0,"-")))))</f>
        <v>-</v>
      </c>
      <c r="CZ4" s="73" t="str">
        <f>IF(NSi.TS[[#This Row],[Ped.6]]=1,100,IF(NSi.TS[[#This Row],[Ped.6]]=2,89,IF(NSi.TS[[#This Row],[Ped.6]]=3,79,IF(NSi.TS[[#This Row],[Ped.6]]=4,69,IF(NSi.TS[[#This Row],[Ped.6]]=5,0,"-")))))</f>
        <v>-</v>
      </c>
      <c r="DA4" s="73" t="str">
        <f>IF(NSi.TS[[#This Row],[Pro-A.6]]=1,100,IF(NSi.TS[[#This Row],[Pro-A.6]]=2,89,IF(NSi.TS[[#This Row],[Pro-A.6]]=3,79,IF(NSi.TS[[#This Row],[Pro-A.6]]=4,69,IF(NSi.TS[[#This Row],[Pro-A.6]]=5,0,"-")))))</f>
        <v>-</v>
      </c>
      <c r="DB4" s="74" t="str">
        <f>IF(NSi.TS[[#This Row],[KU.7]]="A",100,IF(NSi.TS[[#This Row],[KU.7]]="B",89,IF(NSi.TS[[#This Row],[KU.7]]="C",79,IF(NSi.TS[[#This Row],[KU.7]]="D",69,IF(NSi.TS[[#This Row],[KU.7]]="E",0,"-")))))</f>
        <v>-</v>
      </c>
      <c r="DC4" s="73" t="str">
        <f>IF(NSi.TS[[#This Row],[TJ.7]]=1,100,IF(NSi.TS[[#This Row],[TJ.7]]=2,89,IF(NSi.TS[[#This Row],[TJ.7]]=3,79,IF(NSi.TS[[#This Row],[TJ.7]]=4,69,IF(NSi.TS[[#This Row],[TJ.7]]=5,0,"-")))))</f>
        <v>-</v>
      </c>
      <c r="DD4" s="73" t="str">
        <f>IF(NSi.TS[[#This Row],[Ker.7]]=1,100,IF(NSi.TS[[#This Row],[Ker.7]]=2,89,IF(NSi.TS[[#This Row],[Ker.7]]=3,79,IF(NSi.TS[[#This Row],[Ker.7]]=4,69,IF(NSi.TS[[#This Row],[Ker.7]]=5,0,"-")))))</f>
        <v>-</v>
      </c>
      <c r="DE4" s="73" t="str">
        <f>IF(NSi.TS[[#This Row],[Ped.7]]=1,100,IF(NSi.TS[[#This Row],[Ped.7]]=2,89,IF(NSi.TS[[#This Row],[Ped.7]]=3,79,IF(NSi.TS[[#This Row],[Ped.7]]=4,69,IF(NSi.TS[[#This Row],[Ped.7]]=5,0,"-")))))</f>
        <v>-</v>
      </c>
      <c r="DF4" s="73" t="str">
        <f>IF(NSi.TS[[#This Row],[Pro-A.7]]=1,100,IF(NSi.TS[[#This Row],[Pro-A.7]]=2,89,IF(NSi.TS[[#This Row],[Pro-A.7]]=3,79,IF(NSi.TS[[#This Row],[Pro-A.7]]=4,69,IF(NSi.TS[[#This Row],[Pro-A.7]]=5,0,"-")))))</f>
        <v>-</v>
      </c>
      <c r="DG4" s="74" t="str">
        <f>IF(NSi.TS[[#This Row],[KU.8]]="A",100,IF(NSi.TS[[#This Row],[KU.8]]="B",89,IF(NSi.TS[[#This Row],[KU.8]]="C",79,IF(NSi.TS[[#This Row],[KU.8]]="D",69,IF(NSi.TS[[#This Row],[KU.8]]="E",0,"-")))))</f>
        <v>-</v>
      </c>
      <c r="DH4" s="73" t="str">
        <f>IF(NSi.TS[[#This Row],[TJ.8]]=1,100,IF(NSi.TS[[#This Row],[TJ.8]]=2,89,IF(NSi.TS[[#This Row],[TJ.8]]=3,79,IF(NSi.TS[[#This Row],[TJ.8]]=4,69,IF(NSi.TS[[#This Row],[TJ.8]]=5,0,"-")))))</f>
        <v>-</v>
      </c>
      <c r="DI4" s="73" t="str">
        <f>IF(NSi.TS[[#This Row],[Ker.8]]=1,100,IF(NSi.TS[[#This Row],[Ker.8]]=2,89,IF(NSi.TS[[#This Row],[Ker.8]]=3,79,IF(NSi.TS[[#This Row],[Ker.8]]=4,69,IF(NSi.TS[[#This Row],[Ker.8]]=5,0,"-")))))</f>
        <v>-</v>
      </c>
      <c r="DJ4" s="73" t="str">
        <f>IF(NSi.TS[[#This Row],[Ped.8]]=1,100,IF(NSi.TS[[#This Row],[Ped.8]]=2,89,IF(NSi.TS[[#This Row],[Ped.8]]=3,79,IF(NSi.TS[[#This Row],[Ped.8]]=4,69,IF(NSi.TS[[#This Row],[Ped.8]]=5,0,"-")))))</f>
        <v>-</v>
      </c>
      <c r="DK4" s="73" t="str">
        <f>IF(NSi.TS[[#This Row],[Pro-A.8]]=1,100,IF(NSi.TS[[#This Row],[Pro-A.8]]=2,89,IF(NSi.TS[[#This Row],[Pro-A.8]]=3,79,IF(NSi.TS[[#This Row],[Pro-A.8]]=4,69,IF(NSi.TS[[#This Row],[Pro-A.8]]=5,0,"-")))))</f>
        <v>-</v>
      </c>
      <c r="DL4" s="74" t="str">
        <f>IF(NSi.TS[[#This Row],[KU.9]]="A",100,IF(NSi.TS[[#This Row],[KU.9]]="B",89,IF(NSi.TS[[#This Row],[KU.9]]="C",79,IF(NSi.TS[[#This Row],[KU.9]]="D",69,IF(NSi.TS[[#This Row],[KU.9]]="E",0,"-")))))</f>
        <v>-</v>
      </c>
      <c r="DM4" s="73" t="str">
        <f>IF(NSi.TS[[#This Row],[TJ.9]]=1,100,IF(NSi.TS[[#This Row],[TJ.9]]=2,89,IF(NSi.TS[[#This Row],[TJ.9]]=3,79,IF(NSi.TS[[#This Row],[TJ.9]]=4,69,IF(NSi.TS[[#This Row],[TJ.9]]=5,0,"-")))))</f>
        <v>-</v>
      </c>
      <c r="DN4" s="73" t="str">
        <f>IF(NSi.TS[[#This Row],[Ker.9]]=1,100,IF(NSi.TS[[#This Row],[Ker.9]]=2,89,IF(NSi.TS[[#This Row],[Ker.9]]=3,79,IF(NSi.TS[[#This Row],[Ker.9]]=4,69,IF(NSi.TS[[#This Row],[Ker.9]]=5,0,"-")))))</f>
        <v>-</v>
      </c>
      <c r="DO4" s="73" t="str">
        <f>IF(NSi.TS[[#This Row],[Ped.9]]=1,100,IF(NSi.TS[[#This Row],[Ped.9]]=2,89,IF(NSi.TS[[#This Row],[Ped.9]]=3,79,IF(NSi.TS[[#This Row],[Ped.9]]=4,69,IF(NSi.TS[[#This Row],[Ped.9]]=5,0,"-")))))</f>
        <v>-</v>
      </c>
      <c r="DP4" s="73" t="str">
        <f>IF(NSi.TS[[#This Row],[Pro-A.9]]=1,100,IF(NSi.TS[[#This Row],[Pro-A.9]]=2,89,IF(NSi.TS[[#This Row],[Pro-A.9]]=3,79,IF(NSi.TS[[#This Row],[Pro-A.9]]=4,69,IF(NSi.TS[[#This Row],[Pro-A.9]]=5,0,"-")))))</f>
        <v>-</v>
      </c>
    </row>
    <row r="5" spans="1:120" ht="50.1" customHeight="1" x14ac:dyDescent="0.3">
      <c r="A5" s="82">
        <v>3</v>
      </c>
      <c r="B5" s="90"/>
      <c r="C5" s="91"/>
      <c r="D5" s="87"/>
      <c r="E5" s="46"/>
      <c r="F5" s="44" t="str">
        <f>IFERROR(ROUND(AVERAGE(CSCR[#This Row]),0),"")</f>
        <v/>
      </c>
      <c r="G5" s="41" t="s">
        <v>102</v>
      </c>
      <c r="H5" s="45" t="s">
        <v>102</v>
      </c>
      <c r="I5" s="45" t="s">
        <v>102</v>
      </c>
      <c r="J5" s="45" t="s">
        <v>102</v>
      </c>
      <c r="K5" s="45" t="s">
        <v>102</v>
      </c>
      <c r="L5" s="41" t="s">
        <v>102</v>
      </c>
      <c r="M5" s="45" t="s">
        <v>102</v>
      </c>
      <c r="N5" s="45" t="s">
        <v>102</v>
      </c>
      <c r="O5" s="45" t="s">
        <v>102</v>
      </c>
      <c r="P5" s="45" t="s">
        <v>102</v>
      </c>
      <c r="Q5" s="41" t="s">
        <v>102</v>
      </c>
      <c r="R5" s="45" t="s">
        <v>102</v>
      </c>
      <c r="S5" s="45" t="s">
        <v>102</v>
      </c>
      <c r="T5" s="45" t="s">
        <v>102</v>
      </c>
      <c r="U5" s="45" t="s">
        <v>102</v>
      </c>
      <c r="V5" s="41" t="s">
        <v>102</v>
      </c>
      <c r="W5" s="45" t="s">
        <v>102</v>
      </c>
      <c r="X5" s="45" t="s">
        <v>102</v>
      </c>
      <c r="Y5" s="45" t="s">
        <v>102</v>
      </c>
      <c r="Z5" s="45" t="s">
        <v>102</v>
      </c>
      <c r="AA5" s="41" t="s">
        <v>102</v>
      </c>
      <c r="AB5" s="45" t="s">
        <v>102</v>
      </c>
      <c r="AC5" s="45" t="s">
        <v>102</v>
      </c>
      <c r="AD5" s="45" t="s">
        <v>102</v>
      </c>
      <c r="AE5" s="45" t="s">
        <v>102</v>
      </c>
      <c r="AF5" s="41" t="s">
        <v>102</v>
      </c>
      <c r="AG5" s="45" t="s">
        <v>102</v>
      </c>
      <c r="AH5" s="45" t="s">
        <v>102</v>
      </c>
      <c r="AI5" s="45" t="s">
        <v>102</v>
      </c>
      <c r="AJ5" s="45" t="s">
        <v>102</v>
      </c>
      <c r="AK5" s="41" t="s">
        <v>102</v>
      </c>
      <c r="AL5" s="45" t="s">
        <v>102</v>
      </c>
      <c r="AM5" s="45" t="s">
        <v>102</v>
      </c>
      <c r="AN5" s="45" t="s">
        <v>102</v>
      </c>
      <c r="AO5" s="45" t="s">
        <v>102</v>
      </c>
      <c r="AP5" s="41" t="s">
        <v>102</v>
      </c>
      <c r="AQ5" s="45" t="s">
        <v>102</v>
      </c>
      <c r="AR5" s="45" t="s">
        <v>102</v>
      </c>
      <c r="AS5" s="45" t="s">
        <v>102</v>
      </c>
      <c r="AT5" s="45" t="s">
        <v>102</v>
      </c>
      <c r="AU5" s="41" t="s">
        <v>102</v>
      </c>
      <c r="AV5" s="45" t="s">
        <v>102</v>
      </c>
      <c r="AW5" s="45" t="s">
        <v>102</v>
      </c>
      <c r="AX5" s="45" t="s">
        <v>102</v>
      </c>
      <c r="AY5" s="45" t="s">
        <v>102</v>
      </c>
      <c r="BA5" s="10" t="str">
        <f>CONCATENATE(NSi.TS[[#This Row],[KU.1]],(IF(A.LoE[[#This Row],[LE.1]]="-","-",IF(A.LoE[[#This Row],[LE.1]]&gt;=90,1,IF(A.LoE[[#This Row],[LE.1]]&gt;=80,2,IF(A.LoE[[#This Row],[LE.1]]&gt;=70,3,IF(A.LoE[[#This Row],[LE.1]]&gt;=1,4,5)))))))</f>
        <v>--</v>
      </c>
      <c r="BB5" s="46" t="str">
        <f>CONCATENATE(NSi.TS[[#This Row],[KU.2]],(IF(A.LoE[[#This Row],[LE.2]]="-","-",IF(A.LoE[[#This Row],[LE.2]]&gt;=90,1,IF(A.LoE[[#This Row],[LE.2]]&gt;=80,2,IF(A.LoE[[#This Row],[LE.2]]&gt;=70,3,IF(A.LoE[[#This Row],[LE.2]]&gt;=1,4,5)))))))</f>
        <v>--</v>
      </c>
      <c r="BC5" s="46" t="str">
        <f>CONCATENATE(NSi.TS[[#This Row],[KU.3]],(IF(A.LoE[[#This Row],[LE.3]]="-","-",IF(A.LoE[[#This Row],[LE.3]]&gt;=90,1,IF(A.LoE[[#This Row],[LE.3]]&gt;=80,2,IF(A.LoE[[#This Row],[LE.3]]&gt;=70,3,IF(A.LoE[[#This Row],[LE.3]]&gt;=1,4,5)))))))</f>
        <v>--</v>
      </c>
      <c r="BD5" s="46" t="str">
        <f>CONCATENATE(NSi.TS[[#This Row],[KU.4]],(IF(A.LoE[[#This Row],[LE.4]]="-","-",IF(A.LoE[[#This Row],[LE.4]]&gt;=90,1,IF(A.LoE[[#This Row],[LE.4]]&gt;=80,2,IF(A.LoE[[#This Row],[LE.4]]&gt;=70,3,IF(A.LoE[[#This Row],[LE.4]]&gt;=1,4,5)))))))</f>
        <v>--</v>
      </c>
      <c r="BE5" s="46" t="str">
        <f>CONCATENATE(NSi.TS[[#This Row],[KU.5]],(IF(A.LoE[[#This Row],[LE.5]]="-","-",IF(A.LoE[[#This Row],[LE.5]]&gt;=90,1,IF(A.LoE[[#This Row],[LE.5]]&gt;=80,2,IF(A.LoE[[#This Row],[LE.5]]&gt;=70,3,IF(A.LoE[[#This Row],[LE.5]]&gt;=1,4,5)))))))</f>
        <v>--</v>
      </c>
      <c r="BF5" s="46" t="str">
        <f>CONCATENATE(NSi.TS[[#This Row],[KU.6]],(IF(A.LoE[[#This Row],[LE.6]]="-","-",IF(A.LoE[[#This Row],[LE.6]]&gt;=90,1,IF(A.LoE[[#This Row],[LE.6]]&gt;=80,2,IF(A.LoE[[#This Row],[LE.6]]&gt;=70,3,IF(A.LoE[[#This Row],[LE.6]]&gt;=1,4,5)))))))</f>
        <v>--</v>
      </c>
      <c r="BG5" s="46" t="str">
        <f>CONCATENATE(NSi.TS[[#This Row],[KU.7]],(IF(A.LoE[[#This Row],[LE.7]]="-","-",IF(A.LoE[[#This Row],[LE.7]]&gt;=90,1,IF(A.LoE[[#This Row],[LE.7]]&gt;=80,2,IF(A.LoE[[#This Row],[LE.7]]&gt;=70,3,IF(A.LoE[[#This Row],[LE.7]]&gt;=1,4,5)))))))</f>
        <v>--</v>
      </c>
      <c r="BH5" s="46" t="str">
        <f>CONCATENATE(NSi.TS[[#This Row],[KU.8]],(IF(A.LoE[[#This Row],[LE.8]]="-","-",IF(A.LoE[[#This Row],[LE.8]]&gt;=90,1,IF(A.LoE[[#This Row],[LE.8]]&gt;=80,2,IF(A.LoE[[#This Row],[LE.8]]&gt;=70,3,IF(A.LoE[[#This Row],[LE.8]]&gt;=1,4,5)))))))</f>
        <v>--</v>
      </c>
      <c r="BI5" s="38" t="str">
        <f>CONCATENATE(NSi.TS[[#This Row],[KU.9]],(IF(A.LoE[[#This Row],[LE.9]]="-","-",IF(A.LoE[[#This Row],[LE.9]]&gt;=90,1,IF(A.LoE[[#This Row],[LE.9]]&gt;=80,2,IF(A.LoE[[#This Row],[LE.9]]&gt;=70,3,IF(A.LoE[[#This Row],[LE.9]]&gt;=1,4,5)))))))</f>
        <v>--</v>
      </c>
      <c r="BK5" s="35" t="str">
        <f>IFERROR(ROUND(AVERAGE(Con.Sk[[#This Row],[TJ.1]:[Pro-A.1]]),0),"-")</f>
        <v>-</v>
      </c>
      <c r="BL5" s="24" t="str">
        <f>IFERROR(ROUND(AVERAGE(Con.Sk[[#This Row],[TJ.2]:[Pro-A.2]]),0),"-")</f>
        <v>-</v>
      </c>
      <c r="BM5" s="24" t="str">
        <f>IFERROR(ROUND(AVERAGE(Con.Sk[[#This Row],[TJ.3]:[Pro-A.3]]),0),"-")</f>
        <v>-</v>
      </c>
      <c r="BN5" s="24" t="str">
        <f>IFERROR(ROUND(AVERAGE(Con.Sk[[#This Row],[TJ.4]:[Pro-A.4]]),0),"-")</f>
        <v>-</v>
      </c>
      <c r="BO5" s="24" t="str">
        <f>IFERROR(ROUND(AVERAGE(Con.Sk[[#This Row],[TJ.5]:[Pro-A.5]]),0),"-")</f>
        <v>-</v>
      </c>
      <c r="BP5" s="24" t="str">
        <f>IFERROR(ROUND(AVERAGE(Con.Sk[[#This Row],[TJ.6]:[Pro-A.6]]),0),"-")</f>
        <v>-</v>
      </c>
      <c r="BQ5" s="24" t="str">
        <f>IFERROR(ROUND(AVERAGE(Con.Sk[[#This Row],[TJ.7]:[Pro-A.7]]),0),"-")</f>
        <v>-</v>
      </c>
      <c r="BR5" s="24" t="str">
        <f>IFERROR(ROUND(AVERAGE(Con.Sk[[#This Row],[TJ.8]:[Pro-A.8]]),0),"-")</f>
        <v>-</v>
      </c>
      <c r="BS5" s="25" t="str">
        <f>IFERROR(ROUND(AVERAGE(Con.Sk[[#This Row],[TJ.9]:[Pro-A.9]]),0),"-")</f>
        <v>-</v>
      </c>
      <c r="BU5" s="47" t="str">
        <f>IFERROR(ROUND(AVERAGE(Con.Sk[[#This Row],[KU.1]],Con.Sk[[#This Row],[KU.2]],Con.Sk[[#This Row],[KU.3]],Con.Sk[[#This Row],[KU.4]],Con.Sk[[#This Row],[KU.5]],Con.Sk[[#This Row],[KU.6]],Con.Sk[[#This Row],[KU.7]],Con.Sk[[#This Row],[KU.8]],Con.Sk[[#This Row],[KU.9]]),0),"")</f>
        <v/>
      </c>
      <c r="BV5" s="48" t="str">
        <f>IFERROR(ROUND(AVERAGE(Con.Sk[[#This Row],[TJ.1]:[Pro-A.1]],Con.Sk[[#This Row],[TJ.2]:[Pro-A.2]],Con.Sk[[#This Row],[TJ.3]:[Pro-A.3]],Con.Sk[[#This Row],[TJ.4]:[Pro-A.4]],Con.Sk[[#This Row],[TJ.5]:[Pro-A.5]],Con.Sk[[#This Row],[TJ.6]:[Pro-A.6]],Con.Sk[[#This Row],[TJ.7]:[Pro-A.7]],Con.Sk[[#This Row],[TJ.8]:[Pro-A.8]],Con.Sk[[#This Row],[TJ.9]:[Pro-A.9]]),0),"")</f>
        <v/>
      </c>
      <c r="BW5" s="3"/>
      <c r="BX5" s="73" t="str">
        <f>IF(NSi.TS[[#This Row],[KU.1]]="A",100,IF(NSi.TS[[#This Row],[KU.1]]="B",89,IF(NSi.TS[[#This Row],[KU.1]]="C",79,IF(NSi.TS[[#This Row],[KU.1]]="D",69,IF(NSi.TS[[#This Row],[KU.1]]="E",0,"-")))))</f>
        <v>-</v>
      </c>
      <c r="BY5" s="73" t="str">
        <f>IF(NSi.TS[[#This Row],[TJ.1]]=1,100,IF(NSi.TS[[#This Row],[TJ.1]]=2,89,IF(NSi.TS[[#This Row],[TJ.1]]=3,79,IF(NSi.TS[[#This Row],[TJ.1]]=4,69,IF(NSi.TS[[#This Row],[TJ.1]]=5,0,"-")))))</f>
        <v>-</v>
      </c>
      <c r="BZ5" s="73" t="str">
        <f>IF(NSi.TS[[#This Row],[Ker.1]]=1,100,IF(NSi.TS[[#This Row],[Ker.1]]=2,89,IF(NSi.TS[[#This Row],[Ker.1]]=3,79,IF(NSi.TS[[#This Row],[Ker.1]]=4,69,IF(NSi.TS[[#This Row],[Ker.1]]=5,0,"-")))))</f>
        <v>-</v>
      </c>
      <c r="CA5" s="73" t="str">
        <f>IF(NSi.TS[[#This Row],[Ped.1]]=1,100,IF(NSi.TS[[#This Row],[Ped.1]]=2,89,IF(NSi.TS[[#This Row],[Ped.1]]=3,79,IF(NSi.TS[[#This Row],[Ped.1]]=4,69,IF(NSi.TS[[#This Row],[Ped.1]]=5,0,"-")))))</f>
        <v>-</v>
      </c>
      <c r="CB5" s="73" t="str">
        <f>IF(NSi.TS[[#This Row],[Pro-A.1]]=1,100,IF(NSi.TS[[#This Row],[Pro-A.1]]=2,89,IF(NSi.TS[[#This Row],[Pro-A.1]]=3,79,IF(NSi.TS[[#This Row],[Pro-A.1]]=4,69,IF(NSi.TS[[#This Row],[Pro-A.1]]=5,0,"-")))))</f>
        <v>-</v>
      </c>
      <c r="CC5" s="73" t="str">
        <f>IF(NSi.TS[[#This Row],[KU.2]]="A",100,IF(NSi.TS[[#This Row],[KU.2]]="B",89,IF(NSi.TS[[#This Row],[KU.2]]="C",79,IF(NSi.TS[[#This Row],[KU.2]]="D",69,IF(NSi.TS[[#This Row],[KU.2]]="E",0,"-")))))</f>
        <v>-</v>
      </c>
      <c r="CD5" s="73" t="str">
        <f>IF(NSi.TS[[#This Row],[TJ.2]]=1,100,IF(NSi.TS[[#This Row],[TJ.2]]=2,89,IF(NSi.TS[[#This Row],[TJ.2]]=3,79,IF(NSi.TS[[#This Row],[TJ.2]]=4,69,IF(NSi.TS[[#This Row],[TJ.2]]=5,0,"-")))))</f>
        <v>-</v>
      </c>
      <c r="CE5" s="73" t="str">
        <f>IF(NSi.TS[[#This Row],[Ker.2]]=1,100,IF(NSi.TS[[#This Row],[Ker.2]]=2,89,IF(NSi.TS[[#This Row],[Ker.2]]=3,79,IF(NSi.TS[[#This Row],[Ker.2]]=4,69,IF(NSi.TS[[#This Row],[Ker.2]]=5,0,"-")))))</f>
        <v>-</v>
      </c>
      <c r="CF5" s="73" t="str">
        <f>IF(NSi.TS[[#This Row],[Ped.2]]=1,100,IF(NSi.TS[[#This Row],[Ped.2]]=2,89,IF(NSi.TS[[#This Row],[Ped.2]]=3,79,IF(NSi.TS[[#This Row],[Ped.2]]=4,69,IF(NSi.TS[[#This Row],[Ped.2]]=5,0,"-")))))</f>
        <v>-</v>
      </c>
      <c r="CG5" s="73" t="str">
        <f>IF(NSi.TS[[#This Row],[Pro-A.2]]=1,100,IF(NSi.TS[[#This Row],[Pro-A.2]]=2,89,IF(NSi.TS[[#This Row],[Pro-A.2]]=3,79,IF(NSi.TS[[#This Row],[Pro-A.2]]=4,69,IF(NSi.TS[[#This Row],[Pro-A.2]]=5,0,"-")))))</f>
        <v>-</v>
      </c>
      <c r="CH5" s="74" t="str">
        <f>IF(NSi.TS[[#This Row],[KU.3]]="A",100,IF(NSi.TS[[#This Row],[KU.3]]="B",89,IF(NSi.TS[[#This Row],[KU.3]]="C",79,IF(NSi.TS[[#This Row],[KU.3]]="D",69,IF(NSi.TS[[#This Row],[KU.3]]="E",0,"-")))))</f>
        <v>-</v>
      </c>
      <c r="CI5" s="73" t="str">
        <f>IF(NSi.TS[[#This Row],[TJ.3]]=1,100,IF(NSi.TS[[#This Row],[TJ.3]]=2,89,IF(NSi.TS[[#This Row],[TJ.3]]=3,79,IF(NSi.TS[[#This Row],[TJ.3]]=4,69,IF(NSi.TS[[#This Row],[TJ.3]]=5,0,"-")))))</f>
        <v>-</v>
      </c>
      <c r="CJ5" s="73" t="str">
        <f>IF(NSi.TS[[#This Row],[Ker.3]]=1,100,IF(NSi.TS[[#This Row],[Ker.3]]=2,89,IF(NSi.TS[[#This Row],[Ker.3]]=3,79,IF(NSi.TS[[#This Row],[Ker.3]]=4,69,IF(NSi.TS[[#This Row],[Ker.3]]=5,0,"-")))))</f>
        <v>-</v>
      </c>
      <c r="CK5" s="73" t="str">
        <f>IF(NSi.TS[[#This Row],[Ped.3]]=1,100,IF(NSi.TS[[#This Row],[Ped.3]]=2,89,IF(NSi.TS[[#This Row],[Ped.3]]=3,79,IF(NSi.TS[[#This Row],[Ped.3]]=4,69,IF(NSi.TS[[#This Row],[Ped.3]]=5,0,"-")))))</f>
        <v>-</v>
      </c>
      <c r="CL5" s="73" t="str">
        <f>IF(NSi.TS[[#This Row],[Pro-A.3]]=1,100,IF(NSi.TS[[#This Row],[Pro-A.3]]=2,89,IF(NSi.TS[[#This Row],[Pro-A.3]]=3,79,IF(NSi.TS[[#This Row],[Pro-A.3]]=4,69,IF(NSi.TS[[#This Row],[Pro-A.3]]=5,0,"-")))))</f>
        <v>-</v>
      </c>
      <c r="CM5" s="74" t="str">
        <f>IF(NSi.TS[[#This Row],[KU.4]]="A",100,IF(NSi.TS[[#This Row],[KU.4]]="B",89,IF(NSi.TS[[#This Row],[KU.4]]="C",79,IF(NSi.TS[[#This Row],[KU.4]]="D",69,IF(NSi.TS[[#This Row],[KU.4]]="E",0,"-")))))</f>
        <v>-</v>
      </c>
      <c r="CN5" s="73" t="str">
        <f>IF(NSi.TS[[#This Row],[TJ.4]]=1,100,IF(NSi.TS[[#This Row],[TJ.4]]=2,89,IF(NSi.TS[[#This Row],[TJ.4]]=3,79,IF(NSi.TS[[#This Row],[TJ.4]]=4,69,IF(NSi.TS[[#This Row],[TJ.4]]=5,0,"-")))))</f>
        <v>-</v>
      </c>
      <c r="CO5" s="73" t="str">
        <f>IF(NSi.TS[[#This Row],[Ker.4]]=1,100,IF(NSi.TS[[#This Row],[Ker.4]]=2,89,IF(NSi.TS[[#This Row],[Ker.4]]=3,79,IF(NSi.TS[[#This Row],[Ker.4]]=4,69,IF(NSi.TS[[#This Row],[Ker.4]]=5,0,"-")))))</f>
        <v>-</v>
      </c>
      <c r="CP5" s="73" t="str">
        <f>IF(NSi.TS[[#This Row],[Ped.4]]=1,100,IF(NSi.TS[[#This Row],[Ped.4]]=2,89,IF(NSi.TS[[#This Row],[Ped.4]]=3,79,IF(NSi.TS[[#This Row],[Ped.4]]=4,69,IF(NSi.TS[[#This Row],[Ped.4]]=5,0,"-")))))</f>
        <v>-</v>
      </c>
      <c r="CQ5" s="73" t="str">
        <f>IF(NSi.TS[[#This Row],[Pro-A.4]]=1,100,IF(NSi.TS[[#This Row],[Pro-A.4]]=2,89,IF(NSi.TS[[#This Row],[Pro-A.4]]=3,79,IF(NSi.TS[[#This Row],[Pro-A.4]]=4,69,IF(NSi.TS[[#This Row],[Pro-A.4]]=5,0,"-")))))</f>
        <v>-</v>
      </c>
      <c r="CR5" s="74" t="str">
        <f>IF(NSi.TS[[#This Row],[KU.5]]="A",100,IF(NSi.TS[[#This Row],[KU.5]]="B",89,IF(NSi.TS[[#This Row],[KU.5]]="C",79,IF(NSi.TS[[#This Row],[KU.5]]="D",69,IF(NSi.TS[[#This Row],[KU.5]]="E",0,"-")))))</f>
        <v>-</v>
      </c>
      <c r="CS5" s="73" t="str">
        <f>IF(NSi.TS[[#This Row],[TJ.5]]=1,100,IF(NSi.TS[[#This Row],[TJ.5]]=2,89,IF(NSi.TS[[#This Row],[TJ.5]]=3,79,IF(NSi.TS[[#This Row],[TJ.5]]=4,69,IF(NSi.TS[[#This Row],[TJ.5]]=5,0,"-")))))</f>
        <v>-</v>
      </c>
      <c r="CT5" s="73" t="str">
        <f>IF(NSi.TS[[#This Row],[Ker.5]]=1,100,IF(NSi.TS[[#This Row],[Ker.5]]=2,89,IF(NSi.TS[[#This Row],[Ker.5]]=3,79,IF(NSi.TS[[#This Row],[Ker.5]]=4,69,IF(NSi.TS[[#This Row],[Ker.5]]=5,0,"-")))))</f>
        <v>-</v>
      </c>
      <c r="CU5" s="73" t="str">
        <f>IF(NSi.TS[[#This Row],[Ped.5]]=1,100,IF(NSi.TS[[#This Row],[Ped.5]]=2,89,IF(NSi.TS[[#This Row],[Ped.5]]=3,79,IF(NSi.TS[[#This Row],[Ped.5]]=4,69,IF(NSi.TS[[#This Row],[Ped.5]]=5,0,"-")))))</f>
        <v>-</v>
      </c>
      <c r="CV5" s="73" t="str">
        <f>IF(NSi.TS[[#This Row],[Pro-A.5]]=1,100,IF(NSi.TS[[#This Row],[Pro-A.5]]=2,89,IF(NSi.TS[[#This Row],[Pro-A.5]]=3,79,IF(NSi.TS[[#This Row],[Pro-A.5]]=4,69,IF(NSi.TS[[#This Row],[Pro-A.5]]=5,0,"-")))))</f>
        <v>-</v>
      </c>
      <c r="CW5" s="74" t="str">
        <f>IF(NSi.TS[[#This Row],[KU.6]]="A",100,IF(NSi.TS[[#This Row],[KU.6]]="B",89,IF(NSi.TS[[#This Row],[KU.6]]="C",79,IF(NSi.TS[[#This Row],[KU.6]]="D",69,IF(NSi.TS[[#This Row],[KU.6]]="E",0,"-")))))</f>
        <v>-</v>
      </c>
      <c r="CX5" s="73" t="str">
        <f>IF(NSi.TS[[#This Row],[TJ.6]]=1,100,IF(NSi.TS[[#This Row],[TJ.6]]=2,89,IF(NSi.TS[[#This Row],[TJ.6]]=3,79,IF(NSi.TS[[#This Row],[TJ.6]]=4,69,IF(NSi.TS[[#This Row],[TJ.6]]=5,0,"-")))))</f>
        <v>-</v>
      </c>
      <c r="CY5" s="73" t="str">
        <f>IF(NSi.TS[[#This Row],[Ker.6]]=1,100,IF(NSi.TS[[#This Row],[Ker.6]]=2,89,IF(NSi.TS[[#This Row],[Ker.6]]=3,79,IF(NSi.TS[[#This Row],[Ker.6]]=4,69,IF(NSi.TS[[#This Row],[Ker.6]]=5,0,"-")))))</f>
        <v>-</v>
      </c>
      <c r="CZ5" s="73" t="str">
        <f>IF(NSi.TS[[#This Row],[Ped.6]]=1,100,IF(NSi.TS[[#This Row],[Ped.6]]=2,89,IF(NSi.TS[[#This Row],[Ped.6]]=3,79,IF(NSi.TS[[#This Row],[Ped.6]]=4,69,IF(NSi.TS[[#This Row],[Ped.6]]=5,0,"-")))))</f>
        <v>-</v>
      </c>
      <c r="DA5" s="73" t="str">
        <f>IF(NSi.TS[[#This Row],[Pro-A.6]]=1,100,IF(NSi.TS[[#This Row],[Pro-A.6]]=2,89,IF(NSi.TS[[#This Row],[Pro-A.6]]=3,79,IF(NSi.TS[[#This Row],[Pro-A.6]]=4,69,IF(NSi.TS[[#This Row],[Pro-A.6]]=5,0,"-")))))</f>
        <v>-</v>
      </c>
      <c r="DB5" s="74" t="str">
        <f>IF(NSi.TS[[#This Row],[KU.7]]="A",100,IF(NSi.TS[[#This Row],[KU.7]]="B",89,IF(NSi.TS[[#This Row],[KU.7]]="C",79,IF(NSi.TS[[#This Row],[KU.7]]="D",69,IF(NSi.TS[[#This Row],[KU.7]]="E",0,"-")))))</f>
        <v>-</v>
      </c>
      <c r="DC5" s="73" t="str">
        <f>IF(NSi.TS[[#This Row],[TJ.7]]=1,100,IF(NSi.TS[[#This Row],[TJ.7]]=2,89,IF(NSi.TS[[#This Row],[TJ.7]]=3,79,IF(NSi.TS[[#This Row],[TJ.7]]=4,69,IF(NSi.TS[[#This Row],[TJ.7]]=5,0,"-")))))</f>
        <v>-</v>
      </c>
      <c r="DD5" s="73" t="str">
        <f>IF(NSi.TS[[#This Row],[Ker.7]]=1,100,IF(NSi.TS[[#This Row],[Ker.7]]=2,89,IF(NSi.TS[[#This Row],[Ker.7]]=3,79,IF(NSi.TS[[#This Row],[Ker.7]]=4,69,IF(NSi.TS[[#This Row],[Ker.7]]=5,0,"-")))))</f>
        <v>-</v>
      </c>
      <c r="DE5" s="73" t="str">
        <f>IF(NSi.TS[[#This Row],[Ped.7]]=1,100,IF(NSi.TS[[#This Row],[Ped.7]]=2,89,IF(NSi.TS[[#This Row],[Ped.7]]=3,79,IF(NSi.TS[[#This Row],[Ped.7]]=4,69,IF(NSi.TS[[#This Row],[Ped.7]]=5,0,"-")))))</f>
        <v>-</v>
      </c>
      <c r="DF5" s="73" t="str">
        <f>IF(NSi.TS[[#This Row],[Pro-A.7]]=1,100,IF(NSi.TS[[#This Row],[Pro-A.7]]=2,89,IF(NSi.TS[[#This Row],[Pro-A.7]]=3,79,IF(NSi.TS[[#This Row],[Pro-A.7]]=4,69,IF(NSi.TS[[#This Row],[Pro-A.7]]=5,0,"-")))))</f>
        <v>-</v>
      </c>
      <c r="DG5" s="74" t="str">
        <f>IF(NSi.TS[[#This Row],[KU.8]]="A",100,IF(NSi.TS[[#This Row],[KU.8]]="B",89,IF(NSi.TS[[#This Row],[KU.8]]="C",79,IF(NSi.TS[[#This Row],[KU.8]]="D",69,IF(NSi.TS[[#This Row],[KU.8]]="E",0,"-")))))</f>
        <v>-</v>
      </c>
      <c r="DH5" s="73" t="str">
        <f>IF(NSi.TS[[#This Row],[TJ.8]]=1,100,IF(NSi.TS[[#This Row],[TJ.8]]=2,89,IF(NSi.TS[[#This Row],[TJ.8]]=3,79,IF(NSi.TS[[#This Row],[TJ.8]]=4,69,IF(NSi.TS[[#This Row],[TJ.8]]=5,0,"-")))))</f>
        <v>-</v>
      </c>
      <c r="DI5" s="73" t="str">
        <f>IF(NSi.TS[[#This Row],[Ker.8]]=1,100,IF(NSi.TS[[#This Row],[Ker.8]]=2,89,IF(NSi.TS[[#This Row],[Ker.8]]=3,79,IF(NSi.TS[[#This Row],[Ker.8]]=4,69,IF(NSi.TS[[#This Row],[Ker.8]]=5,0,"-")))))</f>
        <v>-</v>
      </c>
      <c r="DJ5" s="73" t="str">
        <f>IF(NSi.TS[[#This Row],[Ped.8]]=1,100,IF(NSi.TS[[#This Row],[Ped.8]]=2,89,IF(NSi.TS[[#This Row],[Ped.8]]=3,79,IF(NSi.TS[[#This Row],[Ped.8]]=4,69,IF(NSi.TS[[#This Row],[Ped.8]]=5,0,"-")))))</f>
        <v>-</v>
      </c>
      <c r="DK5" s="73" t="str">
        <f>IF(NSi.TS[[#This Row],[Pro-A.8]]=1,100,IF(NSi.TS[[#This Row],[Pro-A.8]]=2,89,IF(NSi.TS[[#This Row],[Pro-A.8]]=3,79,IF(NSi.TS[[#This Row],[Pro-A.8]]=4,69,IF(NSi.TS[[#This Row],[Pro-A.8]]=5,0,"-")))))</f>
        <v>-</v>
      </c>
      <c r="DL5" s="74" t="str">
        <f>IF(NSi.TS[[#This Row],[KU.9]]="A",100,IF(NSi.TS[[#This Row],[KU.9]]="B",89,IF(NSi.TS[[#This Row],[KU.9]]="C",79,IF(NSi.TS[[#This Row],[KU.9]]="D",69,IF(NSi.TS[[#This Row],[KU.9]]="E",0,"-")))))</f>
        <v>-</v>
      </c>
      <c r="DM5" s="73" t="str">
        <f>IF(NSi.TS[[#This Row],[TJ.9]]=1,100,IF(NSi.TS[[#This Row],[TJ.9]]=2,89,IF(NSi.TS[[#This Row],[TJ.9]]=3,79,IF(NSi.TS[[#This Row],[TJ.9]]=4,69,IF(NSi.TS[[#This Row],[TJ.9]]=5,0,"-")))))</f>
        <v>-</v>
      </c>
      <c r="DN5" s="73" t="str">
        <f>IF(NSi.TS[[#This Row],[Ker.9]]=1,100,IF(NSi.TS[[#This Row],[Ker.9]]=2,89,IF(NSi.TS[[#This Row],[Ker.9]]=3,79,IF(NSi.TS[[#This Row],[Ker.9]]=4,69,IF(NSi.TS[[#This Row],[Ker.9]]=5,0,"-")))))</f>
        <v>-</v>
      </c>
      <c r="DO5" s="73" t="str">
        <f>IF(NSi.TS[[#This Row],[Ped.9]]=1,100,IF(NSi.TS[[#This Row],[Ped.9]]=2,89,IF(NSi.TS[[#This Row],[Ped.9]]=3,79,IF(NSi.TS[[#This Row],[Ped.9]]=4,69,IF(NSi.TS[[#This Row],[Ped.9]]=5,0,"-")))))</f>
        <v>-</v>
      </c>
      <c r="DP5" s="73" t="str">
        <f>IF(NSi.TS[[#This Row],[Pro-A.9]]=1,100,IF(NSi.TS[[#This Row],[Pro-A.9]]=2,89,IF(NSi.TS[[#This Row],[Pro-A.9]]=3,79,IF(NSi.TS[[#This Row],[Pro-A.9]]=4,69,IF(NSi.TS[[#This Row],[Pro-A.9]]=5,0,"-")))))</f>
        <v>-</v>
      </c>
    </row>
    <row r="6" spans="1:120" ht="50.1" customHeight="1" x14ac:dyDescent="0.3">
      <c r="A6" s="82">
        <v>4</v>
      </c>
      <c r="B6" s="90"/>
      <c r="C6" s="91"/>
      <c r="D6" s="87"/>
      <c r="E6" s="46"/>
      <c r="F6" s="44" t="str">
        <f>IFERROR(ROUND(AVERAGE(CSCR[#This Row]),0),"")</f>
        <v/>
      </c>
      <c r="G6" s="41" t="s">
        <v>102</v>
      </c>
      <c r="H6" s="45" t="s">
        <v>102</v>
      </c>
      <c r="I6" s="45" t="s">
        <v>102</v>
      </c>
      <c r="J6" s="45" t="s">
        <v>102</v>
      </c>
      <c r="K6" s="45" t="s">
        <v>102</v>
      </c>
      <c r="L6" s="41" t="s">
        <v>102</v>
      </c>
      <c r="M6" s="45" t="s">
        <v>102</v>
      </c>
      <c r="N6" s="45" t="s">
        <v>102</v>
      </c>
      <c r="O6" s="45" t="s">
        <v>102</v>
      </c>
      <c r="P6" s="45" t="s">
        <v>102</v>
      </c>
      <c r="Q6" s="41" t="s">
        <v>102</v>
      </c>
      <c r="R6" s="45" t="s">
        <v>102</v>
      </c>
      <c r="S6" s="45" t="s">
        <v>102</v>
      </c>
      <c r="T6" s="45" t="s">
        <v>102</v>
      </c>
      <c r="U6" s="45" t="s">
        <v>102</v>
      </c>
      <c r="V6" s="41" t="s">
        <v>102</v>
      </c>
      <c r="W6" s="45" t="s">
        <v>102</v>
      </c>
      <c r="X6" s="45" t="s">
        <v>102</v>
      </c>
      <c r="Y6" s="45" t="s">
        <v>102</v>
      </c>
      <c r="Z6" s="45" t="s">
        <v>102</v>
      </c>
      <c r="AA6" s="41" t="s">
        <v>102</v>
      </c>
      <c r="AB6" s="45" t="s">
        <v>102</v>
      </c>
      <c r="AC6" s="45" t="s">
        <v>102</v>
      </c>
      <c r="AD6" s="45" t="s">
        <v>102</v>
      </c>
      <c r="AE6" s="45" t="s">
        <v>102</v>
      </c>
      <c r="AF6" s="41" t="s">
        <v>102</v>
      </c>
      <c r="AG6" s="45" t="s">
        <v>102</v>
      </c>
      <c r="AH6" s="45" t="s">
        <v>102</v>
      </c>
      <c r="AI6" s="45" t="s">
        <v>102</v>
      </c>
      <c r="AJ6" s="45" t="s">
        <v>102</v>
      </c>
      <c r="AK6" s="41" t="s">
        <v>102</v>
      </c>
      <c r="AL6" s="45" t="s">
        <v>102</v>
      </c>
      <c r="AM6" s="45" t="s">
        <v>102</v>
      </c>
      <c r="AN6" s="45" t="s">
        <v>102</v>
      </c>
      <c r="AO6" s="45" t="s">
        <v>102</v>
      </c>
      <c r="AP6" s="41" t="s">
        <v>102</v>
      </c>
      <c r="AQ6" s="45" t="s">
        <v>102</v>
      </c>
      <c r="AR6" s="45" t="s">
        <v>102</v>
      </c>
      <c r="AS6" s="45" t="s">
        <v>102</v>
      </c>
      <c r="AT6" s="45" t="s">
        <v>102</v>
      </c>
      <c r="AU6" s="41" t="s">
        <v>102</v>
      </c>
      <c r="AV6" s="45" t="s">
        <v>102</v>
      </c>
      <c r="AW6" s="45" t="s">
        <v>102</v>
      </c>
      <c r="AX6" s="45" t="s">
        <v>102</v>
      </c>
      <c r="AY6" s="45" t="s">
        <v>102</v>
      </c>
      <c r="BA6" s="10" t="str">
        <f>CONCATENATE(NSi.TS[[#This Row],[KU.1]],(IF(A.LoE[[#This Row],[LE.1]]="-","-",IF(A.LoE[[#This Row],[LE.1]]&gt;=90,1,IF(A.LoE[[#This Row],[LE.1]]&gt;=80,2,IF(A.LoE[[#This Row],[LE.1]]&gt;=70,3,IF(A.LoE[[#This Row],[LE.1]]&gt;=1,4,5)))))))</f>
        <v>--</v>
      </c>
      <c r="BB6" s="46" t="str">
        <f>CONCATENATE(NSi.TS[[#This Row],[KU.2]],(IF(A.LoE[[#This Row],[LE.2]]="-","-",IF(A.LoE[[#This Row],[LE.2]]&gt;=90,1,IF(A.LoE[[#This Row],[LE.2]]&gt;=80,2,IF(A.LoE[[#This Row],[LE.2]]&gt;=70,3,IF(A.LoE[[#This Row],[LE.2]]&gt;=1,4,5)))))))</f>
        <v>--</v>
      </c>
      <c r="BC6" s="46" t="str">
        <f>CONCATENATE(NSi.TS[[#This Row],[KU.3]],(IF(A.LoE[[#This Row],[LE.3]]="-","-",IF(A.LoE[[#This Row],[LE.3]]&gt;=90,1,IF(A.LoE[[#This Row],[LE.3]]&gt;=80,2,IF(A.LoE[[#This Row],[LE.3]]&gt;=70,3,IF(A.LoE[[#This Row],[LE.3]]&gt;=1,4,5)))))))</f>
        <v>--</v>
      </c>
      <c r="BD6" s="46" t="str">
        <f>CONCATENATE(NSi.TS[[#This Row],[KU.4]],(IF(A.LoE[[#This Row],[LE.4]]="-","-",IF(A.LoE[[#This Row],[LE.4]]&gt;=90,1,IF(A.LoE[[#This Row],[LE.4]]&gt;=80,2,IF(A.LoE[[#This Row],[LE.4]]&gt;=70,3,IF(A.LoE[[#This Row],[LE.4]]&gt;=1,4,5)))))))</f>
        <v>--</v>
      </c>
      <c r="BE6" s="46" t="str">
        <f>CONCATENATE(NSi.TS[[#This Row],[KU.5]],(IF(A.LoE[[#This Row],[LE.5]]="-","-",IF(A.LoE[[#This Row],[LE.5]]&gt;=90,1,IF(A.LoE[[#This Row],[LE.5]]&gt;=80,2,IF(A.LoE[[#This Row],[LE.5]]&gt;=70,3,IF(A.LoE[[#This Row],[LE.5]]&gt;=1,4,5)))))))</f>
        <v>--</v>
      </c>
      <c r="BF6" s="46" t="str">
        <f>CONCATENATE(NSi.TS[[#This Row],[KU.6]],(IF(A.LoE[[#This Row],[LE.6]]="-","-",IF(A.LoE[[#This Row],[LE.6]]&gt;=90,1,IF(A.LoE[[#This Row],[LE.6]]&gt;=80,2,IF(A.LoE[[#This Row],[LE.6]]&gt;=70,3,IF(A.LoE[[#This Row],[LE.6]]&gt;=1,4,5)))))))</f>
        <v>--</v>
      </c>
      <c r="BG6" s="46" t="str">
        <f>CONCATENATE(NSi.TS[[#This Row],[KU.7]],(IF(A.LoE[[#This Row],[LE.7]]="-","-",IF(A.LoE[[#This Row],[LE.7]]&gt;=90,1,IF(A.LoE[[#This Row],[LE.7]]&gt;=80,2,IF(A.LoE[[#This Row],[LE.7]]&gt;=70,3,IF(A.LoE[[#This Row],[LE.7]]&gt;=1,4,5)))))))</f>
        <v>--</v>
      </c>
      <c r="BH6" s="46" t="str">
        <f>CONCATENATE(NSi.TS[[#This Row],[KU.8]],(IF(A.LoE[[#This Row],[LE.8]]="-","-",IF(A.LoE[[#This Row],[LE.8]]&gt;=90,1,IF(A.LoE[[#This Row],[LE.8]]&gt;=80,2,IF(A.LoE[[#This Row],[LE.8]]&gt;=70,3,IF(A.LoE[[#This Row],[LE.8]]&gt;=1,4,5)))))))</f>
        <v>--</v>
      </c>
      <c r="BI6" s="38" t="str">
        <f>CONCATENATE(NSi.TS[[#This Row],[KU.9]],(IF(A.LoE[[#This Row],[LE.9]]="-","-",IF(A.LoE[[#This Row],[LE.9]]&gt;=90,1,IF(A.LoE[[#This Row],[LE.9]]&gt;=80,2,IF(A.LoE[[#This Row],[LE.9]]&gt;=70,3,IF(A.LoE[[#This Row],[LE.9]]&gt;=1,4,5)))))))</f>
        <v>--</v>
      </c>
      <c r="BK6" s="35" t="str">
        <f>IFERROR(ROUND(AVERAGE(Con.Sk[[#This Row],[TJ.1]:[Pro-A.1]]),0),"-")</f>
        <v>-</v>
      </c>
      <c r="BL6" s="24" t="str">
        <f>IFERROR(ROUND(AVERAGE(Con.Sk[[#This Row],[TJ.2]:[Pro-A.2]]),0),"-")</f>
        <v>-</v>
      </c>
      <c r="BM6" s="24" t="str">
        <f>IFERROR(ROUND(AVERAGE(Con.Sk[[#This Row],[TJ.3]:[Pro-A.3]]),0),"-")</f>
        <v>-</v>
      </c>
      <c r="BN6" s="24" t="str">
        <f>IFERROR(ROUND(AVERAGE(Con.Sk[[#This Row],[TJ.4]:[Pro-A.4]]),0),"-")</f>
        <v>-</v>
      </c>
      <c r="BO6" s="24" t="str">
        <f>IFERROR(ROUND(AVERAGE(Con.Sk[[#This Row],[TJ.5]:[Pro-A.5]]),0),"-")</f>
        <v>-</v>
      </c>
      <c r="BP6" s="24" t="str">
        <f>IFERROR(ROUND(AVERAGE(Con.Sk[[#This Row],[TJ.6]:[Pro-A.6]]),0),"-")</f>
        <v>-</v>
      </c>
      <c r="BQ6" s="24" t="str">
        <f>IFERROR(ROUND(AVERAGE(Con.Sk[[#This Row],[TJ.7]:[Pro-A.7]]),0),"-")</f>
        <v>-</v>
      </c>
      <c r="BR6" s="24" t="str">
        <f>IFERROR(ROUND(AVERAGE(Con.Sk[[#This Row],[TJ.8]:[Pro-A.8]]),0),"-")</f>
        <v>-</v>
      </c>
      <c r="BS6" s="25" t="str">
        <f>IFERROR(ROUND(AVERAGE(Con.Sk[[#This Row],[TJ.9]:[Pro-A.9]]),0),"-")</f>
        <v>-</v>
      </c>
      <c r="BU6" s="47" t="str">
        <f>IFERROR(ROUND(AVERAGE(Con.Sk[[#This Row],[KU.1]],Con.Sk[[#This Row],[KU.2]],Con.Sk[[#This Row],[KU.3]],Con.Sk[[#This Row],[KU.4]],Con.Sk[[#This Row],[KU.5]],Con.Sk[[#This Row],[KU.6]],Con.Sk[[#This Row],[KU.7]],Con.Sk[[#This Row],[KU.8]],Con.Sk[[#This Row],[KU.9]]),0),"")</f>
        <v/>
      </c>
      <c r="BV6" s="48" t="str">
        <f>IFERROR(ROUND(AVERAGE(Con.Sk[[#This Row],[TJ.1]:[Pro-A.1]],Con.Sk[[#This Row],[TJ.2]:[Pro-A.2]],Con.Sk[[#This Row],[TJ.3]:[Pro-A.3]],Con.Sk[[#This Row],[TJ.4]:[Pro-A.4]],Con.Sk[[#This Row],[TJ.5]:[Pro-A.5]],Con.Sk[[#This Row],[TJ.6]:[Pro-A.6]],Con.Sk[[#This Row],[TJ.7]:[Pro-A.7]],Con.Sk[[#This Row],[TJ.8]:[Pro-A.8]],Con.Sk[[#This Row],[TJ.9]:[Pro-A.9]]),0),"")</f>
        <v/>
      </c>
      <c r="BW6" s="3"/>
      <c r="BX6" s="73" t="str">
        <f>IF(NSi.TS[[#This Row],[KU.1]]="A",100,IF(NSi.TS[[#This Row],[KU.1]]="B",89,IF(NSi.TS[[#This Row],[KU.1]]="C",79,IF(NSi.TS[[#This Row],[KU.1]]="D",69,IF(NSi.TS[[#This Row],[KU.1]]="E",0,"-")))))</f>
        <v>-</v>
      </c>
      <c r="BY6" s="73" t="str">
        <f>IF(NSi.TS[[#This Row],[TJ.1]]=1,100,IF(NSi.TS[[#This Row],[TJ.1]]=2,89,IF(NSi.TS[[#This Row],[TJ.1]]=3,79,IF(NSi.TS[[#This Row],[TJ.1]]=4,69,IF(NSi.TS[[#This Row],[TJ.1]]=5,0,"-")))))</f>
        <v>-</v>
      </c>
      <c r="BZ6" s="73" t="str">
        <f>IF(NSi.TS[[#This Row],[Ker.1]]=1,100,IF(NSi.TS[[#This Row],[Ker.1]]=2,89,IF(NSi.TS[[#This Row],[Ker.1]]=3,79,IF(NSi.TS[[#This Row],[Ker.1]]=4,69,IF(NSi.TS[[#This Row],[Ker.1]]=5,0,"-")))))</f>
        <v>-</v>
      </c>
      <c r="CA6" s="73" t="str">
        <f>IF(NSi.TS[[#This Row],[Ped.1]]=1,100,IF(NSi.TS[[#This Row],[Ped.1]]=2,89,IF(NSi.TS[[#This Row],[Ped.1]]=3,79,IF(NSi.TS[[#This Row],[Ped.1]]=4,69,IF(NSi.TS[[#This Row],[Ped.1]]=5,0,"-")))))</f>
        <v>-</v>
      </c>
      <c r="CB6" s="73" t="str">
        <f>IF(NSi.TS[[#This Row],[Pro-A.1]]=1,100,IF(NSi.TS[[#This Row],[Pro-A.1]]=2,89,IF(NSi.TS[[#This Row],[Pro-A.1]]=3,79,IF(NSi.TS[[#This Row],[Pro-A.1]]=4,69,IF(NSi.TS[[#This Row],[Pro-A.1]]=5,0,"-")))))</f>
        <v>-</v>
      </c>
      <c r="CC6" s="73" t="str">
        <f>IF(NSi.TS[[#This Row],[KU.2]]="A",100,IF(NSi.TS[[#This Row],[KU.2]]="B",89,IF(NSi.TS[[#This Row],[KU.2]]="C",79,IF(NSi.TS[[#This Row],[KU.2]]="D",69,IF(NSi.TS[[#This Row],[KU.2]]="E",0,"-")))))</f>
        <v>-</v>
      </c>
      <c r="CD6" s="73" t="str">
        <f>IF(NSi.TS[[#This Row],[TJ.2]]=1,100,IF(NSi.TS[[#This Row],[TJ.2]]=2,89,IF(NSi.TS[[#This Row],[TJ.2]]=3,79,IF(NSi.TS[[#This Row],[TJ.2]]=4,69,IF(NSi.TS[[#This Row],[TJ.2]]=5,0,"-")))))</f>
        <v>-</v>
      </c>
      <c r="CE6" s="73" t="str">
        <f>IF(NSi.TS[[#This Row],[Ker.2]]=1,100,IF(NSi.TS[[#This Row],[Ker.2]]=2,89,IF(NSi.TS[[#This Row],[Ker.2]]=3,79,IF(NSi.TS[[#This Row],[Ker.2]]=4,69,IF(NSi.TS[[#This Row],[Ker.2]]=5,0,"-")))))</f>
        <v>-</v>
      </c>
      <c r="CF6" s="73" t="str">
        <f>IF(NSi.TS[[#This Row],[Ped.2]]=1,100,IF(NSi.TS[[#This Row],[Ped.2]]=2,89,IF(NSi.TS[[#This Row],[Ped.2]]=3,79,IF(NSi.TS[[#This Row],[Ped.2]]=4,69,IF(NSi.TS[[#This Row],[Ped.2]]=5,0,"-")))))</f>
        <v>-</v>
      </c>
      <c r="CG6" s="73" t="str">
        <f>IF(NSi.TS[[#This Row],[Pro-A.2]]=1,100,IF(NSi.TS[[#This Row],[Pro-A.2]]=2,89,IF(NSi.TS[[#This Row],[Pro-A.2]]=3,79,IF(NSi.TS[[#This Row],[Pro-A.2]]=4,69,IF(NSi.TS[[#This Row],[Pro-A.2]]=5,0,"-")))))</f>
        <v>-</v>
      </c>
      <c r="CH6" s="74" t="str">
        <f>IF(NSi.TS[[#This Row],[KU.3]]="A",100,IF(NSi.TS[[#This Row],[KU.3]]="B",89,IF(NSi.TS[[#This Row],[KU.3]]="C",79,IF(NSi.TS[[#This Row],[KU.3]]="D",69,IF(NSi.TS[[#This Row],[KU.3]]="E",0,"-")))))</f>
        <v>-</v>
      </c>
      <c r="CI6" s="73" t="str">
        <f>IF(NSi.TS[[#This Row],[TJ.3]]=1,100,IF(NSi.TS[[#This Row],[TJ.3]]=2,89,IF(NSi.TS[[#This Row],[TJ.3]]=3,79,IF(NSi.TS[[#This Row],[TJ.3]]=4,69,IF(NSi.TS[[#This Row],[TJ.3]]=5,0,"-")))))</f>
        <v>-</v>
      </c>
      <c r="CJ6" s="73" t="str">
        <f>IF(NSi.TS[[#This Row],[Ker.3]]=1,100,IF(NSi.TS[[#This Row],[Ker.3]]=2,89,IF(NSi.TS[[#This Row],[Ker.3]]=3,79,IF(NSi.TS[[#This Row],[Ker.3]]=4,69,IF(NSi.TS[[#This Row],[Ker.3]]=5,0,"-")))))</f>
        <v>-</v>
      </c>
      <c r="CK6" s="73" t="str">
        <f>IF(NSi.TS[[#This Row],[Ped.3]]=1,100,IF(NSi.TS[[#This Row],[Ped.3]]=2,89,IF(NSi.TS[[#This Row],[Ped.3]]=3,79,IF(NSi.TS[[#This Row],[Ped.3]]=4,69,IF(NSi.TS[[#This Row],[Ped.3]]=5,0,"-")))))</f>
        <v>-</v>
      </c>
      <c r="CL6" s="73" t="str">
        <f>IF(NSi.TS[[#This Row],[Pro-A.3]]=1,100,IF(NSi.TS[[#This Row],[Pro-A.3]]=2,89,IF(NSi.TS[[#This Row],[Pro-A.3]]=3,79,IF(NSi.TS[[#This Row],[Pro-A.3]]=4,69,IF(NSi.TS[[#This Row],[Pro-A.3]]=5,0,"-")))))</f>
        <v>-</v>
      </c>
      <c r="CM6" s="74" t="str">
        <f>IF(NSi.TS[[#This Row],[KU.4]]="A",100,IF(NSi.TS[[#This Row],[KU.4]]="B",89,IF(NSi.TS[[#This Row],[KU.4]]="C",79,IF(NSi.TS[[#This Row],[KU.4]]="D",69,IF(NSi.TS[[#This Row],[KU.4]]="E",0,"-")))))</f>
        <v>-</v>
      </c>
      <c r="CN6" s="73" t="str">
        <f>IF(NSi.TS[[#This Row],[TJ.4]]=1,100,IF(NSi.TS[[#This Row],[TJ.4]]=2,89,IF(NSi.TS[[#This Row],[TJ.4]]=3,79,IF(NSi.TS[[#This Row],[TJ.4]]=4,69,IF(NSi.TS[[#This Row],[TJ.4]]=5,0,"-")))))</f>
        <v>-</v>
      </c>
      <c r="CO6" s="73" t="str">
        <f>IF(NSi.TS[[#This Row],[Ker.4]]=1,100,IF(NSi.TS[[#This Row],[Ker.4]]=2,89,IF(NSi.TS[[#This Row],[Ker.4]]=3,79,IF(NSi.TS[[#This Row],[Ker.4]]=4,69,IF(NSi.TS[[#This Row],[Ker.4]]=5,0,"-")))))</f>
        <v>-</v>
      </c>
      <c r="CP6" s="73" t="str">
        <f>IF(NSi.TS[[#This Row],[Ped.4]]=1,100,IF(NSi.TS[[#This Row],[Ped.4]]=2,89,IF(NSi.TS[[#This Row],[Ped.4]]=3,79,IF(NSi.TS[[#This Row],[Ped.4]]=4,69,IF(NSi.TS[[#This Row],[Ped.4]]=5,0,"-")))))</f>
        <v>-</v>
      </c>
      <c r="CQ6" s="73" t="str">
        <f>IF(NSi.TS[[#This Row],[Pro-A.4]]=1,100,IF(NSi.TS[[#This Row],[Pro-A.4]]=2,89,IF(NSi.TS[[#This Row],[Pro-A.4]]=3,79,IF(NSi.TS[[#This Row],[Pro-A.4]]=4,69,IF(NSi.TS[[#This Row],[Pro-A.4]]=5,0,"-")))))</f>
        <v>-</v>
      </c>
      <c r="CR6" s="74" t="str">
        <f>IF(NSi.TS[[#This Row],[KU.5]]="A",100,IF(NSi.TS[[#This Row],[KU.5]]="B",89,IF(NSi.TS[[#This Row],[KU.5]]="C",79,IF(NSi.TS[[#This Row],[KU.5]]="D",69,IF(NSi.TS[[#This Row],[KU.5]]="E",0,"-")))))</f>
        <v>-</v>
      </c>
      <c r="CS6" s="73" t="str">
        <f>IF(NSi.TS[[#This Row],[TJ.5]]=1,100,IF(NSi.TS[[#This Row],[TJ.5]]=2,89,IF(NSi.TS[[#This Row],[TJ.5]]=3,79,IF(NSi.TS[[#This Row],[TJ.5]]=4,69,IF(NSi.TS[[#This Row],[TJ.5]]=5,0,"-")))))</f>
        <v>-</v>
      </c>
      <c r="CT6" s="73" t="str">
        <f>IF(NSi.TS[[#This Row],[Ker.5]]=1,100,IF(NSi.TS[[#This Row],[Ker.5]]=2,89,IF(NSi.TS[[#This Row],[Ker.5]]=3,79,IF(NSi.TS[[#This Row],[Ker.5]]=4,69,IF(NSi.TS[[#This Row],[Ker.5]]=5,0,"-")))))</f>
        <v>-</v>
      </c>
      <c r="CU6" s="73" t="str">
        <f>IF(NSi.TS[[#This Row],[Ped.5]]=1,100,IF(NSi.TS[[#This Row],[Ped.5]]=2,89,IF(NSi.TS[[#This Row],[Ped.5]]=3,79,IF(NSi.TS[[#This Row],[Ped.5]]=4,69,IF(NSi.TS[[#This Row],[Ped.5]]=5,0,"-")))))</f>
        <v>-</v>
      </c>
      <c r="CV6" s="73" t="str">
        <f>IF(NSi.TS[[#This Row],[Pro-A.5]]=1,100,IF(NSi.TS[[#This Row],[Pro-A.5]]=2,89,IF(NSi.TS[[#This Row],[Pro-A.5]]=3,79,IF(NSi.TS[[#This Row],[Pro-A.5]]=4,69,IF(NSi.TS[[#This Row],[Pro-A.5]]=5,0,"-")))))</f>
        <v>-</v>
      </c>
      <c r="CW6" s="74" t="str">
        <f>IF(NSi.TS[[#This Row],[KU.6]]="A",100,IF(NSi.TS[[#This Row],[KU.6]]="B",89,IF(NSi.TS[[#This Row],[KU.6]]="C",79,IF(NSi.TS[[#This Row],[KU.6]]="D",69,IF(NSi.TS[[#This Row],[KU.6]]="E",0,"-")))))</f>
        <v>-</v>
      </c>
      <c r="CX6" s="73" t="str">
        <f>IF(NSi.TS[[#This Row],[TJ.6]]=1,100,IF(NSi.TS[[#This Row],[TJ.6]]=2,89,IF(NSi.TS[[#This Row],[TJ.6]]=3,79,IF(NSi.TS[[#This Row],[TJ.6]]=4,69,IF(NSi.TS[[#This Row],[TJ.6]]=5,0,"-")))))</f>
        <v>-</v>
      </c>
      <c r="CY6" s="73" t="str">
        <f>IF(NSi.TS[[#This Row],[Ker.6]]=1,100,IF(NSi.TS[[#This Row],[Ker.6]]=2,89,IF(NSi.TS[[#This Row],[Ker.6]]=3,79,IF(NSi.TS[[#This Row],[Ker.6]]=4,69,IF(NSi.TS[[#This Row],[Ker.6]]=5,0,"-")))))</f>
        <v>-</v>
      </c>
      <c r="CZ6" s="73" t="str">
        <f>IF(NSi.TS[[#This Row],[Ped.6]]=1,100,IF(NSi.TS[[#This Row],[Ped.6]]=2,89,IF(NSi.TS[[#This Row],[Ped.6]]=3,79,IF(NSi.TS[[#This Row],[Ped.6]]=4,69,IF(NSi.TS[[#This Row],[Ped.6]]=5,0,"-")))))</f>
        <v>-</v>
      </c>
      <c r="DA6" s="73" t="str">
        <f>IF(NSi.TS[[#This Row],[Pro-A.6]]=1,100,IF(NSi.TS[[#This Row],[Pro-A.6]]=2,89,IF(NSi.TS[[#This Row],[Pro-A.6]]=3,79,IF(NSi.TS[[#This Row],[Pro-A.6]]=4,69,IF(NSi.TS[[#This Row],[Pro-A.6]]=5,0,"-")))))</f>
        <v>-</v>
      </c>
      <c r="DB6" s="74" t="str">
        <f>IF(NSi.TS[[#This Row],[KU.7]]="A",100,IF(NSi.TS[[#This Row],[KU.7]]="B",89,IF(NSi.TS[[#This Row],[KU.7]]="C",79,IF(NSi.TS[[#This Row],[KU.7]]="D",69,IF(NSi.TS[[#This Row],[KU.7]]="E",0,"-")))))</f>
        <v>-</v>
      </c>
      <c r="DC6" s="73" t="str">
        <f>IF(NSi.TS[[#This Row],[TJ.7]]=1,100,IF(NSi.TS[[#This Row],[TJ.7]]=2,89,IF(NSi.TS[[#This Row],[TJ.7]]=3,79,IF(NSi.TS[[#This Row],[TJ.7]]=4,69,IF(NSi.TS[[#This Row],[TJ.7]]=5,0,"-")))))</f>
        <v>-</v>
      </c>
      <c r="DD6" s="73" t="str">
        <f>IF(NSi.TS[[#This Row],[Ker.7]]=1,100,IF(NSi.TS[[#This Row],[Ker.7]]=2,89,IF(NSi.TS[[#This Row],[Ker.7]]=3,79,IF(NSi.TS[[#This Row],[Ker.7]]=4,69,IF(NSi.TS[[#This Row],[Ker.7]]=5,0,"-")))))</f>
        <v>-</v>
      </c>
      <c r="DE6" s="73" t="str">
        <f>IF(NSi.TS[[#This Row],[Ped.7]]=1,100,IF(NSi.TS[[#This Row],[Ped.7]]=2,89,IF(NSi.TS[[#This Row],[Ped.7]]=3,79,IF(NSi.TS[[#This Row],[Ped.7]]=4,69,IF(NSi.TS[[#This Row],[Ped.7]]=5,0,"-")))))</f>
        <v>-</v>
      </c>
      <c r="DF6" s="73" t="str">
        <f>IF(NSi.TS[[#This Row],[Pro-A.7]]=1,100,IF(NSi.TS[[#This Row],[Pro-A.7]]=2,89,IF(NSi.TS[[#This Row],[Pro-A.7]]=3,79,IF(NSi.TS[[#This Row],[Pro-A.7]]=4,69,IF(NSi.TS[[#This Row],[Pro-A.7]]=5,0,"-")))))</f>
        <v>-</v>
      </c>
      <c r="DG6" s="74" t="str">
        <f>IF(NSi.TS[[#This Row],[KU.8]]="A",100,IF(NSi.TS[[#This Row],[KU.8]]="B",89,IF(NSi.TS[[#This Row],[KU.8]]="C",79,IF(NSi.TS[[#This Row],[KU.8]]="D",69,IF(NSi.TS[[#This Row],[KU.8]]="E",0,"-")))))</f>
        <v>-</v>
      </c>
      <c r="DH6" s="73" t="str">
        <f>IF(NSi.TS[[#This Row],[TJ.8]]=1,100,IF(NSi.TS[[#This Row],[TJ.8]]=2,89,IF(NSi.TS[[#This Row],[TJ.8]]=3,79,IF(NSi.TS[[#This Row],[TJ.8]]=4,69,IF(NSi.TS[[#This Row],[TJ.8]]=5,0,"-")))))</f>
        <v>-</v>
      </c>
      <c r="DI6" s="73" t="str">
        <f>IF(NSi.TS[[#This Row],[Ker.8]]=1,100,IF(NSi.TS[[#This Row],[Ker.8]]=2,89,IF(NSi.TS[[#This Row],[Ker.8]]=3,79,IF(NSi.TS[[#This Row],[Ker.8]]=4,69,IF(NSi.TS[[#This Row],[Ker.8]]=5,0,"-")))))</f>
        <v>-</v>
      </c>
      <c r="DJ6" s="73" t="str">
        <f>IF(NSi.TS[[#This Row],[Ped.8]]=1,100,IF(NSi.TS[[#This Row],[Ped.8]]=2,89,IF(NSi.TS[[#This Row],[Ped.8]]=3,79,IF(NSi.TS[[#This Row],[Ped.8]]=4,69,IF(NSi.TS[[#This Row],[Ped.8]]=5,0,"-")))))</f>
        <v>-</v>
      </c>
      <c r="DK6" s="73" t="str">
        <f>IF(NSi.TS[[#This Row],[Pro-A.8]]=1,100,IF(NSi.TS[[#This Row],[Pro-A.8]]=2,89,IF(NSi.TS[[#This Row],[Pro-A.8]]=3,79,IF(NSi.TS[[#This Row],[Pro-A.8]]=4,69,IF(NSi.TS[[#This Row],[Pro-A.8]]=5,0,"-")))))</f>
        <v>-</v>
      </c>
      <c r="DL6" s="74" t="str">
        <f>IF(NSi.TS[[#This Row],[KU.9]]="A",100,IF(NSi.TS[[#This Row],[KU.9]]="B",89,IF(NSi.TS[[#This Row],[KU.9]]="C",79,IF(NSi.TS[[#This Row],[KU.9]]="D",69,IF(NSi.TS[[#This Row],[KU.9]]="E",0,"-")))))</f>
        <v>-</v>
      </c>
      <c r="DM6" s="73" t="str">
        <f>IF(NSi.TS[[#This Row],[TJ.9]]=1,100,IF(NSi.TS[[#This Row],[TJ.9]]=2,89,IF(NSi.TS[[#This Row],[TJ.9]]=3,79,IF(NSi.TS[[#This Row],[TJ.9]]=4,69,IF(NSi.TS[[#This Row],[TJ.9]]=5,0,"-")))))</f>
        <v>-</v>
      </c>
      <c r="DN6" s="73" t="str">
        <f>IF(NSi.TS[[#This Row],[Ker.9]]=1,100,IF(NSi.TS[[#This Row],[Ker.9]]=2,89,IF(NSi.TS[[#This Row],[Ker.9]]=3,79,IF(NSi.TS[[#This Row],[Ker.9]]=4,69,IF(NSi.TS[[#This Row],[Ker.9]]=5,0,"-")))))</f>
        <v>-</v>
      </c>
      <c r="DO6" s="73" t="str">
        <f>IF(NSi.TS[[#This Row],[Ped.9]]=1,100,IF(NSi.TS[[#This Row],[Ped.9]]=2,89,IF(NSi.TS[[#This Row],[Ped.9]]=3,79,IF(NSi.TS[[#This Row],[Ped.9]]=4,69,IF(NSi.TS[[#This Row],[Ped.9]]=5,0,"-")))))</f>
        <v>-</v>
      </c>
      <c r="DP6" s="73" t="str">
        <f>IF(NSi.TS[[#This Row],[Pro-A.9]]=1,100,IF(NSi.TS[[#This Row],[Pro-A.9]]=2,89,IF(NSi.TS[[#This Row],[Pro-A.9]]=3,79,IF(NSi.TS[[#This Row],[Pro-A.9]]=4,69,IF(NSi.TS[[#This Row],[Pro-A.9]]=5,0,"-")))))</f>
        <v>-</v>
      </c>
    </row>
    <row r="7" spans="1:120" ht="50.1" customHeight="1" x14ac:dyDescent="0.3">
      <c r="A7" s="82">
        <v>5</v>
      </c>
      <c r="B7" s="90"/>
      <c r="C7" s="91"/>
      <c r="D7" s="87"/>
      <c r="E7" s="46"/>
      <c r="F7" s="44" t="str">
        <f>IFERROR(ROUND(AVERAGE(CSCR[#This Row]),0),"")</f>
        <v/>
      </c>
      <c r="G7" s="41" t="s">
        <v>102</v>
      </c>
      <c r="H7" s="45" t="s">
        <v>102</v>
      </c>
      <c r="I7" s="45" t="s">
        <v>102</v>
      </c>
      <c r="J7" s="45" t="s">
        <v>102</v>
      </c>
      <c r="K7" s="45" t="s">
        <v>102</v>
      </c>
      <c r="L7" s="41" t="s">
        <v>102</v>
      </c>
      <c r="M7" s="45" t="s">
        <v>102</v>
      </c>
      <c r="N7" s="45" t="s">
        <v>102</v>
      </c>
      <c r="O7" s="45" t="s">
        <v>102</v>
      </c>
      <c r="P7" s="45" t="s">
        <v>102</v>
      </c>
      <c r="Q7" s="41" t="s">
        <v>102</v>
      </c>
      <c r="R7" s="45" t="s">
        <v>102</v>
      </c>
      <c r="S7" s="45" t="s">
        <v>102</v>
      </c>
      <c r="T7" s="45" t="s">
        <v>102</v>
      </c>
      <c r="U7" s="45" t="s">
        <v>102</v>
      </c>
      <c r="V7" s="41" t="s">
        <v>102</v>
      </c>
      <c r="W7" s="45" t="s">
        <v>102</v>
      </c>
      <c r="X7" s="45" t="s">
        <v>102</v>
      </c>
      <c r="Y7" s="45" t="s">
        <v>102</v>
      </c>
      <c r="Z7" s="45" t="s">
        <v>102</v>
      </c>
      <c r="AA7" s="41" t="s">
        <v>102</v>
      </c>
      <c r="AB7" s="45" t="s">
        <v>102</v>
      </c>
      <c r="AC7" s="45" t="s">
        <v>102</v>
      </c>
      <c r="AD7" s="45" t="s">
        <v>102</v>
      </c>
      <c r="AE7" s="45" t="s">
        <v>102</v>
      </c>
      <c r="AF7" s="41" t="s">
        <v>102</v>
      </c>
      <c r="AG7" s="45" t="s">
        <v>102</v>
      </c>
      <c r="AH7" s="45" t="s">
        <v>102</v>
      </c>
      <c r="AI7" s="45" t="s">
        <v>102</v>
      </c>
      <c r="AJ7" s="45" t="s">
        <v>102</v>
      </c>
      <c r="AK7" s="41" t="s">
        <v>102</v>
      </c>
      <c r="AL7" s="45" t="s">
        <v>102</v>
      </c>
      <c r="AM7" s="45" t="s">
        <v>102</v>
      </c>
      <c r="AN7" s="45" t="s">
        <v>102</v>
      </c>
      <c r="AO7" s="45" t="s">
        <v>102</v>
      </c>
      <c r="AP7" s="41" t="s">
        <v>102</v>
      </c>
      <c r="AQ7" s="45" t="s">
        <v>102</v>
      </c>
      <c r="AR7" s="45" t="s">
        <v>102</v>
      </c>
      <c r="AS7" s="45" t="s">
        <v>102</v>
      </c>
      <c r="AT7" s="45" t="s">
        <v>102</v>
      </c>
      <c r="AU7" s="41" t="s">
        <v>102</v>
      </c>
      <c r="AV7" s="45" t="s">
        <v>102</v>
      </c>
      <c r="AW7" s="45" t="s">
        <v>102</v>
      </c>
      <c r="AX7" s="45" t="s">
        <v>102</v>
      </c>
      <c r="AY7" s="45" t="s">
        <v>102</v>
      </c>
      <c r="BA7" s="10" t="str">
        <f>CONCATENATE(NSi.TS[[#This Row],[KU.1]],(IF(A.LoE[[#This Row],[LE.1]]="-","-",IF(A.LoE[[#This Row],[LE.1]]&gt;=90,1,IF(A.LoE[[#This Row],[LE.1]]&gt;=80,2,IF(A.LoE[[#This Row],[LE.1]]&gt;=70,3,IF(A.LoE[[#This Row],[LE.1]]&gt;=1,4,5)))))))</f>
        <v>--</v>
      </c>
      <c r="BB7" s="46" t="str">
        <f>CONCATENATE(NSi.TS[[#This Row],[KU.2]],(IF(A.LoE[[#This Row],[LE.2]]="-","-",IF(A.LoE[[#This Row],[LE.2]]&gt;=90,1,IF(A.LoE[[#This Row],[LE.2]]&gt;=80,2,IF(A.LoE[[#This Row],[LE.2]]&gt;=70,3,IF(A.LoE[[#This Row],[LE.2]]&gt;=1,4,5)))))))</f>
        <v>--</v>
      </c>
      <c r="BC7" s="46" t="str">
        <f>CONCATENATE(NSi.TS[[#This Row],[KU.3]],(IF(A.LoE[[#This Row],[LE.3]]="-","-",IF(A.LoE[[#This Row],[LE.3]]&gt;=90,1,IF(A.LoE[[#This Row],[LE.3]]&gt;=80,2,IF(A.LoE[[#This Row],[LE.3]]&gt;=70,3,IF(A.LoE[[#This Row],[LE.3]]&gt;=1,4,5)))))))</f>
        <v>--</v>
      </c>
      <c r="BD7" s="46" t="str">
        <f>CONCATENATE(NSi.TS[[#This Row],[KU.4]],(IF(A.LoE[[#This Row],[LE.4]]="-","-",IF(A.LoE[[#This Row],[LE.4]]&gt;=90,1,IF(A.LoE[[#This Row],[LE.4]]&gt;=80,2,IF(A.LoE[[#This Row],[LE.4]]&gt;=70,3,IF(A.LoE[[#This Row],[LE.4]]&gt;=1,4,5)))))))</f>
        <v>--</v>
      </c>
      <c r="BE7" s="46" t="str">
        <f>CONCATENATE(NSi.TS[[#This Row],[KU.5]],(IF(A.LoE[[#This Row],[LE.5]]="-","-",IF(A.LoE[[#This Row],[LE.5]]&gt;=90,1,IF(A.LoE[[#This Row],[LE.5]]&gt;=80,2,IF(A.LoE[[#This Row],[LE.5]]&gt;=70,3,IF(A.LoE[[#This Row],[LE.5]]&gt;=1,4,5)))))))</f>
        <v>--</v>
      </c>
      <c r="BF7" s="46" t="str">
        <f>CONCATENATE(NSi.TS[[#This Row],[KU.6]],(IF(A.LoE[[#This Row],[LE.6]]="-","-",IF(A.LoE[[#This Row],[LE.6]]&gt;=90,1,IF(A.LoE[[#This Row],[LE.6]]&gt;=80,2,IF(A.LoE[[#This Row],[LE.6]]&gt;=70,3,IF(A.LoE[[#This Row],[LE.6]]&gt;=1,4,5)))))))</f>
        <v>--</v>
      </c>
      <c r="BG7" s="46" t="str">
        <f>CONCATENATE(NSi.TS[[#This Row],[KU.7]],(IF(A.LoE[[#This Row],[LE.7]]="-","-",IF(A.LoE[[#This Row],[LE.7]]&gt;=90,1,IF(A.LoE[[#This Row],[LE.7]]&gt;=80,2,IF(A.LoE[[#This Row],[LE.7]]&gt;=70,3,IF(A.LoE[[#This Row],[LE.7]]&gt;=1,4,5)))))))</f>
        <v>--</v>
      </c>
      <c r="BH7" s="46" t="str">
        <f>CONCATENATE(NSi.TS[[#This Row],[KU.8]],(IF(A.LoE[[#This Row],[LE.8]]="-","-",IF(A.LoE[[#This Row],[LE.8]]&gt;=90,1,IF(A.LoE[[#This Row],[LE.8]]&gt;=80,2,IF(A.LoE[[#This Row],[LE.8]]&gt;=70,3,IF(A.LoE[[#This Row],[LE.8]]&gt;=1,4,5)))))))</f>
        <v>--</v>
      </c>
      <c r="BI7" s="38" t="str">
        <f>CONCATENATE(NSi.TS[[#This Row],[KU.9]],(IF(A.LoE[[#This Row],[LE.9]]="-","-",IF(A.LoE[[#This Row],[LE.9]]&gt;=90,1,IF(A.LoE[[#This Row],[LE.9]]&gt;=80,2,IF(A.LoE[[#This Row],[LE.9]]&gt;=70,3,IF(A.LoE[[#This Row],[LE.9]]&gt;=1,4,5)))))))</f>
        <v>--</v>
      </c>
      <c r="BK7" s="35" t="str">
        <f>IFERROR(ROUND(AVERAGE(Con.Sk[[#This Row],[TJ.1]:[Pro-A.1]]),0),"-")</f>
        <v>-</v>
      </c>
      <c r="BL7" s="24" t="str">
        <f>IFERROR(ROUND(AVERAGE(Con.Sk[[#This Row],[TJ.2]:[Pro-A.2]]),0),"-")</f>
        <v>-</v>
      </c>
      <c r="BM7" s="24" t="str">
        <f>IFERROR(ROUND(AVERAGE(Con.Sk[[#This Row],[TJ.3]:[Pro-A.3]]),0),"-")</f>
        <v>-</v>
      </c>
      <c r="BN7" s="24" t="str">
        <f>IFERROR(ROUND(AVERAGE(Con.Sk[[#This Row],[TJ.4]:[Pro-A.4]]),0),"-")</f>
        <v>-</v>
      </c>
      <c r="BO7" s="24" t="str">
        <f>IFERROR(ROUND(AVERAGE(Con.Sk[[#This Row],[TJ.5]:[Pro-A.5]]),0),"-")</f>
        <v>-</v>
      </c>
      <c r="BP7" s="24" t="str">
        <f>IFERROR(ROUND(AVERAGE(Con.Sk[[#This Row],[TJ.6]:[Pro-A.6]]),0),"-")</f>
        <v>-</v>
      </c>
      <c r="BQ7" s="24" t="str">
        <f>IFERROR(ROUND(AVERAGE(Con.Sk[[#This Row],[TJ.7]:[Pro-A.7]]),0),"-")</f>
        <v>-</v>
      </c>
      <c r="BR7" s="24" t="str">
        <f>IFERROR(ROUND(AVERAGE(Con.Sk[[#This Row],[TJ.8]:[Pro-A.8]]),0),"-")</f>
        <v>-</v>
      </c>
      <c r="BS7" s="25" t="str">
        <f>IFERROR(ROUND(AVERAGE(Con.Sk[[#This Row],[TJ.9]:[Pro-A.9]]),0),"-")</f>
        <v>-</v>
      </c>
      <c r="BU7" s="47" t="str">
        <f>IFERROR(ROUND(AVERAGE(Con.Sk[[#This Row],[KU.1]],Con.Sk[[#This Row],[KU.2]],Con.Sk[[#This Row],[KU.3]],Con.Sk[[#This Row],[KU.4]],Con.Sk[[#This Row],[KU.5]],Con.Sk[[#This Row],[KU.6]],Con.Sk[[#This Row],[KU.7]],Con.Sk[[#This Row],[KU.8]],Con.Sk[[#This Row],[KU.9]]),0),"")</f>
        <v/>
      </c>
      <c r="BV7" s="48" t="str">
        <f>IFERROR(ROUND(AVERAGE(Con.Sk[[#This Row],[TJ.1]:[Pro-A.1]],Con.Sk[[#This Row],[TJ.2]:[Pro-A.2]],Con.Sk[[#This Row],[TJ.3]:[Pro-A.3]],Con.Sk[[#This Row],[TJ.4]:[Pro-A.4]],Con.Sk[[#This Row],[TJ.5]:[Pro-A.5]],Con.Sk[[#This Row],[TJ.6]:[Pro-A.6]],Con.Sk[[#This Row],[TJ.7]:[Pro-A.7]],Con.Sk[[#This Row],[TJ.8]:[Pro-A.8]],Con.Sk[[#This Row],[TJ.9]:[Pro-A.9]]),0),"")</f>
        <v/>
      </c>
      <c r="BW7" s="3"/>
      <c r="BX7" s="73" t="str">
        <f>IF(NSi.TS[[#This Row],[KU.1]]="A",100,IF(NSi.TS[[#This Row],[KU.1]]="B",89,IF(NSi.TS[[#This Row],[KU.1]]="C",79,IF(NSi.TS[[#This Row],[KU.1]]="D",69,IF(NSi.TS[[#This Row],[KU.1]]="E",0,"-")))))</f>
        <v>-</v>
      </c>
      <c r="BY7" s="73" t="str">
        <f>IF(NSi.TS[[#This Row],[TJ.1]]=1,100,IF(NSi.TS[[#This Row],[TJ.1]]=2,89,IF(NSi.TS[[#This Row],[TJ.1]]=3,79,IF(NSi.TS[[#This Row],[TJ.1]]=4,69,IF(NSi.TS[[#This Row],[TJ.1]]=5,0,"-")))))</f>
        <v>-</v>
      </c>
      <c r="BZ7" s="73" t="str">
        <f>IF(NSi.TS[[#This Row],[Ker.1]]=1,100,IF(NSi.TS[[#This Row],[Ker.1]]=2,89,IF(NSi.TS[[#This Row],[Ker.1]]=3,79,IF(NSi.TS[[#This Row],[Ker.1]]=4,69,IF(NSi.TS[[#This Row],[Ker.1]]=5,0,"-")))))</f>
        <v>-</v>
      </c>
      <c r="CA7" s="73" t="str">
        <f>IF(NSi.TS[[#This Row],[Ped.1]]=1,100,IF(NSi.TS[[#This Row],[Ped.1]]=2,89,IF(NSi.TS[[#This Row],[Ped.1]]=3,79,IF(NSi.TS[[#This Row],[Ped.1]]=4,69,IF(NSi.TS[[#This Row],[Ped.1]]=5,0,"-")))))</f>
        <v>-</v>
      </c>
      <c r="CB7" s="73" t="str">
        <f>IF(NSi.TS[[#This Row],[Pro-A.1]]=1,100,IF(NSi.TS[[#This Row],[Pro-A.1]]=2,89,IF(NSi.TS[[#This Row],[Pro-A.1]]=3,79,IF(NSi.TS[[#This Row],[Pro-A.1]]=4,69,IF(NSi.TS[[#This Row],[Pro-A.1]]=5,0,"-")))))</f>
        <v>-</v>
      </c>
      <c r="CC7" s="73" t="str">
        <f>IF(NSi.TS[[#This Row],[KU.2]]="A",100,IF(NSi.TS[[#This Row],[KU.2]]="B",89,IF(NSi.TS[[#This Row],[KU.2]]="C",79,IF(NSi.TS[[#This Row],[KU.2]]="D",69,IF(NSi.TS[[#This Row],[KU.2]]="E",0,"-")))))</f>
        <v>-</v>
      </c>
      <c r="CD7" s="73" t="str">
        <f>IF(NSi.TS[[#This Row],[TJ.2]]=1,100,IF(NSi.TS[[#This Row],[TJ.2]]=2,89,IF(NSi.TS[[#This Row],[TJ.2]]=3,79,IF(NSi.TS[[#This Row],[TJ.2]]=4,69,IF(NSi.TS[[#This Row],[TJ.2]]=5,0,"-")))))</f>
        <v>-</v>
      </c>
      <c r="CE7" s="73" t="str">
        <f>IF(NSi.TS[[#This Row],[Ker.2]]=1,100,IF(NSi.TS[[#This Row],[Ker.2]]=2,89,IF(NSi.TS[[#This Row],[Ker.2]]=3,79,IF(NSi.TS[[#This Row],[Ker.2]]=4,69,IF(NSi.TS[[#This Row],[Ker.2]]=5,0,"-")))))</f>
        <v>-</v>
      </c>
      <c r="CF7" s="73" t="str">
        <f>IF(NSi.TS[[#This Row],[Ped.2]]=1,100,IF(NSi.TS[[#This Row],[Ped.2]]=2,89,IF(NSi.TS[[#This Row],[Ped.2]]=3,79,IF(NSi.TS[[#This Row],[Ped.2]]=4,69,IF(NSi.TS[[#This Row],[Ped.2]]=5,0,"-")))))</f>
        <v>-</v>
      </c>
      <c r="CG7" s="73" t="str">
        <f>IF(NSi.TS[[#This Row],[Pro-A.2]]=1,100,IF(NSi.TS[[#This Row],[Pro-A.2]]=2,89,IF(NSi.TS[[#This Row],[Pro-A.2]]=3,79,IF(NSi.TS[[#This Row],[Pro-A.2]]=4,69,IF(NSi.TS[[#This Row],[Pro-A.2]]=5,0,"-")))))</f>
        <v>-</v>
      </c>
      <c r="CH7" s="74" t="str">
        <f>IF(NSi.TS[[#This Row],[KU.3]]="A",100,IF(NSi.TS[[#This Row],[KU.3]]="B",89,IF(NSi.TS[[#This Row],[KU.3]]="C",79,IF(NSi.TS[[#This Row],[KU.3]]="D",69,IF(NSi.TS[[#This Row],[KU.3]]="E",0,"-")))))</f>
        <v>-</v>
      </c>
      <c r="CI7" s="73" t="str">
        <f>IF(NSi.TS[[#This Row],[TJ.3]]=1,100,IF(NSi.TS[[#This Row],[TJ.3]]=2,89,IF(NSi.TS[[#This Row],[TJ.3]]=3,79,IF(NSi.TS[[#This Row],[TJ.3]]=4,69,IF(NSi.TS[[#This Row],[TJ.3]]=5,0,"-")))))</f>
        <v>-</v>
      </c>
      <c r="CJ7" s="73" t="str">
        <f>IF(NSi.TS[[#This Row],[Ker.3]]=1,100,IF(NSi.TS[[#This Row],[Ker.3]]=2,89,IF(NSi.TS[[#This Row],[Ker.3]]=3,79,IF(NSi.TS[[#This Row],[Ker.3]]=4,69,IF(NSi.TS[[#This Row],[Ker.3]]=5,0,"-")))))</f>
        <v>-</v>
      </c>
      <c r="CK7" s="73" t="str">
        <f>IF(NSi.TS[[#This Row],[Ped.3]]=1,100,IF(NSi.TS[[#This Row],[Ped.3]]=2,89,IF(NSi.TS[[#This Row],[Ped.3]]=3,79,IF(NSi.TS[[#This Row],[Ped.3]]=4,69,IF(NSi.TS[[#This Row],[Ped.3]]=5,0,"-")))))</f>
        <v>-</v>
      </c>
      <c r="CL7" s="73" t="str">
        <f>IF(NSi.TS[[#This Row],[Pro-A.3]]=1,100,IF(NSi.TS[[#This Row],[Pro-A.3]]=2,89,IF(NSi.TS[[#This Row],[Pro-A.3]]=3,79,IF(NSi.TS[[#This Row],[Pro-A.3]]=4,69,IF(NSi.TS[[#This Row],[Pro-A.3]]=5,0,"-")))))</f>
        <v>-</v>
      </c>
      <c r="CM7" s="74" t="str">
        <f>IF(NSi.TS[[#This Row],[KU.4]]="A",100,IF(NSi.TS[[#This Row],[KU.4]]="B",89,IF(NSi.TS[[#This Row],[KU.4]]="C",79,IF(NSi.TS[[#This Row],[KU.4]]="D",69,IF(NSi.TS[[#This Row],[KU.4]]="E",0,"-")))))</f>
        <v>-</v>
      </c>
      <c r="CN7" s="73" t="str">
        <f>IF(NSi.TS[[#This Row],[TJ.4]]=1,100,IF(NSi.TS[[#This Row],[TJ.4]]=2,89,IF(NSi.TS[[#This Row],[TJ.4]]=3,79,IF(NSi.TS[[#This Row],[TJ.4]]=4,69,IF(NSi.TS[[#This Row],[TJ.4]]=5,0,"-")))))</f>
        <v>-</v>
      </c>
      <c r="CO7" s="73" t="str">
        <f>IF(NSi.TS[[#This Row],[Ker.4]]=1,100,IF(NSi.TS[[#This Row],[Ker.4]]=2,89,IF(NSi.TS[[#This Row],[Ker.4]]=3,79,IF(NSi.TS[[#This Row],[Ker.4]]=4,69,IF(NSi.TS[[#This Row],[Ker.4]]=5,0,"-")))))</f>
        <v>-</v>
      </c>
      <c r="CP7" s="73" t="str">
        <f>IF(NSi.TS[[#This Row],[Ped.4]]=1,100,IF(NSi.TS[[#This Row],[Ped.4]]=2,89,IF(NSi.TS[[#This Row],[Ped.4]]=3,79,IF(NSi.TS[[#This Row],[Ped.4]]=4,69,IF(NSi.TS[[#This Row],[Ped.4]]=5,0,"-")))))</f>
        <v>-</v>
      </c>
      <c r="CQ7" s="73" t="str">
        <f>IF(NSi.TS[[#This Row],[Pro-A.4]]=1,100,IF(NSi.TS[[#This Row],[Pro-A.4]]=2,89,IF(NSi.TS[[#This Row],[Pro-A.4]]=3,79,IF(NSi.TS[[#This Row],[Pro-A.4]]=4,69,IF(NSi.TS[[#This Row],[Pro-A.4]]=5,0,"-")))))</f>
        <v>-</v>
      </c>
      <c r="CR7" s="74" t="str">
        <f>IF(NSi.TS[[#This Row],[KU.5]]="A",100,IF(NSi.TS[[#This Row],[KU.5]]="B",89,IF(NSi.TS[[#This Row],[KU.5]]="C",79,IF(NSi.TS[[#This Row],[KU.5]]="D",69,IF(NSi.TS[[#This Row],[KU.5]]="E",0,"-")))))</f>
        <v>-</v>
      </c>
      <c r="CS7" s="73" t="str">
        <f>IF(NSi.TS[[#This Row],[TJ.5]]=1,100,IF(NSi.TS[[#This Row],[TJ.5]]=2,89,IF(NSi.TS[[#This Row],[TJ.5]]=3,79,IF(NSi.TS[[#This Row],[TJ.5]]=4,69,IF(NSi.TS[[#This Row],[TJ.5]]=5,0,"-")))))</f>
        <v>-</v>
      </c>
      <c r="CT7" s="73" t="str">
        <f>IF(NSi.TS[[#This Row],[Ker.5]]=1,100,IF(NSi.TS[[#This Row],[Ker.5]]=2,89,IF(NSi.TS[[#This Row],[Ker.5]]=3,79,IF(NSi.TS[[#This Row],[Ker.5]]=4,69,IF(NSi.TS[[#This Row],[Ker.5]]=5,0,"-")))))</f>
        <v>-</v>
      </c>
      <c r="CU7" s="73" t="str">
        <f>IF(NSi.TS[[#This Row],[Ped.5]]=1,100,IF(NSi.TS[[#This Row],[Ped.5]]=2,89,IF(NSi.TS[[#This Row],[Ped.5]]=3,79,IF(NSi.TS[[#This Row],[Ped.5]]=4,69,IF(NSi.TS[[#This Row],[Ped.5]]=5,0,"-")))))</f>
        <v>-</v>
      </c>
      <c r="CV7" s="73" t="str">
        <f>IF(NSi.TS[[#This Row],[Pro-A.5]]=1,100,IF(NSi.TS[[#This Row],[Pro-A.5]]=2,89,IF(NSi.TS[[#This Row],[Pro-A.5]]=3,79,IF(NSi.TS[[#This Row],[Pro-A.5]]=4,69,IF(NSi.TS[[#This Row],[Pro-A.5]]=5,0,"-")))))</f>
        <v>-</v>
      </c>
      <c r="CW7" s="74" t="str">
        <f>IF(NSi.TS[[#This Row],[KU.6]]="A",100,IF(NSi.TS[[#This Row],[KU.6]]="B",89,IF(NSi.TS[[#This Row],[KU.6]]="C",79,IF(NSi.TS[[#This Row],[KU.6]]="D",69,IF(NSi.TS[[#This Row],[KU.6]]="E",0,"-")))))</f>
        <v>-</v>
      </c>
      <c r="CX7" s="73" t="str">
        <f>IF(NSi.TS[[#This Row],[TJ.6]]=1,100,IF(NSi.TS[[#This Row],[TJ.6]]=2,89,IF(NSi.TS[[#This Row],[TJ.6]]=3,79,IF(NSi.TS[[#This Row],[TJ.6]]=4,69,IF(NSi.TS[[#This Row],[TJ.6]]=5,0,"-")))))</f>
        <v>-</v>
      </c>
      <c r="CY7" s="73" t="str">
        <f>IF(NSi.TS[[#This Row],[Ker.6]]=1,100,IF(NSi.TS[[#This Row],[Ker.6]]=2,89,IF(NSi.TS[[#This Row],[Ker.6]]=3,79,IF(NSi.TS[[#This Row],[Ker.6]]=4,69,IF(NSi.TS[[#This Row],[Ker.6]]=5,0,"-")))))</f>
        <v>-</v>
      </c>
      <c r="CZ7" s="73" t="str">
        <f>IF(NSi.TS[[#This Row],[Ped.6]]=1,100,IF(NSi.TS[[#This Row],[Ped.6]]=2,89,IF(NSi.TS[[#This Row],[Ped.6]]=3,79,IF(NSi.TS[[#This Row],[Ped.6]]=4,69,IF(NSi.TS[[#This Row],[Ped.6]]=5,0,"-")))))</f>
        <v>-</v>
      </c>
      <c r="DA7" s="73" t="str">
        <f>IF(NSi.TS[[#This Row],[Pro-A.6]]=1,100,IF(NSi.TS[[#This Row],[Pro-A.6]]=2,89,IF(NSi.TS[[#This Row],[Pro-A.6]]=3,79,IF(NSi.TS[[#This Row],[Pro-A.6]]=4,69,IF(NSi.TS[[#This Row],[Pro-A.6]]=5,0,"-")))))</f>
        <v>-</v>
      </c>
      <c r="DB7" s="74" t="str">
        <f>IF(NSi.TS[[#This Row],[KU.7]]="A",100,IF(NSi.TS[[#This Row],[KU.7]]="B",89,IF(NSi.TS[[#This Row],[KU.7]]="C",79,IF(NSi.TS[[#This Row],[KU.7]]="D",69,IF(NSi.TS[[#This Row],[KU.7]]="E",0,"-")))))</f>
        <v>-</v>
      </c>
      <c r="DC7" s="73" t="str">
        <f>IF(NSi.TS[[#This Row],[TJ.7]]=1,100,IF(NSi.TS[[#This Row],[TJ.7]]=2,89,IF(NSi.TS[[#This Row],[TJ.7]]=3,79,IF(NSi.TS[[#This Row],[TJ.7]]=4,69,IF(NSi.TS[[#This Row],[TJ.7]]=5,0,"-")))))</f>
        <v>-</v>
      </c>
      <c r="DD7" s="73" t="str">
        <f>IF(NSi.TS[[#This Row],[Ker.7]]=1,100,IF(NSi.TS[[#This Row],[Ker.7]]=2,89,IF(NSi.TS[[#This Row],[Ker.7]]=3,79,IF(NSi.TS[[#This Row],[Ker.7]]=4,69,IF(NSi.TS[[#This Row],[Ker.7]]=5,0,"-")))))</f>
        <v>-</v>
      </c>
      <c r="DE7" s="73" t="str">
        <f>IF(NSi.TS[[#This Row],[Ped.7]]=1,100,IF(NSi.TS[[#This Row],[Ped.7]]=2,89,IF(NSi.TS[[#This Row],[Ped.7]]=3,79,IF(NSi.TS[[#This Row],[Ped.7]]=4,69,IF(NSi.TS[[#This Row],[Ped.7]]=5,0,"-")))))</f>
        <v>-</v>
      </c>
      <c r="DF7" s="73" t="str">
        <f>IF(NSi.TS[[#This Row],[Pro-A.7]]=1,100,IF(NSi.TS[[#This Row],[Pro-A.7]]=2,89,IF(NSi.TS[[#This Row],[Pro-A.7]]=3,79,IF(NSi.TS[[#This Row],[Pro-A.7]]=4,69,IF(NSi.TS[[#This Row],[Pro-A.7]]=5,0,"-")))))</f>
        <v>-</v>
      </c>
      <c r="DG7" s="74" t="str">
        <f>IF(NSi.TS[[#This Row],[KU.8]]="A",100,IF(NSi.TS[[#This Row],[KU.8]]="B",89,IF(NSi.TS[[#This Row],[KU.8]]="C",79,IF(NSi.TS[[#This Row],[KU.8]]="D",69,IF(NSi.TS[[#This Row],[KU.8]]="E",0,"-")))))</f>
        <v>-</v>
      </c>
      <c r="DH7" s="73" t="str">
        <f>IF(NSi.TS[[#This Row],[TJ.8]]=1,100,IF(NSi.TS[[#This Row],[TJ.8]]=2,89,IF(NSi.TS[[#This Row],[TJ.8]]=3,79,IF(NSi.TS[[#This Row],[TJ.8]]=4,69,IF(NSi.TS[[#This Row],[TJ.8]]=5,0,"-")))))</f>
        <v>-</v>
      </c>
      <c r="DI7" s="73" t="str">
        <f>IF(NSi.TS[[#This Row],[Ker.8]]=1,100,IF(NSi.TS[[#This Row],[Ker.8]]=2,89,IF(NSi.TS[[#This Row],[Ker.8]]=3,79,IF(NSi.TS[[#This Row],[Ker.8]]=4,69,IF(NSi.TS[[#This Row],[Ker.8]]=5,0,"-")))))</f>
        <v>-</v>
      </c>
      <c r="DJ7" s="73" t="str">
        <f>IF(NSi.TS[[#This Row],[Ped.8]]=1,100,IF(NSi.TS[[#This Row],[Ped.8]]=2,89,IF(NSi.TS[[#This Row],[Ped.8]]=3,79,IF(NSi.TS[[#This Row],[Ped.8]]=4,69,IF(NSi.TS[[#This Row],[Ped.8]]=5,0,"-")))))</f>
        <v>-</v>
      </c>
      <c r="DK7" s="73" t="str">
        <f>IF(NSi.TS[[#This Row],[Pro-A.8]]=1,100,IF(NSi.TS[[#This Row],[Pro-A.8]]=2,89,IF(NSi.TS[[#This Row],[Pro-A.8]]=3,79,IF(NSi.TS[[#This Row],[Pro-A.8]]=4,69,IF(NSi.TS[[#This Row],[Pro-A.8]]=5,0,"-")))))</f>
        <v>-</v>
      </c>
      <c r="DL7" s="74" t="str">
        <f>IF(NSi.TS[[#This Row],[KU.9]]="A",100,IF(NSi.TS[[#This Row],[KU.9]]="B",89,IF(NSi.TS[[#This Row],[KU.9]]="C",79,IF(NSi.TS[[#This Row],[KU.9]]="D",69,IF(NSi.TS[[#This Row],[KU.9]]="E",0,"-")))))</f>
        <v>-</v>
      </c>
      <c r="DM7" s="73" t="str">
        <f>IF(NSi.TS[[#This Row],[TJ.9]]=1,100,IF(NSi.TS[[#This Row],[TJ.9]]=2,89,IF(NSi.TS[[#This Row],[TJ.9]]=3,79,IF(NSi.TS[[#This Row],[TJ.9]]=4,69,IF(NSi.TS[[#This Row],[TJ.9]]=5,0,"-")))))</f>
        <v>-</v>
      </c>
      <c r="DN7" s="73" t="str">
        <f>IF(NSi.TS[[#This Row],[Ker.9]]=1,100,IF(NSi.TS[[#This Row],[Ker.9]]=2,89,IF(NSi.TS[[#This Row],[Ker.9]]=3,79,IF(NSi.TS[[#This Row],[Ker.9]]=4,69,IF(NSi.TS[[#This Row],[Ker.9]]=5,0,"-")))))</f>
        <v>-</v>
      </c>
      <c r="DO7" s="73" t="str">
        <f>IF(NSi.TS[[#This Row],[Ped.9]]=1,100,IF(NSi.TS[[#This Row],[Ped.9]]=2,89,IF(NSi.TS[[#This Row],[Ped.9]]=3,79,IF(NSi.TS[[#This Row],[Ped.9]]=4,69,IF(NSi.TS[[#This Row],[Ped.9]]=5,0,"-")))))</f>
        <v>-</v>
      </c>
      <c r="DP7" s="73" t="str">
        <f>IF(NSi.TS[[#This Row],[Pro-A.9]]=1,100,IF(NSi.TS[[#This Row],[Pro-A.9]]=2,89,IF(NSi.TS[[#This Row],[Pro-A.9]]=3,79,IF(NSi.TS[[#This Row],[Pro-A.9]]=4,69,IF(NSi.TS[[#This Row],[Pro-A.9]]=5,0,"-")))))</f>
        <v>-</v>
      </c>
    </row>
    <row r="8" spans="1:120" ht="50.1" customHeight="1" x14ac:dyDescent="0.3">
      <c r="A8" s="82">
        <v>6</v>
      </c>
      <c r="B8" s="90"/>
      <c r="C8" s="91"/>
      <c r="D8" s="87"/>
      <c r="E8" s="46"/>
      <c r="F8" s="44" t="str">
        <f>IFERROR(ROUND(AVERAGE(CSCR[#This Row]),0),"")</f>
        <v/>
      </c>
      <c r="G8" s="41" t="s">
        <v>102</v>
      </c>
      <c r="H8" s="45" t="s">
        <v>102</v>
      </c>
      <c r="I8" s="45" t="s">
        <v>102</v>
      </c>
      <c r="J8" s="45" t="s">
        <v>102</v>
      </c>
      <c r="K8" s="45" t="s">
        <v>102</v>
      </c>
      <c r="L8" s="41" t="s">
        <v>102</v>
      </c>
      <c r="M8" s="45" t="s">
        <v>102</v>
      </c>
      <c r="N8" s="45" t="s">
        <v>102</v>
      </c>
      <c r="O8" s="45" t="s">
        <v>102</v>
      </c>
      <c r="P8" s="45" t="s">
        <v>102</v>
      </c>
      <c r="Q8" s="41" t="s">
        <v>102</v>
      </c>
      <c r="R8" s="45" t="s">
        <v>102</v>
      </c>
      <c r="S8" s="45" t="s">
        <v>102</v>
      </c>
      <c r="T8" s="45" t="s">
        <v>102</v>
      </c>
      <c r="U8" s="45" t="s">
        <v>102</v>
      </c>
      <c r="V8" s="41" t="s">
        <v>102</v>
      </c>
      <c r="W8" s="45" t="s">
        <v>102</v>
      </c>
      <c r="X8" s="45" t="s">
        <v>102</v>
      </c>
      <c r="Y8" s="45" t="s">
        <v>102</v>
      </c>
      <c r="Z8" s="45" t="s">
        <v>102</v>
      </c>
      <c r="AA8" s="41" t="s">
        <v>102</v>
      </c>
      <c r="AB8" s="45" t="s">
        <v>102</v>
      </c>
      <c r="AC8" s="45" t="s">
        <v>102</v>
      </c>
      <c r="AD8" s="45" t="s">
        <v>102</v>
      </c>
      <c r="AE8" s="45" t="s">
        <v>102</v>
      </c>
      <c r="AF8" s="41" t="s">
        <v>102</v>
      </c>
      <c r="AG8" s="45" t="s">
        <v>102</v>
      </c>
      <c r="AH8" s="45" t="s">
        <v>102</v>
      </c>
      <c r="AI8" s="45" t="s">
        <v>102</v>
      </c>
      <c r="AJ8" s="45" t="s">
        <v>102</v>
      </c>
      <c r="AK8" s="41" t="s">
        <v>102</v>
      </c>
      <c r="AL8" s="45" t="s">
        <v>102</v>
      </c>
      <c r="AM8" s="45" t="s">
        <v>102</v>
      </c>
      <c r="AN8" s="45" t="s">
        <v>102</v>
      </c>
      <c r="AO8" s="45" t="s">
        <v>102</v>
      </c>
      <c r="AP8" s="41" t="s">
        <v>102</v>
      </c>
      <c r="AQ8" s="45" t="s">
        <v>102</v>
      </c>
      <c r="AR8" s="45" t="s">
        <v>102</v>
      </c>
      <c r="AS8" s="45" t="s">
        <v>102</v>
      </c>
      <c r="AT8" s="45" t="s">
        <v>102</v>
      </c>
      <c r="AU8" s="41" t="s">
        <v>102</v>
      </c>
      <c r="AV8" s="45" t="s">
        <v>102</v>
      </c>
      <c r="AW8" s="45" t="s">
        <v>102</v>
      </c>
      <c r="AX8" s="45" t="s">
        <v>102</v>
      </c>
      <c r="AY8" s="45" t="s">
        <v>102</v>
      </c>
      <c r="BA8" s="10" t="str">
        <f>CONCATENATE(NSi.TS[[#This Row],[KU.1]],(IF(A.LoE[[#This Row],[LE.1]]="-","-",IF(A.LoE[[#This Row],[LE.1]]&gt;=90,1,IF(A.LoE[[#This Row],[LE.1]]&gt;=80,2,IF(A.LoE[[#This Row],[LE.1]]&gt;=70,3,IF(A.LoE[[#This Row],[LE.1]]&gt;=1,4,5)))))))</f>
        <v>--</v>
      </c>
      <c r="BB8" s="46" t="str">
        <f>CONCATENATE(NSi.TS[[#This Row],[KU.2]],(IF(A.LoE[[#This Row],[LE.2]]="-","-",IF(A.LoE[[#This Row],[LE.2]]&gt;=90,1,IF(A.LoE[[#This Row],[LE.2]]&gt;=80,2,IF(A.LoE[[#This Row],[LE.2]]&gt;=70,3,IF(A.LoE[[#This Row],[LE.2]]&gt;=1,4,5)))))))</f>
        <v>--</v>
      </c>
      <c r="BC8" s="46" t="str">
        <f>CONCATENATE(NSi.TS[[#This Row],[KU.3]],(IF(A.LoE[[#This Row],[LE.3]]="-","-",IF(A.LoE[[#This Row],[LE.3]]&gt;=90,1,IF(A.LoE[[#This Row],[LE.3]]&gt;=80,2,IF(A.LoE[[#This Row],[LE.3]]&gt;=70,3,IF(A.LoE[[#This Row],[LE.3]]&gt;=1,4,5)))))))</f>
        <v>--</v>
      </c>
      <c r="BD8" s="46" t="str">
        <f>CONCATENATE(NSi.TS[[#This Row],[KU.4]],(IF(A.LoE[[#This Row],[LE.4]]="-","-",IF(A.LoE[[#This Row],[LE.4]]&gt;=90,1,IF(A.LoE[[#This Row],[LE.4]]&gt;=80,2,IF(A.LoE[[#This Row],[LE.4]]&gt;=70,3,IF(A.LoE[[#This Row],[LE.4]]&gt;=1,4,5)))))))</f>
        <v>--</v>
      </c>
      <c r="BE8" s="46" t="str">
        <f>CONCATENATE(NSi.TS[[#This Row],[KU.5]],(IF(A.LoE[[#This Row],[LE.5]]="-","-",IF(A.LoE[[#This Row],[LE.5]]&gt;=90,1,IF(A.LoE[[#This Row],[LE.5]]&gt;=80,2,IF(A.LoE[[#This Row],[LE.5]]&gt;=70,3,IF(A.LoE[[#This Row],[LE.5]]&gt;=1,4,5)))))))</f>
        <v>--</v>
      </c>
      <c r="BF8" s="46" t="str">
        <f>CONCATENATE(NSi.TS[[#This Row],[KU.6]],(IF(A.LoE[[#This Row],[LE.6]]="-","-",IF(A.LoE[[#This Row],[LE.6]]&gt;=90,1,IF(A.LoE[[#This Row],[LE.6]]&gt;=80,2,IF(A.LoE[[#This Row],[LE.6]]&gt;=70,3,IF(A.LoE[[#This Row],[LE.6]]&gt;=1,4,5)))))))</f>
        <v>--</v>
      </c>
      <c r="BG8" s="46" t="str">
        <f>CONCATENATE(NSi.TS[[#This Row],[KU.7]],(IF(A.LoE[[#This Row],[LE.7]]="-","-",IF(A.LoE[[#This Row],[LE.7]]&gt;=90,1,IF(A.LoE[[#This Row],[LE.7]]&gt;=80,2,IF(A.LoE[[#This Row],[LE.7]]&gt;=70,3,IF(A.LoE[[#This Row],[LE.7]]&gt;=1,4,5)))))))</f>
        <v>--</v>
      </c>
      <c r="BH8" s="46" t="str">
        <f>CONCATENATE(NSi.TS[[#This Row],[KU.8]],(IF(A.LoE[[#This Row],[LE.8]]="-","-",IF(A.LoE[[#This Row],[LE.8]]&gt;=90,1,IF(A.LoE[[#This Row],[LE.8]]&gt;=80,2,IF(A.LoE[[#This Row],[LE.8]]&gt;=70,3,IF(A.LoE[[#This Row],[LE.8]]&gt;=1,4,5)))))))</f>
        <v>--</v>
      </c>
      <c r="BI8" s="38" t="str">
        <f>CONCATENATE(NSi.TS[[#This Row],[KU.9]],(IF(A.LoE[[#This Row],[LE.9]]="-","-",IF(A.LoE[[#This Row],[LE.9]]&gt;=90,1,IF(A.LoE[[#This Row],[LE.9]]&gt;=80,2,IF(A.LoE[[#This Row],[LE.9]]&gt;=70,3,IF(A.LoE[[#This Row],[LE.9]]&gt;=1,4,5)))))))</f>
        <v>--</v>
      </c>
      <c r="BK8" s="35" t="str">
        <f>IFERROR(ROUND(AVERAGE(Con.Sk[[#This Row],[TJ.1]:[Pro-A.1]]),0),"-")</f>
        <v>-</v>
      </c>
      <c r="BL8" s="24" t="str">
        <f>IFERROR(ROUND(AVERAGE(Con.Sk[[#This Row],[TJ.2]:[Pro-A.2]]),0),"-")</f>
        <v>-</v>
      </c>
      <c r="BM8" s="24" t="str">
        <f>IFERROR(ROUND(AVERAGE(Con.Sk[[#This Row],[TJ.3]:[Pro-A.3]]),0),"-")</f>
        <v>-</v>
      </c>
      <c r="BN8" s="24" t="str">
        <f>IFERROR(ROUND(AVERAGE(Con.Sk[[#This Row],[TJ.4]:[Pro-A.4]]),0),"-")</f>
        <v>-</v>
      </c>
      <c r="BO8" s="24" t="str">
        <f>IFERROR(ROUND(AVERAGE(Con.Sk[[#This Row],[TJ.5]:[Pro-A.5]]),0),"-")</f>
        <v>-</v>
      </c>
      <c r="BP8" s="24" t="str">
        <f>IFERROR(ROUND(AVERAGE(Con.Sk[[#This Row],[TJ.6]:[Pro-A.6]]),0),"-")</f>
        <v>-</v>
      </c>
      <c r="BQ8" s="24" t="str">
        <f>IFERROR(ROUND(AVERAGE(Con.Sk[[#This Row],[TJ.7]:[Pro-A.7]]),0),"-")</f>
        <v>-</v>
      </c>
      <c r="BR8" s="24" t="str">
        <f>IFERROR(ROUND(AVERAGE(Con.Sk[[#This Row],[TJ.8]:[Pro-A.8]]),0),"-")</f>
        <v>-</v>
      </c>
      <c r="BS8" s="25" t="str">
        <f>IFERROR(ROUND(AVERAGE(Con.Sk[[#This Row],[TJ.9]:[Pro-A.9]]),0),"-")</f>
        <v>-</v>
      </c>
      <c r="BU8" s="47" t="str">
        <f>IFERROR(ROUND(AVERAGE(Con.Sk[[#This Row],[KU.1]],Con.Sk[[#This Row],[KU.2]],Con.Sk[[#This Row],[KU.3]],Con.Sk[[#This Row],[KU.4]],Con.Sk[[#This Row],[KU.5]],Con.Sk[[#This Row],[KU.6]],Con.Sk[[#This Row],[KU.7]],Con.Sk[[#This Row],[KU.8]],Con.Sk[[#This Row],[KU.9]]),0),"")</f>
        <v/>
      </c>
      <c r="BV8" s="48" t="str">
        <f>IFERROR(ROUND(AVERAGE(Con.Sk[[#This Row],[TJ.1]:[Pro-A.1]],Con.Sk[[#This Row],[TJ.2]:[Pro-A.2]],Con.Sk[[#This Row],[TJ.3]:[Pro-A.3]],Con.Sk[[#This Row],[TJ.4]:[Pro-A.4]],Con.Sk[[#This Row],[TJ.5]:[Pro-A.5]],Con.Sk[[#This Row],[TJ.6]:[Pro-A.6]],Con.Sk[[#This Row],[TJ.7]:[Pro-A.7]],Con.Sk[[#This Row],[TJ.8]:[Pro-A.8]],Con.Sk[[#This Row],[TJ.9]:[Pro-A.9]]),0),"")</f>
        <v/>
      </c>
      <c r="BW8" s="3"/>
      <c r="BX8" s="73" t="str">
        <f>IF(NSi.TS[[#This Row],[KU.1]]="A",100,IF(NSi.TS[[#This Row],[KU.1]]="B",89,IF(NSi.TS[[#This Row],[KU.1]]="C",79,IF(NSi.TS[[#This Row],[KU.1]]="D",69,IF(NSi.TS[[#This Row],[KU.1]]="E",0,"-")))))</f>
        <v>-</v>
      </c>
      <c r="BY8" s="73" t="str">
        <f>IF(NSi.TS[[#This Row],[TJ.1]]=1,100,IF(NSi.TS[[#This Row],[TJ.1]]=2,89,IF(NSi.TS[[#This Row],[TJ.1]]=3,79,IF(NSi.TS[[#This Row],[TJ.1]]=4,69,IF(NSi.TS[[#This Row],[TJ.1]]=5,0,"-")))))</f>
        <v>-</v>
      </c>
      <c r="BZ8" s="73" t="str">
        <f>IF(NSi.TS[[#This Row],[Ker.1]]=1,100,IF(NSi.TS[[#This Row],[Ker.1]]=2,89,IF(NSi.TS[[#This Row],[Ker.1]]=3,79,IF(NSi.TS[[#This Row],[Ker.1]]=4,69,IF(NSi.TS[[#This Row],[Ker.1]]=5,0,"-")))))</f>
        <v>-</v>
      </c>
      <c r="CA8" s="73" t="str">
        <f>IF(NSi.TS[[#This Row],[Ped.1]]=1,100,IF(NSi.TS[[#This Row],[Ped.1]]=2,89,IF(NSi.TS[[#This Row],[Ped.1]]=3,79,IF(NSi.TS[[#This Row],[Ped.1]]=4,69,IF(NSi.TS[[#This Row],[Ped.1]]=5,0,"-")))))</f>
        <v>-</v>
      </c>
      <c r="CB8" s="73" t="str">
        <f>IF(NSi.TS[[#This Row],[Pro-A.1]]=1,100,IF(NSi.TS[[#This Row],[Pro-A.1]]=2,89,IF(NSi.TS[[#This Row],[Pro-A.1]]=3,79,IF(NSi.TS[[#This Row],[Pro-A.1]]=4,69,IF(NSi.TS[[#This Row],[Pro-A.1]]=5,0,"-")))))</f>
        <v>-</v>
      </c>
      <c r="CC8" s="73" t="str">
        <f>IF(NSi.TS[[#This Row],[KU.2]]="A",100,IF(NSi.TS[[#This Row],[KU.2]]="B",89,IF(NSi.TS[[#This Row],[KU.2]]="C",79,IF(NSi.TS[[#This Row],[KU.2]]="D",69,IF(NSi.TS[[#This Row],[KU.2]]="E",0,"-")))))</f>
        <v>-</v>
      </c>
      <c r="CD8" s="73" t="str">
        <f>IF(NSi.TS[[#This Row],[TJ.2]]=1,100,IF(NSi.TS[[#This Row],[TJ.2]]=2,89,IF(NSi.TS[[#This Row],[TJ.2]]=3,79,IF(NSi.TS[[#This Row],[TJ.2]]=4,69,IF(NSi.TS[[#This Row],[TJ.2]]=5,0,"-")))))</f>
        <v>-</v>
      </c>
      <c r="CE8" s="73" t="str">
        <f>IF(NSi.TS[[#This Row],[Ker.2]]=1,100,IF(NSi.TS[[#This Row],[Ker.2]]=2,89,IF(NSi.TS[[#This Row],[Ker.2]]=3,79,IF(NSi.TS[[#This Row],[Ker.2]]=4,69,IF(NSi.TS[[#This Row],[Ker.2]]=5,0,"-")))))</f>
        <v>-</v>
      </c>
      <c r="CF8" s="73" t="str">
        <f>IF(NSi.TS[[#This Row],[Ped.2]]=1,100,IF(NSi.TS[[#This Row],[Ped.2]]=2,89,IF(NSi.TS[[#This Row],[Ped.2]]=3,79,IF(NSi.TS[[#This Row],[Ped.2]]=4,69,IF(NSi.TS[[#This Row],[Ped.2]]=5,0,"-")))))</f>
        <v>-</v>
      </c>
      <c r="CG8" s="73" t="str">
        <f>IF(NSi.TS[[#This Row],[Pro-A.2]]=1,100,IF(NSi.TS[[#This Row],[Pro-A.2]]=2,89,IF(NSi.TS[[#This Row],[Pro-A.2]]=3,79,IF(NSi.TS[[#This Row],[Pro-A.2]]=4,69,IF(NSi.TS[[#This Row],[Pro-A.2]]=5,0,"-")))))</f>
        <v>-</v>
      </c>
      <c r="CH8" s="74" t="str">
        <f>IF(NSi.TS[[#This Row],[KU.3]]="A",100,IF(NSi.TS[[#This Row],[KU.3]]="B",89,IF(NSi.TS[[#This Row],[KU.3]]="C",79,IF(NSi.TS[[#This Row],[KU.3]]="D",69,IF(NSi.TS[[#This Row],[KU.3]]="E",0,"-")))))</f>
        <v>-</v>
      </c>
      <c r="CI8" s="73" t="str">
        <f>IF(NSi.TS[[#This Row],[TJ.3]]=1,100,IF(NSi.TS[[#This Row],[TJ.3]]=2,89,IF(NSi.TS[[#This Row],[TJ.3]]=3,79,IF(NSi.TS[[#This Row],[TJ.3]]=4,69,IF(NSi.TS[[#This Row],[TJ.3]]=5,0,"-")))))</f>
        <v>-</v>
      </c>
      <c r="CJ8" s="73" t="str">
        <f>IF(NSi.TS[[#This Row],[Ker.3]]=1,100,IF(NSi.TS[[#This Row],[Ker.3]]=2,89,IF(NSi.TS[[#This Row],[Ker.3]]=3,79,IF(NSi.TS[[#This Row],[Ker.3]]=4,69,IF(NSi.TS[[#This Row],[Ker.3]]=5,0,"-")))))</f>
        <v>-</v>
      </c>
      <c r="CK8" s="73" t="str">
        <f>IF(NSi.TS[[#This Row],[Ped.3]]=1,100,IF(NSi.TS[[#This Row],[Ped.3]]=2,89,IF(NSi.TS[[#This Row],[Ped.3]]=3,79,IF(NSi.TS[[#This Row],[Ped.3]]=4,69,IF(NSi.TS[[#This Row],[Ped.3]]=5,0,"-")))))</f>
        <v>-</v>
      </c>
      <c r="CL8" s="73" t="str">
        <f>IF(NSi.TS[[#This Row],[Pro-A.3]]=1,100,IF(NSi.TS[[#This Row],[Pro-A.3]]=2,89,IF(NSi.TS[[#This Row],[Pro-A.3]]=3,79,IF(NSi.TS[[#This Row],[Pro-A.3]]=4,69,IF(NSi.TS[[#This Row],[Pro-A.3]]=5,0,"-")))))</f>
        <v>-</v>
      </c>
      <c r="CM8" s="74" t="str">
        <f>IF(NSi.TS[[#This Row],[KU.4]]="A",100,IF(NSi.TS[[#This Row],[KU.4]]="B",89,IF(NSi.TS[[#This Row],[KU.4]]="C",79,IF(NSi.TS[[#This Row],[KU.4]]="D",69,IF(NSi.TS[[#This Row],[KU.4]]="E",0,"-")))))</f>
        <v>-</v>
      </c>
      <c r="CN8" s="73" t="str">
        <f>IF(NSi.TS[[#This Row],[TJ.4]]=1,100,IF(NSi.TS[[#This Row],[TJ.4]]=2,89,IF(NSi.TS[[#This Row],[TJ.4]]=3,79,IF(NSi.TS[[#This Row],[TJ.4]]=4,69,IF(NSi.TS[[#This Row],[TJ.4]]=5,0,"-")))))</f>
        <v>-</v>
      </c>
      <c r="CO8" s="73" t="str">
        <f>IF(NSi.TS[[#This Row],[Ker.4]]=1,100,IF(NSi.TS[[#This Row],[Ker.4]]=2,89,IF(NSi.TS[[#This Row],[Ker.4]]=3,79,IF(NSi.TS[[#This Row],[Ker.4]]=4,69,IF(NSi.TS[[#This Row],[Ker.4]]=5,0,"-")))))</f>
        <v>-</v>
      </c>
      <c r="CP8" s="73" t="str">
        <f>IF(NSi.TS[[#This Row],[Ped.4]]=1,100,IF(NSi.TS[[#This Row],[Ped.4]]=2,89,IF(NSi.TS[[#This Row],[Ped.4]]=3,79,IF(NSi.TS[[#This Row],[Ped.4]]=4,69,IF(NSi.TS[[#This Row],[Ped.4]]=5,0,"-")))))</f>
        <v>-</v>
      </c>
      <c r="CQ8" s="73" t="str">
        <f>IF(NSi.TS[[#This Row],[Pro-A.4]]=1,100,IF(NSi.TS[[#This Row],[Pro-A.4]]=2,89,IF(NSi.TS[[#This Row],[Pro-A.4]]=3,79,IF(NSi.TS[[#This Row],[Pro-A.4]]=4,69,IF(NSi.TS[[#This Row],[Pro-A.4]]=5,0,"-")))))</f>
        <v>-</v>
      </c>
      <c r="CR8" s="74" t="str">
        <f>IF(NSi.TS[[#This Row],[KU.5]]="A",100,IF(NSi.TS[[#This Row],[KU.5]]="B",89,IF(NSi.TS[[#This Row],[KU.5]]="C",79,IF(NSi.TS[[#This Row],[KU.5]]="D",69,IF(NSi.TS[[#This Row],[KU.5]]="E",0,"-")))))</f>
        <v>-</v>
      </c>
      <c r="CS8" s="73" t="str">
        <f>IF(NSi.TS[[#This Row],[TJ.5]]=1,100,IF(NSi.TS[[#This Row],[TJ.5]]=2,89,IF(NSi.TS[[#This Row],[TJ.5]]=3,79,IF(NSi.TS[[#This Row],[TJ.5]]=4,69,IF(NSi.TS[[#This Row],[TJ.5]]=5,0,"-")))))</f>
        <v>-</v>
      </c>
      <c r="CT8" s="73" t="str">
        <f>IF(NSi.TS[[#This Row],[Ker.5]]=1,100,IF(NSi.TS[[#This Row],[Ker.5]]=2,89,IF(NSi.TS[[#This Row],[Ker.5]]=3,79,IF(NSi.TS[[#This Row],[Ker.5]]=4,69,IF(NSi.TS[[#This Row],[Ker.5]]=5,0,"-")))))</f>
        <v>-</v>
      </c>
      <c r="CU8" s="73" t="str">
        <f>IF(NSi.TS[[#This Row],[Ped.5]]=1,100,IF(NSi.TS[[#This Row],[Ped.5]]=2,89,IF(NSi.TS[[#This Row],[Ped.5]]=3,79,IF(NSi.TS[[#This Row],[Ped.5]]=4,69,IF(NSi.TS[[#This Row],[Ped.5]]=5,0,"-")))))</f>
        <v>-</v>
      </c>
      <c r="CV8" s="73" t="str">
        <f>IF(NSi.TS[[#This Row],[Pro-A.5]]=1,100,IF(NSi.TS[[#This Row],[Pro-A.5]]=2,89,IF(NSi.TS[[#This Row],[Pro-A.5]]=3,79,IF(NSi.TS[[#This Row],[Pro-A.5]]=4,69,IF(NSi.TS[[#This Row],[Pro-A.5]]=5,0,"-")))))</f>
        <v>-</v>
      </c>
      <c r="CW8" s="74" t="str">
        <f>IF(NSi.TS[[#This Row],[KU.6]]="A",100,IF(NSi.TS[[#This Row],[KU.6]]="B",89,IF(NSi.TS[[#This Row],[KU.6]]="C",79,IF(NSi.TS[[#This Row],[KU.6]]="D",69,IF(NSi.TS[[#This Row],[KU.6]]="E",0,"-")))))</f>
        <v>-</v>
      </c>
      <c r="CX8" s="73" t="str">
        <f>IF(NSi.TS[[#This Row],[TJ.6]]=1,100,IF(NSi.TS[[#This Row],[TJ.6]]=2,89,IF(NSi.TS[[#This Row],[TJ.6]]=3,79,IF(NSi.TS[[#This Row],[TJ.6]]=4,69,IF(NSi.TS[[#This Row],[TJ.6]]=5,0,"-")))))</f>
        <v>-</v>
      </c>
      <c r="CY8" s="73" t="str">
        <f>IF(NSi.TS[[#This Row],[Ker.6]]=1,100,IF(NSi.TS[[#This Row],[Ker.6]]=2,89,IF(NSi.TS[[#This Row],[Ker.6]]=3,79,IF(NSi.TS[[#This Row],[Ker.6]]=4,69,IF(NSi.TS[[#This Row],[Ker.6]]=5,0,"-")))))</f>
        <v>-</v>
      </c>
      <c r="CZ8" s="73" t="str">
        <f>IF(NSi.TS[[#This Row],[Ped.6]]=1,100,IF(NSi.TS[[#This Row],[Ped.6]]=2,89,IF(NSi.TS[[#This Row],[Ped.6]]=3,79,IF(NSi.TS[[#This Row],[Ped.6]]=4,69,IF(NSi.TS[[#This Row],[Ped.6]]=5,0,"-")))))</f>
        <v>-</v>
      </c>
      <c r="DA8" s="73" t="str">
        <f>IF(NSi.TS[[#This Row],[Pro-A.6]]=1,100,IF(NSi.TS[[#This Row],[Pro-A.6]]=2,89,IF(NSi.TS[[#This Row],[Pro-A.6]]=3,79,IF(NSi.TS[[#This Row],[Pro-A.6]]=4,69,IF(NSi.TS[[#This Row],[Pro-A.6]]=5,0,"-")))))</f>
        <v>-</v>
      </c>
      <c r="DB8" s="74" t="str">
        <f>IF(NSi.TS[[#This Row],[KU.7]]="A",100,IF(NSi.TS[[#This Row],[KU.7]]="B",89,IF(NSi.TS[[#This Row],[KU.7]]="C",79,IF(NSi.TS[[#This Row],[KU.7]]="D",69,IF(NSi.TS[[#This Row],[KU.7]]="E",0,"-")))))</f>
        <v>-</v>
      </c>
      <c r="DC8" s="73" t="str">
        <f>IF(NSi.TS[[#This Row],[TJ.7]]=1,100,IF(NSi.TS[[#This Row],[TJ.7]]=2,89,IF(NSi.TS[[#This Row],[TJ.7]]=3,79,IF(NSi.TS[[#This Row],[TJ.7]]=4,69,IF(NSi.TS[[#This Row],[TJ.7]]=5,0,"-")))))</f>
        <v>-</v>
      </c>
      <c r="DD8" s="73" t="str">
        <f>IF(NSi.TS[[#This Row],[Ker.7]]=1,100,IF(NSi.TS[[#This Row],[Ker.7]]=2,89,IF(NSi.TS[[#This Row],[Ker.7]]=3,79,IF(NSi.TS[[#This Row],[Ker.7]]=4,69,IF(NSi.TS[[#This Row],[Ker.7]]=5,0,"-")))))</f>
        <v>-</v>
      </c>
      <c r="DE8" s="73" t="str">
        <f>IF(NSi.TS[[#This Row],[Ped.7]]=1,100,IF(NSi.TS[[#This Row],[Ped.7]]=2,89,IF(NSi.TS[[#This Row],[Ped.7]]=3,79,IF(NSi.TS[[#This Row],[Ped.7]]=4,69,IF(NSi.TS[[#This Row],[Ped.7]]=5,0,"-")))))</f>
        <v>-</v>
      </c>
      <c r="DF8" s="73" t="str">
        <f>IF(NSi.TS[[#This Row],[Pro-A.7]]=1,100,IF(NSi.TS[[#This Row],[Pro-A.7]]=2,89,IF(NSi.TS[[#This Row],[Pro-A.7]]=3,79,IF(NSi.TS[[#This Row],[Pro-A.7]]=4,69,IF(NSi.TS[[#This Row],[Pro-A.7]]=5,0,"-")))))</f>
        <v>-</v>
      </c>
      <c r="DG8" s="74" t="str">
        <f>IF(NSi.TS[[#This Row],[KU.8]]="A",100,IF(NSi.TS[[#This Row],[KU.8]]="B",89,IF(NSi.TS[[#This Row],[KU.8]]="C",79,IF(NSi.TS[[#This Row],[KU.8]]="D",69,IF(NSi.TS[[#This Row],[KU.8]]="E",0,"-")))))</f>
        <v>-</v>
      </c>
      <c r="DH8" s="73" t="str">
        <f>IF(NSi.TS[[#This Row],[TJ.8]]=1,100,IF(NSi.TS[[#This Row],[TJ.8]]=2,89,IF(NSi.TS[[#This Row],[TJ.8]]=3,79,IF(NSi.TS[[#This Row],[TJ.8]]=4,69,IF(NSi.TS[[#This Row],[TJ.8]]=5,0,"-")))))</f>
        <v>-</v>
      </c>
      <c r="DI8" s="73" t="str">
        <f>IF(NSi.TS[[#This Row],[Ker.8]]=1,100,IF(NSi.TS[[#This Row],[Ker.8]]=2,89,IF(NSi.TS[[#This Row],[Ker.8]]=3,79,IF(NSi.TS[[#This Row],[Ker.8]]=4,69,IF(NSi.TS[[#This Row],[Ker.8]]=5,0,"-")))))</f>
        <v>-</v>
      </c>
      <c r="DJ8" s="73" t="str">
        <f>IF(NSi.TS[[#This Row],[Ped.8]]=1,100,IF(NSi.TS[[#This Row],[Ped.8]]=2,89,IF(NSi.TS[[#This Row],[Ped.8]]=3,79,IF(NSi.TS[[#This Row],[Ped.8]]=4,69,IF(NSi.TS[[#This Row],[Ped.8]]=5,0,"-")))))</f>
        <v>-</v>
      </c>
      <c r="DK8" s="73" t="str">
        <f>IF(NSi.TS[[#This Row],[Pro-A.8]]=1,100,IF(NSi.TS[[#This Row],[Pro-A.8]]=2,89,IF(NSi.TS[[#This Row],[Pro-A.8]]=3,79,IF(NSi.TS[[#This Row],[Pro-A.8]]=4,69,IF(NSi.TS[[#This Row],[Pro-A.8]]=5,0,"-")))))</f>
        <v>-</v>
      </c>
      <c r="DL8" s="74" t="str">
        <f>IF(NSi.TS[[#This Row],[KU.9]]="A",100,IF(NSi.TS[[#This Row],[KU.9]]="B",89,IF(NSi.TS[[#This Row],[KU.9]]="C",79,IF(NSi.TS[[#This Row],[KU.9]]="D",69,IF(NSi.TS[[#This Row],[KU.9]]="E",0,"-")))))</f>
        <v>-</v>
      </c>
      <c r="DM8" s="73" t="str">
        <f>IF(NSi.TS[[#This Row],[TJ.9]]=1,100,IF(NSi.TS[[#This Row],[TJ.9]]=2,89,IF(NSi.TS[[#This Row],[TJ.9]]=3,79,IF(NSi.TS[[#This Row],[TJ.9]]=4,69,IF(NSi.TS[[#This Row],[TJ.9]]=5,0,"-")))))</f>
        <v>-</v>
      </c>
      <c r="DN8" s="73" t="str">
        <f>IF(NSi.TS[[#This Row],[Ker.9]]=1,100,IF(NSi.TS[[#This Row],[Ker.9]]=2,89,IF(NSi.TS[[#This Row],[Ker.9]]=3,79,IF(NSi.TS[[#This Row],[Ker.9]]=4,69,IF(NSi.TS[[#This Row],[Ker.9]]=5,0,"-")))))</f>
        <v>-</v>
      </c>
      <c r="DO8" s="73" t="str">
        <f>IF(NSi.TS[[#This Row],[Ped.9]]=1,100,IF(NSi.TS[[#This Row],[Ped.9]]=2,89,IF(NSi.TS[[#This Row],[Ped.9]]=3,79,IF(NSi.TS[[#This Row],[Ped.9]]=4,69,IF(NSi.TS[[#This Row],[Ped.9]]=5,0,"-")))))</f>
        <v>-</v>
      </c>
      <c r="DP8" s="73" t="str">
        <f>IF(NSi.TS[[#This Row],[Pro-A.9]]=1,100,IF(NSi.TS[[#This Row],[Pro-A.9]]=2,89,IF(NSi.TS[[#This Row],[Pro-A.9]]=3,79,IF(NSi.TS[[#This Row],[Pro-A.9]]=4,69,IF(NSi.TS[[#This Row],[Pro-A.9]]=5,0,"-")))))</f>
        <v>-</v>
      </c>
    </row>
    <row r="9" spans="1:120" ht="50.1" customHeight="1" x14ac:dyDescent="0.3">
      <c r="A9" s="82">
        <v>7</v>
      </c>
      <c r="B9" s="90"/>
      <c r="C9" s="91"/>
      <c r="D9" s="87"/>
      <c r="E9" s="46"/>
      <c r="F9" s="44" t="str">
        <f>IFERROR(ROUND(AVERAGE(CSCR[#This Row]),0),"")</f>
        <v/>
      </c>
      <c r="G9" s="41" t="s">
        <v>102</v>
      </c>
      <c r="H9" s="45" t="s">
        <v>102</v>
      </c>
      <c r="I9" s="45" t="s">
        <v>102</v>
      </c>
      <c r="J9" s="45" t="s">
        <v>102</v>
      </c>
      <c r="K9" s="45" t="s">
        <v>102</v>
      </c>
      <c r="L9" s="41" t="s">
        <v>102</v>
      </c>
      <c r="M9" s="45" t="s">
        <v>102</v>
      </c>
      <c r="N9" s="45" t="s">
        <v>102</v>
      </c>
      <c r="O9" s="45" t="s">
        <v>102</v>
      </c>
      <c r="P9" s="45" t="s">
        <v>102</v>
      </c>
      <c r="Q9" s="41" t="s">
        <v>102</v>
      </c>
      <c r="R9" s="45" t="s">
        <v>102</v>
      </c>
      <c r="S9" s="45" t="s">
        <v>102</v>
      </c>
      <c r="T9" s="45" t="s">
        <v>102</v>
      </c>
      <c r="U9" s="45" t="s">
        <v>102</v>
      </c>
      <c r="V9" s="41" t="s">
        <v>102</v>
      </c>
      <c r="W9" s="45" t="s">
        <v>102</v>
      </c>
      <c r="X9" s="45" t="s">
        <v>102</v>
      </c>
      <c r="Y9" s="45" t="s">
        <v>102</v>
      </c>
      <c r="Z9" s="45" t="s">
        <v>102</v>
      </c>
      <c r="AA9" s="41" t="s">
        <v>102</v>
      </c>
      <c r="AB9" s="45" t="s">
        <v>102</v>
      </c>
      <c r="AC9" s="45" t="s">
        <v>102</v>
      </c>
      <c r="AD9" s="45" t="s">
        <v>102</v>
      </c>
      <c r="AE9" s="45" t="s">
        <v>102</v>
      </c>
      <c r="AF9" s="41" t="s">
        <v>102</v>
      </c>
      <c r="AG9" s="45" t="s">
        <v>102</v>
      </c>
      <c r="AH9" s="45" t="s">
        <v>102</v>
      </c>
      <c r="AI9" s="45" t="s">
        <v>102</v>
      </c>
      <c r="AJ9" s="45" t="s">
        <v>102</v>
      </c>
      <c r="AK9" s="41" t="s">
        <v>102</v>
      </c>
      <c r="AL9" s="45" t="s">
        <v>102</v>
      </c>
      <c r="AM9" s="45" t="s">
        <v>102</v>
      </c>
      <c r="AN9" s="45" t="s">
        <v>102</v>
      </c>
      <c r="AO9" s="45" t="s">
        <v>102</v>
      </c>
      <c r="AP9" s="41" t="s">
        <v>102</v>
      </c>
      <c r="AQ9" s="45" t="s">
        <v>102</v>
      </c>
      <c r="AR9" s="45" t="s">
        <v>102</v>
      </c>
      <c r="AS9" s="45" t="s">
        <v>102</v>
      </c>
      <c r="AT9" s="45" t="s">
        <v>102</v>
      </c>
      <c r="AU9" s="41" t="s">
        <v>102</v>
      </c>
      <c r="AV9" s="45" t="s">
        <v>102</v>
      </c>
      <c r="AW9" s="45" t="s">
        <v>102</v>
      </c>
      <c r="AX9" s="45" t="s">
        <v>102</v>
      </c>
      <c r="AY9" s="45" t="s">
        <v>102</v>
      </c>
      <c r="BA9" s="10" t="str">
        <f>CONCATENATE(NSi.TS[[#This Row],[KU.1]],(IF(A.LoE[[#This Row],[LE.1]]="-","-",IF(A.LoE[[#This Row],[LE.1]]&gt;=90,1,IF(A.LoE[[#This Row],[LE.1]]&gt;=80,2,IF(A.LoE[[#This Row],[LE.1]]&gt;=70,3,IF(A.LoE[[#This Row],[LE.1]]&gt;=1,4,5)))))))</f>
        <v>--</v>
      </c>
      <c r="BB9" s="46" t="str">
        <f>CONCATENATE(NSi.TS[[#This Row],[KU.2]],(IF(A.LoE[[#This Row],[LE.2]]="-","-",IF(A.LoE[[#This Row],[LE.2]]&gt;=90,1,IF(A.LoE[[#This Row],[LE.2]]&gt;=80,2,IF(A.LoE[[#This Row],[LE.2]]&gt;=70,3,IF(A.LoE[[#This Row],[LE.2]]&gt;=1,4,5)))))))</f>
        <v>--</v>
      </c>
      <c r="BC9" s="46" t="str">
        <f>CONCATENATE(NSi.TS[[#This Row],[KU.3]],(IF(A.LoE[[#This Row],[LE.3]]="-","-",IF(A.LoE[[#This Row],[LE.3]]&gt;=90,1,IF(A.LoE[[#This Row],[LE.3]]&gt;=80,2,IF(A.LoE[[#This Row],[LE.3]]&gt;=70,3,IF(A.LoE[[#This Row],[LE.3]]&gt;=1,4,5)))))))</f>
        <v>--</v>
      </c>
      <c r="BD9" s="46" t="str">
        <f>CONCATENATE(NSi.TS[[#This Row],[KU.4]],(IF(A.LoE[[#This Row],[LE.4]]="-","-",IF(A.LoE[[#This Row],[LE.4]]&gt;=90,1,IF(A.LoE[[#This Row],[LE.4]]&gt;=80,2,IF(A.LoE[[#This Row],[LE.4]]&gt;=70,3,IF(A.LoE[[#This Row],[LE.4]]&gt;=1,4,5)))))))</f>
        <v>--</v>
      </c>
      <c r="BE9" s="46" t="str">
        <f>CONCATENATE(NSi.TS[[#This Row],[KU.5]],(IF(A.LoE[[#This Row],[LE.5]]="-","-",IF(A.LoE[[#This Row],[LE.5]]&gt;=90,1,IF(A.LoE[[#This Row],[LE.5]]&gt;=80,2,IF(A.LoE[[#This Row],[LE.5]]&gt;=70,3,IF(A.LoE[[#This Row],[LE.5]]&gt;=1,4,5)))))))</f>
        <v>--</v>
      </c>
      <c r="BF9" s="46" t="str">
        <f>CONCATENATE(NSi.TS[[#This Row],[KU.6]],(IF(A.LoE[[#This Row],[LE.6]]="-","-",IF(A.LoE[[#This Row],[LE.6]]&gt;=90,1,IF(A.LoE[[#This Row],[LE.6]]&gt;=80,2,IF(A.LoE[[#This Row],[LE.6]]&gt;=70,3,IF(A.LoE[[#This Row],[LE.6]]&gt;=1,4,5)))))))</f>
        <v>--</v>
      </c>
      <c r="BG9" s="46" t="str">
        <f>CONCATENATE(NSi.TS[[#This Row],[KU.7]],(IF(A.LoE[[#This Row],[LE.7]]="-","-",IF(A.LoE[[#This Row],[LE.7]]&gt;=90,1,IF(A.LoE[[#This Row],[LE.7]]&gt;=80,2,IF(A.LoE[[#This Row],[LE.7]]&gt;=70,3,IF(A.LoE[[#This Row],[LE.7]]&gt;=1,4,5)))))))</f>
        <v>--</v>
      </c>
      <c r="BH9" s="46" t="str">
        <f>CONCATENATE(NSi.TS[[#This Row],[KU.8]],(IF(A.LoE[[#This Row],[LE.8]]="-","-",IF(A.LoE[[#This Row],[LE.8]]&gt;=90,1,IF(A.LoE[[#This Row],[LE.8]]&gt;=80,2,IF(A.LoE[[#This Row],[LE.8]]&gt;=70,3,IF(A.LoE[[#This Row],[LE.8]]&gt;=1,4,5)))))))</f>
        <v>--</v>
      </c>
      <c r="BI9" s="38" t="str">
        <f>CONCATENATE(NSi.TS[[#This Row],[KU.9]],(IF(A.LoE[[#This Row],[LE.9]]="-","-",IF(A.LoE[[#This Row],[LE.9]]&gt;=90,1,IF(A.LoE[[#This Row],[LE.9]]&gt;=80,2,IF(A.LoE[[#This Row],[LE.9]]&gt;=70,3,IF(A.LoE[[#This Row],[LE.9]]&gt;=1,4,5)))))))</f>
        <v>--</v>
      </c>
      <c r="BK9" s="35" t="str">
        <f>IFERROR(ROUND(AVERAGE(Con.Sk[[#This Row],[TJ.1]:[Pro-A.1]]),0),"-")</f>
        <v>-</v>
      </c>
      <c r="BL9" s="24" t="str">
        <f>IFERROR(ROUND(AVERAGE(Con.Sk[[#This Row],[TJ.2]:[Pro-A.2]]),0),"-")</f>
        <v>-</v>
      </c>
      <c r="BM9" s="24" t="str">
        <f>IFERROR(ROUND(AVERAGE(Con.Sk[[#This Row],[TJ.3]:[Pro-A.3]]),0),"-")</f>
        <v>-</v>
      </c>
      <c r="BN9" s="24" t="str">
        <f>IFERROR(ROUND(AVERAGE(Con.Sk[[#This Row],[TJ.4]:[Pro-A.4]]),0),"-")</f>
        <v>-</v>
      </c>
      <c r="BO9" s="24" t="str">
        <f>IFERROR(ROUND(AVERAGE(Con.Sk[[#This Row],[TJ.5]:[Pro-A.5]]),0),"-")</f>
        <v>-</v>
      </c>
      <c r="BP9" s="24" t="str">
        <f>IFERROR(ROUND(AVERAGE(Con.Sk[[#This Row],[TJ.6]:[Pro-A.6]]),0),"-")</f>
        <v>-</v>
      </c>
      <c r="BQ9" s="24" t="str">
        <f>IFERROR(ROUND(AVERAGE(Con.Sk[[#This Row],[TJ.7]:[Pro-A.7]]),0),"-")</f>
        <v>-</v>
      </c>
      <c r="BR9" s="24" t="str">
        <f>IFERROR(ROUND(AVERAGE(Con.Sk[[#This Row],[TJ.8]:[Pro-A.8]]),0),"-")</f>
        <v>-</v>
      </c>
      <c r="BS9" s="25" t="str">
        <f>IFERROR(ROUND(AVERAGE(Con.Sk[[#This Row],[TJ.9]:[Pro-A.9]]),0),"-")</f>
        <v>-</v>
      </c>
      <c r="BU9" s="47" t="str">
        <f>IFERROR(ROUND(AVERAGE(Con.Sk[[#This Row],[KU.1]],Con.Sk[[#This Row],[KU.2]],Con.Sk[[#This Row],[KU.3]],Con.Sk[[#This Row],[KU.4]],Con.Sk[[#This Row],[KU.5]],Con.Sk[[#This Row],[KU.6]],Con.Sk[[#This Row],[KU.7]],Con.Sk[[#This Row],[KU.8]],Con.Sk[[#This Row],[KU.9]]),0),"")</f>
        <v/>
      </c>
      <c r="BV9" s="48" t="str">
        <f>IFERROR(ROUND(AVERAGE(Con.Sk[[#This Row],[TJ.1]:[Pro-A.1]],Con.Sk[[#This Row],[TJ.2]:[Pro-A.2]],Con.Sk[[#This Row],[TJ.3]:[Pro-A.3]],Con.Sk[[#This Row],[TJ.4]:[Pro-A.4]],Con.Sk[[#This Row],[TJ.5]:[Pro-A.5]],Con.Sk[[#This Row],[TJ.6]:[Pro-A.6]],Con.Sk[[#This Row],[TJ.7]:[Pro-A.7]],Con.Sk[[#This Row],[TJ.8]:[Pro-A.8]],Con.Sk[[#This Row],[TJ.9]:[Pro-A.9]]),0),"")</f>
        <v/>
      </c>
      <c r="BW9" s="3"/>
      <c r="BX9" s="73" t="str">
        <f>IF(NSi.TS[[#This Row],[KU.1]]="A",100,IF(NSi.TS[[#This Row],[KU.1]]="B",89,IF(NSi.TS[[#This Row],[KU.1]]="C",79,IF(NSi.TS[[#This Row],[KU.1]]="D",69,IF(NSi.TS[[#This Row],[KU.1]]="E",0,"-")))))</f>
        <v>-</v>
      </c>
      <c r="BY9" s="73" t="str">
        <f>IF(NSi.TS[[#This Row],[TJ.1]]=1,100,IF(NSi.TS[[#This Row],[TJ.1]]=2,89,IF(NSi.TS[[#This Row],[TJ.1]]=3,79,IF(NSi.TS[[#This Row],[TJ.1]]=4,69,IF(NSi.TS[[#This Row],[TJ.1]]=5,0,"-")))))</f>
        <v>-</v>
      </c>
      <c r="BZ9" s="73" t="str">
        <f>IF(NSi.TS[[#This Row],[Ker.1]]=1,100,IF(NSi.TS[[#This Row],[Ker.1]]=2,89,IF(NSi.TS[[#This Row],[Ker.1]]=3,79,IF(NSi.TS[[#This Row],[Ker.1]]=4,69,IF(NSi.TS[[#This Row],[Ker.1]]=5,0,"-")))))</f>
        <v>-</v>
      </c>
      <c r="CA9" s="73" t="str">
        <f>IF(NSi.TS[[#This Row],[Ped.1]]=1,100,IF(NSi.TS[[#This Row],[Ped.1]]=2,89,IF(NSi.TS[[#This Row],[Ped.1]]=3,79,IF(NSi.TS[[#This Row],[Ped.1]]=4,69,IF(NSi.TS[[#This Row],[Ped.1]]=5,0,"-")))))</f>
        <v>-</v>
      </c>
      <c r="CB9" s="73" t="str">
        <f>IF(NSi.TS[[#This Row],[Pro-A.1]]=1,100,IF(NSi.TS[[#This Row],[Pro-A.1]]=2,89,IF(NSi.TS[[#This Row],[Pro-A.1]]=3,79,IF(NSi.TS[[#This Row],[Pro-A.1]]=4,69,IF(NSi.TS[[#This Row],[Pro-A.1]]=5,0,"-")))))</f>
        <v>-</v>
      </c>
      <c r="CC9" s="73" t="str">
        <f>IF(NSi.TS[[#This Row],[KU.2]]="A",100,IF(NSi.TS[[#This Row],[KU.2]]="B",89,IF(NSi.TS[[#This Row],[KU.2]]="C",79,IF(NSi.TS[[#This Row],[KU.2]]="D",69,IF(NSi.TS[[#This Row],[KU.2]]="E",0,"-")))))</f>
        <v>-</v>
      </c>
      <c r="CD9" s="73" t="str">
        <f>IF(NSi.TS[[#This Row],[TJ.2]]=1,100,IF(NSi.TS[[#This Row],[TJ.2]]=2,89,IF(NSi.TS[[#This Row],[TJ.2]]=3,79,IF(NSi.TS[[#This Row],[TJ.2]]=4,69,IF(NSi.TS[[#This Row],[TJ.2]]=5,0,"-")))))</f>
        <v>-</v>
      </c>
      <c r="CE9" s="73" t="str">
        <f>IF(NSi.TS[[#This Row],[Ker.2]]=1,100,IF(NSi.TS[[#This Row],[Ker.2]]=2,89,IF(NSi.TS[[#This Row],[Ker.2]]=3,79,IF(NSi.TS[[#This Row],[Ker.2]]=4,69,IF(NSi.TS[[#This Row],[Ker.2]]=5,0,"-")))))</f>
        <v>-</v>
      </c>
      <c r="CF9" s="73" t="str">
        <f>IF(NSi.TS[[#This Row],[Ped.2]]=1,100,IF(NSi.TS[[#This Row],[Ped.2]]=2,89,IF(NSi.TS[[#This Row],[Ped.2]]=3,79,IF(NSi.TS[[#This Row],[Ped.2]]=4,69,IF(NSi.TS[[#This Row],[Ped.2]]=5,0,"-")))))</f>
        <v>-</v>
      </c>
      <c r="CG9" s="73" t="str">
        <f>IF(NSi.TS[[#This Row],[Pro-A.2]]=1,100,IF(NSi.TS[[#This Row],[Pro-A.2]]=2,89,IF(NSi.TS[[#This Row],[Pro-A.2]]=3,79,IF(NSi.TS[[#This Row],[Pro-A.2]]=4,69,IF(NSi.TS[[#This Row],[Pro-A.2]]=5,0,"-")))))</f>
        <v>-</v>
      </c>
      <c r="CH9" s="74" t="str">
        <f>IF(NSi.TS[[#This Row],[KU.3]]="A",100,IF(NSi.TS[[#This Row],[KU.3]]="B",89,IF(NSi.TS[[#This Row],[KU.3]]="C",79,IF(NSi.TS[[#This Row],[KU.3]]="D",69,IF(NSi.TS[[#This Row],[KU.3]]="E",0,"-")))))</f>
        <v>-</v>
      </c>
      <c r="CI9" s="73" t="str">
        <f>IF(NSi.TS[[#This Row],[TJ.3]]=1,100,IF(NSi.TS[[#This Row],[TJ.3]]=2,89,IF(NSi.TS[[#This Row],[TJ.3]]=3,79,IF(NSi.TS[[#This Row],[TJ.3]]=4,69,IF(NSi.TS[[#This Row],[TJ.3]]=5,0,"-")))))</f>
        <v>-</v>
      </c>
      <c r="CJ9" s="73" t="str">
        <f>IF(NSi.TS[[#This Row],[Ker.3]]=1,100,IF(NSi.TS[[#This Row],[Ker.3]]=2,89,IF(NSi.TS[[#This Row],[Ker.3]]=3,79,IF(NSi.TS[[#This Row],[Ker.3]]=4,69,IF(NSi.TS[[#This Row],[Ker.3]]=5,0,"-")))))</f>
        <v>-</v>
      </c>
      <c r="CK9" s="73" t="str">
        <f>IF(NSi.TS[[#This Row],[Ped.3]]=1,100,IF(NSi.TS[[#This Row],[Ped.3]]=2,89,IF(NSi.TS[[#This Row],[Ped.3]]=3,79,IF(NSi.TS[[#This Row],[Ped.3]]=4,69,IF(NSi.TS[[#This Row],[Ped.3]]=5,0,"-")))))</f>
        <v>-</v>
      </c>
      <c r="CL9" s="73" t="str">
        <f>IF(NSi.TS[[#This Row],[Pro-A.3]]=1,100,IF(NSi.TS[[#This Row],[Pro-A.3]]=2,89,IF(NSi.TS[[#This Row],[Pro-A.3]]=3,79,IF(NSi.TS[[#This Row],[Pro-A.3]]=4,69,IF(NSi.TS[[#This Row],[Pro-A.3]]=5,0,"-")))))</f>
        <v>-</v>
      </c>
      <c r="CM9" s="74" t="str">
        <f>IF(NSi.TS[[#This Row],[KU.4]]="A",100,IF(NSi.TS[[#This Row],[KU.4]]="B",89,IF(NSi.TS[[#This Row],[KU.4]]="C",79,IF(NSi.TS[[#This Row],[KU.4]]="D",69,IF(NSi.TS[[#This Row],[KU.4]]="E",0,"-")))))</f>
        <v>-</v>
      </c>
      <c r="CN9" s="73" t="str">
        <f>IF(NSi.TS[[#This Row],[TJ.4]]=1,100,IF(NSi.TS[[#This Row],[TJ.4]]=2,89,IF(NSi.TS[[#This Row],[TJ.4]]=3,79,IF(NSi.TS[[#This Row],[TJ.4]]=4,69,IF(NSi.TS[[#This Row],[TJ.4]]=5,0,"-")))))</f>
        <v>-</v>
      </c>
      <c r="CO9" s="73" t="str">
        <f>IF(NSi.TS[[#This Row],[Ker.4]]=1,100,IF(NSi.TS[[#This Row],[Ker.4]]=2,89,IF(NSi.TS[[#This Row],[Ker.4]]=3,79,IF(NSi.TS[[#This Row],[Ker.4]]=4,69,IF(NSi.TS[[#This Row],[Ker.4]]=5,0,"-")))))</f>
        <v>-</v>
      </c>
      <c r="CP9" s="73" t="str">
        <f>IF(NSi.TS[[#This Row],[Ped.4]]=1,100,IF(NSi.TS[[#This Row],[Ped.4]]=2,89,IF(NSi.TS[[#This Row],[Ped.4]]=3,79,IF(NSi.TS[[#This Row],[Ped.4]]=4,69,IF(NSi.TS[[#This Row],[Ped.4]]=5,0,"-")))))</f>
        <v>-</v>
      </c>
      <c r="CQ9" s="73" t="str">
        <f>IF(NSi.TS[[#This Row],[Pro-A.4]]=1,100,IF(NSi.TS[[#This Row],[Pro-A.4]]=2,89,IF(NSi.TS[[#This Row],[Pro-A.4]]=3,79,IF(NSi.TS[[#This Row],[Pro-A.4]]=4,69,IF(NSi.TS[[#This Row],[Pro-A.4]]=5,0,"-")))))</f>
        <v>-</v>
      </c>
      <c r="CR9" s="74" t="str">
        <f>IF(NSi.TS[[#This Row],[KU.5]]="A",100,IF(NSi.TS[[#This Row],[KU.5]]="B",89,IF(NSi.TS[[#This Row],[KU.5]]="C",79,IF(NSi.TS[[#This Row],[KU.5]]="D",69,IF(NSi.TS[[#This Row],[KU.5]]="E",0,"-")))))</f>
        <v>-</v>
      </c>
      <c r="CS9" s="73" t="str">
        <f>IF(NSi.TS[[#This Row],[TJ.5]]=1,100,IF(NSi.TS[[#This Row],[TJ.5]]=2,89,IF(NSi.TS[[#This Row],[TJ.5]]=3,79,IF(NSi.TS[[#This Row],[TJ.5]]=4,69,IF(NSi.TS[[#This Row],[TJ.5]]=5,0,"-")))))</f>
        <v>-</v>
      </c>
      <c r="CT9" s="73" t="str">
        <f>IF(NSi.TS[[#This Row],[Ker.5]]=1,100,IF(NSi.TS[[#This Row],[Ker.5]]=2,89,IF(NSi.TS[[#This Row],[Ker.5]]=3,79,IF(NSi.TS[[#This Row],[Ker.5]]=4,69,IF(NSi.TS[[#This Row],[Ker.5]]=5,0,"-")))))</f>
        <v>-</v>
      </c>
      <c r="CU9" s="73" t="str">
        <f>IF(NSi.TS[[#This Row],[Ped.5]]=1,100,IF(NSi.TS[[#This Row],[Ped.5]]=2,89,IF(NSi.TS[[#This Row],[Ped.5]]=3,79,IF(NSi.TS[[#This Row],[Ped.5]]=4,69,IF(NSi.TS[[#This Row],[Ped.5]]=5,0,"-")))))</f>
        <v>-</v>
      </c>
      <c r="CV9" s="73" t="str">
        <f>IF(NSi.TS[[#This Row],[Pro-A.5]]=1,100,IF(NSi.TS[[#This Row],[Pro-A.5]]=2,89,IF(NSi.TS[[#This Row],[Pro-A.5]]=3,79,IF(NSi.TS[[#This Row],[Pro-A.5]]=4,69,IF(NSi.TS[[#This Row],[Pro-A.5]]=5,0,"-")))))</f>
        <v>-</v>
      </c>
      <c r="CW9" s="74" t="str">
        <f>IF(NSi.TS[[#This Row],[KU.6]]="A",100,IF(NSi.TS[[#This Row],[KU.6]]="B",89,IF(NSi.TS[[#This Row],[KU.6]]="C",79,IF(NSi.TS[[#This Row],[KU.6]]="D",69,IF(NSi.TS[[#This Row],[KU.6]]="E",0,"-")))))</f>
        <v>-</v>
      </c>
      <c r="CX9" s="73" t="str">
        <f>IF(NSi.TS[[#This Row],[TJ.6]]=1,100,IF(NSi.TS[[#This Row],[TJ.6]]=2,89,IF(NSi.TS[[#This Row],[TJ.6]]=3,79,IF(NSi.TS[[#This Row],[TJ.6]]=4,69,IF(NSi.TS[[#This Row],[TJ.6]]=5,0,"-")))))</f>
        <v>-</v>
      </c>
      <c r="CY9" s="73" t="str">
        <f>IF(NSi.TS[[#This Row],[Ker.6]]=1,100,IF(NSi.TS[[#This Row],[Ker.6]]=2,89,IF(NSi.TS[[#This Row],[Ker.6]]=3,79,IF(NSi.TS[[#This Row],[Ker.6]]=4,69,IF(NSi.TS[[#This Row],[Ker.6]]=5,0,"-")))))</f>
        <v>-</v>
      </c>
      <c r="CZ9" s="73" t="str">
        <f>IF(NSi.TS[[#This Row],[Ped.6]]=1,100,IF(NSi.TS[[#This Row],[Ped.6]]=2,89,IF(NSi.TS[[#This Row],[Ped.6]]=3,79,IF(NSi.TS[[#This Row],[Ped.6]]=4,69,IF(NSi.TS[[#This Row],[Ped.6]]=5,0,"-")))))</f>
        <v>-</v>
      </c>
      <c r="DA9" s="73" t="str">
        <f>IF(NSi.TS[[#This Row],[Pro-A.6]]=1,100,IF(NSi.TS[[#This Row],[Pro-A.6]]=2,89,IF(NSi.TS[[#This Row],[Pro-A.6]]=3,79,IF(NSi.TS[[#This Row],[Pro-A.6]]=4,69,IF(NSi.TS[[#This Row],[Pro-A.6]]=5,0,"-")))))</f>
        <v>-</v>
      </c>
      <c r="DB9" s="74" t="str">
        <f>IF(NSi.TS[[#This Row],[KU.7]]="A",100,IF(NSi.TS[[#This Row],[KU.7]]="B",89,IF(NSi.TS[[#This Row],[KU.7]]="C",79,IF(NSi.TS[[#This Row],[KU.7]]="D",69,IF(NSi.TS[[#This Row],[KU.7]]="E",0,"-")))))</f>
        <v>-</v>
      </c>
      <c r="DC9" s="73" t="str">
        <f>IF(NSi.TS[[#This Row],[TJ.7]]=1,100,IF(NSi.TS[[#This Row],[TJ.7]]=2,89,IF(NSi.TS[[#This Row],[TJ.7]]=3,79,IF(NSi.TS[[#This Row],[TJ.7]]=4,69,IF(NSi.TS[[#This Row],[TJ.7]]=5,0,"-")))))</f>
        <v>-</v>
      </c>
      <c r="DD9" s="73" t="str">
        <f>IF(NSi.TS[[#This Row],[Ker.7]]=1,100,IF(NSi.TS[[#This Row],[Ker.7]]=2,89,IF(NSi.TS[[#This Row],[Ker.7]]=3,79,IF(NSi.TS[[#This Row],[Ker.7]]=4,69,IF(NSi.TS[[#This Row],[Ker.7]]=5,0,"-")))))</f>
        <v>-</v>
      </c>
      <c r="DE9" s="73" t="str">
        <f>IF(NSi.TS[[#This Row],[Ped.7]]=1,100,IF(NSi.TS[[#This Row],[Ped.7]]=2,89,IF(NSi.TS[[#This Row],[Ped.7]]=3,79,IF(NSi.TS[[#This Row],[Ped.7]]=4,69,IF(NSi.TS[[#This Row],[Ped.7]]=5,0,"-")))))</f>
        <v>-</v>
      </c>
      <c r="DF9" s="73" t="str">
        <f>IF(NSi.TS[[#This Row],[Pro-A.7]]=1,100,IF(NSi.TS[[#This Row],[Pro-A.7]]=2,89,IF(NSi.TS[[#This Row],[Pro-A.7]]=3,79,IF(NSi.TS[[#This Row],[Pro-A.7]]=4,69,IF(NSi.TS[[#This Row],[Pro-A.7]]=5,0,"-")))))</f>
        <v>-</v>
      </c>
      <c r="DG9" s="74" t="str">
        <f>IF(NSi.TS[[#This Row],[KU.8]]="A",100,IF(NSi.TS[[#This Row],[KU.8]]="B",89,IF(NSi.TS[[#This Row],[KU.8]]="C",79,IF(NSi.TS[[#This Row],[KU.8]]="D",69,IF(NSi.TS[[#This Row],[KU.8]]="E",0,"-")))))</f>
        <v>-</v>
      </c>
      <c r="DH9" s="73" t="str">
        <f>IF(NSi.TS[[#This Row],[TJ.8]]=1,100,IF(NSi.TS[[#This Row],[TJ.8]]=2,89,IF(NSi.TS[[#This Row],[TJ.8]]=3,79,IF(NSi.TS[[#This Row],[TJ.8]]=4,69,IF(NSi.TS[[#This Row],[TJ.8]]=5,0,"-")))))</f>
        <v>-</v>
      </c>
      <c r="DI9" s="73" t="str">
        <f>IF(NSi.TS[[#This Row],[Ker.8]]=1,100,IF(NSi.TS[[#This Row],[Ker.8]]=2,89,IF(NSi.TS[[#This Row],[Ker.8]]=3,79,IF(NSi.TS[[#This Row],[Ker.8]]=4,69,IF(NSi.TS[[#This Row],[Ker.8]]=5,0,"-")))))</f>
        <v>-</v>
      </c>
      <c r="DJ9" s="73" t="str">
        <f>IF(NSi.TS[[#This Row],[Ped.8]]=1,100,IF(NSi.TS[[#This Row],[Ped.8]]=2,89,IF(NSi.TS[[#This Row],[Ped.8]]=3,79,IF(NSi.TS[[#This Row],[Ped.8]]=4,69,IF(NSi.TS[[#This Row],[Ped.8]]=5,0,"-")))))</f>
        <v>-</v>
      </c>
      <c r="DK9" s="73" t="str">
        <f>IF(NSi.TS[[#This Row],[Pro-A.8]]=1,100,IF(NSi.TS[[#This Row],[Pro-A.8]]=2,89,IF(NSi.TS[[#This Row],[Pro-A.8]]=3,79,IF(NSi.TS[[#This Row],[Pro-A.8]]=4,69,IF(NSi.TS[[#This Row],[Pro-A.8]]=5,0,"-")))))</f>
        <v>-</v>
      </c>
      <c r="DL9" s="74" t="str">
        <f>IF(NSi.TS[[#This Row],[KU.9]]="A",100,IF(NSi.TS[[#This Row],[KU.9]]="B",89,IF(NSi.TS[[#This Row],[KU.9]]="C",79,IF(NSi.TS[[#This Row],[KU.9]]="D",69,IF(NSi.TS[[#This Row],[KU.9]]="E",0,"-")))))</f>
        <v>-</v>
      </c>
      <c r="DM9" s="73" t="str">
        <f>IF(NSi.TS[[#This Row],[TJ.9]]=1,100,IF(NSi.TS[[#This Row],[TJ.9]]=2,89,IF(NSi.TS[[#This Row],[TJ.9]]=3,79,IF(NSi.TS[[#This Row],[TJ.9]]=4,69,IF(NSi.TS[[#This Row],[TJ.9]]=5,0,"-")))))</f>
        <v>-</v>
      </c>
      <c r="DN9" s="73" t="str">
        <f>IF(NSi.TS[[#This Row],[Ker.9]]=1,100,IF(NSi.TS[[#This Row],[Ker.9]]=2,89,IF(NSi.TS[[#This Row],[Ker.9]]=3,79,IF(NSi.TS[[#This Row],[Ker.9]]=4,69,IF(NSi.TS[[#This Row],[Ker.9]]=5,0,"-")))))</f>
        <v>-</v>
      </c>
      <c r="DO9" s="73" t="str">
        <f>IF(NSi.TS[[#This Row],[Ped.9]]=1,100,IF(NSi.TS[[#This Row],[Ped.9]]=2,89,IF(NSi.TS[[#This Row],[Ped.9]]=3,79,IF(NSi.TS[[#This Row],[Ped.9]]=4,69,IF(NSi.TS[[#This Row],[Ped.9]]=5,0,"-")))))</f>
        <v>-</v>
      </c>
      <c r="DP9" s="73" t="str">
        <f>IF(NSi.TS[[#This Row],[Pro-A.9]]=1,100,IF(NSi.TS[[#This Row],[Pro-A.9]]=2,89,IF(NSi.TS[[#This Row],[Pro-A.9]]=3,79,IF(NSi.TS[[#This Row],[Pro-A.9]]=4,69,IF(NSi.TS[[#This Row],[Pro-A.9]]=5,0,"-")))))</f>
        <v>-</v>
      </c>
    </row>
    <row r="10" spans="1:120" ht="50.1" customHeight="1" x14ac:dyDescent="0.3">
      <c r="A10" s="82">
        <v>8</v>
      </c>
      <c r="B10" s="90"/>
      <c r="C10" s="91"/>
      <c r="D10" s="87"/>
      <c r="E10" s="46"/>
      <c r="F10" s="44" t="str">
        <f>IFERROR(ROUND(AVERAGE(CSCR[#This Row]),0),"")</f>
        <v/>
      </c>
      <c r="G10" s="41" t="s">
        <v>102</v>
      </c>
      <c r="H10" s="45" t="s">
        <v>102</v>
      </c>
      <c r="I10" s="45" t="s">
        <v>102</v>
      </c>
      <c r="J10" s="45" t="s">
        <v>102</v>
      </c>
      <c r="K10" s="45" t="s">
        <v>102</v>
      </c>
      <c r="L10" s="41" t="s">
        <v>102</v>
      </c>
      <c r="M10" s="45" t="s">
        <v>102</v>
      </c>
      <c r="N10" s="45" t="s">
        <v>102</v>
      </c>
      <c r="O10" s="45" t="s">
        <v>102</v>
      </c>
      <c r="P10" s="45" t="s">
        <v>102</v>
      </c>
      <c r="Q10" s="41" t="s">
        <v>102</v>
      </c>
      <c r="R10" s="45" t="s">
        <v>102</v>
      </c>
      <c r="S10" s="45" t="s">
        <v>102</v>
      </c>
      <c r="T10" s="45" t="s">
        <v>102</v>
      </c>
      <c r="U10" s="45" t="s">
        <v>102</v>
      </c>
      <c r="V10" s="41" t="s">
        <v>102</v>
      </c>
      <c r="W10" s="45" t="s">
        <v>102</v>
      </c>
      <c r="X10" s="45" t="s">
        <v>102</v>
      </c>
      <c r="Y10" s="45" t="s">
        <v>102</v>
      </c>
      <c r="Z10" s="45" t="s">
        <v>102</v>
      </c>
      <c r="AA10" s="41" t="s">
        <v>102</v>
      </c>
      <c r="AB10" s="45" t="s">
        <v>102</v>
      </c>
      <c r="AC10" s="45" t="s">
        <v>102</v>
      </c>
      <c r="AD10" s="45" t="s">
        <v>102</v>
      </c>
      <c r="AE10" s="45" t="s">
        <v>102</v>
      </c>
      <c r="AF10" s="41" t="s">
        <v>102</v>
      </c>
      <c r="AG10" s="45" t="s">
        <v>102</v>
      </c>
      <c r="AH10" s="45" t="s">
        <v>102</v>
      </c>
      <c r="AI10" s="45" t="s">
        <v>102</v>
      </c>
      <c r="AJ10" s="45" t="s">
        <v>102</v>
      </c>
      <c r="AK10" s="41" t="s">
        <v>102</v>
      </c>
      <c r="AL10" s="45" t="s">
        <v>102</v>
      </c>
      <c r="AM10" s="45" t="s">
        <v>102</v>
      </c>
      <c r="AN10" s="45" t="s">
        <v>102</v>
      </c>
      <c r="AO10" s="45" t="s">
        <v>102</v>
      </c>
      <c r="AP10" s="41" t="s">
        <v>102</v>
      </c>
      <c r="AQ10" s="45" t="s">
        <v>102</v>
      </c>
      <c r="AR10" s="45" t="s">
        <v>102</v>
      </c>
      <c r="AS10" s="45" t="s">
        <v>102</v>
      </c>
      <c r="AT10" s="45" t="s">
        <v>102</v>
      </c>
      <c r="AU10" s="41" t="s">
        <v>102</v>
      </c>
      <c r="AV10" s="45" t="s">
        <v>102</v>
      </c>
      <c r="AW10" s="45" t="s">
        <v>102</v>
      </c>
      <c r="AX10" s="45" t="s">
        <v>102</v>
      </c>
      <c r="AY10" s="45" t="s">
        <v>102</v>
      </c>
      <c r="BA10" s="10" t="str">
        <f>CONCATENATE(NSi.TS[[#This Row],[KU.1]],(IF(A.LoE[[#This Row],[LE.1]]="-","-",IF(A.LoE[[#This Row],[LE.1]]&gt;=90,1,IF(A.LoE[[#This Row],[LE.1]]&gt;=80,2,IF(A.LoE[[#This Row],[LE.1]]&gt;=70,3,IF(A.LoE[[#This Row],[LE.1]]&gt;=1,4,5)))))))</f>
        <v>--</v>
      </c>
      <c r="BB10" s="46" t="str">
        <f>CONCATENATE(NSi.TS[[#This Row],[KU.2]],(IF(A.LoE[[#This Row],[LE.2]]="-","-",IF(A.LoE[[#This Row],[LE.2]]&gt;=90,1,IF(A.LoE[[#This Row],[LE.2]]&gt;=80,2,IF(A.LoE[[#This Row],[LE.2]]&gt;=70,3,IF(A.LoE[[#This Row],[LE.2]]&gt;=1,4,5)))))))</f>
        <v>--</v>
      </c>
      <c r="BC10" s="46" t="str">
        <f>CONCATENATE(NSi.TS[[#This Row],[KU.3]],(IF(A.LoE[[#This Row],[LE.3]]="-","-",IF(A.LoE[[#This Row],[LE.3]]&gt;=90,1,IF(A.LoE[[#This Row],[LE.3]]&gt;=80,2,IF(A.LoE[[#This Row],[LE.3]]&gt;=70,3,IF(A.LoE[[#This Row],[LE.3]]&gt;=1,4,5)))))))</f>
        <v>--</v>
      </c>
      <c r="BD10" s="46" t="str">
        <f>CONCATENATE(NSi.TS[[#This Row],[KU.4]],(IF(A.LoE[[#This Row],[LE.4]]="-","-",IF(A.LoE[[#This Row],[LE.4]]&gt;=90,1,IF(A.LoE[[#This Row],[LE.4]]&gt;=80,2,IF(A.LoE[[#This Row],[LE.4]]&gt;=70,3,IF(A.LoE[[#This Row],[LE.4]]&gt;=1,4,5)))))))</f>
        <v>--</v>
      </c>
      <c r="BE10" s="46" t="str">
        <f>CONCATENATE(NSi.TS[[#This Row],[KU.5]],(IF(A.LoE[[#This Row],[LE.5]]="-","-",IF(A.LoE[[#This Row],[LE.5]]&gt;=90,1,IF(A.LoE[[#This Row],[LE.5]]&gt;=80,2,IF(A.LoE[[#This Row],[LE.5]]&gt;=70,3,IF(A.LoE[[#This Row],[LE.5]]&gt;=1,4,5)))))))</f>
        <v>--</v>
      </c>
      <c r="BF10" s="46" t="str">
        <f>CONCATENATE(NSi.TS[[#This Row],[KU.6]],(IF(A.LoE[[#This Row],[LE.6]]="-","-",IF(A.LoE[[#This Row],[LE.6]]&gt;=90,1,IF(A.LoE[[#This Row],[LE.6]]&gt;=80,2,IF(A.LoE[[#This Row],[LE.6]]&gt;=70,3,IF(A.LoE[[#This Row],[LE.6]]&gt;=1,4,5)))))))</f>
        <v>--</v>
      </c>
      <c r="BG10" s="46" t="str">
        <f>CONCATENATE(NSi.TS[[#This Row],[KU.7]],(IF(A.LoE[[#This Row],[LE.7]]="-","-",IF(A.LoE[[#This Row],[LE.7]]&gt;=90,1,IF(A.LoE[[#This Row],[LE.7]]&gt;=80,2,IF(A.LoE[[#This Row],[LE.7]]&gt;=70,3,IF(A.LoE[[#This Row],[LE.7]]&gt;=1,4,5)))))))</f>
        <v>--</v>
      </c>
      <c r="BH10" s="46" t="str">
        <f>CONCATENATE(NSi.TS[[#This Row],[KU.8]],(IF(A.LoE[[#This Row],[LE.8]]="-","-",IF(A.LoE[[#This Row],[LE.8]]&gt;=90,1,IF(A.LoE[[#This Row],[LE.8]]&gt;=80,2,IF(A.LoE[[#This Row],[LE.8]]&gt;=70,3,IF(A.LoE[[#This Row],[LE.8]]&gt;=1,4,5)))))))</f>
        <v>--</v>
      </c>
      <c r="BI10" s="38" t="str">
        <f>CONCATENATE(NSi.TS[[#This Row],[KU.9]],(IF(A.LoE[[#This Row],[LE.9]]="-","-",IF(A.LoE[[#This Row],[LE.9]]&gt;=90,1,IF(A.LoE[[#This Row],[LE.9]]&gt;=80,2,IF(A.LoE[[#This Row],[LE.9]]&gt;=70,3,IF(A.LoE[[#This Row],[LE.9]]&gt;=1,4,5)))))))</f>
        <v>--</v>
      </c>
      <c r="BK10" s="35" t="str">
        <f>IFERROR(ROUND(AVERAGE(Con.Sk[[#This Row],[TJ.1]:[Pro-A.1]]),0),"-")</f>
        <v>-</v>
      </c>
      <c r="BL10" s="24" t="str">
        <f>IFERROR(ROUND(AVERAGE(Con.Sk[[#This Row],[TJ.2]:[Pro-A.2]]),0),"-")</f>
        <v>-</v>
      </c>
      <c r="BM10" s="24" t="str">
        <f>IFERROR(ROUND(AVERAGE(Con.Sk[[#This Row],[TJ.3]:[Pro-A.3]]),0),"-")</f>
        <v>-</v>
      </c>
      <c r="BN10" s="24" t="str">
        <f>IFERROR(ROUND(AVERAGE(Con.Sk[[#This Row],[TJ.4]:[Pro-A.4]]),0),"-")</f>
        <v>-</v>
      </c>
      <c r="BO10" s="24" t="str">
        <f>IFERROR(ROUND(AVERAGE(Con.Sk[[#This Row],[TJ.5]:[Pro-A.5]]),0),"-")</f>
        <v>-</v>
      </c>
      <c r="BP10" s="24" t="str">
        <f>IFERROR(ROUND(AVERAGE(Con.Sk[[#This Row],[TJ.6]:[Pro-A.6]]),0),"-")</f>
        <v>-</v>
      </c>
      <c r="BQ10" s="24" t="str">
        <f>IFERROR(ROUND(AVERAGE(Con.Sk[[#This Row],[TJ.7]:[Pro-A.7]]),0),"-")</f>
        <v>-</v>
      </c>
      <c r="BR10" s="24" t="str">
        <f>IFERROR(ROUND(AVERAGE(Con.Sk[[#This Row],[TJ.8]:[Pro-A.8]]),0),"-")</f>
        <v>-</v>
      </c>
      <c r="BS10" s="25" t="str">
        <f>IFERROR(ROUND(AVERAGE(Con.Sk[[#This Row],[TJ.9]:[Pro-A.9]]),0),"-")</f>
        <v>-</v>
      </c>
      <c r="BU10" s="47" t="str">
        <f>IFERROR(ROUND(AVERAGE(Con.Sk[[#This Row],[KU.1]],Con.Sk[[#This Row],[KU.2]],Con.Sk[[#This Row],[KU.3]],Con.Sk[[#This Row],[KU.4]],Con.Sk[[#This Row],[KU.5]],Con.Sk[[#This Row],[KU.6]],Con.Sk[[#This Row],[KU.7]],Con.Sk[[#This Row],[KU.8]],Con.Sk[[#This Row],[KU.9]]),0),"")</f>
        <v/>
      </c>
      <c r="BV10" s="48" t="str">
        <f>IFERROR(ROUND(AVERAGE(Con.Sk[[#This Row],[TJ.1]:[Pro-A.1]],Con.Sk[[#This Row],[TJ.2]:[Pro-A.2]],Con.Sk[[#This Row],[TJ.3]:[Pro-A.3]],Con.Sk[[#This Row],[TJ.4]:[Pro-A.4]],Con.Sk[[#This Row],[TJ.5]:[Pro-A.5]],Con.Sk[[#This Row],[TJ.6]:[Pro-A.6]],Con.Sk[[#This Row],[TJ.7]:[Pro-A.7]],Con.Sk[[#This Row],[TJ.8]:[Pro-A.8]],Con.Sk[[#This Row],[TJ.9]:[Pro-A.9]]),0),"")</f>
        <v/>
      </c>
      <c r="BW10" s="3"/>
      <c r="BX10" s="73" t="str">
        <f>IF(NSi.TS[[#This Row],[KU.1]]="A",100,IF(NSi.TS[[#This Row],[KU.1]]="B",89,IF(NSi.TS[[#This Row],[KU.1]]="C",79,IF(NSi.TS[[#This Row],[KU.1]]="D",69,IF(NSi.TS[[#This Row],[KU.1]]="E",0,"-")))))</f>
        <v>-</v>
      </c>
      <c r="BY10" s="73" t="str">
        <f>IF(NSi.TS[[#This Row],[TJ.1]]=1,100,IF(NSi.TS[[#This Row],[TJ.1]]=2,89,IF(NSi.TS[[#This Row],[TJ.1]]=3,79,IF(NSi.TS[[#This Row],[TJ.1]]=4,69,IF(NSi.TS[[#This Row],[TJ.1]]=5,0,"-")))))</f>
        <v>-</v>
      </c>
      <c r="BZ10" s="73" t="str">
        <f>IF(NSi.TS[[#This Row],[Ker.1]]=1,100,IF(NSi.TS[[#This Row],[Ker.1]]=2,89,IF(NSi.TS[[#This Row],[Ker.1]]=3,79,IF(NSi.TS[[#This Row],[Ker.1]]=4,69,IF(NSi.TS[[#This Row],[Ker.1]]=5,0,"-")))))</f>
        <v>-</v>
      </c>
      <c r="CA10" s="73" t="str">
        <f>IF(NSi.TS[[#This Row],[Ped.1]]=1,100,IF(NSi.TS[[#This Row],[Ped.1]]=2,89,IF(NSi.TS[[#This Row],[Ped.1]]=3,79,IF(NSi.TS[[#This Row],[Ped.1]]=4,69,IF(NSi.TS[[#This Row],[Ped.1]]=5,0,"-")))))</f>
        <v>-</v>
      </c>
      <c r="CB10" s="73" t="str">
        <f>IF(NSi.TS[[#This Row],[Pro-A.1]]=1,100,IF(NSi.TS[[#This Row],[Pro-A.1]]=2,89,IF(NSi.TS[[#This Row],[Pro-A.1]]=3,79,IF(NSi.TS[[#This Row],[Pro-A.1]]=4,69,IF(NSi.TS[[#This Row],[Pro-A.1]]=5,0,"-")))))</f>
        <v>-</v>
      </c>
      <c r="CC10" s="73" t="str">
        <f>IF(NSi.TS[[#This Row],[KU.2]]="A",100,IF(NSi.TS[[#This Row],[KU.2]]="B",89,IF(NSi.TS[[#This Row],[KU.2]]="C",79,IF(NSi.TS[[#This Row],[KU.2]]="D",69,IF(NSi.TS[[#This Row],[KU.2]]="E",0,"-")))))</f>
        <v>-</v>
      </c>
      <c r="CD10" s="73" t="str">
        <f>IF(NSi.TS[[#This Row],[TJ.2]]=1,100,IF(NSi.TS[[#This Row],[TJ.2]]=2,89,IF(NSi.TS[[#This Row],[TJ.2]]=3,79,IF(NSi.TS[[#This Row],[TJ.2]]=4,69,IF(NSi.TS[[#This Row],[TJ.2]]=5,0,"-")))))</f>
        <v>-</v>
      </c>
      <c r="CE10" s="73" t="str">
        <f>IF(NSi.TS[[#This Row],[Ker.2]]=1,100,IF(NSi.TS[[#This Row],[Ker.2]]=2,89,IF(NSi.TS[[#This Row],[Ker.2]]=3,79,IF(NSi.TS[[#This Row],[Ker.2]]=4,69,IF(NSi.TS[[#This Row],[Ker.2]]=5,0,"-")))))</f>
        <v>-</v>
      </c>
      <c r="CF10" s="73" t="str">
        <f>IF(NSi.TS[[#This Row],[Ped.2]]=1,100,IF(NSi.TS[[#This Row],[Ped.2]]=2,89,IF(NSi.TS[[#This Row],[Ped.2]]=3,79,IF(NSi.TS[[#This Row],[Ped.2]]=4,69,IF(NSi.TS[[#This Row],[Ped.2]]=5,0,"-")))))</f>
        <v>-</v>
      </c>
      <c r="CG10" s="73" t="str">
        <f>IF(NSi.TS[[#This Row],[Pro-A.2]]=1,100,IF(NSi.TS[[#This Row],[Pro-A.2]]=2,89,IF(NSi.TS[[#This Row],[Pro-A.2]]=3,79,IF(NSi.TS[[#This Row],[Pro-A.2]]=4,69,IF(NSi.TS[[#This Row],[Pro-A.2]]=5,0,"-")))))</f>
        <v>-</v>
      </c>
      <c r="CH10" s="74" t="str">
        <f>IF(NSi.TS[[#This Row],[KU.3]]="A",100,IF(NSi.TS[[#This Row],[KU.3]]="B",89,IF(NSi.TS[[#This Row],[KU.3]]="C",79,IF(NSi.TS[[#This Row],[KU.3]]="D",69,IF(NSi.TS[[#This Row],[KU.3]]="E",0,"-")))))</f>
        <v>-</v>
      </c>
      <c r="CI10" s="73" t="str">
        <f>IF(NSi.TS[[#This Row],[TJ.3]]=1,100,IF(NSi.TS[[#This Row],[TJ.3]]=2,89,IF(NSi.TS[[#This Row],[TJ.3]]=3,79,IF(NSi.TS[[#This Row],[TJ.3]]=4,69,IF(NSi.TS[[#This Row],[TJ.3]]=5,0,"-")))))</f>
        <v>-</v>
      </c>
      <c r="CJ10" s="73" t="str">
        <f>IF(NSi.TS[[#This Row],[Ker.3]]=1,100,IF(NSi.TS[[#This Row],[Ker.3]]=2,89,IF(NSi.TS[[#This Row],[Ker.3]]=3,79,IF(NSi.TS[[#This Row],[Ker.3]]=4,69,IF(NSi.TS[[#This Row],[Ker.3]]=5,0,"-")))))</f>
        <v>-</v>
      </c>
      <c r="CK10" s="73" t="str">
        <f>IF(NSi.TS[[#This Row],[Ped.3]]=1,100,IF(NSi.TS[[#This Row],[Ped.3]]=2,89,IF(NSi.TS[[#This Row],[Ped.3]]=3,79,IF(NSi.TS[[#This Row],[Ped.3]]=4,69,IF(NSi.TS[[#This Row],[Ped.3]]=5,0,"-")))))</f>
        <v>-</v>
      </c>
      <c r="CL10" s="73" t="str">
        <f>IF(NSi.TS[[#This Row],[Pro-A.3]]=1,100,IF(NSi.TS[[#This Row],[Pro-A.3]]=2,89,IF(NSi.TS[[#This Row],[Pro-A.3]]=3,79,IF(NSi.TS[[#This Row],[Pro-A.3]]=4,69,IF(NSi.TS[[#This Row],[Pro-A.3]]=5,0,"-")))))</f>
        <v>-</v>
      </c>
      <c r="CM10" s="74" t="str">
        <f>IF(NSi.TS[[#This Row],[KU.4]]="A",100,IF(NSi.TS[[#This Row],[KU.4]]="B",89,IF(NSi.TS[[#This Row],[KU.4]]="C",79,IF(NSi.TS[[#This Row],[KU.4]]="D",69,IF(NSi.TS[[#This Row],[KU.4]]="E",0,"-")))))</f>
        <v>-</v>
      </c>
      <c r="CN10" s="73" t="str">
        <f>IF(NSi.TS[[#This Row],[TJ.4]]=1,100,IF(NSi.TS[[#This Row],[TJ.4]]=2,89,IF(NSi.TS[[#This Row],[TJ.4]]=3,79,IF(NSi.TS[[#This Row],[TJ.4]]=4,69,IF(NSi.TS[[#This Row],[TJ.4]]=5,0,"-")))))</f>
        <v>-</v>
      </c>
      <c r="CO10" s="73" t="str">
        <f>IF(NSi.TS[[#This Row],[Ker.4]]=1,100,IF(NSi.TS[[#This Row],[Ker.4]]=2,89,IF(NSi.TS[[#This Row],[Ker.4]]=3,79,IF(NSi.TS[[#This Row],[Ker.4]]=4,69,IF(NSi.TS[[#This Row],[Ker.4]]=5,0,"-")))))</f>
        <v>-</v>
      </c>
      <c r="CP10" s="73" t="str">
        <f>IF(NSi.TS[[#This Row],[Ped.4]]=1,100,IF(NSi.TS[[#This Row],[Ped.4]]=2,89,IF(NSi.TS[[#This Row],[Ped.4]]=3,79,IF(NSi.TS[[#This Row],[Ped.4]]=4,69,IF(NSi.TS[[#This Row],[Ped.4]]=5,0,"-")))))</f>
        <v>-</v>
      </c>
      <c r="CQ10" s="73" t="str">
        <f>IF(NSi.TS[[#This Row],[Pro-A.4]]=1,100,IF(NSi.TS[[#This Row],[Pro-A.4]]=2,89,IF(NSi.TS[[#This Row],[Pro-A.4]]=3,79,IF(NSi.TS[[#This Row],[Pro-A.4]]=4,69,IF(NSi.TS[[#This Row],[Pro-A.4]]=5,0,"-")))))</f>
        <v>-</v>
      </c>
      <c r="CR10" s="74" t="str">
        <f>IF(NSi.TS[[#This Row],[KU.5]]="A",100,IF(NSi.TS[[#This Row],[KU.5]]="B",89,IF(NSi.TS[[#This Row],[KU.5]]="C",79,IF(NSi.TS[[#This Row],[KU.5]]="D",69,IF(NSi.TS[[#This Row],[KU.5]]="E",0,"-")))))</f>
        <v>-</v>
      </c>
      <c r="CS10" s="73" t="str">
        <f>IF(NSi.TS[[#This Row],[TJ.5]]=1,100,IF(NSi.TS[[#This Row],[TJ.5]]=2,89,IF(NSi.TS[[#This Row],[TJ.5]]=3,79,IF(NSi.TS[[#This Row],[TJ.5]]=4,69,IF(NSi.TS[[#This Row],[TJ.5]]=5,0,"-")))))</f>
        <v>-</v>
      </c>
      <c r="CT10" s="73" t="str">
        <f>IF(NSi.TS[[#This Row],[Ker.5]]=1,100,IF(NSi.TS[[#This Row],[Ker.5]]=2,89,IF(NSi.TS[[#This Row],[Ker.5]]=3,79,IF(NSi.TS[[#This Row],[Ker.5]]=4,69,IF(NSi.TS[[#This Row],[Ker.5]]=5,0,"-")))))</f>
        <v>-</v>
      </c>
      <c r="CU10" s="73" t="str">
        <f>IF(NSi.TS[[#This Row],[Ped.5]]=1,100,IF(NSi.TS[[#This Row],[Ped.5]]=2,89,IF(NSi.TS[[#This Row],[Ped.5]]=3,79,IF(NSi.TS[[#This Row],[Ped.5]]=4,69,IF(NSi.TS[[#This Row],[Ped.5]]=5,0,"-")))))</f>
        <v>-</v>
      </c>
      <c r="CV10" s="73" t="str">
        <f>IF(NSi.TS[[#This Row],[Pro-A.5]]=1,100,IF(NSi.TS[[#This Row],[Pro-A.5]]=2,89,IF(NSi.TS[[#This Row],[Pro-A.5]]=3,79,IF(NSi.TS[[#This Row],[Pro-A.5]]=4,69,IF(NSi.TS[[#This Row],[Pro-A.5]]=5,0,"-")))))</f>
        <v>-</v>
      </c>
      <c r="CW10" s="74" t="str">
        <f>IF(NSi.TS[[#This Row],[KU.6]]="A",100,IF(NSi.TS[[#This Row],[KU.6]]="B",89,IF(NSi.TS[[#This Row],[KU.6]]="C",79,IF(NSi.TS[[#This Row],[KU.6]]="D",69,IF(NSi.TS[[#This Row],[KU.6]]="E",0,"-")))))</f>
        <v>-</v>
      </c>
      <c r="CX10" s="73" t="str">
        <f>IF(NSi.TS[[#This Row],[TJ.6]]=1,100,IF(NSi.TS[[#This Row],[TJ.6]]=2,89,IF(NSi.TS[[#This Row],[TJ.6]]=3,79,IF(NSi.TS[[#This Row],[TJ.6]]=4,69,IF(NSi.TS[[#This Row],[TJ.6]]=5,0,"-")))))</f>
        <v>-</v>
      </c>
      <c r="CY10" s="73" t="str">
        <f>IF(NSi.TS[[#This Row],[Ker.6]]=1,100,IF(NSi.TS[[#This Row],[Ker.6]]=2,89,IF(NSi.TS[[#This Row],[Ker.6]]=3,79,IF(NSi.TS[[#This Row],[Ker.6]]=4,69,IF(NSi.TS[[#This Row],[Ker.6]]=5,0,"-")))))</f>
        <v>-</v>
      </c>
      <c r="CZ10" s="73" t="str">
        <f>IF(NSi.TS[[#This Row],[Ped.6]]=1,100,IF(NSi.TS[[#This Row],[Ped.6]]=2,89,IF(NSi.TS[[#This Row],[Ped.6]]=3,79,IF(NSi.TS[[#This Row],[Ped.6]]=4,69,IF(NSi.TS[[#This Row],[Ped.6]]=5,0,"-")))))</f>
        <v>-</v>
      </c>
      <c r="DA10" s="73" t="str">
        <f>IF(NSi.TS[[#This Row],[Pro-A.6]]=1,100,IF(NSi.TS[[#This Row],[Pro-A.6]]=2,89,IF(NSi.TS[[#This Row],[Pro-A.6]]=3,79,IF(NSi.TS[[#This Row],[Pro-A.6]]=4,69,IF(NSi.TS[[#This Row],[Pro-A.6]]=5,0,"-")))))</f>
        <v>-</v>
      </c>
      <c r="DB10" s="74" t="str">
        <f>IF(NSi.TS[[#This Row],[KU.7]]="A",100,IF(NSi.TS[[#This Row],[KU.7]]="B",89,IF(NSi.TS[[#This Row],[KU.7]]="C",79,IF(NSi.TS[[#This Row],[KU.7]]="D",69,IF(NSi.TS[[#This Row],[KU.7]]="E",0,"-")))))</f>
        <v>-</v>
      </c>
      <c r="DC10" s="73" t="str">
        <f>IF(NSi.TS[[#This Row],[TJ.7]]=1,100,IF(NSi.TS[[#This Row],[TJ.7]]=2,89,IF(NSi.TS[[#This Row],[TJ.7]]=3,79,IF(NSi.TS[[#This Row],[TJ.7]]=4,69,IF(NSi.TS[[#This Row],[TJ.7]]=5,0,"-")))))</f>
        <v>-</v>
      </c>
      <c r="DD10" s="73" t="str">
        <f>IF(NSi.TS[[#This Row],[Ker.7]]=1,100,IF(NSi.TS[[#This Row],[Ker.7]]=2,89,IF(NSi.TS[[#This Row],[Ker.7]]=3,79,IF(NSi.TS[[#This Row],[Ker.7]]=4,69,IF(NSi.TS[[#This Row],[Ker.7]]=5,0,"-")))))</f>
        <v>-</v>
      </c>
      <c r="DE10" s="73" t="str">
        <f>IF(NSi.TS[[#This Row],[Ped.7]]=1,100,IF(NSi.TS[[#This Row],[Ped.7]]=2,89,IF(NSi.TS[[#This Row],[Ped.7]]=3,79,IF(NSi.TS[[#This Row],[Ped.7]]=4,69,IF(NSi.TS[[#This Row],[Ped.7]]=5,0,"-")))))</f>
        <v>-</v>
      </c>
      <c r="DF10" s="73" t="str">
        <f>IF(NSi.TS[[#This Row],[Pro-A.7]]=1,100,IF(NSi.TS[[#This Row],[Pro-A.7]]=2,89,IF(NSi.TS[[#This Row],[Pro-A.7]]=3,79,IF(NSi.TS[[#This Row],[Pro-A.7]]=4,69,IF(NSi.TS[[#This Row],[Pro-A.7]]=5,0,"-")))))</f>
        <v>-</v>
      </c>
      <c r="DG10" s="74" t="str">
        <f>IF(NSi.TS[[#This Row],[KU.8]]="A",100,IF(NSi.TS[[#This Row],[KU.8]]="B",89,IF(NSi.TS[[#This Row],[KU.8]]="C",79,IF(NSi.TS[[#This Row],[KU.8]]="D",69,IF(NSi.TS[[#This Row],[KU.8]]="E",0,"-")))))</f>
        <v>-</v>
      </c>
      <c r="DH10" s="73" t="str">
        <f>IF(NSi.TS[[#This Row],[TJ.8]]=1,100,IF(NSi.TS[[#This Row],[TJ.8]]=2,89,IF(NSi.TS[[#This Row],[TJ.8]]=3,79,IF(NSi.TS[[#This Row],[TJ.8]]=4,69,IF(NSi.TS[[#This Row],[TJ.8]]=5,0,"-")))))</f>
        <v>-</v>
      </c>
      <c r="DI10" s="73" t="str">
        <f>IF(NSi.TS[[#This Row],[Ker.8]]=1,100,IF(NSi.TS[[#This Row],[Ker.8]]=2,89,IF(NSi.TS[[#This Row],[Ker.8]]=3,79,IF(NSi.TS[[#This Row],[Ker.8]]=4,69,IF(NSi.TS[[#This Row],[Ker.8]]=5,0,"-")))))</f>
        <v>-</v>
      </c>
      <c r="DJ10" s="73" t="str">
        <f>IF(NSi.TS[[#This Row],[Ped.8]]=1,100,IF(NSi.TS[[#This Row],[Ped.8]]=2,89,IF(NSi.TS[[#This Row],[Ped.8]]=3,79,IF(NSi.TS[[#This Row],[Ped.8]]=4,69,IF(NSi.TS[[#This Row],[Ped.8]]=5,0,"-")))))</f>
        <v>-</v>
      </c>
      <c r="DK10" s="73" t="str">
        <f>IF(NSi.TS[[#This Row],[Pro-A.8]]=1,100,IF(NSi.TS[[#This Row],[Pro-A.8]]=2,89,IF(NSi.TS[[#This Row],[Pro-A.8]]=3,79,IF(NSi.TS[[#This Row],[Pro-A.8]]=4,69,IF(NSi.TS[[#This Row],[Pro-A.8]]=5,0,"-")))))</f>
        <v>-</v>
      </c>
      <c r="DL10" s="74" t="str">
        <f>IF(NSi.TS[[#This Row],[KU.9]]="A",100,IF(NSi.TS[[#This Row],[KU.9]]="B",89,IF(NSi.TS[[#This Row],[KU.9]]="C",79,IF(NSi.TS[[#This Row],[KU.9]]="D",69,IF(NSi.TS[[#This Row],[KU.9]]="E",0,"-")))))</f>
        <v>-</v>
      </c>
      <c r="DM10" s="73" t="str">
        <f>IF(NSi.TS[[#This Row],[TJ.9]]=1,100,IF(NSi.TS[[#This Row],[TJ.9]]=2,89,IF(NSi.TS[[#This Row],[TJ.9]]=3,79,IF(NSi.TS[[#This Row],[TJ.9]]=4,69,IF(NSi.TS[[#This Row],[TJ.9]]=5,0,"-")))))</f>
        <v>-</v>
      </c>
      <c r="DN10" s="73" t="str">
        <f>IF(NSi.TS[[#This Row],[Ker.9]]=1,100,IF(NSi.TS[[#This Row],[Ker.9]]=2,89,IF(NSi.TS[[#This Row],[Ker.9]]=3,79,IF(NSi.TS[[#This Row],[Ker.9]]=4,69,IF(NSi.TS[[#This Row],[Ker.9]]=5,0,"-")))))</f>
        <v>-</v>
      </c>
      <c r="DO10" s="73" t="str">
        <f>IF(NSi.TS[[#This Row],[Ped.9]]=1,100,IF(NSi.TS[[#This Row],[Ped.9]]=2,89,IF(NSi.TS[[#This Row],[Ped.9]]=3,79,IF(NSi.TS[[#This Row],[Ped.9]]=4,69,IF(NSi.TS[[#This Row],[Ped.9]]=5,0,"-")))))</f>
        <v>-</v>
      </c>
      <c r="DP10" s="73" t="str">
        <f>IF(NSi.TS[[#This Row],[Pro-A.9]]=1,100,IF(NSi.TS[[#This Row],[Pro-A.9]]=2,89,IF(NSi.TS[[#This Row],[Pro-A.9]]=3,79,IF(NSi.TS[[#This Row],[Pro-A.9]]=4,69,IF(NSi.TS[[#This Row],[Pro-A.9]]=5,0,"-")))))</f>
        <v>-</v>
      </c>
    </row>
    <row r="11" spans="1:120" ht="50.1" customHeight="1" x14ac:dyDescent="0.3">
      <c r="A11" s="82">
        <v>9</v>
      </c>
      <c r="B11" s="90"/>
      <c r="C11" s="91"/>
      <c r="D11" s="87"/>
      <c r="E11" s="46"/>
      <c r="F11" s="44" t="str">
        <f>IFERROR(ROUND(AVERAGE(CSCR[#This Row]),0),"")</f>
        <v/>
      </c>
      <c r="G11" s="41" t="s">
        <v>102</v>
      </c>
      <c r="H11" s="45" t="s">
        <v>102</v>
      </c>
      <c r="I11" s="45" t="s">
        <v>102</v>
      </c>
      <c r="J11" s="45" t="s">
        <v>102</v>
      </c>
      <c r="K11" s="45" t="s">
        <v>102</v>
      </c>
      <c r="L11" s="41" t="s">
        <v>102</v>
      </c>
      <c r="M11" s="45" t="s">
        <v>102</v>
      </c>
      <c r="N11" s="45" t="s">
        <v>102</v>
      </c>
      <c r="O11" s="45" t="s">
        <v>102</v>
      </c>
      <c r="P11" s="45" t="s">
        <v>102</v>
      </c>
      <c r="Q11" s="41" t="s">
        <v>102</v>
      </c>
      <c r="R11" s="45" t="s">
        <v>102</v>
      </c>
      <c r="S11" s="45" t="s">
        <v>102</v>
      </c>
      <c r="T11" s="45" t="s">
        <v>102</v>
      </c>
      <c r="U11" s="45" t="s">
        <v>102</v>
      </c>
      <c r="V11" s="41" t="s">
        <v>102</v>
      </c>
      <c r="W11" s="45" t="s">
        <v>102</v>
      </c>
      <c r="X11" s="45" t="s">
        <v>102</v>
      </c>
      <c r="Y11" s="45" t="s">
        <v>102</v>
      </c>
      <c r="Z11" s="45" t="s">
        <v>102</v>
      </c>
      <c r="AA11" s="41" t="s">
        <v>102</v>
      </c>
      <c r="AB11" s="45" t="s">
        <v>102</v>
      </c>
      <c r="AC11" s="45" t="s">
        <v>102</v>
      </c>
      <c r="AD11" s="45" t="s">
        <v>102</v>
      </c>
      <c r="AE11" s="45" t="s">
        <v>102</v>
      </c>
      <c r="AF11" s="41" t="s">
        <v>102</v>
      </c>
      <c r="AG11" s="45" t="s">
        <v>102</v>
      </c>
      <c r="AH11" s="45" t="s">
        <v>102</v>
      </c>
      <c r="AI11" s="45" t="s">
        <v>102</v>
      </c>
      <c r="AJ11" s="45" t="s">
        <v>102</v>
      </c>
      <c r="AK11" s="41" t="s">
        <v>102</v>
      </c>
      <c r="AL11" s="45" t="s">
        <v>102</v>
      </c>
      <c r="AM11" s="45" t="s">
        <v>102</v>
      </c>
      <c r="AN11" s="45" t="s">
        <v>102</v>
      </c>
      <c r="AO11" s="45" t="s">
        <v>102</v>
      </c>
      <c r="AP11" s="41" t="s">
        <v>102</v>
      </c>
      <c r="AQ11" s="45" t="s">
        <v>102</v>
      </c>
      <c r="AR11" s="45" t="s">
        <v>102</v>
      </c>
      <c r="AS11" s="45" t="s">
        <v>102</v>
      </c>
      <c r="AT11" s="45" t="s">
        <v>102</v>
      </c>
      <c r="AU11" s="41" t="s">
        <v>102</v>
      </c>
      <c r="AV11" s="45" t="s">
        <v>102</v>
      </c>
      <c r="AW11" s="45" t="s">
        <v>102</v>
      </c>
      <c r="AX11" s="45" t="s">
        <v>102</v>
      </c>
      <c r="AY11" s="45" t="s">
        <v>102</v>
      </c>
      <c r="BA11" s="10" t="str">
        <f>CONCATENATE(NSi.TS[[#This Row],[KU.1]],(IF(A.LoE[[#This Row],[LE.1]]="-","-",IF(A.LoE[[#This Row],[LE.1]]&gt;=90,1,IF(A.LoE[[#This Row],[LE.1]]&gt;=80,2,IF(A.LoE[[#This Row],[LE.1]]&gt;=70,3,IF(A.LoE[[#This Row],[LE.1]]&gt;=1,4,5)))))))</f>
        <v>--</v>
      </c>
      <c r="BB11" s="46" t="str">
        <f>CONCATENATE(NSi.TS[[#This Row],[KU.2]],(IF(A.LoE[[#This Row],[LE.2]]="-","-",IF(A.LoE[[#This Row],[LE.2]]&gt;=90,1,IF(A.LoE[[#This Row],[LE.2]]&gt;=80,2,IF(A.LoE[[#This Row],[LE.2]]&gt;=70,3,IF(A.LoE[[#This Row],[LE.2]]&gt;=1,4,5)))))))</f>
        <v>--</v>
      </c>
      <c r="BC11" s="46" t="str">
        <f>CONCATENATE(NSi.TS[[#This Row],[KU.3]],(IF(A.LoE[[#This Row],[LE.3]]="-","-",IF(A.LoE[[#This Row],[LE.3]]&gt;=90,1,IF(A.LoE[[#This Row],[LE.3]]&gt;=80,2,IF(A.LoE[[#This Row],[LE.3]]&gt;=70,3,IF(A.LoE[[#This Row],[LE.3]]&gt;=1,4,5)))))))</f>
        <v>--</v>
      </c>
      <c r="BD11" s="46" t="str">
        <f>CONCATENATE(NSi.TS[[#This Row],[KU.4]],(IF(A.LoE[[#This Row],[LE.4]]="-","-",IF(A.LoE[[#This Row],[LE.4]]&gt;=90,1,IF(A.LoE[[#This Row],[LE.4]]&gt;=80,2,IF(A.LoE[[#This Row],[LE.4]]&gt;=70,3,IF(A.LoE[[#This Row],[LE.4]]&gt;=1,4,5)))))))</f>
        <v>--</v>
      </c>
      <c r="BE11" s="46" t="str">
        <f>CONCATENATE(NSi.TS[[#This Row],[KU.5]],(IF(A.LoE[[#This Row],[LE.5]]="-","-",IF(A.LoE[[#This Row],[LE.5]]&gt;=90,1,IF(A.LoE[[#This Row],[LE.5]]&gt;=80,2,IF(A.LoE[[#This Row],[LE.5]]&gt;=70,3,IF(A.LoE[[#This Row],[LE.5]]&gt;=1,4,5)))))))</f>
        <v>--</v>
      </c>
      <c r="BF11" s="46" t="str">
        <f>CONCATENATE(NSi.TS[[#This Row],[KU.6]],(IF(A.LoE[[#This Row],[LE.6]]="-","-",IF(A.LoE[[#This Row],[LE.6]]&gt;=90,1,IF(A.LoE[[#This Row],[LE.6]]&gt;=80,2,IF(A.LoE[[#This Row],[LE.6]]&gt;=70,3,IF(A.LoE[[#This Row],[LE.6]]&gt;=1,4,5)))))))</f>
        <v>--</v>
      </c>
      <c r="BG11" s="46" t="str">
        <f>CONCATENATE(NSi.TS[[#This Row],[KU.7]],(IF(A.LoE[[#This Row],[LE.7]]="-","-",IF(A.LoE[[#This Row],[LE.7]]&gt;=90,1,IF(A.LoE[[#This Row],[LE.7]]&gt;=80,2,IF(A.LoE[[#This Row],[LE.7]]&gt;=70,3,IF(A.LoE[[#This Row],[LE.7]]&gt;=1,4,5)))))))</f>
        <v>--</v>
      </c>
      <c r="BH11" s="46" t="str">
        <f>CONCATENATE(NSi.TS[[#This Row],[KU.8]],(IF(A.LoE[[#This Row],[LE.8]]="-","-",IF(A.LoE[[#This Row],[LE.8]]&gt;=90,1,IF(A.LoE[[#This Row],[LE.8]]&gt;=80,2,IF(A.LoE[[#This Row],[LE.8]]&gt;=70,3,IF(A.LoE[[#This Row],[LE.8]]&gt;=1,4,5)))))))</f>
        <v>--</v>
      </c>
      <c r="BI11" s="38" t="str">
        <f>CONCATENATE(NSi.TS[[#This Row],[KU.9]],(IF(A.LoE[[#This Row],[LE.9]]="-","-",IF(A.LoE[[#This Row],[LE.9]]&gt;=90,1,IF(A.LoE[[#This Row],[LE.9]]&gt;=80,2,IF(A.LoE[[#This Row],[LE.9]]&gt;=70,3,IF(A.LoE[[#This Row],[LE.9]]&gt;=1,4,5)))))))</f>
        <v>--</v>
      </c>
      <c r="BK11" s="35" t="str">
        <f>IFERROR(ROUND(AVERAGE(Con.Sk[[#This Row],[TJ.1]:[Pro-A.1]]),0),"-")</f>
        <v>-</v>
      </c>
      <c r="BL11" s="24" t="str">
        <f>IFERROR(ROUND(AVERAGE(Con.Sk[[#This Row],[TJ.2]:[Pro-A.2]]),0),"-")</f>
        <v>-</v>
      </c>
      <c r="BM11" s="24" t="str">
        <f>IFERROR(ROUND(AVERAGE(Con.Sk[[#This Row],[TJ.3]:[Pro-A.3]]),0),"-")</f>
        <v>-</v>
      </c>
      <c r="BN11" s="24" t="str">
        <f>IFERROR(ROUND(AVERAGE(Con.Sk[[#This Row],[TJ.4]:[Pro-A.4]]),0),"-")</f>
        <v>-</v>
      </c>
      <c r="BO11" s="24" t="str">
        <f>IFERROR(ROUND(AVERAGE(Con.Sk[[#This Row],[TJ.5]:[Pro-A.5]]),0),"-")</f>
        <v>-</v>
      </c>
      <c r="BP11" s="24" t="str">
        <f>IFERROR(ROUND(AVERAGE(Con.Sk[[#This Row],[TJ.6]:[Pro-A.6]]),0),"-")</f>
        <v>-</v>
      </c>
      <c r="BQ11" s="24" t="str">
        <f>IFERROR(ROUND(AVERAGE(Con.Sk[[#This Row],[TJ.7]:[Pro-A.7]]),0),"-")</f>
        <v>-</v>
      </c>
      <c r="BR11" s="24" t="str">
        <f>IFERROR(ROUND(AVERAGE(Con.Sk[[#This Row],[TJ.8]:[Pro-A.8]]),0),"-")</f>
        <v>-</v>
      </c>
      <c r="BS11" s="25" t="str">
        <f>IFERROR(ROUND(AVERAGE(Con.Sk[[#This Row],[TJ.9]:[Pro-A.9]]),0),"-")</f>
        <v>-</v>
      </c>
      <c r="BU11" s="47" t="str">
        <f>IFERROR(ROUND(AVERAGE(Con.Sk[[#This Row],[KU.1]],Con.Sk[[#This Row],[KU.2]],Con.Sk[[#This Row],[KU.3]],Con.Sk[[#This Row],[KU.4]],Con.Sk[[#This Row],[KU.5]],Con.Sk[[#This Row],[KU.6]],Con.Sk[[#This Row],[KU.7]],Con.Sk[[#This Row],[KU.8]],Con.Sk[[#This Row],[KU.9]]),0),"")</f>
        <v/>
      </c>
      <c r="BV11" s="48" t="str">
        <f>IFERROR(ROUND(AVERAGE(Con.Sk[[#This Row],[TJ.1]:[Pro-A.1]],Con.Sk[[#This Row],[TJ.2]:[Pro-A.2]],Con.Sk[[#This Row],[TJ.3]:[Pro-A.3]],Con.Sk[[#This Row],[TJ.4]:[Pro-A.4]],Con.Sk[[#This Row],[TJ.5]:[Pro-A.5]],Con.Sk[[#This Row],[TJ.6]:[Pro-A.6]],Con.Sk[[#This Row],[TJ.7]:[Pro-A.7]],Con.Sk[[#This Row],[TJ.8]:[Pro-A.8]],Con.Sk[[#This Row],[TJ.9]:[Pro-A.9]]),0),"")</f>
        <v/>
      </c>
      <c r="BW11" s="3"/>
      <c r="BX11" s="73" t="str">
        <f>IF(NSi.TS[[#This Row],[KU.1]]="A",100,IF(NSi.TS[[#This Row],[KU.1]]="B",89,IF(NSi.TS[[#This Row],[KU.1]]="C",79,IF(NSi.TS[[#This Row],[KU.1]]="D",69,IF(NSi.TS[[#This Row],[KU.1]]="E",0,"-")))))</f>
        <v>-</v>
      </c>
      <c r="BY11" s="73" t="str">
        <f>IF(NSi.TS[[#This Row],[TJ.1]]=1,100,IF(NSi.TS[[#This Row],[TJ.1]]=2,89,IF(NSi.TS[[#This Row],[TJ.1]]=3,79,IF(NSi.TS[[#This Row],[TJ.1]]=4,69,IF(NSi.TS[[#This Row],[TJ.1]]=5,0,"-")))))</f>
        <v>-</v>
      </c>
      <c r="BZ11" s="73" t="str">
        <f>IF(NSi.TS[[#This Row],[Ker.1]]=1,100,IF(NSi.TS[[#This Row],[Ker.1]]=2,89,IF(NSi.TS[[#This Row],[Ker.1]]=3,79,IF(NSi.TS[[#This Row],[Ker.1]]=4,69,IF(NSi.TS[[#This Row],[Ker.1]]=5,0,"-")))))</f>
        <v>-</v>
      </c>
      <c r="CA11" s="73" t="str">
        <f>IF(NSi.TS[[#This Row],[Ped.1]]=1,100,IF(NSi.TS[[#This Row],[Ped.1]]=2,89,IF(NSi.TS[[#This Row],[Ped.1]]=3,79,IF(NSi.TS[[#This Row],[Ped.1]]=4,69,IF(NSi.TS[[#This Row],[Ped.1]]=5,0,"-")))))</f>
        <v>-</v>
      </c>
      <c r="CB11" s="73" t="str">
        <f>IF(NSi.TS[[#This Row],[Pro-A.1]]=1,100,IF(NSi.TS[[#This Row],[Pro-A.1]]=2,89,IF(NSi.TS[[#This Row],[Pro-A.1]]=3,79,IF(NSi.TS[[#This Row],[Pro-A.1]]=4,69,IF(NSi.TS[[#This Row],[Pro-A.1]]=5,0,"-")))))</f>
        <v>-</v>
      </c>
      <c r="CC11" s="73" t="str">
        <f>IF(NSi.TS[[#This Row],[KU.2]]="A",100,IF(NSi.TS[[#This Row],[KU.2]]="B",89,IF(NSi.TS[[#This Row],[KU.2]]="C",79,IF(NSi.TS[[#This Row],[KU.2]]="D",69,IF(NSi.TS[[#This Row],[KU.2]]="E",0,"-")))))</f>
        <v>-</v>
      </c>
      <c r="CD11" s="73" t="str">
        <f>IF(NSi.TS[[#This Row],[TJ.2]]=1,100,IF(NSi.TS[[#This Row],[TJ.2]]=2,89,IF(NSi.TS[[#This Row],[TJ.2]]=3,79,IF(NSi.TS[[#This Row],[TJ.2]]=4,69,IF(NSi.TS[[#This Row],[TJ.2]]=5,0,"-")))))</f>
        <v>-</v>
      </c>
      <c r="CE11" s="73" t="str">
        <f>IF(NSi.TS[[#This Row],[Ker.2]]=1,100,IF(NSi.TS[[#This Row],[Ker.2]]=2,89,IF(NSi.TS[[#This Row],[Ker.2]]=3,79,IF(NSi.TS[[#This Row],[Ker.2]]=4,69,IF(NSi.TS[[#This Row],[Ker.2]]=5,0,"-")))))</f>
        <v>-</v>
      </c>
      <c r="CF11" s="73" t="str">
        <f>IF(NSi.TS[[#This Row],[Ped.2]]=1,100,IF(NSi.TS[[#This Row],[Ped.2]]=2,89,IF(NSi.TS[[#This Row],[Ped.2]]=3,79,IF(NSi.TS[[#This Row],[Ped.2]]=4,69,IF(NSi.TS[[#This Row],[Ped.2]]=5,0,"-")))))</f>
        <v>-</v>
      </c>
      <c r="CG11" s="73" t="str">
        <f>IF(NSi.TS[[#This Row],[Pro-A.2]]=1,100,IF(NSi.TS[[#This Row],[Pro-A.2]]=2,89,IF(NSi.TS[[#This Row],[Pro-A.2]]=3,79,IF(NSi.TS[[#This Row],[Pro-A.2]]=4,69,IF(NSi.TS[[#This Row],[Pro-A.2]]=5,0,"-")))))</f>
        <v>-</v>
      </c>
      <c r="CH11" s="74" t="str">
        <f>IF(NSi.TS[[#This Row],[KU.3]]="A",100,IF(NSi.TS[[#This Row],[KU.3]]="B",89,IF(NSi.TS[[#This Row],[KU.3]]="C",79,IF(NSi.TS[[#This Row],[KU.3]]="D",69,IF(NSi.TS[[#This Row],[KU.3]]="E",0,"-")))))</f>
        <v>-</v>
      </c>
      <c r="CI11" s="73" t="str">
        <f>IF(NSi.TS[[#This Row],[TJ.3]]=1,100,IF(NSi.TS[[#This Row],[TJ.3]]=2,89,IF(NSi.TS[[#This Row],[TJ.3]]=3,79,IF(NSi.TS[[#This Row],[TJ.3]]=4,69,IF(NSi.TS[[#This Row],[TJ.3]]=5,0,"-")))))</f>
        <v>-</v>
      </c>
      <c r="CJ11" s="73" t="str">
        <f>IF(NSi.TS[[#This Row],[Ker.3]]=1,100,IF(NSi.TS[[#This Row],[Ker.3]]=2,89,IF(NSi.TS[[#This Row],[Ker.3]]=3,79,IF(NSi.TS[[#This Row],[Ker.3]]=4,69,IF(NSi.TS[[#This Row],[Ker.3]]=5,0,"-")))))</f>
        <v>-</v>
      </c>
      <c r="CK11" s="73" t="str">
        <f>IF(NSi.TS[[#This Row],[Ped.3]]=1,100,IF(NSi.TS[[#This Row],[Ped.3]]=2,89,IF(NSi.TS[[#This Row],[Ped.3]]=3,79,IF(NSi.TS[[#This Row],[Ped.3]]=4,69,IF(NSi.TS[[#This Row],[Ped.3]]=5,0,"-")))))</f>
        <v>-</v>
      </c>
      <c r="CL11" s="73" t="str">
        <f>IF(NSi.TS[[#This Row],[Pro-A.3]]=1,100,IF(NSi.TS[[#This Row],[Pro-A.3]]=2,89,IF(NSi.TS[[#This Row],[Pro-A.3]]=3,79,IF(NSi.TS[[#This Row],[Pro-A.3]]=4,69,IF(NSi.TS[[#This Row],[Pro-A.3]]=5,0,"-")))))</f>
        <v>-</v>
      </c>
      <c r="CM11" s="74" t="str">
        <f>IF(NSi.TS[[#This Row],[KU.4]]="A",100,IF(NSi.TS[[#This Row],[KU.4]]="B",89,IF(NSi.TS[[#This Row],[KU.4]]="C",79,IF(NSi.TS[[#This Row],[KU.4]]="D",69,IF(NSi.TS[[#This Row],[KU.4]]="E",0,"-")))))</f>
        <v>-</v>
      </c>
      <c r="CN11" s="73" t="str">
        <f>IF(NSi.TS[[#This Row],[TJ.4]]=1,100,IF(NSi.TS[[#This Row],[TJ.4]]=2,89,IF(NSi.TS[[#This Row],[TJ.4]]=3,79,IF(NSi.TS[[#This Row],[TJ.4]]=4,69,IF(NSi.TS[[#This Row],[TJ.4]]=5,0,"-")))))</f>
        <v>-</v>
      </c>
      <c r="CO11" s="73" t="str">
        <f>IF(NSi.TS[[#This Row],[Ker.4]]=1,100,IF(NSi.TS[[#This Row],[Ker.4]]=2,89,IF(NSi.TS[[#This Row],[Ker.4]]=3,79,IF(NSi.TS[[#This Row],[Ker.4]]=4,69,IF(NSi.TS[[#This Row],[Ker.4]]=5,0,"-")))))</f>
        <v>-</v>
      </c>
      <c r="CP11" s="73" t="str">
        <f>IF(NSi.TS[[#This Row],[Ped.4]]=1,100,IF(NSi.TS[[#This Row],[Ped.4]]=2,89,IF(NSi.TS[[#This Row],[Ped.4]]=3,79,IF(NSi.TS[[#This Row],[Ped.4]]=4,69,IF(NSi.TS[[#This Row],[Ped.4]]=5,0,"-")))))</f>
        <v>-</v>
      </c>
      <c r="CQ11" s="73" t="str">
        <f>IF(NSi.TS[[#This Row],[Pro-A.4]]=1,100,IF(NSi.TS[[#This Row],[Pro-A.4]]=2,89,IF(NSi.TS[[#This Row],[Pro-A.4]]=3,79,IF(NSi.TS[[#This Row],[Pro-A.4]]=4,69,IF(NSi.TS[[#This Row],[Pro-A.4]]=5,0,"-")))))</f>
        <v>-</v>
      </c>
      <c r="CR11" s="74" t="str">
        <f>IF(NSi.TS[[#This Row],[KU.5]]="A",100,IF(NSi.TS[[#This Row],[KU.5]]="B",89,IF(NSi.TS[[#This Row],[KU.5]]="C",79,IF(NSi.TS[[#This Row],[KU.5]]="D",69,IF(NSi.TS[[#This Row],[KU.5]]="E",0,"-")))))</f>
        <v>-</v>
      </c>
      <c r="CS11" s="73" t="str">
        <f>IF(NSi.TS[[#This Row],[TJ.5]]=1,100,IF(NSi.TS[[#This Row],[TJ.5]]=2,89,IF(NSi.TS[[#This Row],[TJ.5]]=3,79,IF(NSi.TS[[#This Row],[TJ.5]]=4,69,IF(NSi.TS[[#This Row],[TJ.5]]=5,0,"-")))))</f>
        <v>-</v>
      </c>
      <c r="CT11" s="73" t="str">
        <f>IF(NSi.TS[[#This Row],[Ker.5]]=1,100,IF(NSi.TS[[#This Row],[Ker.5]]=2,89,IF(NSi.TS[[#This Row],[Ker.5]]=3,79,IF(NSi.TS[[#This Row],[Ker.5]]=4,69,IF(NSi.TS[[#This Row],[Ker.5]]=5,0,"-")))))</f>
        <v>-</v>
      </c>
      <c r="CU11" s="73" t="str">
        <f>IF(NSi.TS[[#This Row],[Ped.5]]=1,100,IF(NSi.TS[[#This Row],[Ped.5]]=2,89,IF(NSi.TS[[#This Row],[Ped.5]]=3,79,IF(NSi.TS[[#This Row],[Ped.5]]=4,69,IF(NSi.TS[[#This Row],[Ped.5]]=5,0,"-")))))</f>
        <v>-</v>
      </c>
      <c r="CV11" s="73" t="str">
        <f>IF(NSi.TS[[#This Row],[Pro-A.5]]=1,100,IF(NSi.TS[[#This Row],[Pro-A.5]]=2,89,IF(NSi.TS[[#This Row],[Pro-A.5]]=3,79,IF(NSi.TS[[#This Row],[Pro-A.5]]=4,69,IF(NSi.TS[[#This Row],[Pro-A.5]]=5,0,"-")))))</f>
        <v>-</v>
      </c>
      <c r="CW11" s="74" t="str">
        <f>IF(NSi.TS[[#This Row],[KU.6]]="A",100,IF(NSi.TS[[#This Row],[KU.6]]="B",89,IF(NSi.TS[[#This Row],[KU.6]]="C",79,IF(NSi.TS[[#This Row],[KU.6]]="D",69,IF(NSi.TS[[#This Row],[KU.6]]="E",0,"-")))))</f>
        <v>-</v>
      </c>
      <c r="CX11" s="73" t="str">
        <f>IF(NSi.TS[[#This Row],[TJ.6]]=1,100,IF(NSi.TS[[#This Row],[TJ.6]]=2,89,IF(NSi.TS[[#This Row],[TJ.6]]=3,79,IF(NSi.TS[[#This Row],[TJ.6]]=4,69,IF(NSi.TS[[#This Row],[TJ.6]]=5,0,"-")))))</f>
        <v>-</v>
      </c>
      <c r="CY11" s="73" t="str">
        <f>IF(NSi.TS[[#This Row],[Ker.6]]=1,100,IF(NSi.TS[[#This Row],[Ker.6]]=2,89,IF(NSi.TS[[#This Row],[Ker.6]]=3,79,IF(NSi.TS[[#This Row],[Ker.6]]=4,69,IF(NSi.TS[[#This Row],[Ker.6]]=5,0,"-")))))</f>
        <v>-</v>
      </c>
      <c r="CZ11" s="73" t="str">
        <f>IF(NSi.TS[[#This Row],[Ped.6]]=1,100,IF(NSi.TS[[#This Row],[Ped.6]]=2,89,IF(NSi.TS[[#This Row],[Ped.6]]=3,79,IF(NSi.TS[[#This Row],[Ped.6]]=4,69,IF(NSi.TS[[#This Row],[Ped.6]]=5,0,"-")))))</f>
        <v>-</v>
      </c>
      <c r="DA11" s="73" t="str">
        <f>IF(NSi.TS[[#This Row],[Pro-A.6]]=1,100,IF(NSi.TS[[#This Row],[Pro-A.6]]=2,89,IF(NSi.TS[[#This Row],[Pro-A.6]]=3,79,IF(NSi.TS[[#This Row],[Pro-A.6]]=4,69,IF(NSi.TS[[#This Row],[Pro-A.6]]=5,0,"-")))))</f>
        <v>-</v>
      </c>
      <c r="DB11" s="74" t="str">
        <f>IF(NSi.TS[[#This Row],[KU.7]]="A",100,IF(NSi.TS[[#This Row],[KU.7]]="B",89,IF(NSi.TS[[#This Row],[KU.7]]="C",79,IF(NSi.TS[[#This Row],[KU.7]]="D",69,IF(NSi.TS[[#This Row],[KU.7]]="E",0,"-")))))</f>
        <v>-</v>
      </c>
      <c r="DC11" s="73" t="str">
        <f>IF(NSi.TS[[#This Row],[TJ.7]]=1,100,IF(NSi.TS[[#This Row],[TJ.7]]=2,89,IF(NSi.TS[[#This Row],[TJ.7]]=3,79,IF(NSi.TS[[#This Row],[TJ.7]]=4,69,IF(NSi.TS[[#This Row],[TJ.7]]=5,0,"-")))))</f>
        <v>-</v>
      </c>
      <c r="DD11" s="73" t="str">
        <f>IF(NSi.TS[[#This Row],[Ker.7]]=1,100,IF(NSi.TS[[#This Row],[Ker.7]]=2,89,IF(NSi.TS[[#This Row],[Ker.7]]=3,79,IF(NSi.TS[[#This Row],[Ker.7]]=4,69,IF(NSi.TS[[#This Row],[Ker.7]]=5,0,"-")))))</f>
        <v>-</v>
      </c>
      <c r="DE11" s="73" t="str">
        <f>IF(NSi.TS[[#This Row],[Ped.7]]=1,100,IF(NSi.TS[[#This Row],[Ped.7]]=2,89,IF(NSi.TS[[#This Row],[Ped.7]]=3,79,IF(NSi.TS[[#This Row],[Ped.7]]=4,69,IF(NSi.TS[[#This Row],[Ped.7]]=5,0,"-")))))</f>
        <v>-</v>
      </c>
      <c r="DF11" s="73" t="str">
        <f>IF(NSi.TS[[#This Row],[Pro-A.7]]=1,100,IF(NSi.TS[[#This Row],[Pro-A.7]]=2,89,IF(NSi.TS[[#This Row],[Pro-A.7]]=3,79,IF(NSi.TS[[#This Row],[Pro-A.7]]=4,69,IF(NSi.TS[[#This Row],[Pro-A.7]]=5,0,"-")))))</f>
        <v>-</v>
      </c>
      <c r="DG11" s="74" t="str">
        <f>IF(NSi.TS[[#This Row],[KU.8]]="A",100,IF(NSi.TS[[#This Row],[KU.8]]="B",89,IF(NSi.TS[[#This Row],[KU.8]]="C",79,IF(NSi.TS[[#This Row],[KU.8]]="D",69,IF(NSi.TS[[#This Row],[KU.8]]="E",0,"-")))))</f>
        <v>-</v>
      </c>
      <c r="DH11" s="73" t="str">
        <f>IF(NSi.TS[[#This Row],[TJ.8]]=1,100,IF(NSi.TS[[#This Row],[TJ.8]]=2,89,IF(NSi.TS[[#This Row],[TJ.8]]=3,79,IF(NSi.TS[[#This Row],[TJ.8]]=4,69,IF(NSi.TS[[#This Row],[TJ.8]]=5,0,"-")))))</f>
        <v>-</v>
      </c>
      <c r="DI11" s="73" t="str">
        <f>IF(NSi.TS[[#This Row],[Ker.8]]=1,100,IF(NSi.TS[[#This Row],[Ker.8]]=2,89,IF(NSi.TS[[#This Row],[Ker.8]]=3,79,IF(NSi.TS[[#This Row],[Ker.8]]=4,69,IF(NSi.TS[[#This Row],[Ker.8]]=5,0,"-")))))</f>
        <v>-</v>
      </c>
      <c r="DJ11" s="73" t="str">
        <f>IF(NSi.TS[[#This Row],[Ped.8]]=1,100,IF(NSi.TS[[#This Row],[Ped.8]]=2,89,IF(NSi.TS[[#This Row],[Ped.8]]=3,79,IF(NSi.TS[[#This Row],[Ped.8]]=4,69,IF(NSi.TS[[#This Row],[Ped.8]]=5,0,"-")))))</f>
        <v>-</v>
      </c>
      <c r="DK11" s="73" t="str">
        <f>IF(NSi.TS[[#This Row],[Pro-A.8]]=1,100,IF(NSi.TS[[#This Row],[Pro-A.8]]=2,89,IF(NSi.TS[[#This Row],[Pro-A.8]]=3,79,IF(NSi.TS[[#This Row],[Pro-A.8]]=4,69,IF(NSi.TS[[#This Row],[Pro-A.8]]=5,0,"-")))))</f>
        <v>-</v>
      </c>
      <c r="DL11" s="74" t="str">
        <f>IF(NSi.TS[[#This Row],[KU.9]]="A",100,IF(NSi.TS[[#This Row],[KU.9]]="B",89,IF(NSi.TS[[#This Row],[KU.9]]="C",79,IF(NSi.TS[[#This Row],[KU.9]]="D",69,IF(NSi.TS[[#This Row],[KU.9]]="E",0,"-")))))</f>
        <v>-</v>
      </c>
      <c r="DM11" s="73" t="str">
        <f>IF(NSi.TS[[#This Row],[TJ.9]]=1,100,IF(NSi.TS[[#This Row],[TJ.9]]=2,89,IF(NSi.TS[[#This Row],[TJ.9]]=3,79,IF(NSi.TS[[#This Row],[TJ.9]]=4,69,IF(NSi.TS[[#This Row],[TJ.9]]=5,0,"-")))))</f>
        <v>-</v>
      </c>
      <c r="DN11" s="73" t="str">
        <f>IF(NSi.TS[[#This Row],[Ker.9]]=1,100,IF(NSi.TS[[#This Row],[Ker.9]]=2,89,IF(NSi.TS[[#This Row],[Ker.9]]=3,79,IF(NSi.TS[[#This Row],[Ker.9]]=4,69,IF(NSi.TS[[#This Row],[Ker.9]]=5,0,"-")))))</f>
        <v>-</v>
      </c>
      <c r="DO11" s="73" t="str">
        <f>IF(NSi.TS[[#This Row],[Ped.9]]=1,100,IF(NSi.TS[[#This Row],[Ped.9]]=2,89,IF(NSi.TS[[#This Row],[Ped.9]]=3,79,IF(NSi.TS[[#This Row],[Ped.9]]=4,69,IF(NSi.TS[[#This Row],[Ped.9]]=5,0,"-")))))</f>
        <v>-</v>
      </c>
      <c r="DP11" s="73" t="str">
        <f>IF(NSi.TS[[#This Row],[Pro-A.9]]=1,100,IF(NSi.TS[[#This Row],[Pro-A.9]]=2,89,IF(NSi.TS[[#This Row],[Pro-A.9]]=3,79,IF(NSi.TS[[#This Row],[Pro-A.9]]=4,69,IF(NSi.TS[[#This Row],[Pro-A.9]]=5,0,"-")))))</f>
        <v>-</v>
      </c>
    </row>
    <row r="12" spans="1:120" ht="50.1" customHeight="1" x14ac:dyDescent="0.3">
      <c r="A12" s="82">
        <v>10</v>
      </c>
      <c r="B12" s="50"/>
      <c r="C12" s="89"/>
      <c r="D12" s="88"/>
      <c r="E12" s="3"/>
      <c r="F12" s="44" t="str">
        <f>IFERROR(ROUND(AVERAGE(CSCR[#This Row]),0),"")</f>
        <v/>
      </c>
      <c r="G12" s="41" t="s">
        <v>102</v>
      </c>
      <c r="H12" s="45" t="s">
        <v>102</v>
      </c>
      <c r="I12" s="45" t="s">
        <v>102</v>
      </c>
      <c r="J12" s="45" t="s">
        <v>102</v>
      </c>
      <c r="K12" s="45" t="s">
        <v>102</v>
      </c>
      <c r="L12" s="41" t="s">
        <v>102</v>
      </c>
      <c r="M12" s="45" t="s">
        <v>102</v>
      </c>
      <c r="N12" s="45" t="s">
        <v>102</v>
      </c>
      <c r="O12" s="45" t="s">
        <v>102</v>
      </c>
      <c r="P12" s="45" t="s">
        <v>102</v>
      </c>
      <c r="Q12" s="41" t="s">
        <v>102</v>
      </c>
      <c r="R12" s="45" t="s">
        <v>102</v>
      </c>
      <c r="S12" s="45" t="s">
        <v>102</v>
      </c>
      <c r="T12" s="45" t="s">
        <v>102</v>
      </c>
      <c r="U12" s="45" t="s">
        <v>102</v>
      </c>
      <c r="V12" s="41" t="s">
        <v>102</v>
      </c>
      <c r="W12" s="45" t="s">
        <v>102</v>
      </c>
      <c r="X12" s="45" t="s">
        <v>102</v>
      </c>
      <c r="Y12" s="45" t="s">
        <v>102</v>
      </c>
      <c r="Z12" s="45" t="s">
        <v>102</v>
      </c>
      <c r="AA12" s="41" t="s">
        <v>102</v>
      </c>
      <c r="AB12" s="45" t="s">
        <v>102</v>
      </c>
      <c r="AC12" s="45" t="s">
        <v>102</v>
      </c>
      <c r="AD12" s="45" t="s">
        <v>102</v>
      </c>
      <c r="AE12" s="45" t="s">
        <v>102</v>
      </c>
      <c r="AF12" s="41" t="s">
        <v>102</v>
      </c>
      <c r="AG12" s="45" t="s">
        <v>102</v>
      </c>
      <c r="AH12" s="45" t="s">
        <v>102</v>
      </c>
      <c r="AI12" s="45" t="s">
        <v>102</v>
      </c>
      <c r="AJ12" s="45" t="s">
        <v>102</v>
      </c>
      <c r="AK12" s="41" t="s">
        <v>102</v>
      </c>
      <c r="AL12" s="45" t="s">
        <v>102</v>
      </c>
      <c r="AM12" s="45" t="s">
        <v>102</v>
      </c>
      <c r="AN12" s="45" t="s">
        <v>102</v>
      </c>
      <c r="AO12" s="45" t="s">
        <v>102</v>
      </c>
      <c r="AP12" s="41" t="s">
        <v>102</v>
      </c>
      <c r="AQ12" s="45" t="s">
        <v>102</v>
      </c>
      <c r="AR12" s="45" t="s">
        <v>102</v>
      </c>
      <c r="AS12" s="45" t="s">
        <v>102</v>
      </c>
      <c r="AT12" s="45" t="s">
        <v>102</v>
      </c>
      <c r="AU12" s="41" t="s">
        <v>102</v>
      </c>
      <c r="AV12" s="45" t="s">
        <v>102</v>
      </c>
      <c r="AW12" s="45" t="s">
        <v>102</v>
      </c>
      <c r="AX12" s="45" t="s">
        <v>102</v>
      </c>
      <c r="AY12" s="45" t="s">
        <v>102</v>
      </c>
      <c r="BA12" s="10" t="str">
        <f>CONCATENATE(NSi.TS[[#This Row],[KU.1]],(IF(A.LoE[[#This Row],[LE.1]]="-","-",IF(A.LoE[[#This Row],[LE.1]]&gt;=90,1,IF(A.LoE[[#This Row],[LE.1]]&gt;=80,2,IF(A.LoE[[#This Row],[LE.1]]&gt;=70,3,IF(A.LoE[[#This Row],[LE.1]]&gt;=1,4,5)))))))</f>
        <v>--</v>
      </c>
      <c r="BB12" s="46" t="str">
        <f>CONCATENATE(NSi.TS[[#This Row],[KU.2]],(IF(A.LoE[[#This Row],[LE.2]]="-","-",IF(A.LoE[[#This Row],[LE.2]]&gt;=90,1,IF(A.LoE[[#This Row],[LE.2]]&gt;=80,2,IF(A.LoE[[#This Row],[LE.2]]&gt;=70,3,IF(A.LoE[[#This Row],[LE.2]]&gt;=1,4,5)))))))</f>
        <v>--</v>
      </c>
      <c r="BC12" s="46" t="str">
        <f>CONCATENATE(NSi.TS[[#This Row],[KU.3]],(IF(A.LoE[[#This Row],[LE.3]]="-","-",IF(A.LoE[[#This Row],[LE.3]]&gt;=90,1,IF(A.LoE[[#This Row],[LE.3]]&gt;=80,2,IF(A.LoE[[#This Row],[LE.3]]&gt;=70,3,IF(A.LoE[[#This Row],[LE.3]]&gt;=1,4,5)))))))</f>
        <v>--</v>
      </c>
      <c r="BD12" s="46" t="str">
        <f>CONCATENATE(NSi.TS[[#This Row],[KU.4]],(IF(A.LoE[[#This Row],[LE.4]]="-","-",IF(A.LoE[[#This Row],[LE.4]]&gt;=90,1,IF(A.LoE[[#This Row],[LE.4]]&gt;=80,2,IF(A.LoE[[#This Row],[LE.4]]&gt;=70,3,IF(A.LoE[[#This Row],[LE.4]]&gt;=1,4,5)))))))</f>
        <v>--</v>
      </c>
      <c r="BE12" s="46" t="str">
        <f>CONCATENATE(NSi.TS[[#This Row],[KU.5]],(IF(A.LoE[[#This Row],[LE.5]]="-","-",IF(A.LoE[[#This Row],[LE.5]]&gt;=90,1,IF(A.LoE[[#This Row],[LE.5]]&gt;=80,2,IF(A.LoE[[#This Row],[LE.5]]&gt;=70,3,IF(A.LoE[[#This Row],[LE.5]]&gt;=1,4,5)))))))</f>
        <v>--</v>
      </c>
      <c r="BF12" s="46" t="str">
        <f>CONCATENATE(NSi.TS[[#This Row],[KU.6]],(IF(A.LoE[[#This Row],[LE.6]]="-","-",IF(A.LoE[[#This Row],[LE.6]]&gt;=90,1,IF(A.LoE[[#This Row],[LE.6]]&gt;=80,2,IF(A.LoE[[#This Row],[LE.6]]&gt;=70,3,IF(A.LoE[[#This Row],[LE.6]]&gt;=1,4,5)))))))</f>
        <v>--</v>
      </c>
      <c r="BG12" s="46" t="str">
        <f>CONCATENATE(NSi.TS[[#This Row],[KU.7]],(IF(A.LoE[[#This Row],[LE.7]]="-","-",IF(A.LoE[[#This Row],[LE.7]]&gt;=90,1,IF(A.LoE[[#This Row],[LE.7]]&gt;=80,2,IF(A.LoE[[#This Row],[LE.7]]&gt;=70,3,IF(A.LoE[[#This Row],[LE.7]]&gt;=1,4,5)))))))</f>
        <v>--</v>
      </c>
      <c r="BH12" s="46" t="str">
        <f>CONCATENATE(NSi.TS[[#This Row],[KU.8]],(IF(A.LoE[[#This Row],[LE.8]]="-","-",IF(A.LoE[[#This Row],[LE.8]]&gt;=90,1,IF(A.LoE[[#This Row],[LE.8]]&gt;=80,2,IF(A.LoE[[#This Row],[LE.8]]&gt;=70,3,IF(A.LoE[[#This Row],[LE.8]]&gt;=1,4,5)))))))</f>
        <v>--</v>
      </c>
      <c r="BI12" s="38" t="str">
        <f>CONCATENATE(NSi.TS[[#This Row],[KU.9]],(IF(A.LoE[[#This Row],[LE.9]]="-","-",IF(A.LoE[[#This Row],[LE.9]]&gt;=90,1,IF(A.LoE[[#This Row],[LE.9]]&gt;=80,2,IF(A.LoE[[#This Row],[LE.9]]&gt;=70,3,IF(A.LoE[[#This Row],[LE.9]]&gt;=1,4,5)))))))</f>
        <v>--</v>
      </c>
      <c r="BK12" s="35" t="str">
        <f>IFERROR(ROUND(AVERAGE(Con.Sk[[#This Row],[TJ.1]:[Pro-A.1]]),0),"-")</f>
        <v>-</v>
      </c>
      <c r="BL12" s="24" t="str">
        <f>IFERROR(ROUND(AVERAGE(Con.Sk[[#This Row],[TJ.2]:[Pro-A.2]]),0),"-")</f>
        <v>-</v>
      </c>
      <c r="BM12" s="24" t="str">
        <f>IFERROR(ROUND(AVERAGE(Con.Sk[[#This Row],[TJ.3]:[Pro-A.3]]),0),"-")</f>
        <v>-</v>
      </c>
      <c r="BN12" s="24" t="str">
        <f>IFERROR(ROUND(AVERAGE(Con.Sk[[#This Row],[TJ.4]:[Pro-A.4]]),0),"-")</f>
        <v>-</v>
      </c>
      <c r="BO12" s="24" t="str">
        <f>IFERROR(ROUND(AVERAGE(Con.Sk[[#This Row],[TJ.5]:[Pro-A.5]]),0),"-")</f>
        <v>-</v>
      </c>
      <c r="BP12" s="24" t="str">
        <f>IFERROR(ROUND(AVERAGE(Con.Sk[[#This Row],[TJ.6]:[Pro-A.6]]),0),"-")</f>
        <v>-</v>
      </c>
      <c r="BQ12" s="24" t="str">
        <f>IFERROR(ROUND(AVERAGE(Con.Sk[[#This Row],[TJ.7]:[Pro-A.7]]),0),"-")</f>
        <v>-</v>
      </c>
      <c r="BR12" s="24" t="str">
        <f>IFERROR(ROUND(AVERAGE(Con.Sk[[#This Row],[TJ.8]:[Pro-A.8]]),0),"-")</f>
        <v>-</v>
      </c>
      <c r="BS12" s="25" t="str">
        <f>IFERROR(ROUND(AVERAGE(Con.Sk[[#This Row],[TJ.9]:[Pro-A.9]]),0),"-")</f>
        <v>-</v>
      </c>
      <c r="BU12" s="47" t="str">
        <f>IFERROR(ROUND(AVERAGE(Con.Sk[[#This Row],[KU.1]],Con.Sk[[#This Row],[KU.2]],Con.Sk[[#This Row],[KU.3]],Con.Sk[[#This Row],[KU.4]],Con.Sk[[#This Row],[KU.5]],Con.Sk[[#This Row],[KU.6]],Con.Sk[[#This Row],[KU.7]],Con.Sk[[#This Row],[KU.8]],Con.Sk[[#This Row],[KU.9]]),0),"")</f>
        <v/>
      </c>
      <c r="BV12" s="48" t="str">
        <f>IFERROR(ROUND(AVERAGE(Con.Sk[[#This Row],[TJ.1]:[Pro-A.1]],Con.Sk[[#This Row],[TJ.2]:[Pro-A.2]],Con.Sk[[#This Row],[TJ.3]:[Pro-A.3]],Con.Sk[[#This Row],[TJ.4]:[Pro-A.4]],Con.Sk[[#This Row],[TJ.5]:[Pro-A.5]],Con.Sk[[#This Row],[TJ.6]:[Pro-A.6]],Con.Sk[[#This Row],[TJ.7]:[Pro-A.7]],Con.Sk[[#This Row],[TJ.8]:[Pro-A.8]],Con.Sk[[#This Row],[TJ.9]:[Pro-A.9]]),0),"")</f>
        <v/>
      </c>
      <c r="BW12" s="3"/>
      <c r="BX12" s="73" t="str">
        <f>IF(NSi.TS[[#This Row],[KU.1]]="A",100,IF(NSi.TS[[#This Row],[KU.1]]="B",89,IF(NSi.TS[[#This Row],[KU.1]]="C",79,IF(NSi.TS[[#This Row],[KU.1]]="D",69,IF(NSi.TS[[#This Row],[KU.1]]="E",0,"-")))))</f>
        <v>-</v>
      </c>
      <c r="BY12" s="73" t="str">
        <f>IF(NSi.TS[[#This Row],[TJ.1]]=1,100,IF(NSi.TS[[#This Row],[TJ.1]]=2,89,IF(NSi.TS[[#This Row],[TJ.1]]=3,79,IF(NSi.TS[[#This Row],[TJ.1]]=4,69,IF(NSi.TS[[#This Row],[TJ.1]]=5,0,"-")))))</f>
        <v>-</v>
      </c>
      <c r="BZ12" s="73" t="str">
        <f>IF(NSi.TS[[#This Row],[Ker.1]]=1,100,IF(NSi.TS[[#This Row],[Ker.1]]=2,89,IF(NSi.TS[[#This Row],[Ker.1]]=3,79,IF(NSi.TS[[#This Row],[Ker.1]]=4,69,IF(NSi.TS[[#This Row],[Ker.1]]=5,0,"-")))))</f>
        <v>-</v>
      </c>
      <c r="CA12" s="73" t="str">
        <f>IF(NSi.TS[[#This Row],[Ped.1]]=1,100,IF(NSi.TS[[#This Row],[Ped.1]]=2,89,IF(NSi.TS[[#This Row],[Ped.1]]=3,79,IF(NSi.TS[[#This Row],[Ped.1]]=4,69,IF(NSi.TS[[#This Row],[Ped.1]]=5,0,"-")))))</f>
        <v>-</v>
      </c>
      <c r="CB12" s="73" t="str">
        <f>IF(NSi.TS[[#This Row],[Pro-A.1]]=1,100,IF(NSi.TS[[#This Row],[Pro-A.1]]=2,89,IF(NSi.TS[[#This Row],[Pro-A.1]]=3,79,IF(NSi.TS[[#This Row],[Pro-A.1]]=4,69,IF(NSi.TS[[#This Row],[Pro-A.1]]=5,0,"-")))))</f>
        <v>-</v>
      </c>
      <c r="CC12" s="73" t="str">
        <f>IF(NSi.TS[[#This Row],[KU.2]]="A",100,IF(NSi.TS[[#This Row],[KU.2]]="B",89,IF(NSi.TS[[#This Row],[KU.2]]="C",79,IF(NSi.TS[[#This Row],[KU.2]]="D",69,IF(NSi.TS[[#This Row],[KU.2]]="E",0,"-")))))</f>
        <v>-</v>
      </c>
      <c r="CD12" s="73" t="str">
        <f>IF(NSi.TS[[#This Row],[TJ.2]]=1,100,IF(NSi.TS[[#This Row],[TJ.2]]=2,89,IF(NSi.TS[[#This Row],[TJ.2]]=3,79,IF(NSi.TS[[#This Row],[TJ.2]]=4,69,IF(NSi.TS[[#This Row],[TJ.2]]=5,0,"-")))))</f>
        <v>-</v>
      </c>
      <c r="CE12" s="73" t="str">
        <f>IF(NSi.TS[[#This Row],[Ker.2]]=1,100,IF(NSi.TS[[#This Row],[Ker.2]]=2,89,IF(NSi.TS[[#This Row],[Ker.2]]=3,79,IF(NSi.TS[[#This Row],[Ker.2]]=4,69,IF(NSi.TS[[#This Row],[Ker.2]]=5,0,"-")))))</f>
        <v>-</v>
      </c>
      <c r="CF12" s="73" t="str">
        <f>IF(NSi.TS[[#This Row],[Ped.2]]=1,100,IF(NSi.TS[[#This Row],[Ped.2]]=2,89,IF(NSi.TS[[#This Row],[Ped.2]]=3,79,IF(NSi.TS[[#This Row],[Ped.2]]=4,69,IF(NSi.TS[[#This Row],[Ped.2]]=5,0,"-")))))</f>
        <v>-</v>
      </c>
      <c r="CG12" s="73" t="str">
        <f>IF(NSi.TS[[#This Row],[Pro-A.2]]=1,100,IF(NSi.TS[[#This Row],[Pro-A.2]]=2,89,IF(NSi.TS[[#This Row],[Pro-A.2]]=3,79,IF(NSi.TS[[#This Row],[Pro-A.2]]=4,69,IF(NSi.TS[[#This Row],[Pro-A.2]]=5,0,"-")))))</f>
        <v>-</v>
      </c>
      <c r="CH12" s="74" t="str">
        <f>IF(NSi.TS[[#This Row],[KU.3]]="A",100,IF(NSi.TS[[#This Row],[KU.3]]="B",89,IF(NSi.TS[[#This Row],[KU.3]]="C",79,IF(NSi.TS[[#This Row],[KU.3]]="D",69,IF(NSi.TS[[#This Row],[KU.3]]="E",0,"-")))))</f>
        <v>-</v>
      </c>
      <c r="CI12" s="73" t="str">
        <f>IF(NSi.TS[[#This Row],[TJ.3]]=1,100,IF(NSi.TS[[#This Row],[TJ.3]]=2,89,IF(NSi.TS[[#This Row],[TJ.3]]=3,79,IF(NSi.TS[[#This Row],[TJ.3]]=4,69,IF(NSi.TS[[#This Row],[TJ.3]]=5,0,"-")))))</f>
        <v>-</v>
      </c>
      <c r="CJ12" s="73" t="str">
        <f>IF(NSi.TS[[#This Row],[Ker.3]]=1,100,IF(NSi.TS[[#This Row],[Ker.3]]=2,89,IF(NSi.TS[[#This Row],[Ker.3]]=3,79,IF(NSi.TS[[#This Row],[Ker.3]]=4,69,IF(NSi.TS[[#This Row],[Ker.3]]=5,0,"-")))))</f>
        <v>-</v>
      </c>
      <c r="CK12" s="73" t="str">
        <f>IF(NSi.TS[[#This Row],[Ped.3]]=1,100,IF(NSi.TS[[#This Row],[Ped.3]]=2,89,IF(NSi.TS[[#This Row],[Ped.3]]=3,79,IF(NSi.TS[[#This Row],[Ped.3]]=4,69,IF(NSi.TS[[#This Row],[Ped.3]]=5,0,"-")))))</f>
        <v>-</v>
      </c>
      <c r="CL12" s="73" t="str">
        <f>IF(NSi.TS[[#This Row],[Pro-A.3]]=1,100,IF(NSi.TS[[#This Row],[Pro-A.3]]=2,89,IF(NSi.TS[[#This Row],[Pro-A.3]]=3,79,IF(NSi.TS[[#This Row],[Pro-A.3]]=4,69,IF(NSi.TS[[#This Row],[Pro-A.3]]=5,0,"-")))))</f>
        <v>-</v>
      </c>
      <c r="CM12" s="74" t="str">
        <f>IF(NSi.TS[[#This Row],[KU.4]]="A",100,IF(NSi.TS[[#This Row],[KU.4]]="B",89,IF(NSi.TS[[#This Row],[KU.4]]="C",79,IF(NSi.TS[[#This Row],[KU.4]]="D",69,IF(NSi.TS[[#This Row],[KU.4]]="E",0,"-")))))</f>
        <v>-</v>
      </c>
      <c r="CN12" s="73" t="str">
        <f>IF(NSi.TS[[#This Row],[TJ.4]]=1,100,IF(NSi.TS[[#This Row],[TJ.4]]=2,89,IF(NSi.TS[[#This Row],[TJ.4]]=3,79,IF(NSi.TS[[#This Row],[TJ.4]]=4,69,IF(NSi.TS[[#This Row],[TJ.4]]=5,0,"-")))))</f>
        <v>-</v>
      </c>
      <c r="CO12" s="73" t="str">
        <f>IF(NSi.TS[[#This Row],[Ker.4]]=1,100,IF(NSi.TS[[#This Row],[Ker.4]]=2,89,IF(NSi.TS[[#This Row],[Ker.4]]=3,79,IF(NSi.TS[[#This Row],[Ker.4]]=4,69,IF(NSi.TS[[#This Row],[Ker.4]]=5,0,"-")))))</f>
        <v>-</v>
      </c>
      <c r="CP12" s="73" t="str">
        <f>IF(NSi.TS[[#This Row],[Ped.4]]=1,100,IF(NSi.TS[[#This Row],[Ped.4]]=2,89,IF(NSi.TS[[#This Row],[Ped.4]]=3,79,IF(NSi.TS[[#This Row],[Ped.4]]=4,69,IF(NSi.TS[[#This Row],[Ped.4]]=5,0,"-")))))</f>
        <v>-</v>
      </c>
      <c r="CQ12" s="73" t="str">
        <f>IF(NSi.TS[[#This Row],[Pro-A.4]]=1,100,IF(NSi.TS[[#This Row],[Pro-A.4]]=2,89,IF(NSi.TS[[#This Row],[Pro-A.4]]=3,79,IF(NSi.TS[[#This Row],[Pro-A.4]]=4,69,IF(NSi.TS[[#This Row],[Pro-A.4]]=5,0,"-")))))</f>
        <v>-</v>
      </c>
      <c r="CR12" s="74" t="str">
        <f>IF(NSi.TS[[#This Row],[KU.5]]="A",100,IF(NSi.TS[[#This Row],[KU.5]]="B",89,IF(NSi.TS[[#This Row],[KU.5]]="C",79,IF(NSi.TS[[#This Row],[KU.5]]="D",69,IF(NSi.TS[[#This Row],[KU.5]]="E",0,"-")))))</f>
        <v>-</v>
      </c>
      <c r="CS12" s="73" t="str">
        <f>IF(NSi.TS[[#This Row],[TJ.5]]=1,100,IF(NSi.TS[[#This Row],[TJ.5]]=2,89,IF(NSi.TS[[#This Row],[TJ.5]]=3,79,IF(NSi.TS[[#This Row],[TJ.5]]=4,69,IF(NSi.TS[[#This Row],[TJ.5]]=5,0,"-")))))</f>
        <v>-</v>
      </c>
      <c r="CT12" s="73" t="str">
        <f>IF(NSi.TS[[#This Row],[Ker.5]]=1,100,IF(NSi.TS[[#This Row],[Ker.5]]=2,89,IF(NSi.TS[[#This Row],[Ker.5]]=3,79,IF(NSi.TS[[#This Row],[Ker.5]]=4,69,IF(NSi.TS[[#This Row],[Ker.5]]=5,0,"-")))))</f>
        <v>-</v>
      </c>
      <c r="CU12" s="73" t="str">
        <f>IF(NSi.TS[[#This Row],[Ped.5]]=1,100,IF(NSi.TS[[#This Row],[Ped.5]]=2,89,IF(NSi.TS[[#This Row],[Ped.5]]=3,79,IF(NSi.TS[[#This Row],[Ped.5]]=4,69,IF(NSi.TS[[#This Row],[Ped.5]]=5,0,"-")))))</f>
        <v>-</v>
      </c>
      <c r="CV12" s="73" t="str">
        <f>IF(NSi.TS[[#This Row],[Pro-A.5]]=1,100,IF(NSi.TS[[#This Row],[Pro-A.5]]=2,89,IF(NSi.TS[[#This Row],[Pro-A.5]]=3,79,IF(NSi.TS[[#This Row],[Pro-A.5]]=4,69,IF(NSi.TS[[#This Row],[Pro-A.5]]=5,0,"-")))))</f>
        <v>-</v>
      </c>
      <c r="CW12" s="74" t="str">
        <f>IF(NSi.TS[[#This Row],[KU.6]]="A",100,IF(NSi.TS[[#This Row],[KU.6]]="B",89,IF(NSi.TS[[#This Row],[KU.6]]="C",79,IF(NSi.TS[[#This Row],[KU.6]]="D",69,IF(NSi.TS[[#This Row],[KU.6]]="E",0,"-")))))</f>
        <v>-</v>
      </c>
      <c r="CX12" s="73" t="str">
        <f>IF(NSi.TS[[#This Row],[TJ.6]]=1,100,IF(NSi.TS[[#This Row],[TJ.6]]=2,89,IF(NSi.TS[[#This Row],[TJ.6]]=3,79,IF(NSi.TS[[#This Row],[TJ.6]]=4,69,IF(NSi.TS[[#This Row],[TJ.6]]=5,0,"-")))))</f>
        <v>-</v>
      </c>
      <c r="CY12" s="73" t="str">
        <f>IF(NSi.TS[[#This Row],[Ker.6]]=1,100,IF(NSi.TS[[#This Row],[Ker.6]]=2,89,IF(NSi.TS[[#This Row],[Ker.6]]=3,79,IF(NSi.TS[[#This Row],[Ker.6]]=4,69,IF(NSi.TS[[#This Row],[Ker.6]]=5,0,"-")))))</f>
        <v>-</v>
      </c>
      <c r="CZ12" s="73" t="str">
        <f>IF(NSi.TS[[#This Row],[Ped.6]]=1,100,IF(NSi.TS[[#This Row],[Ped.6]]=2,89,IF(NSi.TS[[#This Row],[Ped.6]]=3,79,IF(NSi.TS[[#This Row],[Ped.6]]=4,69,IF(NSi.TS[[#This Row],[Ped.6]]=5,0,"-")))))</f>
        <v>-</v>
      </c>
      <c r="DA12" s="73" t="str">
        <f>IF(NSi.TS[[#This Row],[Pro-A.6]]=1,100,IF(NSi.TS[[#This Row],[Pro-A.6]]=2,89,IF(NSi.TS[[#This Row],[Pro-A.6]]=3,79,IF(NSi.TS[[#This Row],[Pro-A.6]]=4,69,IF(NSi.TS[[#This Row],[Pro-A.6]]=5,0,"-")))))</f>
        <v>-</v>
      </c>
      <c r="DB12" s="74" t="str">
        <f>IF(NSi.TS[[#This Row],[KU.7]]="A",100,IF(NSi.TS[[#This Row],[KU.7]]="B",89,IF(NSi.TS[[#This Row],[KU.7]]="C",79,IF(NSi.TS[[#This Row],[KU.7]]="D",69,IF(NSi.TS[[#This Row],[KU.7]]="E",0,"-")))))</f>
        <v>-</v>
      </c>
      <c r="DC12" s="73" t="str">
        <f>IF(NSi.TS[[#This Row],[TJ.7]]=1,100,IF(NSi.TS[[#This Row],[TJ.7]]=2,89,IF(NSi.TS[[#This Row],[TJ.7]]=3,79,IF(NSi.TS[[#This Row],[TJ.7]]=4,69,IF(NSi.TS[[#This Row],[TJ.7]]=5,0,"-")))))</f>
        <v>-</v>
      </c>
      <c r="DD12" s="73" t="str">
        <f>IF(NSi.TS[[#This Row],[Ker.7]]=1,100,IF(NSi.TS[[#This Row],[Ker.7]]=2,89,IF(NSi.TS[[#This Row],[Ker.7]]=3,79,IF(NSi.TS[[#This Row],[Ker.7]]=4,69,IF(NSi.TS[[#This Row],[Ker.7]]=5,0,"-")))))</f>
        <v>-</v>
      </c>
      <c r="DE12" s="73" t="str">
        <f>IF(NSi.TS[[#This Row],[Ped.7]]=1,100,IF(NSi.TS[[#This Row],[Ped.7]]=2,89,IF(NSi.TS[[#This Row],[Ped.7]]=3,79,IF(NSi.TS[[#This Row],[Ped.7]]=4,69,IF(NSi.TS[[#This Row],[Ped.7]]=5,0,"-")))))</f>
        <v>-</v>
      </c>
      <c r="DF12" s="73" t="str">
        <f>IF(NSi.TS[[#This Row],[Pro-A.7]]=1,100,IF(NSi.TS[[#This Row],[Pro-A.7]]=2,89,IF(NSi.TS[[#This Row],[Pro-A.7]]=3,79,IF(NSi.TS[[#This Row],[Pro-A.7]]=4,69,IF(NSi.TS[[#This Row],[Pro-A.7]]=5,0,"-")))))</f>
        <v>-</v>
      </c>
      <c r="DG12" s="74" t="str">
        <f>IF(NSi.TS[[#This Row],[KU.8]]="A",100,IF(NSi.TS[[#This Row],[KU.8]]="B",89,IF(NSi.TS[[#This Row],[KU.8]]="C",79,IF(NSi.TS[[#This Row],[KU.8]]="D",69,IF(NSi.TS[[#This Row],[KU.8]]="E",0,"-")))))</f>
        <v>-</v>
      </c>
      <c r="DH12" s="73" t="str">
        <f>IF(NSi.TS[[#This Row],[TJ.8]]=1,100,IF(NSi.TS[[#This Row],[TJ.8]]=2,89,IF(NSi.TS[[#This Row],[TJ.8]]=3,79,IF(NSi.TS[[#This Row],[TJ.8]]=4,69,IF(NSi.TS[[#This Row],[TJ.8]]=5,0,"-")))))</f>
        <v>-</v>
      </c>
      <c r="DI12" s="73" t="str">
        <f>IF(NSi.TS[[#This Row],[Ker.8]]=1,100,IF(NSi.TS[[#This Row],[Ker.8]]=2,89,IF(NSi.TS[[#This Row],[Ker.8]]=3,79,IF(NSi.TS[[#This Row],[Ker.8]]=4,69,IF(NSi.TS[[#This Row],[Ker.8]]=5,0,"-")))))</f>
        <v>-</v>
      </c>
      <c r="DJ12" s="73" t="str">
        <f>IF(NSi.TS[[#This Row],[Ped.8]]=1,100,IF(NSi.TS[[#This Row],[Ped.8]]=2,89,IF(NSi.TS[[#This Row],[Ped.8]]=3,79,IF(NSi.TS[[#This Row],[Ped.8]]=4,69,IF(NSi.TS[[#This Row],[Ped.8]]=5,0,"-")))))</f>
        <v>-</v>
      </c>
      <c r="DK12" s="73" t="str">
        <f>IF(NSi.TS[[#This Row],[Pro-A.8]]=1,100,IF(NSi.TS[[#This Row],[Pro-A.8]]=2,89,IF(NSi.TS[[#This Row],[Pro-A.8]]=3,79,IF(NSi.TS[[#This Row],[Pro-A.8]]=4,69,IF(NSi.TS[[#This Row],[Pro-A.8]]=5,0,"-")))))</f>
        <v>-</v>
      </c>
      <c r="DL12" s="74" t="str">
        <f>IF(NSi.TS[[#This Row],[KU.9]]="A",100,IF(NSi.TS[[#This Row],[KU.9]]="B",89,IF(NSi.TS[[#This Row],[KU.9]]="C",79,IF(NSi.TS[[#This Row],[KU.9]]="D",69,IF(NSi.TS[[#This Row],[KU.9]]="E",0,"-")))))</f>
        <v>-</v>
      </c>
      <c r="DM12" s="73" t="str">
        <f>IF(NSi.TS[[#This Row],[TJ.9]]=1,100,IF(NSi.TS[[#This Row],[TJ.9]]=2,89,IF(NSi.TS[[#This Row],[TJ.9]]=3,79,IF(NSi.TS[[#This Row],[TJ.9]]=4,69,IF(NSi.TS[[#This Row],[TJ.9]]=5,0,"-")))))</f>
        <v>-</v>
      </c>
      <c r="DN12" s="73" t="str">
        <f>IF(NSi.TS[[#This Row],[Ker.9]]=1,100,IF(NSi.TS[[#This Row],[Ker.9]]=2,89,IF(NSi.TS[[#This Row],[Ker.9]]=3,79,IF(NSi.TS[[#This Row],[Ker.9]]=4,69,IF(NSi.TS[[#This Row],[Ker.9]]=5,0,"-")))))</f>
        <v>-</v>
      </c>
      <c r="DO12" s="73" t="str">
        <f>IF(NSi.TS[[#This Row],[Ped.9]]=1,100,IF(NSi.TS[[#This Row],[Ped.9]]=2,89,IF(NSi.TS[[#This Row],[Ped.9]]=3,79,IF(NSi.TS[[#This Row],[Ped.9]]=4,69,IF(NSi.TS[[#This Row],[Ped.9]]=5,0,"-")))))</f>
        <v>-</v>
      </c>
      <c r="DP12" s="73" t="str">
        <f>IF(NSi.TS[[#This Row],[Pro-A.9]]=1,100,IF(NSi.TS[[#This Row],[Pro-A.9]]=2,89,IF(NSi.TS[[#This Row],[Pro-A.9]]=3,79,IF(NSi.TS[[#This Row],[Pro-A.9]]=4,69,IF(NSi.TS[[#This Row],[Pro-A.9]]=5,0,"-")))))</f>
        <v>-</v>
      </c>
    </row>
    <row r="13" spans="1:120" ht="50.1" customHeight="1" x14ac:dyDescent="0.3">
      <c r="A13" s="85"/>
      <c r="B13" s="86"/>
      <c r="C13" s="87"/>
      <c r="D13" s="87"/>
      <c r="E13" s="87"/>
      <c r="F13" s="44" t="str">
        <f>IFERROR(ROUND(AVERAGE(CSCR[#This Row]),0),"")</f>
        <v/>
      </c>
      <c r="G13" s="41" t="s">
        <v>102</v>
      </c>
      <c r="H13" s="45" t="s">
        <v>102</v>
      </c>
      <c r="I13" s="45" t="s">
        <v>102</v>
      </c>
      <c r="J13" s="45" t="s">
        <v>102</v>
      </c>
      <c r="K13" s="45" t="s">
        <v>102</v>
      </c>
      <c r="L13" s="41" t="s">
        <v>102</v>
      </c>
      <c r="M13" s="45" t="s">
        <v>102</v>
      </c>
      <c r="N13" s="45" t="s">
        <v>102</v>
      </c>
      <c r="O13" s="45" t="s">
        <v>102</v>
      </c>
      <c r="P13" s="45" t="s">
        <v>102</v>
      </c>
      <c r="Q13" s="41" t="s">
        <v>102</v>
      </c>
      <c r="R13" s="45" t="s">
        <v>102</v>
      </c>
      <c r="S13" s="45" t="s">
        <v>102</v>
      </c>
      <c r="T13" s="45" t="s">
        <v>102</v>
      </c>
      <c r="U13" s="45" t="s">
        <v>102</v>
      </c>
      <c r="V13" s="41" t="s">
        <v>102</v>
      </c>
      <c r="W13" s="45" t="s">
        <v>102</v>
      </c>
      <c r="X13" s="45" t="s">
        <v>102</v>
      </c>
      <c r="Y13" s="45" t="s">
        <v>102</v>
      </c>
      <c r="Z13" s="45" t="s">
        <v>102</v>
      </c>
      <c r="AA13" s="41" t="s">
        <v>102</v>
      </c>
      <c r="AB13" s="45" t="s">
        <v>102</v>
      </c>
      <c r="AC13" s="45" t="s">
        <v>102</v>
      </c>
      <c r="AD13" s="45" t="s">
        <v>102</v>
      </c>
      <c r="AE13" s="45" t="s">
        <v>102</v>
      </c>
      <c r="AF13" s="41" t="s">
        <v>102</v>
      </c>
      <c r="AG13" s="45" t="s">
        <v>102</v>
      </c>
      <c r="AH13" s="45" t="s">
        <v>102</v>
      </c>
      <c r="AI13" s="45" t="s">
        <v>102</v>
      </c>
      <c r="AJ13" s="45" t="s">
        <v>102</v>
      </c>
      <c r="AK13" s="41" t="s">
        <v>102</v>
      </c>
      <c r="AL13" s="45" t="s">
        <v>102</v>
      </c>
      <c r="AM13" s="45" t="s">
        <v>102</v>
      </c>
      <c r="AN13" s="45" t="s">
        <v>102</v>
      </c>
      <c r="AO13" s="45" t="s">
        <v>102</v>
      </c>
      <c r="AP13" s="41" t="s">
        <v>102</v>
      </c>
      <c r="AQ13" s="45" t="s">
        <v>102</v>
      </c>
      <c r="AR13" s="45" t="s">
        <v>102</v>
      </c>
      <c r="AS13" s="45" t="s">
        <v>102</v>
      </c>
      <c r="AT13" s="45" t="s">
        <v>102</v>
      </c>
      <c r="AU13" s="41" t="s">
        <v>102</v>
      </c>
      <c r="AV13" s="45" t="s">
        <v>102</v>
      </c>
      <c r="AW13" s="45" t="s">
        <v>102</v>
      </c>
      <c r="AX13" s="45" t="s">
        <v>102</v>
      </c>
      <c r="AY13" s="45" t="s">
        <v>102</v>
      </c>
      <c r="BA13" s="10" t="str">
        <f>CONCATENATE(NSi.TS[[#This Row],[KU.1]],(IF(A.LoE[[#This Row],[LE.1]]="-","-",IF(A.LoE[[#This Row],[LE.1]]&gt;=90,1,IF(A.LoE[[#This Row],[LE.1]]&gt;=80,2,IF(A.LoE[[#This Row],[LE.1]]&gt;=70,3,IF(A.LoE[[#This Row],[LE.1]]&gt;=1,4,5)))))))</f>
        <v>--</v>
      </c>
      <c r="BB13" s="46" t="str">
        <f>CONCATENATE(NSi.TS[[#This Row],[KU.2]],(IF(A.LoE[[#This Row],[LE.2]]="-","-",IF(A.LoE[[#This Row],[LE.2]]&gt;=90,1,IF(A.LoE[[#This Row],[LE.2]]&gt;=80,2,IF(A.LoE[[#This Row],[LE.2]]&gt;=70,3,IF(A.LoE[[#This Row],[LE.2]]&gt;=1,4,5)))))))</f>
        <v>--</v>
      </c>
      <c r="BC13" s="46" t="str">
        <f>CONCATENATE(NSi.TS[[#This Row],[KU.3]],(IF(A.LoE[[#This Row],[LE.3]]="-","-",IF(A.LoE[[#This Row],[LE.3]]&gt;=90,1,IF(A.LoE[[#This Row],[LE.3]]&gt;=80,2,IF(A.LoE[[#This Row],[LE.3]]&gt;=70,3,IF(A.LoE[[#This Row],[LE.3]]&gt;=1,4,5)))))))</f>
        <v>--</v>
      </c>
      <c r="BD13" s="46" t="str">
        <f>CONCATENATE(NSi.TS[[#This Row],[KU.4]],(IF(A.LoE[[#This Row],[LE.4]]="-","-",IF(A.LoE[[#This Row],[LE.4]]&gt;=90,1,IF(A.LoE[[#This Row],[LE.4]]&gt;=80,2,IF(A.LoE[[#This Row],[LE.4]]&gt;=70,3,IF(A.LoE[[#This Row],[LE.4]]&gt;=1,4,5)))))))</f>
        <v>--</v>
      </c>
      <c r="BE13" s="46" t="str">
        <f>CONCATENATE(NSi.TS[[#This Row],[KU.5]],(IF(A.LoE[[#This Row],[LE.5]]="-","-",IF(A.LoE[[#This Row],[LE.5]]&gt;=90,1,IF(A.LoE[[#This Row],[LE.5]]&gt;=80,2,IF(A.LoE[[#This Row],[LE.5]]&gt;=70,3,IF(A.LoE[[#This Row],[LE.5]]&gt;=1,4,5)))))))</f>
        <v>--</v>
      </c>
      <c r="BF13" s="46" t="str">
        <f>CONCATENATE(NSi.TS[[#This Row],[KU.6]],(IF(A.LoE[[#This Row],[LE.6]]="-","-",IF(A.LoE[[#This Row],[LE.6]]&gt;=90,1,IF(A.LoE[[#This Row],[LE.6]]&gt;=80,2,IF(A.LoE[[#This Row],[LE.6]]&gt;=70,3,IF(A.LoE[[#This Row],[LE.6]]&gt;=1,4,5)))))))</f>
        <v>--</v>
      </c>
      <c r="BG13" s="46" t="str">
        <f>CONCATENATE(NSi.TS[[#This Row],[KU.7]],(IF(A.LoE[[#This Row],[LE.7]]="-","-",IF(A.LoE[[#This Row],[LE.7]]&gt;=90,1,IF(A.LoE[[#This Row],[LE.7]]&gt;=80,2,IF(A.LoE[[#This Row],[LE.7]]&gt;=70,3,IF(A.LoE[[#This Row],[LE.7]]&gt;=1,4,5)))))))</f>
        <v>--</v>
      </c>
      <c r="BH13" s="46" t="str">
        <f>CONCATENATE(NSi.TS[[#This Row],[KU.8]],(IF(A.LoE[[#This Row],[LE.8]]="-","-",IF(A.LoE[[#This Row],[LE.8]]&gt;=90,1,IF(A.LoE[[#This Row],[LE.8]]&gt;=80,2,IF(A.LoE[[#This Row],[LE.8]]&gt;=70,3,IF(A.LoE[[#This Row],[LE.8]]&gt;=1,4,5)))))))</f>
        <v>--</v>
      </c>
      <c r="BI13" s="38" t="str">
        <f>CONCATENATE(NSi.TS[[#This Row],[KU.9]],(IF(A.LoE[[#This Row],[LE.9]]="-","-",IF(A.LoE[[#This Row],[LE.9]]&gt;=90,1,IF(A.LoE[[#This Row],[LE.9]]&gt;=80,2,IF(A.LoE[[#This Row],[LE.9]]&gt;=70,3,IF(A.LoE[[#This Row],[LE.9]]&gt;=1,4,5)))))))</f>
        <v>--</v>
      </c>
      <c r="BK13" s="35" t="str">
        <f>IFERROR(ROUND(AVERAGE(Con.Sk[[#This Row],[TJ.1]:[Pro-A.1]]),0),"-")</f>
        <v>-</v>
      </c>
      <c r="BL13" s="24" t="str">
        <f>IFERROR(ROUND(AVERAGE(Con.Sk[[#This Row],[TJ.2]:[Pro-A.2]]),0),"-")</f>
        <v>-</v>
      </c>
      <c r="BM13" s="24" t="str">
        <f>IFERROR(ROUND(AVERAGE(Con.Sk[[#This Row],[TJ.3]:[Pro-A.3]]),0),"-")</f>
        <v>-</v>
      </c>
      <c r="BN13" s="24" t="str">
        <f>IFERROR(ROUND(AVERAGE(Con.Sk[[#This Row],[TJ.4]:[Pro-A.4]]),0),"-")</f>
        <v>-</v>
      </c>
      <c r="BO13" s="24" t="str">
        <f>IFERROR(ROUND(AVERAGE(Con.Sk[[#This Row],[TJ.5]:[Pro-A.5]]),0),"-")</f>
        <v>-</v>
      </c>
      <c r="BP13" s="24" t="str">
        <f>IFERROR(ROUND(AVERAGE(Con.Sk[[#This Row],[TJ.6]:[Pro-A.6]]),0),"-")</f>
        <v>-</v>
      </c>
      <c r="BQ13" s="24" t="str">
        <f>IFERROR(ROUND(AVERAGE(Con.Sk[[#This Row],[TJ.7]:[Pro-A.7]]),0),"-")</f>
        <v>-</v>
      </c>
      <c r="BR13" s="24" t="str">
        <f>IFERROR(ROUND(AVERAGE(Con.Sk[[#This Row],[TJ.8]:[Pro-A.8]]),0),"-")</f>
        <v>-</v>
      </c>
      <c r="BS13" s="25" t="str">
        <f>IFERROR(ROUND(AVERAGE(Con.Sk[[#This Row],[TJ.9]:[Pro-A.9]]),0),"-")</f>
        <v>-</v>
      </c>
      <c r="BU13" s="47" t="str">
        <f>IFERROR(ROUND(AVERAGE(Con.Sk[[#This Row],[KU.1]],Con.Sk[[#This Row],[KU.2]],Con.Sk[[#This Row],[KU.3]],Con.Sk[[#This Row],[KU.4]],Con.Sk[[#This Row],[KU.5]],Con.Sk[[#This Row],[KU.6]],Con.Sk[[#This Row],[KU.7]],Con.Sk[[#This Row],[KU.8]],Con.Sk[[#This Row],[KU.9]]),0),"")</f>
        <v/>
      </c>
      <c r="BV13" s="48" t="str">
        <f>IFERROR(ROUND(AVERAGE(Con.Sk[[#This Row],[TJ.1]:[Pro-A.1]],Con.Sk[[#This Row],[TJ.2]:[Pro-A.2]],Con.Sk[[#This Row],[TJ.3]:[Pro-A.3]],Con.Sk[[#This Row],[TJ.4]:[Pro-A.4]],Con.Sk[[#This Row],[TJ.5]:[Pro-A.5]],Con.Sk[[#This Row],[TJ.6]:[Pro-A.6]],Con.Sk[[#This Row],[TJ.7]:[Pro-A.7]],Con.Sk[[#This Row],[TJ.8]:[Pro-A.8]],Con.Sk[[#This Row],[TJ.9]:[Pro-A.9]]),0),"")</f>
        <v/>
      </c>
      <c r="BW13" s="3"/>
      <c r="BX13" s="73" t="str">
        <f>IF(NSi.TS[[#This Row],[KU.1]]="A",100,IF(NSi.TS[[#This Row],[KU.1]]="B",89,IF(NSi.TS[[#This Row],[KU.1]]="C",79,IF(NSi.TS[[#This Row],[KU.1]]="D",69,IF(NSi.TS[[#This Row],[KU.1]]="E",0,"-")))))</f>
        <v>-</v>
      </c>
      <c r="BY13" s="73" t="str">
        <f>IF(NSi.TS[[#This Row],[TJ.1]]=1,100,IF(NSi.TS[[#This Row],[TJ.1]]=2,89,IF(NSi.TS[[#This Row],[TJ.1]]=3,79,IF(NSi.TS[[#This Row],[TJ.1]]=4,69,IF(NSi.TS[[#This Row],[TJ.1]]=5,0,"-")))))</f>
        <v>-</v>
      </c>
      <c r="BZ13" s="73" t="str">
        <f>IF(NSi.TS[[#This Row],[Ker.1]]=1,100,IF(NSi.TS[[#This Row],[Ker.1]]=2,89,IF(NSi.TS[[#This Row],[Ker.1]]=3,79,IF(NSi.TS[[#This Row],[Ker.1]]=4,69,IF(NSi.TS[[#This Row],[Ker.1]]=5,0,"-")))))</f>
        <v>-</v>
      </c>
      <c r="CA13" s="73" t="str">
        <f>IF(NSi.TS[[#This Row],[Ped.1]]=1,100,IF(NSi.TS[[#This Row],[Ped.1]]=2,89,IF(NSi.TS[[#This Row],[Ped.1]]=3,79,IF(NSi.TS[[#This Row],[Ped.1]]=4,69,IF(NSi.TS[[#This Row],[Ped.1]]=5,0,"-")))))</f>
        <v>-</v>
      </c>
      <c r="CB13" s="73" t="str">
        <f>IF(NSi.TS[[#This Row],[Pro-A.1]]=1,100,IF(NSi.TS[[#This Row],[Pro-A.1]]=2,89,IF(NSi.TS[[#This Row],[Pro-A.1]]=3,79,IF(NSi.TS[[#This Row],[Pro-A.1]]=4,69,IF(NSi.TS[[#This Row],[Pro-A.1]]=5,0,"-")))))</f>
        <v>-</v>
      </c>
      <c r="CC13" s="73" t="str">
        <f>IF(NSi.TS[[#This Row],[KU.2]]="A",100,IF(NSi.TS[[#This Row],[KU.2]]="B",89,IF(NSi.TS[[#This Row],[KU.2]]="C",79,IF(NSi.TS[[#This Row],[KU.2]]="D",69,IF(NSi.TS[[#This Row],[KU.2]]="E",0,"-")))))</f>
        <v>-</v>
      </c>
      <c r="CD13" s="73" t="str">
        <f>IF(NSi.TS[[#This Row],[TJ.2]]=1,100,IF(NSi.TS[[#This Row],[TJ.2]]=2,89,IF(NSi.TS[[#This Row],[TJ.2]]=3,79,IF(NSi.TS[[#This Row],[TJ.2]]=4,69,IF(NSi.TS[[#This Row],[TJ.2]]=5,0,"-")))))</f>
        <v>-</v>
      </c>
      <c r="CE13" s="73" t="str">
        <f>IF(NSi.TS[[#This Row],[Ker.2]]=1,100,IF(NSi.TS[[#This Row],[Ker.2]]=2,89,IF(NSi.TS[[#This Row],[Ker.2]]=3,79,IF(NSi.TS[[#This Row],[Ker.2]]=4,69,IF(NSi.TS[[#This Row],[Ker.2]]=5,0,"-")))))</f>
        <v>-</v>
      </c>
      <c r="CF13" s="73" t="str">
        <f>IF(NSi.TS[[#This Row],[Ped.2]]=1,100,IF(NSi.TS[[#This Row],[Ped.2]]=2,89,IF(NSi.TS[[#This Row],[Ped.2]]=3,79,IF(NSi.TS[[#This Row],[Ped.2]]=4,69,IF(NSi.TS[[#This Row],[Ped.2]]=5,0,"-")))))</f>
        <v>-</v>
      </c>
      <c r="CG13" s="73" t="str">
        <f>IF(NSi.TS[[#This Row],[Pro-A.2]]=1,100,IF(NSi.TS[[#This Row],[Pro-A.2]]=2,89,IF(NSi.TS[[#This Row],[Pro-A.2]]=3,79,IF(NSi.TS[[#This Row],[Pro-A.2]]=4,69,IF(NSi.TS[[#This Row],[Pro-A.2]]=5,0,"-")))))</f>
        <v>-</v>
      </c>
      <c r="CH13" s="74" t="str">
        <f>IF(NSi.TS[[#This Row],[KU.3]]="A",100,IF(NSi.TS[[#This Row],[KU.3]]="B",89,IF(NSi.TS[[#This Row],[KU.3]]="C",79,IF(NSi.TS[[#This Row],[KU.3]]="D",69,IF(NSi.TS[[#This Row],[KU.3]]="E",0,"-")))))</f>
        <v>-</v>
      </c>
      <c r="CI13" s="73" t="str">
        <f>IF(NSi.TS[[#This Row],[TJ.3]]=1,100,IF(NSi.TS[[#This Row],[TJ.3]]=2,89,IF(NSi.TS[[#This Row],[TJ.3]]=3,79,IF(NSi.TS[[#This Row],[TJ.3]]=4,69,IF(NSi.TS[[#This Row],[TJ.3]]=5,0,"-")))))</f>
        <v>-</v>
      </c>
      <c r="CJ13" s="73" t="str">
        <f>IF(NSi.TS[[#This Row],[Ker.3]]=1,100,IF(NSi.TS[[#This Row],[Ker.3]]=2,89,IF(NSi.TS[[#This Row],[Ker.3]]=3,79,IF(NSi.TS[[#This Row],[Ker.3]]=4,69,IF(NSi.TS[[#This Row],[Ker.3]]=5,0,"-")))))</f>
        <v>-</v>
      </c>
      <c r="CK13" s="73" t="str">
        <f>IF(NSi.TS[[#This Row],[Ped.3]]=1,100,IF(NSi.TS[[#This Row],[Ped.3]]=2,89,IF(NSi.TS[[#This Row],[Ped.3]]=3,79,IF(NSi.TS[[#This Row],[Ped.3]]=4,69,IF(NSi.TS[[#This Row],[Ped.3]]=5,0,"-")))))</f>
        <v>-</v>
      </c>
      <c r="CL13" s="73" t="str">
        <f>IF(NSi.TS[[#This Row],[Pro-A.3]]=1,100,IF(NSi.TS[[#This Row],[Pro-A.3]]=2,89,IF(NSi.TS[[#This Row],[Pro-A.3]]=3,79,IF(NSi.TS[[#This Row],[Pro-A.3]]=4,69,IF(NSi.TS[[#This Row],[Pro-A.3]]=5,0,"-")))))</f>
        <v>-</v>
      </c>
      <c r="CM13" s="74" t="str">
        <f>IF(NSi.TS[[#This Row],[KU.4]]="A",100,IF(NSi.TS[[#This Row],[KU.4]]="B",89,IF(NSi.TS[[#This Row],[KU.4]]="C",79,IF(NSi.TS[[#This Row],[KU.4]]="D",69,IF(NSi.TS[[#This Row],[KU.4]]="E",0,"-")))))</f>
        <v>-</v>
      </c>
      <c r="CN13" s="73" t="str">
        <f>IF(NSi.TS[[#This Row],[TJ.4]]=1,100,IF(NSi.TS[[#This Row],[TJ.4]]=2,89,IF(NSi.TS[[#This Row],[TJ.4]]=3,79,IF(NSi.TS[[#This Row],[TJ.4]]=4,69,IF(NSi.TS[[#This Row],[TJ.4]]=5,0,"-")))))</f>
        <v>-</v>
      </c>
      <c r="CO13" s="73" t="str">
        <f>IF(NSi.TS[[#This Row],[Ker.4]]=1,100,IF(NSi.TS[[#This Row],[Ker.4]]=2,89,IF(NSi.TS[[#This Row],[Ker.4]]=3,79,IF(NSi.TS[[#This Row],[Ker.4]]=4,69,IF(NSi.TS[[#This Row],[Ker.4]]=5,0,"-")))))</f>
        <v>-</v>
      </c>
      <c r="CP13" s="73" t="str">
        <f>IF(NSi.TS[[#This Row],[Ped.4]]=1,100,IF(NSi.TS[[#This Row],[Ped.4]]=2,89,IF(NSi.TS[[#This Row],[Ped.4]]=3,79,IF(NSi.TS[[#This Row],[Ped.4]]=4,69,IF(NSi.TS[[#This Row],[Ped.4]]=5,0,"-")))))</f>
        <v>-</v>
      </c>
      <c r="CQ13" s="73" t="str">
        <f>IF(NSi.TS[[#This Row],[Pro-A.4]]=1,100,IF(NSi.TS[[#This Row],[Pro-A.4]]=2,89,IF(NSi.TS[[#This Row],[Pro-A.4]]=3,79,IF(NSi.TS[[#This Row],[Pro-A.4]]=4,69,IF(NSi.TS[[#This Row],[Pro-A.4]]=5,0,"-")))))</f>
        <v>-</v>
      </c>
      <c r="CR13" s="74" t="str">
        <f>IF(NSi.TS[[#This Row],[KU.5]]="A",100,IF(NSi.TS[[#This Row],[KU.5]]="B",89,IF(NSi.TS[[#This Row],[KU.5]]="C",79,IF(NSi.TS[[#This Row],[KU.5]]="D",69,IF(NSi.TS[[#This Row],[KU.5]]="E",0,"-")))))</f>
        <v>-</v>
      </c>
      <c r="CS13" s="73" t="str">
        <f>IF(NSi.TS[[#This Row],[TJ.5]]=1,100,IF(NSi.TS[[#This Row],[TJ.5]]=2,89,IF(NSi.TS[[#This Row],[TJ.5]]=3,79,IF(NSi.TS[[#This Row],[TJ.5]]=4,69,IF(NSi.TS[[#This Row],[TJ.5]]=5,0,"-")))))</f>
        <v>-</v>
      </c>
      <c r="CT13" s="73" t="str">
        <f>IF(NSi.TS[[#This Row],[Ker.5]]=1,100,IF(NSi.TS[[#This Row],[Ker.5]]=2,89,IF(NSi.TS[[#This Row],[Ker.5]]=3,79,IF(NSi.TS[[#This Row],[Ker.5]]=4,69,IF(NSi.TS[[#This Row],[Ker.5]]=5,0,"-")))))</f>
        <v>-</v>
      </c>
      <c r="CU13" s="73" t="str">
        <f>IF(NSi.TS[[#This Row],[Ped.5]]=1,100,IF(NSi.TS[[#This Row],[Ped.5]]=2,89,IF(NSi.TS[[#This Row],[Ped.5]]=3,79,IF(NSi.TS[[#This Row],[Ped.5]]=4,69,IF(NSi.TS[[#This Row],[Ped.5]]=5,0,"-")))))</f>
        <v>-</v>
      </c>
      <c r="CV13" s="73" t="str">
        <f>IF(NSi.TS[[#This Row],[Pro-A.5]]=1,100,IF(NSi.TS[[#This Row],[Pro-A.5]]=2,89,IF(NSi.TS[[#This Row],[Pro-A.5]]=3,79,IF(NSi.TS[[#This Row],[Pro-A.5]]=4,69,IF(NSi.TS[[#This Row],[Pro-A.5]]=5,0,"-")))))</f>
        <v>-</v>
      </c>
      <c r="CW13" s="74" t="str">
        <f>IF(NSi.TS[[#This Row],[KU.6]]="A",100,IF(NSi.TS[[#This Row],[KU.6]]="B",89,IF(NSi.TS[[#This Row],[KU.6]]="C",79,IF(NSi.TS[[#This Row],[KU.6]]="D",69,IF(NSi.TS[[#This Row],[KU.6]]="E",0,"-")))))</f>
        <v>-</v>
      </c>
      <c r="CX13" s="73" t="str">
        <f>IF(NSi.TS[[#This Row],[TJ.6]]=1,100,IF(NSi.TS[[#This Row],[TJ.6]]=2,89,IF(NSi.TS[[#This Row],[TJ.6]]=3,79,IF(NSi.TS[[#This Row],[TJ.6]]=4,69,IF(NSi.TS[[#This Row],[TJ.6]]=5,0,"-")))))</f>
        <v>-</v>
      </c>
      <c r="CY13" s="73" t="str">
        <f>IF(NSi.TS[[#This Row],[Ker.6]]=1,100,IF(NSi.TS[[#This Row],[Ker.6]]=2,89,IF(NSi.TS[[#This Row],[Ker.6]]=3,79,IF(NSi.TS[[#This Row],[Ker.6]]=4,69,IF(NSi.TS[[#This Row],[Ker.6]]=5,0,"-")))))</f>
        <v>-</v>
      </c>
      <c r="CZ13" s="73" t="str">
        <f>IF(NSi.TS[[#This Row],[Ped.6]]=1,100,IF(NSi.TS[[#This Row],[Ped.6]]=2,89,IF(NSi.TS[[#This Row],[Ped.6]]=3,79,IF(NSi.TS[[#This Row],[Ped.6]]=4,69,IF(NSi.TS[[#This Row],[Ped.6]]=5,0,"-")))))</f>
        <v>-</v>
      </c>
      <c r="DA13" s="73" t="str">
        <f>IF(NSi.TS[[#This Row],[Pro-A.6]]=1,100,IF(NSi.TS[[#This Row],[Pro-A.6]]=2,89,IF(NSi.TS[[#This Row],[Pro-A.6]]=3,79,IF(NSi.TS[[#This Row],[Pro-A.6]]=4,69,IF(NSi.TS[[#This Row],[Pro-A.6]]=5,0,"-")))))</f>
        <v>-</v>
      </c>
      <c r="DB13" s="74" t="str">
        <f>IF(NSi.TS[[#This Row],[KU.7]]="A",100,IF(NSi.TS[[#This Row],[KU.7]]="B",89,IF(NSi.TS[[#This Row],[KU.7]]="C",79,IF(NSi.TS[[#This Row],[KU.7]]="D",69,IF(NSi.TS[[#This Row],[KU.7]]="E",0,"-")))))</f>
        <v>-</v>
      </c>
      <c r="DC13" s="73" t="str">
        <f>IF(NSi.TS[[#This Row],[TJ.7]]=1,100,IF(NSi.TS[[#This Row],[TJ.7]]=2,89,IF(NSi.TS[[#This Row],[TJ.7]]=3,79,IF(NSi.TS[[#This Row],[TJ.7]]=4,69,IF(NSi.TS[[#This Row],[TJ.7]]=5,0,"-")))))</f>
        <v>-</v>
      </c>
      <c r="DD13" s="73" t="str">
        <f>IF(NSi.TS[[#This Row],[Ker.7]]=1,100,IF(NSi.TS[[#This Row],[Ker.7]]=2,89,IF(NSi.TS[[#This Row],[Ker.7]]=3,79,IF(NSi.TS[[#This Row],[Ker.7]]=4,69,IF(NSi.TS[[#This Row],[Ker.7]]=5,0,"-")))))</f>
        <v>-</v>
      </c>
      <c r="DE13" s="73" t="str">
        <f>IF(NSi.TS[[#This Row],[Ped.7]]=1,100,IF(NSi.TS[[#This Row],[Ped.7]]=2,89,IF(NSi.TS[[#This Row],[Ped.7]]=3,79,IF(NSi.TS[[#This Row],[Ped.7]]=4,69,IF(NSi.TS[[#This Row],[Ped.7]]=5,0,"-")))))</f>
        <v>-</v>
      </c>
      <c r="DF13" s="73" t="str">
        <f>IF(NSi.TS[[#This Row],[Pro-A.7]]=1,100,IF(NSi.TS[[#This Row],[Pro-A.7]]=2,89,IF(NSi.TS[[#This Row],[Pro-A.7]]=3,79,IF(NSi.TS[[#This Row],[Pro-A.7]]=4,69,IF(NSi.TS[[#This Row],[Pro-A.7]]=5,0,"-")))))</f>
        <v>-</v>
      </c>
      <c r="DG13" s="74" t="str">
        <f>IF(NSi.TS[[#This Row],[KU.8]]="A",100,IF(NSi.TS[[#This Row],[KU.8]]="B",89,IF(NSi.TS[[#This Row],[KU.8]]="C",79,IF(NSi.TS[[#This Row],[KU.8]]="D",69,IF(NSi.TS[[#This Row],[KU.8]]="E",0,"-")))))</f>
        <v>-</v>
      </c>
      <c r="DH13" s="73" t="str">
        <f>IF(NSi.TS[[#This Row],[TJ.8]]=1,100,IF(NSi.TS[[#This Row],[TJ.8]]=2,89,IF(NSi.TS[[#This Row],[TJ.8]]=3,79,IF(NSi.TS[[#This Row],[TJ.8]]=4,69,IF(NSi.TS[[#This Row],[TJ.8]]=5,0,"-")))))</f>
        <v>-</v>
      </c>
      <c r="DI13" s="73" t="str">
        <f>IF(NSi.TS[[#This Row],[Ker.8]]=1,100,IF(NSi.TS[[#This Row],[Ker.8]]=2,89,IF(NSi.TS[[#This Row],[Ker.8]]=3,79,IF(NSi.TS[[#This Row],[Ker.8]]=4,69,IF(NSi.TS[[#This Row],[Ker.8]]=5,0,"-")))))</f>
        <v>-</v>
      </c>
      <c r="DJ13" s="73" t="str">
        <f>IF(NSi.TS[[#This Row],[Ped.8]]=1,100,IF(NSi.TS[[#This Row],[Ped.8]]=2,89,IF(NSi.TS[[#This Row],[Ped.8]]=3,79,IF(NSi.TS[[#This Row],[Ped.8]]=4,69,IF(NSi.TS[[#This Row],[Ped.8]]=5,0,"-")))))</f>
        <v>-</v>
      </c>
      <c r="DK13" s="73" t="str">
        <f>IF(NSi.TS[[#This Row],[Pro-A.8]]=1,100,IF(NSi.TS[[#This Row],[Pro-A.8]]=2,89,IF(NSi.TS[[#This Row],[Pro-A.8]]=3,79,IF(NSi.TS[[#This Row],[Pro-A.8]]=4,69,IF(NSi.TS[[#This Row],[Pro-A.8]]=5,0,"-")))))</f>
        <v>-</v>
      </c>
      <c r="DL13" s="74" t="str">
        <f>IF(NSi.TS[[#This Row],[KU.9]]="A",100,IF(NSi.TS[[#This Row],[KU.9]]="B",89,IF(NSi.TS[[#This Row],[KU.9]]="C",79,IF(NSi.TS[[#This Row],[KU.9]]="D",69,IF(NSi.TS[[#This Row],[KU.9]]="E",0,"-")))))</f>
        <v>-</v>
      </c>
      <c r="DM13" s="73" t="str">
        <f>IF(NSi.TS[[#This Row],[TJ.9]]=1,100,IF(NSi.TS[[#This Row],[TJ.9]]=2,89,IF(NSi.TS[[#This Row],[TJ.9]]=3,79,IF(NSi.TS[[#This Row],[TJ.9]]=4,69,IF(NSi.TS[[#This Row],[TJ.9]]=5,0,"-")))))</f>
        <v>-</v>
      </c>
      <c r="DN13" s="73" t="str">
        <f>IF(NSi.TS[[#This Row],[Ker.9]]=1,100,IF(NSi.TS[[#This Row],[Ker.9]]=2,89,IF(NSi.TS[[#This Row],[Ker.9]]=3,79,IF(NSi.TS[[#This Row],[Ker.9]]=4,69,IF(NSi.TS[[#This Row],[Ker.9]]=5,0,"-")))))</f>
        <v>-</v>
      </c>
      <c r="DO13" s="73" t="str">
        <f>IF(NSi.TS[[#This Row],[Ped.9]]=1,100,IF(NSi.TS[[#This Row],[Ped.9]]=2,89,IF(NSi.TS[[#This Row],[Ped.9]]=3,79,IF(NSi.TS[[#This Row],[Ped.9]]=4,69,IF(NSi.TS[[#This Row],[Ped.9]]=5,0,"-")))))</f>
        <v>-</v>
      </c>
      <c r="DP13" s="73" t="str">
        <f>IF(NSi.TS[[#This Row],[Pro-A.9]]=1,100,IF(NSi.TS[[#This Row],[Pro-A.9]]=2,89,IF(NSi.TS[[#This Row],[Pro-A.9]]=3,79,IF(NSi.TS[[#This Row],[Pro-A.9]]=4,69,IF(NSi.TS[[#This Row],[Pro-A.9]]=5,0,"-")))))</f>
        <v>-</v>
      </c>
    </row>
    <row r="14" spans="1:120" ht="50.1" customHeight="1" x14ac:dyDescent="0.3">
      <c r="A14" s="85"/>
      <c r="B14" s="86"/>
      <c r="C14" s="87"/>
      <c r="D14" s="87"/>
      <c r="E14" s="87"/>
      <c r="F14" s="44" t="str">
        <f>IFERROR(ROUND(AVERAGE(CSCR[#This Row]),0),"")</f>
        <v/>
      </c>
      <c r="G14" s="41" t="s">
        <v>102</v>
      </c>
      <c r="H14" s="45" t="s">
        <v>102</v>
      </c>
      <c r="I14" s="45" t="s">
        <v>102</v>
      </c>
      <c r="J14" s="45" t="s">
        <v>102</v>
      </c>
      <c r="K14" s="45" t="s">
        <v>102</v>
      </c>
      <c r="L14" s="41" t="s">
        <v>102</v>
      </c>
      <c r="M14" s="45" t="s">
        <v>102</v>
      </c>
      <c r="N14" s="45" t="s">
        <v>102</v>
      </c>
      <c r="O14" s="45" t="s">
        <v>102</v>
      </c>
      <c r="P14" s="45" t="s">
        <v>102</v>
      </c>
      <c r="Q14" s="41" t="s">
        <v>102</v>
      </c>
      <c r="R14" s="45" t="s">
        <v>102</v>
      </c>
      <c r="S14" s="45" t="s">
        <v>102</v>
      </c>
      <c r="T14" s="45" t="s">
        <v>102</v>
      </c>
      <c r="U14" s="45" t="s">
        <v>102</v>
      </c>
      <c r="V14" s="41" t="s">
        <v>102</v>
      </c>
      <c r="W14" s="45" t="s">
        <v>102</v>
      </c>
      <c r="X14" s="45" t="s">
        <v>102</v>
      </c>
      <c r="Y14" s="45" t="s">
        <v>102</v>
      </c>
      <c r="Z14" s="45" t="s">
        <v>102</v>
      </c>
      <c r="AA14" s="41" t="s">
        <v>102</v>
      </c>
      <c r="AB14" s="45" t="s">
        <v>102</v>
      </c>
      <c r="AC14" s="45" t="s">
        <v>102</v>
      </c>
      <c r="AD14" s="45" t="s">
        <v>102</v>
      </c>
      <c r="AE14" s="45" t="s">
        <v>102</v>
      </c>
      <c r="AF14" s="41" t="s">
        <v>102</v>
      </c>
      <c r="AG14" s="45" t="s">
        <v>102</v>
      </c>
      <c r="AH14" s="45" t="s">
        <v>102</v>
      </c>
      <c r="AI14" s="45" t="s">
        <v>102</v>
      </c>
      <c r="AJ14" s="45" t="s">
        <v>102</v>
      </c>
      <c r="AK14" s="41" t="s">
        <v>102</v>
      </c>
      <c r="AL14" s="45" t="s">
        <v>102</v>
      </c>
      <c r="AM14" s="45" t="s">
        <v>102</v>
      </c>
      <c r="AN14" s="45" t="s">
        <v>102</v>
      </c>
      <c r="AO14" s="45" t="s">
        <v>102</v>
      </c>
      <c r="AP14" s="41" t="s">
        <v>102</v>
      </c>
      <c r="AQ14" s="45" t="s">
        <v>102</v>
      </c>
      <c r="AR14" s="45" t="s">
        <v>102</v>
      </c>
      <c r="AS14" s="45" t="s">
        <v>102</v>
      </c>
      <c r="AT14" s="45" t="s">
        <v>102</v>
      </c>
      <c r="AU14" s="41" t="s">
        <v>102</v>
      </c>
      <c r="AV14" s="45" t="s">
        <v>102</v>
      </c>
      <c r="AW14" s="45" t="s">
        <v>102</v>
      </c>
      <c r="AX14" s="45" t="s">
        <v>102</v>
      </c>
      <c r="AY14" s="45" t="s">
        <v>102</v>
      </c>
      <c r="BA14" s="10" t="str">
        <f>CONCATENATE(NSi.TS[[#This Row],[KU.1]],(IF(A.LoE[[#This Row],[LE.1]]="-","-",IF(A.LoE[[#This Row],[LE.1]]&gt;=90,1,IF(A.LoE[[#This Row],[LE.1]]&gt;=80,2,IF(A.LoE[[#This Row],[LE.1]]&gt;=70,3,IF(A.LoE[[#This Row],[LE.1]]&gt;=1,4,5)))))))</f>
        <v>--</v>
      </c>
      <c r="BB14" s="46" t="str">
        <f>CONCATENATE(NSi.TS[[#This Row],[KU.2]],(IF(A.LoE[[#This Row],[LE.2]]="-","-",IF(A.LoE[[#This Row],[LE.2]]&gt;=90,1,IF(A.LoE[[#This Row],[LE.2]]&gt;=80,2,IF(A.LoE[[#This Row],[LE.2]]&gt;=70,3,IF(A.LoE[[#This Row],[LE.2]]&gt;=1,4,5)))))))</f>
        <v>--</v>
      </c>
      <c r="BC14" s="46" t="str">
        <f>CONCATENATE(NSi.TS[[#This Row],[KU.3]],(IF(A.LoE[[#This Row],[LE.3]]="-","-",IF(A.LoE[[#This Row],[LE.3]]&gt;=90,1,IF(A.LoE[[#This Row],[LE.3]]&gt;=80,2,IF(A.LoE[[#This Row],[LE.3]]&gt;=70,3,IF(A.LoE[[#This Row],[LE.3]]&gt;=1,4,5)))))))</f>
        <v>--</v>
      </c>
      <c r="BD14" s="46" t="str">
        <f>CONCATENATE(NSi.TS[[#This Row],[KU.4]],(IF(A.LoE[[#This Row],[LE.4]]="-","-",IF(A.LoE[[#This Row],[LE.4]]&gt;=90,1,IF(A.LoE[[#This Row],[LE.4]]&gt;=80,2,IF(A.LoE[[#This Row],[LE.4]]&gt;=70,3,IF(A.LoE[[#This Row],[LE.4]]&gt;=1,4,5)))))))</f>
        <v>--</v>
      </c>
      <c r="BE14" s="46" t="str">
        <f>CONCATENATE(NSi.TS[[#This Row],[KU.5]],(IF(A.LoE[[#This Row],[LE.5]]="-","-",IF(A.LoE[[#This Row],[LE.5]]&gt;=90,1,IF(A.LoE[[#This Row],[LE.5]]&gt;=80,2,IF(A.LoE[[#This Row],[LE.5]]&gt;=70,3,IF(A.LoE[[#This Row],[LE.5]]&gt;=1,4,5)))))))</f>
        <v>--</v>
      </c>
      <c r="BF14" s="46" t="str">
        <f>CONCATENATE(NSi.TS[[#This Row],[KU.6]],(IF(A.LoE[[#This Row],[LE.6]]="-","-",IF(A.LoE[[#This Row],[LE.6]]&gt;=90,1,IF(A.LoE[[#This Row],[LE.6]]&gt;=80,2,IF(A.LoE[[#This Row],[LE.6]]&gt;=70,3,IF(A.LoE[[#This Row],[LE.6]]&gt;=1,4,5)))))))</f>
        <v>--</v>
      </c>
      <c r="BG14" s="46" t="str">
        <f>CONCATENATE(NSi.TS[[#This Row],[KU.7]],(IF(A.LoE[[#This Row],[LE.7]]="-","-",IF(A.LoE[[#This Row],[LE.7]]&gt;=90,1,IF(A.LoE[[#This Row],[LE.7]]&gt;=80,2,IF(A.LoE[[#This Row],[LE.7]]&gt;=70,3,IF(A.LoE[[#This Row],[LE.7]]&gt;=1,4,5)))))))</f>
        <v>--</v>
      </c>
      <c r="BH14" s="46" t="str">
        <f>CONCATENATE(NSi.TS[[#This Row],[KU.8]],(IF(A.LoE[[#This Row],[LE.8]]="-","-",IF(A.LoE[[#This Row],[LE.8]]&gt;=90,1,IF(A.LoE[[#This Row],[LE.8]]&gt;=80,2,IF(A.LoE[[#This Row],[LE.8]]&gt;=70,3,IF(A.LoE[[#This Row],[LE.8]]&gt;=1,4,5)))))))</f>
        <v>--</v>
      </c>
      <c r="BI14" s="38" t="str">
        <f>CONCATENATE(NSi.TS[[#This Row],[KU.9]],(IF(A.LoE[[#This Row],[LE.9]]="-","-",IF(A.LoE[[#This Row],[LE.9]]&gt;=90,1,IF(A.LoE[[#This Row],[LE.9]]&gt;=80,2,IF(A.LoE[[#This Row],[LE.9]]&gt;=70,3,IF(A.LoE[[#This Row],[LE.9]]&gt;=1,4,5)))))))</f>
        <v>--</v>
      </c>
      <c r="BK14" s="35" t="str">
        <f>IFERROR(ROUND(AVERAGE(Con.Sk[[#This Row],[TJ.1]:[Pro-A.1]]),0),"-")</f>
        <v>-</v>
      </c>
      <c r="BL14" s="24" t="str">
        <f>IFERROR(ROUND(AVERAGE(Con.Sk[[#This Row],[TJ.2]:[Pro-A.2]]),0),"-")</f>
        <v>-</v>
      </c>
      <c r="BM14" s="24" t="str">
        <f>IFERROR(ROUND(AVERAGE(Con.Sk[[#This Row],[TJ.3]:[Pro-A.3]]),0),"-")</f>
        <v>-</v>
      </c>
      <c r="BN14" s="24" t="str">
        <f>IFERROR(ROUND(AVERAGE(Con.Sk[[#This Row],[TJ.4]:[Pro-A.4]]),0),"-")</f>
        <v>-</v>
      </c>
      <c r="BO14" s="24" t="str">
        <f>IFERROR(ROUND(AVERAGE(Con.Sk[[#This Row],[TJ.5]:[Pro-A.5]]),0),"-")</f>
        <v>-</v>
      </c>
      <c r="BP14" s="24" t="str">
        <f>IFERROR(ROUND(AVERAGE(Con.Sk[[#This Row],[TJ.6]:[Pro-A.6]]),0),"-")</f>
        <v>-</v>
      </c>
      <c r="BQ14" s="24" t="str">
        <f>IFERROR(ROUND(AVERAGE(Con.Sk[[#This Row],[TJ.7]:[Pro-A.7]]),0),"-")</f>
        <v>-</v>
      </c>
      <c r="BR14" s="24" t="str">
        <f>IFERROR(ROUND(AVERAGE(Con.Sk[[#This Row],[TJ.8]:[Pro-A.8]]),0),"-")</f>
        <v>-</v>
      </c>
      <c r="BS14" s="25" t="str">
        <f>IFERROR(ROUND(AVERAGE(Con.Sk[[#This Row],[TJ.9]:[Pro-A.9]]),0),"-")</f>
        <v>-</v>
      </c>
      <c r="BU14" s="47" t="str">
        <f>IFERROR(ROUND(AVERAGE(Con.Sk[[#This Row],[KU.1]],Con.Sk[[#This Row],[KU.2]],Con.Sk[[#This Row],[KU.3]],Con.Sk[[#This Row],[KU.4]],Con.Sk[[#This Row],[KU.5]],Con.Sk[[#This Row],[KU.6]],Con.Sk[[#This Row],[KU.7]],Con.Sk[[#This Row],[KU.8]],Con.Sk[[#This Row],[KU.9]]),0),"")</f>
        <v/>
      </c>
      <c r="BV14" s="48" t="str">
        <f>IFERROR(ROUND(AVERAGE(Con.Sk[[#This Row],[TJ.1]:[Pro-A.1]],Con.Sk[[#This Row],[TJ.2]:[Pro-A.2]],Con.Sk[[#This Row],[TJ.3]:[Pro-A.3]],Con.Sk[[#This Row],[TJ.4]:[Pro-A.4]],Con.Sk[[#This Row],[TJ.5]:[Pro-A.5]],Con.Sk[[#This Row],[TJ.6]:[Pro-A.6]],Con.Sk[[#This Row],[TJ.7]:[Pro-A.7]],Con.Sk[[#This Row],[TJ.8]:[Pro-A.8]],Con.Sk[[#This Row],[TJ.9]:[Pro-A.9]]),0),"")</f>
        <v/>
      </c>
      <c r="BW14" s="3"/>
      <c r="BX14" s="73" t="str">
        <f>IF(NSi.TS[[#This Row],[KU.1]]="A",100,IF(NSi.TS[[#This Row],[KU.1]]="B",89,IF(NSi.TS[[#This Row],[KU.1]]="C",79,IF(NSi.TS[[#This Row],[KU.1]]="D",69,IF(NSi.TS[[#This Row],[KU.1]]="E",0,"-")))))</f>
        <v>-</v>
      </c>
      <c r="BY14" s="73" t="str">
        <f>IF(NSi.TS[[#This Row],[TJ.1]]=1,100,IF(NSi.TS[[#This Row],[TJ.1]]=2,89,IF(NSi.TS[[#This Row],[TJ.1]]=3,79,IF(NSi.TS[[#This Row],[TJ.1]]=4,69,IF(NSi.TS[[#This Row],[TJ.1]]=5,0,"-")))))</f>
        <v>-</v>
      </c>
      <c r="BZ14" s="73" t="str">
        <f>IF(NSi.TS[[#This Row],[Ker.1]]=1,100,IF(NSi.TS[[#This Row],[Ker.1]]=2,89,IF(NSi.TS[[#This Row],[Ker.1]]=3,79,IF(NSi.TS[[#This Row],[Ker.1]]=4,69,IF(NSi.TS[[#This Row],[Ker.1]]=5,0,"-")))))</f>
        <v>-</v>
      </c>
      <c r="CA14" s="73" t="str">
        <f>IF(NSi.TS[[#This Row],[Ped.1]]=1,100,IF(NSi.TS[[#This Row],[Ped.1]]=2,89,IF(NSi.TS[[#This Row],[Ped.1]]=3,79,IF(NSi.TS[[#This Row],[Ped.1]]=4,69,IF(NSi.TS[[#This Row],[Ped.1]]=5,0,"-")))))</f>
        <v>-</v>
      </c>
      <c r="CB14" s="73" t="str">
        <f>IF(NSi.TS[[#This Row],[Pro-A.1]]=1,100,IF(NSi.TS[[#This Row],[Pro-A.1]]=2,89,IF(NSi.TS[[#This Row],[Pro-A.1]]=3,79,IF(NSi.TS[[#This Row],[Pro-A.1]]=4,69,IF(NSi.TS[[#This Row],[Pro-A.1]]=5,0,"-")))))</f>
        <v>-</v>
      </c>
      <c r="CC14" s="73" t="str">
        <f>IF(NSi.TS[[#This Row],[KU.2]]="A",100,IF(NSi.TS[[#This Row],[KU.2]]="B",89,IF(NSi.TS[[#This Row],[KU.2]]="C",79,IF(NSi.TS[[#This Row],[KU.2]]="D",69,IF(NSi.TS[[#This Row],[KU.2]]="E",0,"-")))))</f>
        <v>-</v>
      </c>
      <c r="CD14" s="73" t="str">
        <f>IF(NSi.TS[[#This Row],[TJ.2]]=1,100,IF(NSi.TS[[#This Row],[TJ.2]]=2,89,IF(NSi.TS[[#This Row],[TJ.2]]=3,79,IF(NSi.TS[[#This Row],[TJ.2]]=4,69,IF(NSi.TS[[#This Row],[TJ.2]]=5,0,"-")))))</f>
        <v>-</v>
      </c>
      <c r="CE14" s="73" t="str">
        <f>IF(NSi.TS[[#This Row],[Ker.2]]=1,100,IF(NSi.TS[[#This Row],[Ker.2]]=2,89,IF(NSi.TS[[#This Row],[Ker.2]]=3,79,IF(NSi.TS[[#This Row],[Ker.2]]=4,69,IF(NSi.TS[[#This Row],[Ker.2]]=5,0,"-")))))</f>
        <v>-</v>
      </c>
      <c r="CF14" s="73" t="str">
        <f>IF(NSi.TS[[#This Row],[Ped.2]]=1,100,IF(NSi.TS[[#This Row],[Ped.2]]=2,89,IF(NSi.TS[[#This Row],[Ped.2]]=3,79,IF(NSi.TS[[#This Row],[Ped.2]]=4,69,IF(NSi.TS[[#This Row],[Ped.2]]=5,0,"-")))))</f>
        <v>-</v>
      </c>
      <c r="CG14" s="73" t="str">
        <f>IF(NSi.TS[[#This Row],[Pro-A.2]]=1,100,IF(NSi.TS[[#This Row],[Pro-A.2]]=2,89,IF(NSi.TS[[#This Row],[Pro-A.2]]=3,79,IF(NSi.TS[[#This Row],[Pro-A.2]]=4,69,IF(NSi.TS[[#This Row],[Pro-A.2]]=5,0,"-")))))</f>
        <v>-</v>
      </c>
      <c r="CH14" s="74" t="str">
        <f>IF(NSi.TS[[#This Row],[KU.3]]="A",100,IF(NSi.TS[[#This Row],[KU.3]]="B",89,IF(NSi.TS[[#This Row],[KU.3]]="C",79,IF(NSi.TS[[#This Row],[KU.3]]="D",69,IF(NSi.TS[[#This Row],[KU.3]]="E",0,"-")))))</f>
        <v>-</v>
      </c>
      <c r="CI14" s="73" t="str">
        <f>IF(NSi.TS[[#This Row],[TJ.3]]=1,100,IF(NSi.TS[[#This Row],[TJ.3]]=2,89,IF(NSi.TS[[#This Row],[TJ.3]]=3,79,IF(NSi.TS[[#This Row],[TJ.3]]=4,69,IF(NSi.TS[[#This Row],[TJ.3]]=5,0,"-")))))</f>
        <v>-</v>
      </c>
      <c r="CJ14" s="73" t="str">
        <f>IF(NSi.TS[[#This Row],[Ker.3]]=1,100,IF(NSi.TS[[#This Row],[Ker.3]]=2,89,IF(NSi.TS[[#This Row],[Ker.3]]=3,79,IF(NSi.TS[[#This Row],[Ker.3]]=4,69,IF(NSi.TS[[#This Row],[Ker.3]]=5,0,"-")))))</f>
        <v>-</v>
      </c>
      <c r="CK14" s="73" t="str">
        <f>IF(NSi.TS[[#This Row],[Ped.3]]=1,100,IF(NSi.TS[[#This Row],[Ped.3]]=2,89,IF(NSi.TS[[#This Row],[Ped.3]]=3,79,IF(NSi.TS[[#This Row],[Ped.3]]=4,69,IF(NSi.TS[[#This Row],[Ped.3]]=5,0,"-")))))</f>
        <v>-</v>
      </c>
      <c r="CL14" s="73" t="str">
        <f>IF(NSi.TS[[#This Row],[Pro-A.3]]=1,100,IF(NSi.TS[[#This Row],[Pro-A.3]]=2,89,IF(NSi.TS[[#This Row],[Pro-A.3]]=3,79,IF(NSi.TS[[#This Row],[Pro-A.3]]=4,69,IF(NSi.TS[[#This Row],[Pro-A.3]]=5,0,"-")))))</f>
        <v>-</v>
      </c>
      <c r="CM14" s="74" t="str">
        <f>IF(NSi.TS[[#This Row],[KU.4]]="A",100,IF(NSi.TS[[#This Row],[KU.4]]="B",89,IF(NSi.TS[[#This Row],[KU.4]]="C",79,IF(NSi.TS[[#This Row],[KU.4]]="D",69,IF(NSi.TS[[#This Row],[KU.4]]="E",0,"-")))))</f>
        <v>-</v>
      </c>
      <c r="CN14" s="73" t="str">
        <f>IF(NSi.TS[[#This Row],[TJ.4]]=1,100,IF(NSi.TS[[#This Row],[TJ.4]]=2,89,IF(NSi.TS[[#This Row],[TJ.4]]=3,79,IF(NSi.TS[[#This Row],[TJ.4]]=4,69,IF(NSi.TS[[#This Row],[TJ.4]]=5,0,"-")))))</f>
        <v>-</v>
      </c>
      <c r="CO14" s="73" t="str">
        <f>IF(NSi.TS[[#This Row],[Ker.4]]=1,100,IF(NSi.TS[[#This Row],[Ker.4]]=2,89,IF(NSi.TS[[#This Row],[Ker.4]]=3,79,IF(NSi.TS[[#This Row],[Ker.4]]=4,69,IF(NSi.TS[[#This Row],[Ker.4]]=5,0,"-")))))</f>
        <v>-</v>
      </c>
      <c r="CP14" s="73" t="str">
        <f>IF(NSi.TS[[#This Row],[Ped.4]]=1,100,IF(NSi.TS[[#This Row],[Ped.4]]=2,89,IF(NSi.TS[[#This Row],[Ped.4]]=3,79,IF(NSi.TS[[#This Row],[Ped.4]]=4,69,IF(NSi.TS[[#This Row],[Ped.4]]=5,0,"-")))))</f>
        <v>-</v>
      </c>
      <c r="CQ14" s="73" t="str">
        <f>IF(NSi.TS[[#This Row],[Pro-A.4]]=1,100,IF(NSi.TS[[#This Row],[Pro-A.4]]=2,89,IF(NSi.TS[[#This Row],[Pro-A.4]]=3,79,IF(NSi.TS[[#This Row],[Pro-A.4]]=4,69,IF(NSi.TS[[#This Row],[Pro-A.4]]=5,0,"-")))))</f>
        <v>-</v>
      </c>
      <c r="CR14" s="74" t="str">
        <f>IF(NSi.TS[[#This Row],[KU.5]]="A",100,IF(NSi.TS[[#This Row],[KU.5]]="B",89,IF(NSi.TS[[#This Row],[KU.5]]="C",79,IF(NSi.TS[[#This Row],[KU.5]]="D",69,IF(NSi.TS[[#This Row],[KU.5]]="E",0,"-")))))</f>
        <v>-</v>
      </c>
      <c r="CS14" s="73" t="str">
        <f>IF(NSi.TS[[#This Row],[TJ.5]]=1,100,IF(NSi.TS[[#This Row],[TJ.5]]=2,89,IF(NSi.TS[[#This Row],[TJ.5]]=3,79,IF(NSi.TS[[#This Row],[TJ.5]]=4,69,IF(NSi.TS[[#This Row],[TJ.5]]=5,0,"-")))))</f>
        <v>-</v>
      </c>
      <c r="CT14" s="73" t="str">
        <f>IF(NSi.TS[[#This Row],[Ker.5]]=1,100,IF(NSi.TS[[#This Row],[Ker.5]]=2,89,IF(NSi.TS[[#This Row],[Ker.5]]=3,79,IF(NSi.TS[[#This Row],[Ker.5]]=4,69,IF(NSi.TS[[#This Row],[Ker.5]]=5,0,"-")))))</f>
        <v>-</v>
      </c>
      <c r="CU14" s="73" t="str">
        <f>IF(NSi.TS[[#This Row],[Ped.5]]=1,100,IF(NSi.TS[[#This Row],[Ped.5]]=2,89,IF(NSi.TS[[#This Row],[Ped.5]]=3,79,IF(NSi.TS[[#This Row],[Ped.5]]=4,69,IF(NSi.TS[[#This Row],[Ped.5]]=5,0,"-")))))</f>
        <v>-</v>
      </c>
      <c r="CV14" s="73" t="str">
        <f>IF(NSi.TS[[#This Row],[Pro-A.5]]=1,100,IF(NSi.TS[[#This Row],[Pro-A.5]]=2,89,IF(NSi.TS[[#This Row],[Pro-A.5]]=3,79,IF(NSi.TS[[#This Row],[Pro-A.5]]=4,69,IF(NSi.TS[[#This Row],[Pro-A.5]]=5,0,"-")))))</f>
        <v>-</v>
      </c>
      <c r="CW14" s="74" t="str">
        <f>IF(NSi.TS[[#This Row],[KU.6]]="A",100,IF(NSi.TS[[#This Row],[KU.6]]="B",89,IF(NSi.TS[[#This Row],[KU.6]]="C",79,IF(NSi.TS[[#This Row],[KU.6]]="D",69,IF(NSi.TS[[#This Row],[KU.6]]="E",0,"-")))))</f>
        <v>-</v>
      </c>
      <c r="CX14" s="73" t="str">
        <f>IF(NSi.TS[[#This Row],[TJ.6]]=1,100,IF(NSi.TS[[#This Row],[TJ.6]]=2,89,IF(NSi.TS[[#This Row],[TJ.6]]=3,79,IF(NSi.TS[[#This Row],[TJ.6]]=4,69,IF(NSi.TS[[#This Row],[TJ.6]]=5,0,"-")))))</f>
        <v>-</v>
      </c>
      <c r="CY14" s="73" t="str">
        <f>IF(NSi.TS[[#This Row],[Ker.6]]=1,100,IF(NSi.TS[[#This Row],[Ker.6]]=2,89,IF(NSi.TS[[#This Row],[Ker.6]]=3,79,IF(NSi.TS[[#This Row],[Ker.6]]=4,69,IF(NSi.TS[[#This Row],[Ker.6]]=5,0,"-")))))</f>
        <v>-</v>
      </c>
      <c r="CZ14" s="73" t="str">
        <f>IF(NSi.TS[[#This Row],[Ped.6]]=1,100,IF(NSi.TS[[#This Row],[Ped.6]]=2,89,IF(NSi.TS[[#This Row],[Ped.6]]=3,79,IF(NSi.TS[[#This Row],[Ped.6]]=4,69,IF(NSi.TS[[#This Row],[Ped.6]]=5,0,"-")))))</f>
        <v>-</v>
      </c>
      <c r="DA14" s="73" t="str">
        <f>IF(NSi.TS[[#This Row],[Pro-A.6]]=1,100,IF(NSi.TS[[#This Row],[Pro-A.6]]=2,89,IF(NSi.TS[[#This Row],[Pro-A.6]]=3,79,IF(NSi.TS[[#This Row],[Pro-A.6]]=4,69,IF(NSi.TS[[#This Row],[Pro-A.6]]=5,0,"-")))))</f>
        <v>-</v>
      </c>
      <c r="DB14" s="74" t="str">
        <f>IF(NSi.TS[[#This Row],[KU.7]]="A",100,IF(NSi.TS[[#This Row],[KU.7]]="B",89,IF(NSi.TS[[#This Row],[KU.7]]="C",79,IF(NSi.TS[[#This Row],[KU.7]]="D",69,IF(NSi.TS[[#This Row],[KU.7]]="E",0,"-")))))</f>
        <v>-</v>
      </c>
      <c r="DC14" s="73" t="str">
        <f>IF(NSi.TS[[#This Row],[TJ.7]]=1,100,IF(NSi.TS[[#This Row],[TJ.7]]=2,89,IF(NSi.TS[[#This Row],[TJ.7]]=3,79,IF(NSi.TS[[#This Row],[TJ.7]]=4,69,IF(NSi.TS[[#This Row],[TJ.7]]=5,0,"-")))))</f>
        <v>-</v>
      </c>
      <c r="DD14" s="73" t="str">
        <f>IF(NSi.TS[[#This Row],[Ker.7]]=1,100,IF(NSi.TS[[#This Row],[Ker.7]]=2,89,IF(NSi.TS[[#This Row],[Ker.7]]=3,79,IF(NSi.TS[[#This Row],[Ker.7]]=4,69,IF(NSi.TS[[#This Row],[Ker.7]]=5,0,"-")))))</f>
        <v>-</v>
      </c>
      <c r="DE14" s="73" t="str">
        <f>IF(NSi.TS[[#This Row],[Ped.7]]=1,100,IF(NSi.TS[[#This Row],[Ped.7]]=2,89,IF(NSi.TS[[#This Row],[Ped.7]]=3,79,IF(NSi.TS[[#This Row],[Ped.7]]=4,69,IF(NSi.TS[[#This Row],[Ped.7]]=5,0,"-")))))</f>
        <v>-</v>
      </c>
      <c r="DF14" s="73" t="str">
        <f>IF(NSi.TS[[#This Row],[Pro-A.7]]=1,100,IF(NSi.TS[[#This Row],[Pro-A.7]]=2,89,IF(NSi.TS[[#This Row],[Pro-A.7]]=3,79,IF(NSi.TS[[#This Row],[Pro-A.7]]=4,69,IF(NSi.TS[[#This Row],[Pro-A.7]]=5,0,"-")))))</f>
        <v>-</v>
      </c>
      <c r="DG14" s="74" t="str">
        <f>IF(NSi.TS[[#This Row],[KU.8]]="A",100,IF(NSi.TS[[#This Row],[KU.8]]="B",89,IF(NSi.TS[[#This Row],[KU.8]]="C",79,IF(NSi.TS[[#This Row],[KU.8]]="D",69,IF(NSi.TS[[#This Row],[KU.8]]="E",0,"-")))))</f>
        <v>-</v>
      </c>
      <c r="DH14" s="73" t="str">
        <f>IF(NSi.TS[[#This Row],[TJ.8]]=1,100,IF(NSi.TS[[#This Row],[TJ.8]]=2,89,IF(NSi.TS[[#This Row],[TJ.8]]=3,79,IF(NSi.TS[[#This Row],[TJ.8]]=4,69,IF(NSi.TS[[#This Row],[TJ.8]]=5,0,"-")))))</f>
        <v>-</v>
      </c>
      <c r="DI14" s="73" t="str">
        <f>IF(NSi.TS[[#This Row],[Ker.8]]=1,100,IF(NSi.TS[[#This Row],[Ker.8]]=2,89,IF(NSi.TS[[#This Row],[Ker.8]]=3,79,IF(NSi.TS[[#This Row],[Ker.8]]=4,69,IF(NSi.TS[[#This Row],[Ker.8]]=5,0,"-")))))</f>
        <v>-</v>
      </c>
      <c r="DJ14" s="73" t="str">
        <f>IF(NSi.TS[[#This Row],[Ped.8]]=1,100,IF(NSi.TS[[#This Row],[Ped.8]]=2,89,IF(NSi.TS[[#This Row],[Ped.8]]=3,79,IF(NSi.TS[[#This Row],[Ped.8]]=4,69,IF(NSi.TS[[#This Row],[Ped.8]]=5,0,"-")))))</f>
        <v>-</v>
      </c>
      <c r="DK14" s="73" t="str">
        <f>IF(NSi.TS[[#This Row],[Pro-A.8]]=1,100,IF(NSi.TS[[#This Row],[Pro-A.8]]=2,89,IF(NSi.TS[[#This Row],[Pro-A.8]]=3,79,IF(NSi.TS[[#This Row],[Pro-A.8]]=4,69,IF(NSi.TS[[#This Row],[Pro-A.8]]=5,0,"-")))))</f>
        <v>-</v>
      </c>
      <c r="DL14" s="74" t="str">
        <f>IF(NSi.TS[[#This Row],[KU.9]]="A",100,IF(NSi.TS[[#This Row],[KU.9]]="B",89,IF(NSi.TS[[#This Row],[KU.9]]="C",79,IF(NSi.TS[[#This Row],[KU.9]]="D",69,IF(NSi.TS[[#This Row],[KU.9]]="E",0,"-")))))</f>
        <v>-</v>
      </c>
      <c r="DM14" s="73" t="str">
        <f>IF(NSi.TS[[#This Row],[TJ.9]]=1,100,IF(NSi.TS[[#This Row],[TJ.9]]=2,89,IF(NSi.TS[[#This Row],[TJ.9]]=3,79,IF(NSi.TS[[#This Row],[TJ.9]]=4,69,IF(NSi.TS[[#This Row],[TJ.9]]=5,0,"-")))))</f>
        <v>-</v>
      </c>
      <c r="DN14" s="73" t="str">
        <f>IF(NSi.TS[[#This Row],[Ker.9]]=1,100,IF(NSi.TS[[#This Row],[Ker.9]]=2,89,IF(NSi.TS[[#This Row],[Ker.9]]=3,79,IF(NSi.TS[[#This Row],[Ker.9]]=4,69,IF(NSi.TS[[#This Row],[Ker.9]]=5,0,"-")))))</f>
        <v>-</v>
      </c>
      <c r="DO14" s="73" t="str">
        <f>IF(NSi.TS[[#This Row],[Ped.9]]=1,100,IF(NSi.TS[[#This Row],[Ped.9]]=2,89,IF(NSi.TS[[#This Row],[Ped.9]]=3,79,IF(NSi.TS[[#This Row],[Ped.9]]=4,69,IF(NSi.TS[[#This Row],[Ped.9]]=5,0,"-")))))</f>
        <v>-</v>
      </c>
      <c r="DP14" s="73" t="str">
        <f>IF(NSi.TS[[#This Row],[Pro-A.9]]=1,100,IF(NSi.TS[[#This Row],[Pro-A.9]]=2,89,IF(NSi.TS[[#This Row],[Pro-A.9]]=3,79,IF(NSi.TS[[#This Row],[Pro-A.9]]=4,69,IF(NSi.TS[[#This Row],[Pro-A.9]]=5,0,"-")))))</f>
        <v>-</v>
      </c>
    </row>
    <row r="15" spans="1:120" ht="50.1" customHeight="1" x14ac:dyDescent="0.3">
      <c r="A15" s="85"/>
      <c r="B15" s="86"/>
      <c r="C15" s="87"/>
      <c r="D15" s="87"/>
      <c r="E15" s="87"/>
      <c r="F15" s="44" t="str">
        <f>IFERROR(ROUND(AVERAGE(CSCR[#This Row]),0),"")</f>
        <v/>
      </c>
      <c r="G15" s="41" t="s">
        <v>102</v>
      </c>
      <c r="H15" s="45" t="s">
        <v>102</v>
      </c>
      <c r="I15" s="45" t="s">
        <v>102</v>
      </c>
      <c r="J15" s="45" t="s">
        <v>102</v>
      </c>
      <c r="K15" s="45" t="s">
        <v>102</v>
      </c>
      <c r="L15" s="41" t="s">
        <v>102</v>
      </c>
      <c r="M15" s="45" t="s">
        <v>102</v>
      </c>
      <c r="N15" s="45" t="s">
        <v>102</v>
      </c>
      <c r="O15" s="45" t="s">
        <v>102</v>
      </c>
      <c r="P15" s="45" t="s">
        <v>102</v>
      </c>
      <c r="Q15" s="41" t="s">
        <v>102</v>
      </c>
      <c r="R15" s="45" t="s">
        <v>102</v>
      </c>
      <c r="S15" s="45" t="s">
        <v>102</v>
      </c>
      <c r="T15" s="45" t="s">
        <v>102</v>
      </c>
      <c r="U15" s="45" t="s">
        <v>102</v>
      </c>
      <c r="V15" s="41" t="s">
        <v>102</v>
      </c>
      <c r="W15" s="45" t="s">
        <v>102</v>
      </c>
      <c r="X15" s="45" t="s">
        <v>102</v>
      </c>
      <c r="Y15" s="45" t="s">
        <v>102</v>
      </c>
      <c r="Z15" s="45" t="s">
        <v>102</v>
      </c>
      <c r="AA15" s="41" t="s">
        <v>102</v>
      </c>
      <c r="AB15" s="45" t="s">
        <v>102</v>
      </c>
      <c r="AC15" s="45" t="s">
        <v>102</v>
      </c>
      <c r="AD15" s="45" t="s">
        <v>102</v>
      </c>
      <c r="AE15" s="45" t="s">
        <v>102</v>
      </c>
      <c r="AF15" s="41" t="s">
        <v>102</v>
      </c>
      <c r="AG15" s="45" t="s">
        <v>102</v>
      </c>
      <c r="AH15" s="45" t="s">
        <v>102</v>
      </c>
      <c r="AI15" s="45" t="s">
        <v>102</v>
      </c>
      <c r="AJ15" s="45" t="s">
        <v>102</v>
      </c>
      <c r="AK15" s="41" t="s">
        <v>102</v>
      </c>
      <c r="AL15" s="45" t="s">
        <v>102</v>
      </c>
      <c r="AM15" s="45" t="s">
        <v>102</v>
      </c>
      <c r="AN15" s="45" t="s">
        <v>102</v>
      </c>
      <c r="AO15" s="45" t="s">
        <v>102</v>
      </c>
      <c r="AP15" s="41" t="s">
        <v>102</v>
      </c>
      <c r="AQ15" s="45" t="s">
        <v>102</v>
      </c>
      <c r="AR15" s="45" t="s">
        <v>102</v>
      </c>
      <c r="AS15" s="45" t="s">
        <v>102</v>
      </c>
      <c r="AT15" s="45" t="s">
        <v>102</v>
      </c>
      <c r="AU15" s="41" t="s">
        <v>102</v>
      </c>
      <c r="AV15" s="45" t="s">
        <v>102</v>
      </c>
      <c r="AW15" s="45" t="s">
        <v>102</v>
      </c>
      <c r="AX15" s="45" t="s">
        <v>102</v>
      </c>
      <c r="AY15" s="45" t="s">
        <v>102</v>
      </c>
      <c r="BA15" s="10" t="str">
        <f>CONCATENATE(NSi.TS[[#This Row],[KU.1]],(IF(A.LoE[[#This Row],[LE.1]]="-","-",IF(A.LoE[[#This Row],[LE.1]]&gt;=90,1,IF(A.LoE[[#This Row],[LE.1]]&gt;=80,2,IF(A.LoE[[#This Row],[LE.1]]&gt;=70,3,IF(A.LoE[[#This Row],[LE.1]]&gt;=1,4,5)))))))</f>
        <v>--</v>
      </c>
      <c r="BB15" s="46" t="str">
        <f>CONCATENATE(NSi.TS[[#This Row],[KU.2]],(IF(A.LoE[[#This Row],[LE.2]]="-","-",IF(A.LoE[[#This Row],[LE.2]]&gt;=90,1,IF(A.LoE[[#This Row],[LE.2]]&gt;=80,2,IF(A.LoE[[#This Row],[LE.2]]&gt;=70,3,IF(A.LoE[[#This Row],[LE.2]]&gt;=1,4,5)))))))</f>
        <v>--</v>
      </c>
      <c r="BC15" s="46" t="str">
        <f>CONCATENATE(NSi.TS[[#This Row],[KU.3]],(IF(A.LoE[[#This Row],[LE.3]]="-","-",IF(A.LoE[[#This Row],[LE.3]]&gt;=90,1,IF(A.LoE[[#This Row],[LE.3]]&gt;=80,2,IF(A.LoE[[#This Row],[LE.3]]&gt;=70,3,IF(A.LoE[[#This Row],[LE.3]]&gt;=1,4,5)))))))</f>
        <v>--</v>
      </c>
      <c r="BD15" s="46" t="str">
        <f>CONCATENATE(NSi.TS[[#This Row],[KU.4]],(IF(A.LoE[[#This Row],[LE.4]]="-","-",IF(A.LoE[[#This Row],[LE.4]]&gt;=90,1,IF(A.LoE[[#This Row],[LE.4]]&gt;=80,2,IF(A.LoE[[#This Row],[LE.4]]&gt;=70,3,IF(A.LoE[[#This Row],[LE.4]]&gt;=1,4,5)))))))</f>
        <v>--</v>
      </c>
      <c r="BE15" s="46" t="str">
        <f>CONCATENATE(NSi.TS[[#This Row],[KU.5]],(IF(A.LoE[[#This Row],[LE.5]]="-","-",IF(A.LoE[[#This Row],[LE.5]]&gt;=90,1,IF(A.LoE[[#This Row],[LE.5]]&gt;=80,2,IF(A.LoE[[#This Row],[LE.5]]&gt;=70,3,IF(A.LoE[[#This Row],[LE.5]]&gt;=1,4,5)))))))</f>
        <v>--</v>
      </c>
      <c r="BF15" s="46" t="str">
        <f>CONCATENATE(NSi.TS[[#This Row],[KU.6]],(IF(A.LoE[[#This Row],[LE.6]]="-","-",IF(A.LoE[[#This Row],[LE.6]]&gt;=90,1,IF(A.LoE[[#This Row],[LE.6]]&gt;=80,2,IF(A.LoE[[#This Row],[LE.6]]&gt;=70,3,IF(A.LoE[[#This Row],[LE.6]]&gt;=1,4,5)))))))</f>
        <v>--</v>
      </c>
      <c r="BG15" s="46" t="str">
        <f>CONCATENATE(NSi.TS[[#This Row],[KU.7]],(IF(A.LoE[[#This Row],[LE.7]]="-","-",IF(A.LoE[[#This Row],[LE.7]]&gt;=90,1,IF(A.LoE[[#This Row],[LE.7]]&gt;=80,2,IF(A.LoE[[#This Row],[LE.7]]&gt;=70,3,IF(A.LoE[[#This Row],[LE.7]]&gt;=1,4,5)))))))</f>
        <v>--</v>
      </c>
      <c r="BH15" s="46" t="str">
        <f>CONCATENATE(NSi.TS[[#This Row],[KU.8]],(IF(A.LoE[[#This Row],[LE.8]]="-","-",IF(A.LoE[[#This Row],[LE.8]]&gt;=90,1,IF(A.LoE[[#This Row],[LE.8]]&gt;=80,2,IF(A.LoE[[#This Row],[LE.8]]&gt;=70,3,IF(A.LoE[[#This Row],[LE.8]]&gt;=1,4,5)))))))</f>
        <v>--</v>
      </c>
      <c r="BI15" s="38" t="str">
        <f>CONCATENATE(NSi.TS[[#This Row],[KU.9]],(IF(A.LoE[[#This Row],[LE.9]]="-","-",IF(A.LoE[[#This Row],[LE.9]]&gt;=90,1,IF(A.LoE[[#This Row],[LE.9]]&gt;=80,2,IF(A.LoE[[#This Row],[LE.9]]&gt;=70,3,IF(A.LoE[[#This Row],[LE.9]]&gt;=1,4,5)))))))</f>
        <v>--</v>
      </c>
      <c r="BK15" s="35" t="str">
        <f>IFERROR(ROUND(AVERAGE(Con.Sk[[#This Row],[TJ.1]:[Pro-A.1]]),0),"-")</f>
        <v>-</v>
      </c>
      <c r="BL15" s="24" t="str">
        <f>IFERROR(ROUND(AVERAGE(Con.Sk[[#This Row],[TJ.2]:[Pro-A.2]]),0),"-")</f>
        <v>-</v>
      </c>
      <c r="BM15" s="24" t="str">
        <f>IFERROR(ROUND(AVERAGE(Con.Sk[[#This Row],[TJ.3]:[Pro-A.3]]),0),"-")</f>
        <v>-</v>
      </c>
      <c r="BN15" s="24" t="str">
        <f>IFERROR(ROUND(AVERAGE(Con.Sk[[#This Row],[TJ.4]:[Pro-A.4]]),0),"-")</f>
        <v>-</v>
      </c>
      <c r="BO15" s="24" t="str">
        <f>IFERROR(ROUND(AVERAGE(Con.Sk[[#This Row],[TJ.5]:[Pro-A.5]]),0),"-")</f>
        <v>-</v>
      </c>
      <c r="BP15" s="24" t="str">
        <f>IFERROR(ROUND(AVERAGE(Con.Sk[[#This Row],[TJ.6]:[Pro-A.6]]),0),"-")</f>
        <v>-</v>
      </c>
      <c r="BQ15" s="24" t="str">
        <f>IFERROR(ROUND(AVERAGE(Con.Sk[[#This Row],[TJ.7]:[Pro-A.7]]),0),"-")</f>
        <v>-</v>
      </c>
      <c r="BR15" s="24" t="str">
        <f>IFERROR(ROUND(AVERAGE(Con.Sk[[#This Row],[TJ.8]:[Pro-A.8]]),0),"-")</f>
        <v>-</v>
      </c>
      <c r="BS15" s="25" t="str">
        <f>IFERROR(ROUND(AVERAGE(Con.Sk[[#This Row],[TJ.9]:[Pro-A.9]]),0),"-")</f>
        <v>-</v>
      </c>
      <c r="BU15" s="47" t="str">
        <f>IFERROR(ROUND(AVERAGE(Con.Sk[[#This Row],[KU.1]],Con.Sk[[#This Row],[KU.2]],Con.Sk[[#This Row],[KU.3]],Con.Sk[[#This Row],[KU.4]],Con.Sk[[#This Row],[KU.5]],Con.Sk[[#This Row],[KU.6]],Con.Sk[[#This Row],[KU.7]],Con.Sk[[#This Row],[KU.8]],Con.Sk[[#This Row],[KU.9]]),0),"")</f>
        <v/>
      </c>
      <c r="BV15" s="48" t="str">
        <f>IFERROR(ROUND(AVERAGE(Con.Sk[[#This Row],[TJ.1]:[Pro-A.1]],Con.Sk[[#This Row],[TJ.2]:[Pro-A.2]],Con.Sk[[#This Row],[TJ.3]:[Pro-A.3]],Con.Sk[[#This Row],[TJ.4]:[Pro-A.4]],Con.Sk[[#This Row],[TJ.5]:[Pro-A.5]],Con.Sk[[#This Row],[TJ.6]:[Pro-A.6]],Con.Sk[[#This Row],[TJ.7]:[Pro-A.7]],Con.Sk[[#This Row],[TJ.8]:[Pro-A.8]],Con.Sk[[#This Row],[TJ.9]:[Pro-A.9]]),0),"")</f>
        <v/>
      </c>
      <c r="BW15" s="3"/>
      <c r="BX15" s="73" t="str">
        <f>IF(NSi.TS[[#This Row],[KU.1]]="A",100,IF(NSi.TS[[#This Row],[KU.1]]="B",89,IF(NSi.TS[[#This Row],[KU.1]]="C",79,IF(NSi.TS[[#This Row],[KU.1]]="D",69,IF(NSi.TS[[#This Row],[KU.1]]="E",0,"-")))))</f>
        <v>-</v>
      </c>
      <c r="BY15" s="73" t="str">
        <f>IF(NSi.TS[[#This Row],[TJ.1]]=1,100,IF(NSi.TS[[#This Row],[TJ.1]]=2,89,IF(NSi.TS[[#This Row],[TJ.1]]=3,79,IF(NSi.TS[[#This Row],[TJ.1]]=4,69,IF(NSi.TS[[#This Row],[TJ.1]]=5,0,"-")))))</f>
        <v>-</v>
      </c>
      <c r="BZ15" s="73" t="str">
        <f>IF(NSi.TS[[#This Row],[Ker.1]]=1,100,IF(NSi.TS[[#This Row],[Ker.1]]=2,89,IF(NSi.TS[[#This Row],[Ker.1]]=3,79,IF(NSi.TS[[#This Row],[Ker.1]]=4,69,IF(NSi.TS[[#This Row],[Ker.1]]=5,0,"-")))))</f>
        <v>-</v>
      </c>
      <c r="CA15" s="73" t="str">
        <f>IF(NSi.TS[[#This Row],[Ped.1]]=1,100,IF(NSi.TS[[#This Row],[Ped.1]]=2,89,IF(NSi.TS[[#This Row],[Ped.1]]=3,79,IF(NSi.TS[[#This Row],[Ped.1]]=4,69,IF(NSi.TS[[#This Row],[Ped.1]]=5,0,"-")))))</f>
        <v>-</v>
      </c>
      <c r="CB15" s="73" t="str">
        <f>IF(NSi.TS[[#This Row],[Pro-A.1]]=1,100,IF(NSi.TS[[#This Row],[Pro-A.1]]=2,89,IF(NSi.TS[[#This Row],[Pro-A.1]]=3,79,IF(NSi.TS[[#This Row],[Pro-A.1]]=4,69,IF(NSi.TS[[#This Row],[Pro-A.1]]=5,0,"-")))))</f>
        <v>-</v>
      </c>
      <c r="CC15" s="73" t="str">
        <f>IF(NSi.TS[[#This Row],[KU.2]]="A",100,IF(NSi.TS[[#This Row],[KU.2]]="B",89,IF(NSi.TS[[#This Row],[KU.2]]="C",79,IF(NSi.TS[[#This Row],[KU.2]]="D",69,IF(NSi.TS[[#This Row],[KU.2]]="E",0,"-")))))</f>
        <v>-</v>
      </c>
      <c r="CD15" s="73" t="str">
        <f>IF(NSi.TS[[#This Row],[TJ.2]]=1,100,IF(NSi.TS[[#This Row],[TJ.2]]=2,89,IF(NSi.TS[[#This Row],[TJ.2]]=3,79,IF(NSi.TS[[#This Row],[TJ.2]]=4,69,IF(NSi.TS[[#This Row],[TJ.2]]=5,0,"-")))))</f>
        <v>-</v>
      </c>
      <c r="CE15" s="73" t="str">
        <f>IF(NSi.TS[[#This Row],[Ker.2]]=1,100,IF(NSi.TS[[#This Row],[Ker.2]]=2,89,IF(NSi.TS[[#This Row],[Ker.2]]=3,79,IF(NSi.TS[[#This Row],[Ker.2]]=4,69,IF(NSi.TS[[#This Row],[Ker.2]]=5,0,"-")))))</f>
        <v>-</v>
      </c>
      <c r="CF15" s="73" t="str">
        <f>IF(NSi.TS[[#This Row],[Ped.2]]=1,100,IF(NSi.TS[[#This Row],[Ped.2]]=2,89,IF(NSi.TS[[#This Row],[Ped.2]]=3,79,IF(NSi.TS[[#This Row],[Ped.2]]=4,69,IF(NSi.TS[[#This Row],[Ped.2]]=5,0,"-")))))</f>
        <v>-</v>
      </c>
      <c r="CG15" s="73" t="str">
        <f>IF(NSi.TS[[#This Row],[Pro-A.2]]=1,100,IF(NSi.TS[[#This Row],[Pro-A.2]]=2,89,IF(NSi.TS[[#This Row],[Pro-A.2]]=3,79,IF(NSi.TS[[#This Row],[Pro-A.2]]=4,69,IF(NSi.TS[[#This Row],[Pro-A.2]]=5,0,"-")))))</f>
        <v>-</v>
      </c>
      <c r="CH15" s="74" t="str">
        <f>IF(NSi.TS[[#This Row],[KU.3]]="A",100,IF(NSi.TS[[#This Row],[KU.3]]="B",89,IF(NSi.TS[[#This Row],[KU.3]]="C",79,IF(NSi.TS[[#This Row],[KU.3]]="D",69,IF(NSi.TS[[#This Row],[KU.3]]="E",0,"-")))))</f>
        <v>-</v>
      </c>
      <c r="CI15" s="73" t="str">
        <f>IF(NSi.TS[[#This Row],[TJ.3]]=1,100,IF(NSi.TS[[#This Row],[TJ.3]]=2,89,IF(NSi.TS[[#This Row],[TJ.3]]=3,79,IF(NSi.TS[[#This Row],[TJ.3]]=4,69,IF(NSi.TS[[#This Row],[TJ.3]]=5,0,"-")))))</f>
        <v>-</v>
      </c>
      <c r="CJ15" s="73" t="str">
        <f>IF(NSi.TS[[#This Row],[Ker.3]]=1,100,IF(NSi.TS[[#This Row],[Ker.3]]=2,89,IF(NSi.TS[[#This Row],[Ker.3]]=3,79,IF(NSi.TS[[#This Row],[Ker.3]]=4,69,IF(NSi.TS[[#This Row],[Ker.3]]=5,0,"-")))))</f>
        <v>-</v>
      </c>
      <c r="CK15" s="73" t="str">
        <f>IF(NSi.TS[[#This Row],[Ped.3]]=1,100,IF(NSi.TS[[#This Row],[Ped.3]]=2,89,IF(NSi.TS[[#This Row],[Ped.3]]=3,79,IF(NSi.TS[[#This Row],[Ped.3]]=4,69,IF(NSi.TS[[#This Row],[Ped.3]]=5,0,"-")))))</f>
        <v>-</v>
      </c>
      <c r="CL15" s="73" t="str">
        <f>IF(NSi.TS[[#This Row],[Pro-A.3]]=1,100,IF(NSi.TS[[#This Row],[Pro-A.3]]=2,89,IF(NSi.TS[[#This Row],[Pro-A.3]]=3,79,IF(NSi.TS[[#This Row],[Pro-A.3]]=4,69,IF(NSi.TS[[#This Row],[Pro-A.3]]=5,0,"-")))))</f>
        <v>-</v>
      </c>
      <c r="CM15" s="74" t="str">
        <f>IF(NSi.TS[[#This Row],[KU.4]]="A",100,IF(NSi.TS[[#This Row],[KU.4]]="B",89,IF(NSi.TS[[#This Row],[KU.4]]="C",79,IF(NSi.TS[[#This Row],[KU.4]]="D",69,IF(NSi.TS[[#This Row],[KU.4]]="E",0,"-")))))</f>
        <v>-</v>
      </c>
      <c r="CN15" s="73" t="str">
        <f>IF(NSi.TS[[#This Row],[TJ.4]]=1,100,IF(NSi.TS[[#This Row],[TJ.4]]=2,89,IF(NSi.TS[[#This Row],[TJ.4]]=3,79,IF(NSi.TS[[#This Row],[TJ.4]]=4,69,IF(NSi.TS[[#This Row],[TJ.4]]=5,0,"-")))))</f>
        <v>-</v>
      </c>
      <c r="CO15" s="73" t="str">
        <f>IF(NSi.TS[[#This Row],[Ker.4]]=1,100,IF(NSi.TS[[#This Row],[Ker.4]]=2,89,IF(NSi.TS[[#This Row],[Ker.4]]=3,79,IF(NSi.TS[[#This Row],[Ker.4]]=4,69,IF(NSi.TS[[#This Row],[Ker.4]]=5,0,"-")))))</f>
        <v>-</v>
      </c>
      <c r="CP15" s="73" t="str">
        <f>IF(NSi.TS[[#This Row],[Ped.4]]=1,100,IF(NSi.TS[[#This Row],[Ped.4]]=2,89,IF(NSi.TS[[#This Row],[Ped.4]]=3,79,IF(NSi.TS[[#This Row],[Ped.4]]=4,69,IF(NSi.TS[[#This Row],[Ped.4]]=5,0,"-")))))</f>
        <v>-</v>
      </c>
      <c r="CQ15" s="73" t="str">
        <f>IF(NSi.TS[[#This Row],[Pro-A.4]]=1,100,IF(NSi.TS[[#This Row],[Pro-A.4]]=2,89,IF(NSi.TS[[#This Row],[Pro-A.4]]=3,79,IF(NSi.TS[[#This Row],[Pro-A.4]]=4,69,IF(NSi.TS[[#This Row],[Pro-A.4]]=5,0,"-")))))</f>
        <v>-</v>
      </c>
      <c r="CR15" s="74" t="str">
        <f>IF(NSi.TS[[#This Row],[KU.5]]="A",100,IF(NSi.TS[[#This Row],[KU.5]]="B",89,IF(NSi.TS[[#This Row],[KU.5]]="C",79,IF(NSi.TS[[#This Row],[KU.5]]="D",69,IF(NSi.TS[[#This Row],[KU.5]]="E",0,"-")))))</f>
        <v>-</v>
      </c>
      <c r="CS15" s="73" t="str">
        <f>IF(NSi.TS[[#This Row],[TJ.5]]=1,100,IF(NSi.TS[[#This Row],[TJ.5]]=2,89,IF(NSi.TS[[#This Row],[TJ.5]]=3,79,IF(NSi.TS[[#This Row],[TJ.5]]=4,69,IF(NSi.TS[[#This Row],[TJ.5]]=5,0,"-")))))</f>
        <v>-</v>
      </c>
      <c r="CT15" s="73" t="str">
        <f>IF(NSi.TS[[#This Row],[Ker.5]]=1,100,IF(NSi.TS[[#This Row],[Ker.5]]=2,89,IF(NSi.TS[[#This Row],[Ker.5]]=3,79,IF(NSi.TS[[#This Row],[Ker.5]]=4,69,IF(NSi.TS[[#This Row],[Ker.5]]=5,0,"-")))))</f>
        <v>-</v>
      </c>
      <c r="CU15" s="73" t="str">
        <f>IF(NSi.TS[[#This Row],[Ped.5]]=1,100,IF(NSi.TS[[#This Row],[Ped.5]]=2,89,IF(NSi.TS[[#This Row],[Ped.5]]=3,79,IF(NSi.TS[[#This Row],[Ped.5]]=4,69,IF(NSi.TS[[#This Row],[Ped.5]]=5,0,"-")))))</f>
        <v>-</v>
      </c>
      <c r="CV15" s="73" t="str">
        <f>IF(NSi.TS[[#This Row],[Pro-A.5]]=1,100,IF(NSi.TS[[#This Row],[Pro-A.5]]=2,89,IF(NSi.TS[[#This Row],[Pro-A.5]]=3,79,IF(NSi.TS[[#This Row],[Pro-A.5]]=4,69,IF(NSi.TS[[#This Row],[Pro-A.5]]=5,0,"-")))))</f>
        <v>-</v>
      </c>
      <c r="CW15" s="74" t="str">
        <f>IF(NSi.TS[[#This Row],[KU.6]]="A",100,IF(NSi.TS[[#This Row],[KU.6]]="B",89,IF(NSi.TS[[#This Row],[KU.6]]="C",79,IF(NSi.TS[[#This Row],[KU.6]]="D",69,IF(NSi.TS[[#This Row],[KU.6]]="E",0,"-")))))</f>
        <v>-</v>
      </c>
      <c r="CX15" s="73" t="str">
        <f>IF(NSi.TS[[#This Row],[TJ.6]]=1,100,IF(NSi.TS[[#This Row],[TJ.6]]=2,89,IF(NSi.TS[[#This Row],[TJ.6]]=3,79,IF(NSi.TS[[#This Row],[TJ.6]]=4,69,IF(NSi.TS[[#This Row],[TJ.6]]=5,0,"-")))))</f>
        <v>-</v>
      </c>
      <c r="CY15" s="73" t="str">
        <f>IF(NSi.TS[[#This Row],[Ker.6]]=1,100,IF(NSi.TS[[#This Row],[Ker.6]]=2,89,IF(NSi.TS[[#This Row],[Ker.6]]=3,79,IF(NSi.TS[[#This Row],[Ker.6]]=4,69,IF(NSi.TS[[#This Row],[Ker.6]]=5,0,"-")))))</f>
        <v>-</v>
      </c>
      <c r="CZ15" s="73" t="str">
        <f>IF(NSi.TS[[#This Row],[Ped.6]]=1,100,IF(NSi.TS[[#This Row],[Ped.6]]=2,89,IF(NSi.TS[[#This Row],[Ped.6]]=3,79,IF(NSi.TS[[#This Row],[Ped.6]]=4,69,IF(NSi.TS[[#This Row],[Ped.6]]=5,0,"-")))))</f>
        <v>-</v>
      </c>
      <c r="DA15" s="73" t="str">
        <f>IF(NSi.TS[[#This Row],[Pro-A.6]]=1,100,IF(NSi.TS[[#This Row],[Pro-A.6]]=2,89,IF(NSi.TS[[#This Row],[Pro-A.6]]=3,79,IF(NSi.TS[[#This Row],[Pro-A.6]]=4,69,IF(NSi.TS[[#This Row],[Pro-A.6]]=5,0,"-")))))</f>
        <v>-</v>
      </c>
      <c r="DB15" s="74" t="str">
        <f>IF(NSi.TS[[#This Row],[KU.7]]="A",100,IF(NSi.TS[[#This Row],[KU.7]]="B",89,IF(NSi.TS[[#This Row],[KU.7]]="C",79,IF(NSi.TS[[#This Row],[KU.7]]="D",69,IF(NSi.TS[[#This Row],[KU.7]]="E",0,"-")))))</f>
        <v>-</v>
      </c>
      <c r="DC15" s="73" t="str">
        <f>IF(NSi.TS[[#This Row],[TJ.7]]=1,100,IF(NSi.TS[[#This Row],[TJ.7]]=2,89,IF(NSi.TS[[#This Row],[TJ.7]]=3,79,IF(NSi.TS[[#This Row],[TJ.7]]=4,69,IF(NSi.TS[[#This Row],[TJ.7]]=5,0,"-")))))</f>
        <v>-</v>
      </c>
      <c r="DD15" s="73" t="str">
        <f>IF(NSi.TS[[#This Row],[Ker.7]]=1,100,IF(NSi.TS[[#This Row],[Ker.7]]=2,89,IF(NSi.TS[[#This Row],[Ker.7]]=3,79,IF(NSi.TS[[#This Row],[Ker.7]]=4,69,IF(NSi.TS[[#This Row],[Ker.7]]=5,0,"-")))))</f>
        <v>-</v>
      </c>
      <c r="DE15" s="73" t="str">
        <f>IF(NSi.TS[[#This Row],[Ped.7]]=1,100,IF(NSi.TS[[#This Row],[Ped.7]]=2,89,IF(NSi.TS[[#This Row],[Ped.7]]=3,79,IF(NSi.TS[[#This Row],[Ped.7]]=4,69,IF(NSi.TS[[#This Row],[Ped.7]]=5,0,"-")))))</f>
        <v>-</v>
      </c>
      <c r="DF15" s="73" t="str">
        <f>IF(NSi.TS[[#This Row],[Pro-A.7]]=1,100,IF(NSi.TS[[#This Row],[Pro-A.7]]=2,89,IF(NSi.TS[[#This Row],[Pro-A.7]]=3,79,IF(NSi.TS[[#This Row],[Pro-A.7]]=4,69,IF(NSi.TS[[#This Row],[Pro-A.7]]=5,0,"-")))))</f>
        <v>-</v>
      </c>
      <c r="DG15" s="74" t="str">
        <f>IF(NSi.TS[[#This Row],[KU.8]]="A",100,IF(NSi.TS[[#This Row],[KU.8]]="B",89,IF(NSi.TS[[#This Row],[KU.8]]="C",79,IF(NSi.TS[[#This Row],[KU.8]]="D",69,IF(NSi.TS[[#This Row],[KU.8]]="E",0,"-")))))</f>
        <v>-</v>
      </c>
      <c r="DH15" s="73" t="str">
        <f>IF(NSi.TS[[#This Row],[TJ.8]]=1,100,IF(NSi.TS[[#This Row],[TJ.8]]=2,89,IF(NSi.TS[[#This Row],[TJ.8]]=3,79,IF(NSi.TS[[#This Row],[TJ.8]]=4,69,IF(NSi.TS[[#This Row],[TJ.8]]=5,0,"-")))))</f>
        <v>-</v>
      </c>
      <c r="DI15" s="73" t="str">
        <f>IF(NSi.TS[[#This Row],[Ker.8]]=1,100,IF(NSi.TS[[#This Row],[Ker.8]]=2,89,IF(NSi.TS[[#This Row],[Ker.8]]=3,79,IF(NSi.TS[[#This Row],[Ker.8]]=4,69,IF(NSi.TS[[#This Row],[Ker.8]]=5,0,"-")))))</f>
        <v>-</v>
      </c>
      <c r="DJ15" s="73" t="str">
        <f>IF(NSi.TS[[#This Row],[Ped.8]]=1,100,IF(NSi.TS[[#This Row],[Ped.8]]=2,89,IF(NSi.TS[[#This Row],[Ped.8]]=3,79,IF(NSi.TS[[#This Row],[Ped.8]]=4,69,IF(NSi.TS[[#This Row],[Ped.8]]=5,0,"-")))))</f>
        <v>-</v>
      </c>
      <c r="DK15" s="73" t="str">
        <f>IF(NSi.TS[[#This Row],[Pro-A.8]]=1,100,IF(NSi.TS[[#This Row],[Pro-A.8]]=2,89,IF(NSi.TS[[#This Row],[Pro-A.8]]=3,79,IF(NSi.TS[[#This Row],[Pro-A.8]]=4,69,IF(NSi.TS[[#This Row],[Pro-A.8]]=5,0,"-")))))</f>
        <v>-</v>
      </c>
      <c r="DL15" s="74" t="str">
        <f>IF(NSi.TS[[#This Row],[KU.9]]="A",100,IF(NSi.TS[[#This Row],[KU.9]]="B",89,IF(NSi.TS[[#This Row],[KU.9]]="C",79,IF(NSi.TS[[#This Row],[KU.9]]="D",69,IF(NSi.TS[[#This Row],[KU.9]]="E",0,"-")))))</f>
        <v>-</v>
      </c>
      <c r="DM15" s="73" t="str">
        <f>IF(NSi.TS[[#This Row],[TJ.9]]=1,100,IF(NSi.TS[[#This Row],[TJ.9]]=2,89,IF(NSi.TS[[#This Row],[TJ.9]]=3,79,IF(NSi.TS[[#This Row],[TJ.9]]=4,69,IF(NSi.TS[[#This Row],[TJ.9]]=5,0,"-")))))</f>
        <v>-</v>
      </c>
      <c r="DN15" s="73" t="str">
        <f>IF(NSi.TS[[#This Row],[Ker.9]]=1,100,IF(NSi.TS[[#This Row],[Ker.9]]=2,89,IF(NSi.TS[[#This Row],[Ker.9]]=3,79,IF(NSi.TS[[#This Row],[Ker.9]]=4,69,IF(NSi.TS[[#This Row],[Ker.9]]=5,0,"-")))))</f>
        <v>-</v>
      </c>
      <c r="DO15" s="73" t="str">
        <f>IF(NSi.TS[[#This Row],[Ped.9]]=1,100,IF(NSi.TS[[#This Row],[Ped.9]]=2,89,IF(NSi.TS[[#This Row],[Ped.9]]=3,79,IF(NSi.TS[[#This Row],[Ped.9]]=4,69,IF(NSi.TS[[#This Row],[Ped.9]]=5,0,"-")))))</f>
        <v>-</v>
      </c>
      <c r="DP15" s="73" t="str">
        <f>IF(NSi.TS[[#This Row],[Pro-A.9]]=1,100,IF(NSi.TS[[#This Row],[Pro-A.9]]=2,89,IF(NSi.TS[[#This Row],[Pro-A.9]]=3,79,IF(NSi.TS[[#This Row],[Pro-A.9]]=4,69,IF(NSi.TS[[#This Row],[Pro-A.9]]=5,0,"-")))))</f>
        <v>-</v>
      </c>
    </row>
    <row r="16" spans="1:120" ht="50.1" customHeight="1" x14ac:dyDescent="0.3">
      <c r="A16" s="85"/>
      <c r="B16" s="86"/>
      <c r="C16" s="87"/>
      <c r="D16" s="87"/>
      <c r="E16" s="87"/>
      <c r="F16" s="44" t="str">
        <f>IFERROR(ROUND(AVERAGE(CSCR[#This Row]),0),"")</f>
        <v/>
      </c>
      <c r="G16" s="41" t="s">
        <v>102</v>
      </c>
      <c r="H16" s="45" t="s">
        <v>102</v>
      </c>
      <c r="I16" s="45" t="s">
        <v>102</v>
      </c>
      <c r="J16" s="45" t="s">
        <v>102</v>
      </c>
      <c r="K16" s="45" t="s">
        <v>102</v>
      </c>
      <c r="L16" s="41" t="s">
        <v>102</v>
      </c>
      <c r="M16" s="45" t="s">
        <v>102</v>
      </c>
      <c r="N16" s="45" t="s">
        <v>102</v>
      </c>
      <c r="O16" s="45" t="s">
        <v>102</v>
      </c>
      <c r="P16" s="45" t="s">
        <v>102</v>
      </c>
      <c r="Q16" s="41" t="s">
        <v>102</v>
      </c>
      <c r="R16" s="45" t="s">
        <v>102</v>
      </c>
      <c r="S16" s="45" t="s">
        <v>102</v>
      </c>
      <c r="T16" s="45" t="s">
        <v>102</v>
      </c>
      <c r="U16" s="45" t="s">
        <v>102</v>
      </c>
      <c r="V16" s="41" t="s">
        <v>102</v>
      </c>
      <c r="W16" s="45" t="s">
        <v>102</v>
      </c>
      <c r="X16" s="45" t="s">
        <v>102</v>
      </c>
      <c r="Y16" s="45" t="s">
        <v>102</v>
      </c>
      <c r="Z16" s="45" t="s">
        <v>102</v>
      </c>
      <c r="AA16" s="41" t="s">
        <v>102</v>
      </c>
      <c r="AB16" s="45" t="s">
        <v>102</v>
      </c>
      <c r="AC16" s="45" t="s">
        <v>102</v>
      </c>
      <c r="AD16" s="45" t="s">
        <v>102</v>
      </c>
      <c r="AE16" s="45" t="s">
        <v>102</v>
      </c>
      <c r="AF16" s="41" t="s">
        <v>102</v>
      </c>
      <c r="AG16" s="45" t="s">
        <v>102</v>
      </c>
      <c r="AH16" s="45" t="s">
        <v>102</v>
      </c>
      <c r="AI16" s="45" t="s">
        <v>102</v>
      </c>
      <c r="AJ16" s="45" t="s">
        <v>102</v>
      </c>
      <c r="AK16" s="41" t="s">
        <v>102</v>
      </c>
      <c r="AL16" s="45" t="s">
        <v>102</v>
      </c>
      <c r="AM16" s="45" t="s">
        <v>102</v>
      </c>
      <c r="AN16" s="45" t="s">
        <v>102</v>
      </c>
      <c r="AO16" s="45" t="s">
        <v>102</v>
      </c>
      <c r="AP16" s="41" t="s">
        <v>102</v>
      </c>
      <c r="AQ16" s="45" t="s">
        <v>102</v>
      </c>
      <c r="AR16" s="45" t="s">
        <v>102</v>
      </c>
      <c r="AS16" s="45" t="s">
        <v>102</v>
      </c>
      <c r="AT16" s="45" t="s">
        <v>102</v>
      </c>
      <c r="AU16" s="41" t="s">
        <v>102</v>
      </c>
      <c r="AV16" s="45" t="s">
        <v>102</v>
      </c>
      <c r="AW16" s="45" t="s">
        <v>102</v>
      </c>
      <c r="AX16" s="45" t="s">
        <v>102</v>
      </c>
      <c r="AY16" s="45" t="s">
        <v>102</v>
      </c>
      <c r="BA16" s="10" t="str">
        <f>CONCATENATE(NSi.TS[[#This Row],[KU.1]],(IF(A.LoE[[#This Row],[LE.1]]="-","-",IF(A.LoE[[#This Row],[LE.1]]&gt;=90,1,IF(A.LoE[[#This Row],[LE.1]]&gt;=80,2,IF(A.LoE[[#This Row],[LE.1]]&gt;=70,3,IF(A.LoE[[#This Row],[LE.1]]&gt;=1,4,5)))))))</f>
        <v>--</v>
      </c>
      <c r="BB16" s="46" t="str">
        <f>CONCATENATE(NSi.TS[[#This Row],[KU.2]],(IF(A.LoE[[#This Row],[LE.2]]="-","-",IF(A.LoE[[#This Row],[LE.2]]&gt;=90,1,IF(A.LoE[[#This Row],[LE.2]]&gt;=80,2,IF(A.LoE[[#This Row],[LE.2]]&gt;=70,3,IF(A.LoE[[#This Row],[LE.2]]&gt;=1,4,5)))))))</f>
        <v>--</v>
      </c>
      <c r="BC16" s="46" t="str">
        <f>CONCATENATE(NSi.TS[[#This Row],[KU.3]],(IF(A.LoE[[#This Row],[LE.3]]="-","-",IF(A.LoE[[#This Row],[LE.3]]&gt;=90,1,IF(A.LoE[[#This Row],[LE.3]]&gt;=80,2,IF(A.LoE[[#This Row],[LE.3]]&gt;=70,3,IF(A.LoE[[#This Row],[LE.3]]&gt;=1,4,5)))))))</f>
        <v>--</v>
      </c>
      <c r="BD16" s="46" t="str">
        <f>CONCATENATE(NSi.TS[[#This Row],[KU.4]],(IF(A.LoE[[#This Row],[LE.4]]="-","-",IF(A.LoE[[#This Row],[LE.4]]&gt;=90,1,IF(A.LoE[[#This Row],[LE.4]]&gt;=80,2,IF(A.LoE[[#This Row],[LE.4]]&gt;=70,3,IF(A.LoE[[#This Row],[LE.4]]&gt;=1,4,5)))))))</f>
        <v>--</v>
      </c>
      <c r="BE16" s="46" t="str">
        <f>CONCATENATE(NSi.TS[[#This Row],[KU.5]],(IF(A.LoE[[#This Row],[LE.5]]="-","-",IF(A.LoE[[#This Row],[LE.5]]&gt;=90,1,IF(A.LoE[[#This Row],[LE.5]]&gt;=80,2,IF(A.LoE[[#This Row],[LE.5]]&gt;=70,3,IF(A.LoE[[#This Row],[LE.5]]&gt;=1,4,5)))))))</f>
        <v>--</v>
      </c>
      <c r="BF16" s="46" t="str">
        <f>CONCATENATE(NSi.TS[[#This Row],[KU.6]],(IF(A.LoE[[#This Row],[LE.6]]="-","-",IF(A.LoE[[#This Row],[LE.6]]&gt;=90,1,IF(A.LoE[[#This Row],[LE.6]]&gt;=80,2,IF(A.LoE[[#This Row],[LE.6]]&gt;=70,3,IF(A.LoE[[#This Row],[LE.6]]&gt;=1,4,5)))))))</f>
        <v>--</v>
      </c>
      <c r="BG16" s="46" t="str">
        <f>CONCATENATE(NSi.TS[[#This Row],[KU.7]],(IF(A.LoE[[#This Row],[LE.7]]="-","-",IF(A.LoE[[#This Row],[LE.7]]&gt;=90,1,IF(A.LoE[[#This Row],[LE.7]]&gt;=80,2,IF(A.LoE[[#This Row],[LE.7]]&gt;=70,3,IF(A.LoE[[#This Row],[LE.7]]&gt;=1,4,5)))))))</f>
        <v>--</v>
      </c>
      <c r="BH16" s="46" t="str">
        <f>CONCATENATE(NSi.TS[[#This Row],[KU.8]],(IF(A.LoE[[#This Row],[LE.8]]="-","-",IF(A.LoE[[#This Row],[LE.8]]&gt;=90,1,IF(A.LoE[[#This Row],[LE.8]]&gt;=80,2,IF(A.LoE[[#This Row],[LE.8]]&gt;=70,3,IF(A.LoE[[#This Row],[LE.8]]&gt;=1,4,5)))))))</f>
        <v>--</v>
      </c>
      <c r="BI16" s="38" t="str">
        <f>CONCATENATE(NSi.TS[[#This Row],[KU.9]],(IF(A.LoE[[#This Row],[LE.9]]="-","-",IF(A.LoE[[#This Row],[LE.9]]&gt;=90,1,IF(A.LoE[[#This Row],[LE.9]]&gt;=80,2,IF(A.LoE[[#This Row],[LE.9]]&gt;=70,3,IF(A.LoE[[#This Row],[LE.9]]&gt;=1,4,5)))))))</f>
        <v>--</v>
      </c>
      <c r="BK16" s="35" t="str">
        <f>IFERROR(ROUND(AVERAGE(Con.Sk[[#This Row],[TJ.1]:[Pro-A.1]]),0),"-")</f>
        <v>-</v>
      </c>
      <c r="BL16" s="24" t="str">
        <f>IFERROR(ROUND(AVERAGE(Con.Sk[[#This Row],[TJ.2]:[Pro-A.2]]),0),"-")</f>
        <v>-</v>
      </c>
      <c r="BM16" s="24" t="str">
        <f>IFERROR(ROUND(AVERAGE(Con.Sk[[#This Row],[TJ.3]:[Pro-A.3]]),0),"-")</f>
        <v>-</v>
      </c>
      <c r="BN16" s="24" t="str">
        <f>IFERROR(ROUND(AVERAGE(Con.Sk[[#This Row],[TJ.4]:[Pro-A.4]]),0),"-")</f>
        <v>-</v>
      </c>
      <c r="BO16" s="24" t="str">
        <f>IFERROR(ROUND(AVERAGE(Con.Sk[[#This Row],[TJ.5]:[Pro-A.5]]),0),"-")</f>
        <v>-</v>
      </c>
      <c r="BP16" s="24" t="str">
        <f>IFERROR(ROUND(AVERAGE(Con.Sk[[#This Row],[TJ.6]:[Pro-A.6]]),0),"-")</f>
        <v>-</v>
      </c>
      <c r="BQ16" s="24" t="str">
        <f>IFERROR(ROUND(AVERAGE(Con.Sk[[#This Row],[TJ.7]:[Pro-A.7]]),0),"-")</f>
        <v>-</v>
      </c>
      <c r="BR16" s="24" t="str">
        <f>IFERROR(ROUND(AVERAGE(Con.Sk[[#This Row],[TJ.8]:[Pro-A.8]]),0),"-")</f>
        <v>-</v>
      </c>
      <c r="BS16" s="25" t="str">
        <f>IFERROR(ROUND(AVERAGE(Con.Sk[[#This Row],[TJ.9]:[Pro-A.9]]),0),"-")</f>
        <v>-</v>
      </c>
      <c r="BU16" s="47" t="str">
        <f>IFERROR(ROUND(AVERAGE(Con.Sk[[#This Row],[KU.1]],Con.Sk[[#This Row],[KU.2]],Con.Sk[[#This Row],[KU.3]],Con.Sk[[#This Row],[KU.4]],Con.Sk[[#This Row],[KU.5]],Con.Sk[[#This Row],[KU.6]],Con.Sk[[#This Row],[KU.7]],Con.Sk[[#This Row],[KU.8]],Con.Sk[[#This Row],[KU.9]]),0),"")</f>
        <v/>
      </c>
      <c r="BV16" s="48" t="str">
        <f>IFERROR(ROUND(AVERAGE(Con.Sk[[#This Row],[TJ.1]:[Pro-A.1]],Con.Sk[[#This Row],[TJ.2]:[Pro-A.2]],Con.Sk[[#This Row],[TJ.3]:[Pro-A.3]],Con.Sk[[#This Row],[TJ.4]:[Pro-A.4]],Con.Sk[[#This Row],[TJ.5]:[Pro-A.5]],Con.Sk[[#This Row],[TJ.6]:[Pro-A.6]],Con.Sk[[#This Row],[TJ.7]:[Pro-A.7]],Con.Sk[[#This Row],[TJ.8]:[Pro-A.8]],Con.Sk[[#This Row],[TJ.9]:[Pro-A.9]]),0),"")</f>
        <v/>
      </c>
      <c r="BW16" s="3"/>
      <c r="BX16" s="73" t="str">
        <f>IF(NSi.TS[[#This Row],[KU.1]]="A",100,IF(NSi.TS[[#This Row],[KU.1]]="B",89,IF(NSi.TS[[#This Row],[KU.1]]="C",79,IF(NSi.TS[[#This Row],[KU.1]]="D",69,IF(NSi.TS[[#This Row],[KU.1]]="E",0,"-")))))</f>
        <v>-</v>
      </c>
      <c r="BY16" s="73" t="str">
        <f>IF(NSi.TS[[#This Row],[TJ.1]]=1,100,IF(NSi.TS[[#This Row],[TJ.1]]=2,89,IF(NSi.TS[[#This Row],[TJ.1]]=3,79,IF(NSi.TS[[#This Row],[TJ.1]]=4,69,IF(NSi.TS[[#This Row],[TJ.1]]=5,0,"-")))))</f>
        <v>-</v>
      </c>
      <c r="BZ16" s="73" t="str">
        <f>IF(NSi.TS[[#This Row],[Ker.1]]=1,100,IF(NSi.TS[[#This Row],[Ker.1]]=2,89,IF(NSi.TS[[#This Row],[Ker.1]]=3,79,IF(NSi.TS[[#This Row],[Ker.1]]=4,69,IF(NSi.TS[[#This Row],[Ker.1]]=5,0,"-")))))</f>
        <v>-</v>
      </c>
      <c r="CA16" s="73" t="str">
        <f>IF(NSi.TS[[#This Row],[Ped.1]]=1,100,IF(NSi.TS[[#This Row],[Ped.1]]=2,89,IF(NSi.TS[[#This Row],[Ped.1]]=3,79,IF(NSi.TS[[#This Row],[Ped.1]]=4,69,IF(NSi.TS[[#This Row],[Ped.1]]=5,0,"-")))))</f>
        <v>-</v>
      </c>
      <c r="CB16" s="73" t="str">
        <f>IF(NSi.TS[[#This Row],[Pro-A.1]]=1,100,IF(NSi.TS[[#This Row],[Pro-A.1]]=2,89,IF(NSi.TS[[#This Row],[Pro-A.1]]=3,79,IF(NSi.TS[[#This Row],[Pro-A.1]]=4,69,IF(NSi.TS[[#This Row],[Pro-A.1]]=5,0,"-")))))</f>
        <v>-</v>
      </c>
      <c r="CC16" s="73" t="str">
        <f>IF(NSi.TS[[#This Row],[KU.2]]="A",100,IF(NSi.TS[[#This Row],[KU.2]]="B",89,IF(NSi.TS[[#This Row],[KU.2]]="C",79,IF(NSi.TS[[#This Row],[KU.2]]="D",69,IF(NSi.TS[[#This Row],[KU.2]]="E",0,"-")))))</f>
        <v>-</v>
      </c>
      <c r="CD16" s="73" t="str">
        <f>IF(NSi.TS[[#This Row],[TJ.2]]=1,100,IF(NSi.TS[[#This Row],[TJ.2]]=2,89,IF(NSi.TS[[#This Row],[TJ.2]]=3,79,IF(NSi.TS[[#This Row],[TJ.2]]=4,69,IF(NSi.TS[[#This Row],[TJ.2]]=5,0,"-")))))</f>
        <v>-</v>
      </c>
      <c r="CE16" s="73" t="str">
        <f>IF(NSi.TS[[#This Row],[Ker.2]]=1,100,IF(NSi.TS[[#This Row],[Ker.2]]=2,89,IF(NSi.TS[[#This Row],[Ker.2]]=3,79,IF(NSi.TS[[#This Row],[Ker.2]]=4,69,IF(NSi.TS[[#This Row],[Ker.2]]=5,0,"-")))))</f>
        <v>-</v>
      </c>
      <c r="CF16" s="73" t="str">
        <f>IF(NSi.TS[[#This Row],[Ped.2]]=1,100,IF(NSi.TS[[#This Row],[Ped.2]]=2,89,IF(NSi.TS[[#This Row],[Ped.2]]=3,79,IF(NSi.TS[[#This Row],[Ped.2]]=4,69,IF(NSi.TS[[#This Row],[Ped.2]]=5,0,"-")))))</f>
        <v>-</v>
      </c>
      <c r="CG16" s="73" t="str">
        <f>IF(NSi.TS[[#This Row],[Pro-A.2]]=1,100,IF(NSi.TS[[#This Row],[Pro-A.2]]=2,89,IF(NSi.TS[[#This Row],[Pro-A.2]]=3,79,IF(NSi.TS[[#This Row],[Pro-A.2]]=4,69,IF(NSi.TS[[#This Row],[Pro-A.2]]=5,0,"-")))))</f>
        <v>-</v>
      </c>
      <c r="CH16" s="74" t="str">
        <f>IF(NSi.TS[[#This Row],[KU.3]]="A",100,IF(NSi.TS[[#This Row],[KU.3]]="B",89,IF(NSi.TS[[#This Row],[KU.3]]="C",79,IF(NSi.TS[[#This Row],[KU.3]]="D",69,IF(NSi.TS[[#This Row],[KU.3]]="E",0,"-")))))</f>
        <v>-</v>
      </c>
      <c r="CI16" s="73" t="str">
        <f>IF(NSi.TS[[#This Row],[TJ.3]]=1,100,IF(NSi.TS[[#This Row],[TJ.3]]=2,89,IF(NSi.TS[[#This Row],[TJ.3]]=3,79,IF(NSi.TS[[#This Row],[TJ.3]]=4,69,IF(NSi.TS[[#This Row],[TJ.3]]=5,0,"-")))))</f>
        <v>-</v>
      </c>
      <c r="CJ16" s="73" t="str">
        <f>IF(NSi.TS[[#This Row],[Ker.3]]=1,100,IF(NSi.TS[[#This Row],[Ker.3]]=2,89,IF(NSi.TS[[#This Row],[Ker.3]]=3,79,IF(NSi.TS[[#This Row],[Ker.3]]=4,69,IF(NSi.TS[[#This Row],[Ker.3]]=5,0,"-")))))</f>
        <v>-</v>
      </c>
      <c r="CK16" s="73" t="str">
        <f>IF(NSi.TS[[#This Row],[Ped.3]]=1,100,IF(NSi.TS[[#This Row],[Ped.3]]=2,89,IF(NSi.TS[[#This Row],[Ped.3]]=3,79,IF(NSi.TS[[#This Row],[Ped.3]]=4,69,IF(NSi.TS[[#This Row],[Ped.3]]=5,0,"-")))))</f>
        <v>-</v>
      </c>
      <c r="CL16" s="73" t="str">
        <f>IF(NSi.TS[[#This Row],[Pro-A.3]]=1,100,IF(NSi.TS[[#This Row],[Pro-A.3]]=2,89,IF(NSi.TS[[#This Row],[Pro-A.3]]=3,79,IF(NSi.TS[[#This Row],[Pro-A.3]]=4,69,IF(NSi.TS[[#This Row],[Pro-A.3]]=5,0,"-")))))</f>
        <v>-</v>
      </c>
      <c r="CM16" s="74" t="str">
        <f>IF(NSi.TS[[#This Row],[KU.4]]="A",100,IF(NSi.TS[[#This Row],[KU.4]]="B",89,IF(NSi.TS[[#This Row],[KU.4]]="C",79,IF(NSi.TS[[#This Row],[KU.4]]="D",69,IF(NSi.TS[[#This Row],[KU.4]]="E",0,"-")))))</f>
        <v>-</v>
      </c>
      <c r="CN16" s="73" t="str">
        <f>IF(NSi.TS[[#This Row],[TJ.4]]=1,100,IF(NSi.TS[[#This Row],[TJ.4]]=2,89,IF(NSi.TS[[#This Row],[TJ.4]]=3,79,IF(NSi.TS[[#This Row],[TJ.4]]=4,69,IF(NSi.TS[[#This Row],[TJ.4]]=5,0,"-")))))</f>
        <v>-</v>
      </c>
      <c r="CO16" s="73" t="str">
        <f>IF(NSi.TS[[#This Row],[Ker.4]]=1,100,IF(NSi.TS[[#This Row],[Ker.4]]=2,89,IF(NSi.TS[[#This Row],[Ker.4]]=3,79,IF(NSi.TS[[#This Row],[Ker.4]]=4,69,IF(NSi.TS[[#This Row],[Ker.4]]=5,0,"-")))))</f>
        <v>-</v>
      </c>
      <c r="CP16" s="73" t="str">
        <f>IF(NSi.TS[[#This Row],[Ped.4]]=1,100,IF(NSi.TS[[#This Row],[Ped.4]]=2,89,IF(NSi.TS[[#This Row],[Ped.4]]=3,79,IF(NSi.TS[[#This Row],[Ped.4]]=4,69,IF(NSi.TS[[#This Row],[Ped.4]]=5,0,"-")))))</f>
        <v>-</v>
      </c>
      <c r="CQ16" s="73" t="str">
        <f>IF(NSi.TS[[#This Row],[Pro-A.4]]=1,100,IF(NSi.TS[[#This Row],[Pro-A.4]]=2,89,IF(NSi.TS[[#This Row],[Pro-A.4]]=3,79,IF(NSi.TS[[#This Row],[Pro-A.4]]=4,69,IF(NSi.TS[[#This Row],[Pro-A.4]]=5,0,"-")))))</f>
        <v>-</v>
      </c>
      <c r="CR16" s="74" t="str">
        <f>IF(NSi.TS[[#This Row],[KU.5]]="A",100,IF(NSi.TS[[#This Row],[KU.5]]="B",89,IF(NSi.TS[[#This Row],[KU.5]]="C",79,IF(NSi.TS[[#This Row],[KU.5]]="D",69,IF(NSi.TS[[#This Row],[KU.5]]="E",0,"-")))))</f>
        <v>-</v>
      </c>
      <c r="CS16" s="73" t="str">
        <f>IF(NSi.TS[[#This Row],[TJ.5]]=1,100,IF(NSi.TS[[#This Row],[TJ.5]]=2,89,IF(NSi.TS[[#This Row],[TJ.5]]=3,79,IF(NSi.TS[[#This Row],[TJ.5]]=4,69,IF(NSi.TS[[#This Row],[TJ.5]]=5,0,"-")))))</f>
        <v>-</v>
      </c>
      <c r="CT16" s="73" t="str">
        <f>IF(NSi.TS[[#This Row],[Ker.5]]=1,100,IF(NSi.TS[[#This Row],[Ker.5]]=2,89,IF(NSi.TS[[#This Row],[Ker.5]]=3,79,IF(NSi.TS[[#This Row],[Ker.5]]=4,69,IF(NSi.TS[[#This Row],[Ker.5]]=5,0,"-")))))</f>
        <v>-</v>
      </c>
      <c r="CU16" s="73" t="str">
        <f>IF(NSi.TS[[#This Row],[Ped.5]]=1,100,IF(NSi.TS[[#This Row],[Ped.5]]=2,89,IF(NSi.TS[[#This Row],[Ped.5]]=3,79,IF(NSi.TS[[#This Row],[Ped.5]]=4,69,IF(NSi.TS[[#This Row],[Ped.5]]=5,0,"-")))))</f>
        <v>-</v>
      </c>
      <c r="CV16" s="73" t="str">
        <f>IF(NSi.TS[[#This Row],[Pro-A.5]]=1,100,IF(NSi.TS[[#This Row],[Pro-A.5]]=2,89,IF(NSi.TS[[#This Row],[Pro-A.5]]=3,79,IF(NSi.TS[[#This Row],[Pro-A.5]]=4,69,IF(NSi.TS[[#This Row],[Pro-A.5]]=5,0,"-")))))</f>
        <v>-</v>
      </c>
      <c r="CW16" s="74" t="str">
        <f>IF(NSi.TS[[#This Row],[KU.6]]="A",100,IF(NSi.TS[[#This Row],[KU.6]]="B",89,IF(NSi.TS[[#This Row],[KU.6]]="C",79,IF(NSi.TS[[#This Row],[KU.6]]="D",69,IF(NSi.TS[[#This Row],[KU.6]]="E",0,"-")))))</f>
        <v>-</v>
      </c>
      <c r="CX16" s="73" t="str">
        <f>IF(NSi.TS[[#This Row],[TJ.6]]=1,100,IF(NSi.TS[[#This Row],[TJ.6]]=2,89,IF(NSi.TS[[#This Row],[TJ.6]]=3,79,IF(NSi.TS[[#This Row],[TJ.6]]=4,69,IF(NSi.TS[[#This Row],[TJ.6]]=5,0,"-")))))</f>
        <v>-</v>
      </c>
      <c r="CY16" s="73" t="str">
        <f>IF(NSi.TS[[#This Row],[Ker.6]]=1,100,IF(NSi.TS[[#This Row],[Ker.6]]=2,89,IF(NSi.TS[[#This Row],[Ker.6]]=3,79,IF(NSi.TS[[#This Row],[Ker.6]]=4,69,IF(NSi.TS[[#This Row],[Ker.6]]=5,0,"-")))))</f>
        <v>-</v>
      </c>
      <c r="CZ16" s="73" t="str">
        <f>IF(NSi.TS[[#This Row],[Ped.6]]=1,100,IF(NSi.TS[[#This Row],[Ped.6]]=2,89,IF(NSi.TS[[#This Row],[Ped.6]]=3,79,IF(NSi.TS[[#This Row],[Ped.6]]=4,69,IF(NSi.TS[[#This Row],[Ped.6]]=5,0,"-")))))</f>
        <v>-</v>
      </c>
      <c r="DA16" s="73" t="str">
        <f>IF(NSi.TS[[#This Row],[Pro-A.6]]=1,100,IF(NSi.TS[[#This Row],[Pro-A.6]]=2,89,IF(NSi.TS[[#This Row],[Pro-A.6]]=3,79,IF(NSi.TS[[#This Row],[Pro-A.6]]=4,69,IF(NSi.TS[[#This Row],[Pro-A.6]]=5,0,"-")))))</f>
        <v>-</v>
      </c>
      <c r="DB16" s="74" t="str">
        <f>IF(NSi.TS[[#This Row],[KU.7]]="A",100,IF(NSi.TS[[#This Row],[KU.7]]="B",89,IF(NSi.TS[[#This Row],[KU.7]]="C",79,IF(NSi.TS[[#This Row],[KU.7]]="D",69,IF(NSi.TS[[#This Row],[KU.7]]="E",0,"-")))))</f>
        <v>-</v>
      </c>
      <c r="DC16" s="73" t="str">
        <f>IF(NSi.TS[[#This Row],[TJ.7]]=1,100,IF(NSi.TS[[#This Row],[TJ.7]]=2,89,IF(NSi.TS[[#This Row],[TJ.7]]=3,79,IF(NSi.TS[[#This Row],[TJ.7]]=4,69,IF(NSi.TS[[#This Row],[TJ.7]]=5,0,"-")))))</f>
        <v>-</v>
      </c>
      <c r="DD16" s="73" t="str">
        <f>IF(NSi.TS[[#This Row],[Ker.7]]=1,100,IF(NSi.TS[[#This Row],[Ker.7]]=2,89,IF(NSi.TS[[#This Row],[Ker.7]]=3,79,IF(NSi.TS[[#This Row],[Ker.7]]=4,69,IF(NSi.TS[[#This Row],[Ker.7]]=5,0,"-")))))</f>
        <v>-</v>
      </c>
      <c r="DE16" s="73" t="str">
        <f>IF(NSi.TS[[#This Row],[Ped.7]]=1,100,IF(NSi.TS[[#This Row],[Ped.7]]=2,89,IF(NSi.TS[[#This Row],[Ped.7]]=3,79,IF(NSi.TS[[#This Row],[Ped.7]]=4,69,IF(NSi.TS[[#This Row],[Ped.7]]=5,0,"-")))))</f>
        <v>-</v>
      </c>
      <c r="DF16" s="73" t="str">
        <f>IF(NSi.TS[[#This Row],[Pro-A.7]]=1,100,IF(NSi.TS[[#This Row],[Pro-A.7]]=2,89,IF(NSi.TS[[#This Row],[Pro-A.7]]=3,79,IF(NSi.TS[[#This Row],[Pro-A.7]]=4,69,IF(NSi.TS[[#This Row],[Pro-A.7]]=5,0,"-")))))</f>
        <v>-</v>
      </c>
      <c r="DG16" s="74" t="str">
        <f>IF(NSi.TS[[#This Row],[KU.8]]="A",100,IF(NSi.TS[[#This Row],[KU.8]]="B",89,IF(NSi.TS[[#This Row],[KU.8]]="C",79,IF(NSi.TS[[#This Row],[KU.8]]="D",69,IF(NSi.TS[[#This Row],[KU.8]]="E",0,"-")))))</f>
        <v>-</v>
      </c>
      <c r="DH16" s="73" t="str">
        <f>IF(NSi.TS[[#This Row],[TJ.8]]=1,100,IF(NSi.TS[[#This Row],[TJ.8]]=2,89,IF(NSi.TS[[#This Row],[TJ.8]]=3,79,IF(NSi.TS[[#This Row],[TJ.8]]=4,69,IF(NSi.TS[[#This Row],[TJ.8]]=5,0,"-")))))</f>
        <v>-</v>
      </c>
      <c r="DI16" s="73" t="str">
        <f>IF(NSi.TS[[#This Row],[Ker.8]]=1,100,IF(NSi.TS[[#This Row],[Ker.8]]=2,89,IF(NSi.TS[[#This Row],[Ker.8]]=3,79,IF(NSi.TS[[#This Row],[Ker.8]]=4,69,IF(NSi.TS[[#This Row],[Ker.8]]=5,0,"-")))))</f>
        <v>-</v>
      </c>
      <c r="DJ16" s="73" t="str">
        <f>IF(NSi.TS[[#This Row],[Ped.8]]=1,100,IF(NSi.TS[[#This Row],[Ped.8]]=2,89,IF(NSi.TS[[#This Row],[Ped.8]]=3,79,IF(NSi.TS[[#This Row],[Ped.8]]=4,69,IF(NSi.TS[[#This Row],[Ped.8]]=5,0,"-")))))</f>
        <v>-</v>
      </c>
      <c r="DK16" s="73" t="str">
        <f>IF(NSi.TS[[#This Row],[Pro-A.8]]=1,100,IF(NSi.TS[[#This Row],[Pro-A.8]]=2,89,IF(NSi.TS[[#This Row],[Pro-A.8]]=3,79,IF(NSi.TS[[#This Row],[Pro-A.8]]=4,69,IF(NSi.TS[[#This Row],[Pro-A.8]]=5,0,"-")))))</f>
        <v>-</v>
      </c>
      <c r="DL16" s="74" t="str">
        <f>IF(NSi.TS[[#This Row],[KU.9]]="A",100,IF(NSi.TS[[#This Row],[KU.9]]="B",89,IF(NSi.TS[[#This Row],[KU.9]]="C",79,IF(NSi.TS[[#This Row],[KU.9]]="D",69,IF(NSi.TS[[#This Row],[KU.9]]="E",0,"-")))))</f>
        <v>-</v>
      </c>
      <c r="DM16" s="73" t="str">
        <f>IF(NSi.TS[[#This Row],[TJ.9]]=1,100,IF(NSi.TS[[#This Row],[TJ.9]]=2,89,IF(NSi.TS[[#This Row],[TJ.9]]=3,79,IF(NSi.TS[[#This Row],[TJ.9]]=4,69,IF(NSi.TS[[#This Row],[TJ.9]]=5,0,"-")))))</f>
        <v>-</v>
      </c>
      <c r="DN16" s="73" t="str">
        <f>IF(NSi.TS[[#This Row],[Ker.9]]=1,100,IF(NSi.TS[[#This Row],[Ker.9]]=2,89,IF(NSi.TS[[#This Row],[Ker.9]]=3,79,IF(NSi.TS[[#This Row],[Ker.9]]=4,69,IF(NSi.TS[[#This Row],[Ker.9]]=5,0,"-")))))</f>
        <v>-</v>
      </c>
      <c r="DO16" s="73" t="str">
        <f>IF(NSi.TS[[#This Row],[Ped.9]]=1,100,IF(NSi.TS[[#This Row],[Ped.9]]=2,89,IF(NSi.TS[[#This Row],[Ped.9]]=3,79,IF(NSi.TS[[#This Row],[Ped.9]]=4,69,IF(NSi.TS[[#This Row],[Ped.9]]=5,0,"-")))))</f>
        <v>-</v>
      </c>
      <c r="DP16" s="73" t="str">
        <f>IF(NSi.TS[[#This Row],[Pro-A.9]]=1,100,IF(NSi.TS[[#This Row],[Pro-A.9]]=2,89,IF(NSi.TS[[#This Row],[Pro-A.9]]=3,79,IF(NSi.TS[[#This Row],[Pro-A.9]]=4,69,IF(NSi.TS[[#This Row],[Pro-A.9]]=5,0,"-")))))</f>
        <v>-</v>
      </c>
    </row>
    <row r="17" spans="1:120" ht="50.1" customHeight="1" x14ac:dyDescent="0.3">
      <c r="A17" s="85"/>
      <c r="B17" s="86"/>
      <c r="C17" s="87"/>
      <c r="D17" s="87"/>
      <c r="E17" s="87"/>
      <c r="F17" s="44" t="str">
        <f>IFERROR(ROUND(AVERAGE(CSCR[#This Row]),0),"")</f>
        <v/>
      </c>
      <c r="G17" s="41" t="s">
        <v>102</v>
      </c>
      <c r="H17" s="45" t="s">
        <v>102</v>
      </c>
      <c r="I17" s="45" t="s">
        <v>102</v>
      </c>
      <c r="J17" s="45" t="s">
        <v>102</v>
      </c>
      <c r="K17" s="45" t="s">
        <v>102</v>
      </c>
      <c r="L17" s="41" t="s">
        <v>102</v>
      </c>
      <c r="M17" s="45" t="s">
        <v>102</v>
      </c>
      <c r="N17" s="45" t="s">
        <v>102</v>
      </c>
      <c r="O17" s="45" t="s">
        <v>102</v>
      </c>
      <c r="P17" s="45" t="s">
        <v>102</v>
      </c>
      <c r="Q17" s="41" t="s">
        <v>102</v>
      </c>
      <c r="R17" s="45" t="s">
        <v>102</v>
      </c>
      <c r="S17" s="45" t="s">
        <v>102</v>
      </c>
      <c r="T17" s="45" t="s">
        <v>102</v>
      </c>
      <c r="U17" s="45" t="s">
        <v>102</v>
      </c>
      <c r="V17" s="41" t="s">
        <v>102</v>
      </c>
      <c r="W17" s="45" t="s">
        <v>102</v>
      </c>
      <c r="X17" s="45" t="s">
        <v>102</v>
      </c>
      <c r="Y17" s="45" t="s">
        <v>102</v>
      </c>
      <c r="Z17" s="45" t="s">
        <v>102</v>
      </c>
      <c r="AA17" s="41" t="s">
        <v>102</v>
      </c>
      <c r="AB17" s="45" t="s">
        <v>102</v>
      </c>
      <c r="AC17" s="45" t="s">
        <v>102</v>
      </c>
      <c r="AD17" s="45" t="s">
        <v>102</v>
      </c>
      <c r="AE17" s="45" t="s">
        <v>102</v>
      </c>
      <c r="AF17" s="41" t="s">
        <v>102</v>
      </c>
      <c r="AG17" s="45" t="s">
        <v>102</v>
      </c>
      <c r="AH17" s="45" t="s">
        <v>102</v>
      </c>
      <c r="AI17" s="45" t="s">
        <v>102</v>
      </c>
      <c r="AJ17" s="45" t="s">
        <v>102</v>
      </c>
      <c r="AK17" s="41" t="s">
        <v>102</v>
      </c>
      <c r="AL17" s="45" t="s">
        <v>102</v>
      </c>
      <c r="AM17" s="45" t="s">
        <v>102</v>
      </c>
      <c r="AN17" s="45" t="s">
        <v>102</v>
      </c>
      <c r="AO17" s="45" t="s">
        <v>102</v>
      </c>
      <c r="AP17" s="41" t="s">
        <v>102</v>
      </c>
      <c r="AQ17" s="45" t="s">
        <v>102</v>
      </c>
      <c r="AR17" s="45" t="s">
        <v>102</v>
      </c>
      <c r="AS17" s="45" t="s">
        <v>102</v>
      </c>
      <c r="AT17" s="45" t="s">
        <v>102</v>
      </c>
      <c r="AU17" s="41" t="s">
        <v>102</v>
      </c>
      <c r="AV17" s="45" t="s">
        <v>102</v>
      </c>
      <c r="AW17" s="45" t="s">
        <v>102</v>
      </c>
      <c r="AX17" s="45" t="s">
        <v>102</v>
      </c>
      <c r="AY17" s="45" t="s">
        <v>102</v>
      </c>
      <c r="BA17" s="10" t="str">
        <f>CONCATENATE(NSi.TS[[#This Row],[KU.1]],(IF(A.LoE[[#This Row],[LE.1]]="-","-",IF(A.LoE[[#This Row],[LE.1]]&gt;=90,1,IF(A.LoE[[#This Row],[LE.1]]&gt;=80,2,IF(A.LoE[[#This Row],[LE.1]]&gt;=70,3,IF(A.LoE[[#This Row],[LE.1]]&gt;=1,4,5)))))))</f>
        <v>--</v>
      </c>
      <c r="BB17" s="46" t="str">
        <f>CONCATENATE(NSi.TS[[#This Row],[KU.2]],(IF(A.LoE[[#This Row],[LE.2]]="-","-",IF(A.LoE[[#This Row],[LE.2]]&gt;=90,1,IF(A.LoE[[#This Row],[LE.2]]&gt;=80,2,IF(A.LoE[[#This Row],[LE.2]]&gt;=70,3,IF(A.LoE[[#This Row],[LE.2]]&gt;=1,4,5)))))))</f>
        <v>--</v>
      </c>
      <c r="BC17" s="46" t="str">
        <f>CONCATENATE(NSi.TS[[#This Row],[KU.3]],(IF(A.LoE[[#This Row],[LE.3]]="-","-",IF(A.LoE[[#This Row],[LE.3]]&gt;=90,1,IF(A.LoE[[#This Row],[LE.3]]&gt;=80,2,IF(A.LoE[[#This Row],[LE.3]]&gt;=70,3,IF(A.LoE[[#This Row],[LE.3]]&gt;=1,4,5)))))))</f>
        <v>--</v>
      </c>
      <c r="BD17" s="46" t="str">
        <f>CONCATENATE(NSi.TS[[#This Row],[KU.4]],(IF(A.LoE[[#This Row],[LE.4]]="-","-",IF(A.LoE[[#This Row],[LE.4]]&gt;=90,1,IF(A.LoE[[#This Row],[LE.4]]&gt;=80,2,IF(A.LoE[[#This Row],[LE.4]]&gt;=70,3,IF(A.LoE[[#This Row],[LE.4]]&gt;=1,4,5)))))))</f>
        <v>--</v>
      </c>
      <c r="BE17" s="46" t="str">
        <f>CONCATENATE(NSi.TS[[#This Row],[KU.5]],(IF(A.LoE[[#This Row],[LE.5]]="-","-",IF(A.LoE[[#This Row],[LE.5]]&gt;=90,1,IF(A.LoE[[#This Row],[LE.5]]&gt;=80,2,IF(A.LoE[[#This Row],[LE.5]]&gt;=70,3,IF(A.LoE[[#This Row],[LE.5]]&gt;=1,4,5)))))))</f>
        <v>--</v>
      </c>
      <c r="BF17" s="46" t="str">
        <f>CONCATENATE(NSi.TS[[#This Row],[KU.6]],(IF(A.LoE[[#This Row],[LE.6]]="-","-",IF(A.LoE[[#This Row],[LE.6]]&gt;=90,1,IF(A.LoE[[#This Row],[LE.6]]&gt;=80,2,IF(A.LoE[[#This Row],[LE.6]]&gt;=70,3,IF(A.LoE[[#This Row],[LE.6]]&gt;=1,4,5)))))))</f>
        <v>--</v>
      </c>
      <c r="BG17" s="46" t="str">
        <f>CONCATENATE(NSi.TS[[#This Row],[KU.7]],(IF(A.LoE[[#This Row],[LE.7]]="-","-",IF(A.LoE[[#This Row],[LE.7]]&gt;=90,1,IF(A.LoE[[#This Row],[LE.7]]&gt;=80,2,IF(A.LoE[[#This Row],[LE.7]]&gt;=70,3,IF(A.LoE[[#This Row],[LE.7]]&gt;=1,4,5)))))))</f>
        <v>--</v>
      </c>
      <c r="BH17" s="46" t="str">
        <f>CONCATENATE(NSi.TS[[#This Row],[KU.8]],(IF(A.LoE[[#This Row],[LE.8]]="-","-",IF(A.LoE[[#This Row],[LE.8]]&gt;=90,1,IF(A.LoE[[#This Row],[LE.8]]&gt;=80,2,IF(A.LoE[[#This Row],[LE.8]]&gt;=70,3,IF(A.LoE[[#This Row],[LE.8]]&gt;=1,4,5)))))))</f>
        <v>--</v>
      </c>
      <c r="BI17" s="38" t="str">
        <f>CONCATENATE(NSi.TS[[#This Row],[KU.9]],(IF(A.LoE[[#This Row],[LE.9]]="-","-",IF(A.LoE[[#This Row],[LE.9]]&gt;=90,1,IF(A.LoE[[#This Row],[LE.9]]&gt;=80,2,IF(A.LoE[[#This Row],[LE.9]]&gt;=70,3,IF(A.LoE[[#This Row],[LE.9]]&gt;=1,4,5)))))))</f>
        <v>--</v>
      </c>
      <c r="BK17" s="35" t="str">
        <f>IFERROR(ROUND(AVERAGE(Con.Sk[[#This Row],[TJ.1]:[Pro-A.1]]),0),"-")</f>
        <v>-</v>
      </c>
      <c r="BL17" s="24" t="str">
        <f>IFERROR(ROUND(AVERAGE(Con.Sk[[#This Row],[TJ.2]:[Pro-A.2]]),0),"-")</f>
        <v>-</v>
      </c>
      <c r="BM17" s="24" t="str">
        <f>IFERROR(ROUND(AVERAGE(Con.Sk[[#This Row],[TJ.3]:[Pro-A.3]]),0),"-")</f>
        <v>-</v>
      </c>
      <c r="BN17" s="24" t="str">
        <f>IFERROR(ROUND(AVERAGE(Con.Sk[[#This Row],[TJ.4]:[Pro-A.4]]),0),"-")</f>
        <v>-</v>
      </c>
      <c r="BO17" s="24" t="str">
        <f>IFERROR(ROUND(AVERAGE(Con.Sk[[#This Row],[TJ.5]:[Pro-A.5]]),0),"-")</f>
        <v>-</v>
      </c>
      <c r="BP17" s="24" t="str">
        <f>IFERROR(ROUND(AVERAGE(Con.Sk[[#This Row],[TJ.6]:[Pro-A.6]]),0),"-")</f>
        <v>-</v>
      </c>
      <c r="BQ17" s="24" t="str">
        <f>IFERROR(ROUND(AVERAGE(Con.Sk[[#This Row],[TJ.7]:[Pro-A.7]]),0),"-")</f>
        <v>-</v>
      </c>
      <c r="BR17" s="24" t="str">
        <f>IFERROR(ROUND(AVERAGE(Con.Sk[[#This Row],[TJ.8]:[Pro-A.8]]),0),"-")</f>
        <v>-</v>
      </c>
      <c r="BS17" s="25" t="str">
        <f>IFERROR(ROUND(AVERAGE(Con.Sk[[#This Row],[TJ.9]:[Pro-A.9]]),0),"-")</f>
        <v>-</v>
      </c>
      <c r="BU17" s="47" t="str">
        <f>IFERROR(ROUND(AVERAGE(Con.Sk[[#This Row],[KU.1]],Con.Sk[[#This Row],[KU.2]],Con.Sk[[#This Row],[KU.3]],Con.Sk[[#This Row],[KU.4]],Con.Sk[[#This Row],[KU.5]],Con.Sk[[#This Row],[KU.6]],Con.Sk[[#This Row],[KU.7]],Con.Sk[[#This Row],[KU.8]],Con.Sk[[#This Row],[KU.9]]),0),"")</f>
        <v/>
      </c>
      <c r="BV17" s="48" t="str">
        <f>IFERROR(ROUND(AVERAGE(Con.Sk[[#This Row],[TJ.1]:[Pro-A.1]],Con.Sk[[#This Row],[TJ.2]:[Pro-A.2]],Con.Sk[[#This Row],[TJ.3]:[Pro-A.3]],Con.Sk[[#This Row],[TJ.4]:[Pro-A.4]],Con.Sk[[#This Row],[TJ.5]:[Pro-A.5]],Con.Sk[[#This Row],[TJ.6]:[Pro-A.6]],Con.Sk[[#This Row],[TJ.7]:[Pro-A.7]],Con.Sk[[#This Row],[TJ.8]:[Pro-A.8]],Con.Sk[[#This Row],[TJ.9]:[Pro-A.9]]),0),"")</f>
        <v/>
      </c>
      <c r="BW17" s="3"/>
      <c r="BX17" s="73" t="str">
        <f>IF(NSi.TS[[#This Row],[KU.1]]="A",100,IF(NSi.TS[[#This Row],[KU.1]]="B",89,IF(NSi.TS[[#This Row],[KU.1]]="C",79,IF(NSi.TS[[#This Row],[KU.1]]="D",69,IF(NSi.TS[[#This Row],[KU.1]]="E",0,"-")))))</f>
        <v>-</v>
      </c>
      <c r="BY17" s="73" t="str">
        <f>IF(NSi.TS[[#This Row],[TJ.1]]=1,100,IF(NSi.TS[[#This Row],[TJ.1]]=2,89,IF(NSi.TS[[#This Row],[TJ.1]]=3,79,IF(NSi.TS[[#This Row],[TJ.1]]=4,69,IF(NSi.TS[[#This Row],[TJ.1]]=5,0,"-")))))</f>
        <v>-</v>
      </c>
      <c r="BZ17" s="73" t="str">
        <f>IF(NSi.TS[[#This Row],[Ker.1]]=1,100,IF(NSi.TS[[#This Row],[Ker.1]]=2,89,IF(NSi.TS[[#This Row],[Ker.1]]=3,79,IF(NSi.TS[[#This Row],[Ker.1]]=4,69,IF(NSi.TS[[#This Row],[Ker.1]]=5,0,"-")))))</f>
        <v>-</v>
      </c>
      <c r="CA17" s="73" t="str">
        <f>IF(NSi.TS[[#This Row],[Ped.1]]=1,100,IF(NSi.TS[[#This Row],[Ped.1]]=2,89,IF(NSi.TS[[#This Row],[Ped.1]]=3,79,IF(NSi.TS[[#This Row],[Ped.1]]=4,69,IF(NSi.TS[[#This Row],[Ped.1]]=5,0,"-")))))</f>
        <v>-</v>
      </c>
      <c r="CB17" s="73" t="str">
        <f>IF(NSi.TS[[#This Row],[Pro-A.1]]=1,100,IF(NSi.TS[[#This Row],[Pro-A.1]]=2,89,IF(NSi.TS[[#This Row],[Pro-A.1]]=3,79,IF(NSi.TS[[#This Row],[Pro-A.1]]=4,69,IF(NSi.TS[[#This Row],[Pro-A.1]]=5,0,"-")))))</f>
        <v>-</v>
      </c>
      <c r="CC17" s="73" t="str">
        <f>IF(NSi.TS[[#This Row],[KU.2]]="A",100,IF(NSi.TS[[#This Row],[KU.2]]="B",89,IF(NSi.TS[[#This Row],[KU.2]]="C",79,IF(NSi.TS[[#This Row],[KU.2]]="D",69,IF(NSi.TS[[#This Row],[KU.2]]="E",0,"-")))))</f>
        <v>-</v>
      </c>
      <c r="CD17" s="73" t="str">
        <f>IF(NSi.TS[[#This Row],[TJ.2]]=1,100,IF(NSi.TS[[#This Row],[TJ.2]]=2,89,IF(NSi.TS[[#This Row],[TJ.2]]=3,79,IF(NSi.TS[[#This Row],[TJ.2]]=4,69,IF(NSi.TS[[#This Row],[TJ.2]]=5,0,"-")))))</f>
        <v>-</v>
      </c>
      <c r="CE17" s="73" t="str">
        <f>IF(NSi.TS[[#This Row],[Ker.2]]=1,100,IF(NSi.TS[[#This Row],[Ker.2]]=2,89,IF(NSi.TS[[#This Row],[Ker.2]]=3,79,IF(NSi.TS[[#This Row],[Ker.2]]=4,69,IF(NSi.TS[[#This Row],[Ker.2]]=5,0,"-")))))</f>
        <v>-</v>
      </c>
      <c r="CF17" s="73" t="str">
        <f>IF(NSi.TS[[#This Row],[Ped.2]]=1,100,IF(NSi.TS[[#This Row],[Ped.2]]=2,89,IF(NSi.TS[[#This Row],[Ped.2]]=3,79,IF(NSi.TS[[#This Row],[Ped.2]]=4,69,IF(NSi.TS[[#This Row],[Ped.2]]=5,0,"-")))))</f>
        <v>-</v>
      </c>
      <c r="CG17" s="73" t="str">
        <f>IF(NSi.TS[[#This Row],[Pro-A.2]]=1,100,IF(NSi.TS[[#This Row],[Pro-A.2]]=2,89,IF(NSi.TS[[#This Row],[Pro-A.2]]=3,79,IF(NSi.TS[[#This Row],[Pro-A.2]]=4,69,IF(NSi.TS[[#This Row],[Pro-A.2]]=5,0,"-")))))</f>
        <v>-</v>
      </c>
      <c r="CH17" s="74" t="str">
        <f>IF(NSi.TS[[#This Row],[KU.3]]="A",100,IF(NSi.TS[[#This Row],[KU.3]]="B",89,IF(NSi.TS[[#This Row],[KU.3]]="C",79,IF(NSi.TS[[#This Row],[KU.3]]="D",69,IF(NSi.TS[[#This Row],[KU.3]]="E",0,"-")))))</f>
        <v>-</v>
      </c>
      <c r="CI17" s="73" t="str">
        <f>IF(NSi.TS[[#This Row],[TJ.3]]=1,100,IF(NSi.TS[[#This Row],[TJ.3]]=2,89,IF(NSi.TS[[#This Row],[TJ.3]]=3,79,IF(NSi.TS[[#This Row],[TJ.3]]=4,69,IF(NSi.TS[[#This Row],[TJ.3]]=5,0,"-")))))</f>
        <v>-</v>
      </c>
      <c r="CJ17" s="73" t="str">
        <f>IF(NSi.TS[[#This Row],[Ker.3]]=1,100,IF(NSi.TS[[#This Row],[Ker.3]]=2,89,IF(NSi.TS[[#This Row],[Ker.3]]=3,79,IF(NSi.TS[[#This Row],[Ker.3]]=4,69,IF(NSi.TS[[#This Row],[Ker.3]]=5,0,"-")))))</f>
        <v>-</v>
      </c>
      <c r="CK17" s="73" t="str">
        <f>IF(NSi.TS[[#This Row],[Ped.3]]=1,100,IF(NSi.TS[[#This Row],[Ped.3]]=2,89,IF(NSi.TS[[#This Row],[Ped.3]]=3,79,IF(NSi.TS[[#This Row],[Ped.3]]=4,69,IF(NSi.TS[[#This Row],[Ped.3]]=5,0,"-")))))</f>
        <v>-</v>
      </c>
      <c r="CL17" s="73" t="str">
        <f>IF(NSi.TS[[#This Row],[Pro-A.3]]=1,100,IF(NSi.TS[[#This Row],[Pro-A.3]]=2,89,IF(NSi.TS[[#This Row],[Pro-A.3]]=3,79,IF(NSi.TS[[#This Row],[Pro-A.3]]=4,69,IF(NSi.TS[[#This Row],[Pro-A.3]]=5,0,"-")))))</f>
        <v>-</v>
      </c>
      <c r="CM17" s="74" t="str">
        <f>IF(NSi.TS[[#This Row],[KU.4]]="A",100,IF(NSi.TS[[#This Row],[KU.4]]="B",89,IF(NSi.TS[[#This Row],[KU.4]]="C",79,IF(NSi.TS[[#This Row],[KU.4]]="D",69,IF(NSi.TS[[#This Row],[KU.4]]="E",0,"-")))))</f>
        <v>-</v>
      </c>
      <c r="CN17" s="73" t="str">
        <f>IF(NSi.TS[[#This Row],[TJ.4]]=1,100,IF(NSi.TS[[#This Row],[TJ.4]]=2,89,IF(NSi.TS[[#This Row],[TJ.4]]=3,79,IF(NSi.TS[[#This Row],[TJ.4]]=4,69,IF(NSi.TS[[#This Row],[TJ.4]]=5,0,"-")))))</f>
        <v>-</v>
      </c>
      <c r="CO17" s="73" t="str">
        <f>IF(NSi.TS[[#This Row],[Ker.4]]=1,100,IF(NSi.TS[[#This Row],[Ker.4]]=2,89,IF(NSi.TS[[#This Row],[Ker.4]]=3,79,IF(NSi.TS[[#This Row],[Ker.4]]=4,69,IF(NSi.TS[[#This Row],[Ker.4]]=5,0,"-")))))</f>
        <v>-</v>
      </c>
      <c r="CP17" s="73" t="str">
        <f>IF(NSi.TS[[#This Row],[Ped.4]]=1,100,IF(NSi.TS[[#This Row],[Ped.4]]=2,89,IF(NSi.TS[[#This Row],[Ped.4]]=3,79,IF(NSi.TS[[#This Row],[Ped.4]]=4,69,IF(NSi.TS[[#This Row],[Ped.4]]=5,0,"-")))))</f>
        <v>-</v>
      </c>
      <c r="CQ17" s="73" t="str">
        <f>IF(NSi.TS[[#This Row],[Pro-A.4]]=1,100,IF(NSi.TS[[#This Row],[Pro-A.4]]=2,89,IF(NSi.TS[[#This Row],[Pro-A.4]]=3,79,IF(NSi.TS[[#This Row],[Pro-A.4]]=4,69,IF(NSi.TS[[#This Row],[Pro-A.4]]=5,0,"-")))))</f>
        <v>-</v>
      </c>
      <c r="CR17" s="74" t="str">
        <f>IF(NSi.TS[[#This Row],[KU.5]]="A",100,IF(NSi.TS[[#This Row],[KU.5]]="B",89,IF(NSi.TS[[#This Row],[KU.5]]="C",79,IF(NSi.TS[[#This Row],[KU.5]]="D",69,IF(NSi.TS[[#This Row],[KU.5]]="E",0,"-")))))</f>
        <v>-</v>
      </c>
      <c r="CS17" s="73" t="str">
        <f>IF(NSi.TS[[#This Row],[TJ.5]]=1,100,IF(NSi.TS[[#This Row],[TJ.5]]=2,89,IF(NSi.TS[[#This Row],[TJ.5]]=3,79,IF(NSi.TS[[#This Row],[TJ.5]]=4,69,IF(NSi.TS[[#This Row],[TJ.5]]=5,0,"-")))))</f>
        <v>-</v>
      </c>
      <c r="CT17" s="73" t="str">
        <f>IF(NSi.TS[[#This Row],[Ker.5]]=1,100,IF(NSi.TS[[#This Row],[Ker.5]]=2,89,IF(NSi.TS[[#This Row],[Ker.5]]=3,79,IF(NSi.TS[[#This Row],[Ker.5]]=4,69,IF(NSi.TS[[#This Row],[Ker.5]]=5,0,"-")))))</f>
        <v>-</v>
      </c>
      <c r="CU17" s="73" t="str">
        <f>IF(NSi.TS[[#This Row],[Ped.5]]=1,100,IF(NSi.TS[[#This Row],[Ped.5]]=2,89,IF(NSi.TS[[#This Row],[Ped.5]]=3,79,IF(NSi.TS[[#This Row],[Ped.5]]=4,69,IF(NSi.TS[[#This Row],[Ped.5]]=5,0,"-")))))</f>
        <v>-</v>
      </c>
      <c r="CV17" s="73" t="str">
        <f>IF(NSi.TS[[#This Row],[Pro-A.5]]=1,100,IF(NSi.TS[[#This Row],[Pro-A.5]]=2,89,IF(NSi.TS[[#This Row],[Pro-A.5]]=3,79,IF(NSi.TS[[#This Row],[Pro-A.5]]=4,69,IF(NSi.TS[[#This Row],[Pro-A.5]]=5,0,"-")))))</f>
        <v>-</v>
      </c>
      <c r="CW17" s="74" t="str">
        <f>IF(NSi.TS[[#This Row],[KU.6]]="A",100,IF(NSi.TS[[#This Row],[KU.6]]="B",89,IF(NSi.TS[[#This Row],[KU.6]]="C",79,IF(NSi.TS[[#This Row],[KU.6]]="D",69,IF(NSi.TS[[#This Row],[KU.6]]="E",0,"-")))))</f>
        <v>-</v>
      </c>
      <c r="CX17" s="73" t="str">
        <f>IF(NSi.TS[[#This Row],[TJ.6]]=1,100,IF(NSi.TS[[#This Row],[TJ.6]]=2,89,IF(NSi.TS[[#This Row],[TJ.6]]=3,79,IF(NSi.TS[[#This Row],[TJ.6]]=4,69,IF(NSi.TS[[#This Row],[TJ.6]]=5,0,"-")))))</f>
        <v>-</v>
      </c>
      <c r="CY17" s="73" t="str">
        <f>IF(NSi.TS[[#This Row],[Ker.6]]=1,100,IF(NSi.TS[[#This Row],[Ker.6]]=2,89,IF(NSi.TS[[#This Row],[Ker.6]]=3,79,IF(NSi.TS[[#This Row],[Ker.6]]=4,69,IF(NSi.TS[[#This Row],[Ker.6]]=5,0,"-")))))</f>
        <v>-</v>
      </c>
      <c r="CZ17" s="73" t="str">
        <f>IF(NSi.TS[[#This Row],[Ped.6]]=1,100,IF(NSi.TS[[#This Row],[Ped.6]]=2,89,IF(NSi.TS[[#This Row],[Ped.6]]=3,79,IF(NSi.TS[[#This Row],[Ped.6]]=4,69,IF(NSi.TS[[#This Row],[Ped.6]]=5,0,"-")))))</f>
        <v>-</v>
      </c>
      <c r="DA17" s="73" t="str">
        <f>IF(NSi.TS[[#This Row],[Pro-A.6]]=1,100,IF(NSi.TS[[#This Row],[Pro-A.6]]=2,89,IF(NSi.TS[[#This Row],[Pro-A.6]]=3,79,IF(NSi.TS[[#This Row],[Pro-A.6]]=4,69,IF(NSi.TS[[#This Row],[Pro-A.6]]=5,0,"-")))))</f>
        <v>-</v>
      </c>
      <c r="DB17" s="74" t="str">
        <f>IF(NSi.TS[[#This Row],[KU.7]]="A",100,IF(NSi.TS[[#This Row],[KU.7]]="B",89,IF(NSi.TS[[#This Row],[KU.7]]="C",79,IF(NSi.TS[[#This Row],[KU.7]]="D",69,IF(NSi.TS[[#This Row],[KU.7]]="E",0,"-")))))</f>
        <v>-</v>
      </c>
      <c r="DC17" s="73" t="str">
        <f>IF(NSi.TS[[#This Row],[TJ.7]]=1,100,IF(NSi.TS[[#This Row],[TJ.7]]=2,89,IF(NSi.TS[[#This Row],[TJ.7]]=3,79,IF(NSi.TS[[#This Row],[TJ.7]]=4,69,IF(NSi.TS[[#This Row],[TJ.7]]=5,0,"-")))))</f>
        <v>-</v>
      </c>
      <c r="DD17" s="73" t="str">
        <f>IF(NSi.TS[[#This Row],[Ker.7]]=1,100,IF(NSi.TS[[#This Row],[Ker.7]]=2,89,IF(NSi.TS[[#This Row],[Ker.7]]=3,79,IF(NSi.TS[[#This Row],[Ker.7]]=4,69,IF(NSi.TS[[#This Row],[Ker.7]]=5,0,"-")))))</f>
        <v>-</v>
      </c>
      <c r="DE17" s="73" t="str">
        <f>IF(NSi.TS[[#This Row],[Ped.7]]=1,100,IF(NSi.TS[[#This Row],[Ped.7]]=2,89,IF(NSi.TS[[#This Row],[Ped.7]]=3,79,IF(NSi.TS[[#This Row],[Ped.7]]=4,69,IF(NSi.TS[[#This Row],[Ped.7]]=5,0,"-")))))</f>
        <v>-</v>
      </c>
      <c r="DF17" s="73" t="str">
        <f>IF(NSi.TS[[#This Row],[Pro-A.7]]=1,100,IF(NSi.TS[[#This Row],[Pro-A.7]]=2,89,IF(NSi.TS[[#This Row],[Pro-A.7]]=3,79,IF(NSi.TS[[#This Row],[Pro-A.7]]=4,69,IF(NSi.TS[[#This Row],[Pro-A.7]]=5,0,"-")))))</f>
        <v>-</v>
      </c>
      <c r="DG17" s="74" t="str">
        <f>IF(NSi.TS[[#This Row],[KU.8]]="A",100,IF(NSi.TS[[#This Row],[KU.8]]="B",89,IF(NSi.TS[[#This Row],[KU.8]]="C",79,IF(NSi.TS[[#This Row],[KU.8]]="D",69,IF(NSi.TS[[#This Row],[KU.8]]="E",0,"-")))))</f>
        <v>-</v>
      </c>
      <c r="DH17" s="73" t="str">
        <f>IF(NSi.TS[[#This Row],[TJ.8]]=1,100,IF(NSi.TS[[#This Row],[TJ.8]]=2,89,IF(NSi.TS[[#This Row],[TJ.8]]=3,79,IF(NSi.TS[[#This Row],[TJ.8]]=4,69,IF(NSi.TS[[#This Row],[TJ.8]]=5,0,"-")))))</f>
        <v>-</v>
      </c>
      <c r="DI17" s="73" t="str">
        <f>IF(NSi.TS[[#This Row],[Ker.8]]=1,100,IF(NSi.TS[[#This Row],[Ker.8]]=2,89,IF(NSi.TS[[#This Row],[Ker.8]]=3,79,IF(NSi.TS[[#This Row],[Ker.8]]=4,69,IF(NSi.TS[[#This Row],[Ker.8]]=5,0,"-")))))</f>
        <v>-</v>
      </c>
      <c r="DJ17" s="73" t="str">
        <f>IF(NSi.TS[[#This Row],[Ped.8]]=1,100,IF(NSi.TS[[#This Row],[Ped.8]]=2,89,IF(NSi.TS[[#This Row],[Ped.8]]=3,79,IF(NSi.TS[[#This Row],[Ped.8]]=4,69,IF(NSi.TS[[#This Row],[Ped.8]]=5,0,"-")))))</f>
        <v>-</v>
      </c>
      <c r="DK17" s="73" t="str">
        <f>IF(NSi.TS[[#This Row],[Pro-A.8]]=1,100,IF(NSi.TS[[#This Row],[Pro-A.8]]=2,89,IF(NSi.TS[[#This Row],[Pro-A.8]]=3,79,IF(NSi.TS[[#This Row],[Pro-A.8]]=4,69,IF(NSi.TS[[#This Row],[Pro-A.8]]=5,0,"-")))))</f>
        <v>-</v>
      </c>
      <c r="DL17" s="74" t="str">
        <f>IF(NSi.TS[[#This Row],[KU.9]]="A",100,IF(NSi.TS[[#This Row],[KU.9]]="B",89,IF(NSi.TS[[#This Row],[KU.9]]="C",79,IF(NSi.TS[[#This Row],[KU.9]]="D",69,IF(NSi.TS[[#This Row],[KU.9]]="E",0,"-")))))</f>
        <v>-</v>
      </c>
      <c r="DM17" s="73" t="str">
        <f>IF(NSi.TS[[#This Row],[TJ.9]]=1,100,IF(NSi.TS[[#This Row],[TJ.9]]=2,89,IF(NSi.TS[[#This Row],[TJ.9]]=3,79,IF(NSi.TS[[#This Row],[TJ.9]]=4,69,IF(NSi.TS[[#This Row],[TJ.9]]=5,0,"-")))))</f>
        <v>-</v>
      </c>
      <c r="DN17" s="73" t="str">
        <f>IF(NSi.TS[[#This Row],[Ker.9]]=1,100,IF(NSi.TS[[#This Row],[Ker.9]]=2,89,IF(NSi.TS[[#This Row],[Ker.9]]=3,79,IF(NSi.TS[[#This Row],[Ker.9]]=4,69,IF(NSi.TS[[#This Row],[Ker.9]]=5,0,"-")))))</f>
        <v>-</v>
      </c>
      <c r="DO17" s="73" t="str">
        <f>IF(NSi.TS[[#This Row],[Ped.9]]=1,100,IF(NSi.TS[[#This Row],[Ped.9]]=2,89,IF(NSi.TS[[#This Row],[Ped.9]]=3,79,IF(NSi.TS[[#This Row],[Ped.9]]=4,69,IF(NSi.TS[[#This Row],[Ped.9]]=5,0,"-")))))</f>
        <v>-</v>
      </c>
      <c r="DP17" s="73" t="str">
        <f>IF(NSi.TS[[#This Row],[Pro-A.9]]=1,100,IF(NSi.TS[[#This Row],[Pro-A.9]]=2,89,IF(NSi.TS[[#This Row],[Pro-A.9]]=3,79,IF(NSi.TS[[#This Row],[Pro-A.9]]=4,69,IF(NSi.TS[[#This Row],[Pro-A.9]]=5,0,"-")))))</f>
        <v>-</v>
      </c>
    </row>
    <row r="18" spans="1:120" ht="50.1" customHeight="1" x14ac:dyDescent="0.3">
      <c r="A18" s="85"/>
      <c r="B18" s="86"/>
      <c r="C18" s="87"/>
      <c r="D18" s="87"/>
      <c r="E18" s="87"/>
      <c r="F18" s="44" t="str">
        <f>IFERROR(ROUND(AVERAGE(CSCR[#This Row]),0),"")</f>
        <v/>
      </c>
      <c r="G18" s="41" t="s">
        <v>102</v>
      </c>
      <c r="H18" s="45" t="s">
        <v>102</v>
      </c>
      <c r="I18" s="45" t="s">
        <v>102</v>
      </c>
      <c r="J18" s="45" t="s">
        <v>102</v>
      </c>
      <c r="K18" s="45" t="s">
        <v>102</v>
      </c>
      <c r="L18" s="41" t="s">
        <v>102</v>
      </c>
      <c r="M18" s="45" t="s">
        <v>102</v>
      </c>
      <c r="N18" s="45" t="s">
        <v>102</v>
      </c>
      <c r="O18" s="45" t="s">
        <v>102</v>
      </c>
      <c r="P18" s="45" t="s">
        <v>102</v>
      </c>
      <c r="Q18" s="41" t="s">
        <v>102</v>
      </c>
      <c r="R18" s="45" t="s">
        <v>102</v>
      </c>
      <c r="S18" s="45" t="s">
        <v>102</v>
      </c>
      <c r="T18" s="45" t="s">
        <v>102</v>
      </c>
      <c r="U18" s="45" t="s">
        <v>102</v>
      </c>
      <c r="V18" s="41" t="s">
        <v>102</v>
      </c>
      <c r="W18" s="45" t="s">
        <v>102</v>
      </c>
      <c r="X18" s="45" t="s">
        <v>102</v>
      </c>
      <c r="Y18" s="45" t="s">
        <v>102</v>
      </c>
      <c r="Z18" s="45" t="s">
        <v>102</v>
      </c>
      <c r="AA18" s="41" t="s">
        <v>102</v>
      </c>
      <c r="AB18" s="45" t="s">
        <v>102</v>
      </c>
      <c r="AC18" s="45" t="s">
        <v>102</v>
      </c>
      <c r="AD18" s="45" t="s">
        <v>102</v>
      </c>
      <c r="AE18" s="45" t="s">
        <v>102</v>
      </c>
      <c r="AF18" s="41" t="s">
        <v>102</v>
      </c>
      <c r="AG18" s="45" t="s">
        <v>102</v>
      </c>
      <c r="AH18" s="45" t="s">
        <v>102</v>
      </c>
      <c r="AI18" s="45" t="s">
        <v>102</v>
      </c>
      <c r="AJ18" s="45" t="s">
        <v>102</v>
      </c>
      <c r="AK18" s="41" t="s">
        <v>102</v>
      </c>
      <c r="AL18" s="45" t="s">
        <v>102</v>
      </c>
      <c r="AM18" s="45" t="s">
        <v>102</v>
      </c>
      <c r="AN18" s="45" t="s">
        <v>102</v>
      </c>
      <c r="AO18" s="45" t="s">
        <v>102</v>
      </c>
      <c r="AP18" s="41" t="s">
        <v>102</v>
      </c>
      <c r="AQ18" s="45" t="s">
        <v>102</v>
      </c>
      <c r="AR18" s="45" t="s">
        <v>102</v>
      </c>
      <c r="AS18" s="45" t="s">
        <v>102</v>
      </c>
      <c r="AT18" s="45" t="s">
        <v>102</v>
      </c>
      <c r="AU18" s="41" t="s">
        <v>102</v>
      </c>
      <c r="AV18" s="45" t="s">
        <v>102</v>
      </c>
      <c r="AW18" s="45" t="s">
        <v>102</v>
      </c>
      <c r="AX18" s="45" t="s">
        <v>102</v>
      </c>
      <c r="AY18" s="45" t="s">
        <v>102</v>
      </c>
      <c r="BA18" s="10" t="str">
        <f>CONCATENATE(NSi.TS[[#This Row],[KU.1]],(IF(A.LoE[[#This Row],[LE.1]]="-","-",IF(A.LoE[[#This Row],[LE.1]]&gt;=90,1,IF(A.LoE[[#This Row],[LE.1]]&gt;=80,2,IF(A.LoE[[#This Row],[LE.1]]&gt;=70,3,IF(A.LoE[[#This Row],[LE.1]]&gt;=1,4,5)))))))</f>
        <v>--</v>
      </c>
      <c r="BB18" s="46" t="str">
        <f>CONCATENATE(NSi.TS[[#This Row],[KU.2]],(IF(A.LoE[[#This Row],[LE.2]]="-","-",IF(A.LoE[[#This Row],[LE.2]]&gt;=90,1,IF(A.LoE[[#This Row],[LE.2]]&gt;=80,2,IF(A.LoE[[#This Row],[LE.2]]&gt;=70,3,IF(A.LoE[[#This Row],[LE.2]]&gt;=1,4,5)))))))</f>
        <v>--</v>
      </c>
      <c r="BC18" s="46" t="str">
        <f>CONCATENATE(NSi.TS[[#This Row],[KU.3]],(IF(A.LoE[[#This Row],[LE.3]]="-","-",IF(A.LoE[[#This Row],[LE.3]]&gt;=90,1,IF(A.LoE[[#This Row],[LE.3]]&gt;=80,2,IF(A.LoE[[#This Row],[LE.3]]&gt;=70,3,IF(A.LoE[[#This Row],[LE.3]]&gt;=1,4,5)))))))</f>
        <v>--</v>
      </c>
      <c r="BD18" s="46" t="str">
        <f>CONCATENATE(NSi.TS[[#This Row],[KU.4]],(IF(A.LoE[[#This Row],[LE.4]]="-","-",IF(A.LoE[[#This Row],[LE.4]]&gt;=90,1,IF(A.LoE[[#This Row],[LE.4]]&gt;=80,2,IF(A.LoE[[#This Row],[LE.4]]&gt;=70,3,IF(A.LoE[[#This Row],[LE.4]]&gt;=1,4,5)))))))</f>
        <v>--</v>
      </c>
      <c r="BE18" s="46" t="str">
        <f>CONCATENATE(NSi.TS[[#This Row],[KU.5]],(IF(A.LoE[[#This Row],[LE.5]]="-","-",IF(A.LoE[[#This Row],[LE.5]]&gt;=90,1,IF(A.LoE[[#This Row],[LE.5]]&gt;=80,2,IF(A.LoE[[#This Row],[LE.5]]&gt;=70,3,IF(A.LoE[[#This Row],[LE.5]]&gt;=1,4,5)))))))</f>
        <v>--</v>
      </c>
      <c r="BF18" s="46" t="str">
        <f>CONCATENATE(NSi.TS[[#This Row],[KU.6]],(IF(A.LoE[[#This Row],[LE.6]]="-","-",IF(A.LoE[[#This Row],[LE.6]]&gt;=90,1,IF(A.LoE[[#This Row],[LE.6]]&gt;=80,2,IF(A.LoE[[#This Row],[LE.6]]&gt;=70,3,IF(A.LoE[[#This Row],[LE.6]]&gt;=1,4,5)))))))</f>
        <v>--</v>
      </c>
      <c r="BG18" s="46" t="str">
        <f>CONCATENATE(NSi.TS[[#This Row],[KU.7]],(IF(A.LoE[[#This Row],[LE.7]]="-","-",IF(A.LoE[[#This Row],[LE.7]]&gt;=90,1,IF(A.LoE[[#This Row],[LE.7]]&gt;=80,2,IF(A.LoE[[#This Row],[LE.7]]&gt;=70,3,IF(A.LoE[[#This Row],[LE.7]]&gt;=1,4,5)))))))</f>
        <v>--</v>
      </c>
      <c r="BH18" s="46" t="str">
        <f>CONCATENATE(NSi.TS[[#This Row],[KU.8]],(IF(A.LoE[[#This Row],[LE.8]]="-","-",IF(A.LoE[[#This Row],[LE.8]]&gt;=90,1,IF(A.LoE[[#This Row],[LE.8]]&gt;=80,2,IF(A.LoE[[#This Row],[LE.8]]&gt;=70,3,IF(A.LoE[[#This Row],[LE.8]]&gt;=1,4,5)))))))</f>
        <v>--</v>
      </c>
      <c r="BI18" s="38" t="str">
        <f>CONCATENATE(NSi.TS[[#This Row],[KU.9]],(IF(A.LoE[[#This Row],[LE.9]]="-","-",IF(A.LoE[[#This Row],[LE.9]]&gt;=90,1,IF(A.LoE[[#This Row],[LE.9]]&gt;=80,2,IF(A.LoE[[#This Row],[LE.9]]&gt;=70,3,IF(A.LoE[[#This Row],[LE.9]]&gt;=1,4,5)))))))</f>
        <v>--</v>
      </c>
      <c r="BK18" s="35" t="str">
        <f>IFERROR(ROUND(AVERAGE(Con.Sk[[#This Row],[TJ.1]:[Pro-A.1]]),0),"-")</f>
        <v>-</v>
      </c>
      <c r="BL18" s="24" t="str">
        <f>IFERROR(ROUND(AVERAGE(Con.Sk[[#This Row],[TJ.2]:[Pro-A.2]]),0),"-")</f>
        <v>-</v>
      </c>
      <c r="BM18" s="24" t="str">
        <f>IFERROR(ROUND(AVERAGE(Con.Sk[[#This Row],[TJ.3]:[Pro-A.3]]),0),"-")</f>
        <v>-</v>
      </c>
      <c r="BN18" s="24" t="str">
        <f>IFERROR(ROUND(AVERAGE(Con.Sk[[#This Row],[TJ.4]:[Pro-A.4]]),0),"-")</f>
        <v>-</v>
      </c>
      <c r="BO18" s="24" t="str">
        <f>IFERROR(ROUND(AVERAGE(Con.Sk[[#This Row],[TJ.5]:[Pro-A.5]]),0),"-")</f>
        <v>-</v>
      </c>
      <c r="BP18" s="24" t="str">
        <f>IFERROR(ROUND(AVERAGE(Con.Sk[[#This Row],[TJ.6]:[Pro-A.6]]),0),"-")</f>
        <v>-</v>
      </c>
      <c r="BQ18" s="24" t="str">
        <f>IFERROR(ROUND(AVERAGE(Con.Sk[[#This Row],[TJ.7]:[Pro-A.7]]),0),"-")</f>
        <v>-</v>
      </c>
      <c r="BR18" s="24" t="str">
        <f>IFERROR(ROUND(AVERAGE(Con.Sk[[#This Row],[TJ.8]:[Pro-A.8]]),0),"-")</f>
        <v>-</v>
      </c>
      <c r="BS18" s="25" t="str">
        <f>IFERROR(ROUND(AVERAGE(Con.Sk[[#This Row],[TJ.9]:[Pro-A.9]]),0),"-")</f>
        <v>-</v>
      </c>
      <c r="BU18" s="47" t="str">
        <f>IFERROR(ROUND(AVERAGE(Con.Sk[[#This Row],[KU.1]],Con.Sk[[#This Row],[KU.2]],Con.Sk[[#This Row],[KU.3]],Con.Sk[[#This Row],[KU.4]],Con.Sk[[#This Row],[KU.5]],Con.Sk[[#This Row],[KU.6]],Con.Sk[[#This Row],[KU.7]],Con.Sk[[#This Row],[KU.8]],Con.Sk[[#This Row],[KU.9]]),0),"")</f>
        <v/>
      </c>
      <c r="BV18" s="48" t="str">
        <f>IFERROR(ROUND(AVERAGE(Con.Sk[[#This Row],[TJ.1]:[Pro-A.1]],Con.Sk[[#This Row],[TJ.2]:[Pro-A.2]],Con.Sk[[#This Row],[TJ.3]:[Pro-A.3]],Con.Sk[[#This Row],[TJ.4]:[Pro-A.4]],Con.Sk[[#This Row],[TJ.5]:[Pro-A.5]],Con.Sk[[#This Row],[TJ.6]:[Pro-A.6]],Con.Sk[[#This Row],[TJ.7]:[Pro-A.7]],Con.Sk[[#This Row],[TJ.8]:[Pro-A.8]],Con.Sk[[#This Row],[TJ.9]:[Pro-A.9]]),0),"")</f>
        <v/>
      </c>
      <c r="BW18" s="3"/>
      <c r="BX18" s="73" t="str">
        <f>IF(NSi.TS[[#This Row],[KU.1]]="A",100,IF(NSi.TS[[#This Row],[KU.1]]="B",89,IF(NSi.TS[[#This Row],[KU.1]]="C",79,IF(NSi.TS[[#This Row],[KU.1]]="D",69,IF(NSi.TS[[#This Row],[KU.1]]="E",0,"-")))))</f>
        <v>-</v>
      </c>
      <c r="BY18" s="73" t="str">
        <f>IF(NSi.TS[[#This Row],[TJ.1]]=1,100,IF(NSi.TS[[#This Row],[TJ.1]]=2,89,IF(NSi.TS[[#This Row],[TJ.1]]=3,79,IF(NSi.TS[[#This Row],[TJ.1]]=4,69,IF(NSi.TS[[#This Row],[TJ.1]]=5,0,"-")))))</f>
        <v>-</v>
      </c>
      <c r="BZ18" s="73" t="str">
        <f>IF(NSi.TS[[#This Row],[Ker.1]]=1,100,IF(NSi.TS[[#This Row],[Ker.1]]=2,89,IF(NSi.TS[[#This Row],[Ker.1]]=3,79,IF(NSi.TS[[#This Row],[Ker.1]]=4,69,IF(NSi.TS[[#This Row],[Ker.1]]=5,0,"-")))))</f>
        <v>-</v>
      </c>
      <c r="CA18" s="73" t="str">
        <f>IF(NSi.TS[[#This Row],[Ped.1]]=1,100,IF(NSi.TS[[#This Row],[Ped.1]]=2,89,IF(NSi.TS[[#This Row],[Ped.1]]=3,79,IF(NSi.TS[[#This Row],[Ped.1]]=4,69,IF(NSi.TS[[#This Row],[Ped.1]]=5,0,"-")))))</f>
        <v>-</v>
      </c>
      <c r="CB18" s="73" t="str">
        <f>IF(NSi.TS[[#This Row],[Pro-A.1]]=1,100,IF(NSi.TS[[#This Row],[Pro-A.1]]=2,89,IF(NSi.TS[[#This Row],[Pro-A.1]]=3,79,IF(NSi.TS[[#This Row],[Pro-A.1]]=4,69,IF(NSi.TS[[#This Row],[Pro-A.1]]=5,0,"-")))))</f>
        <v>-</v>
      </c>
      <c r="CC18" s="73" t="str">
        <f>IF(NSi.TS[[#This Row],[KU.2]]="A",100,IF(NSi.TS[[#This Row],[KU.2]]="B",89,IF(NSi.TS[[#This Row],[KU.2]]="C",79,IF(NSi.TS[[#This Row],[KU.2]]="D",69,IF(NSi.TS[[#This Row],[KU.2]]="E",0,"-")))))</f>
        <v>-</v>
      </c>
      <c r="CD18" s="73" t="str">
        <f>IF(NSi.TS[[#This Row],[TJ.2]]=1,100,IF(NSi.TS[[#This Row],[TJ.2]]=2,89,IF(NSi.TS[[#This Row],[TJ.2]]=3,79,IF(NSi.TS[[#This Row],[TJ.2]]=4,69,IF(NSi.TS[[#This Row],[TJ.2]]=5,0,"-")))))</f>
        <v>-</v>
      </c>
      <c r="CE18" s="73" t="str">
        <f>IF(NSi.TS[[#This Row],[Ker.2]]=1,100,IF(NSi.TS[[#This Row],[Ker.2]]=2,89,IF(NSi.TS[[#This Row],[Ker.2]]=3,79,IF(NSi.TS[[#This Row],[Ker.2]]=4,69,IF(NSi.TS[[#This Row],[Ker.2]]=5,0,"-")))))</f>
        <v>-</v>
      </c>
      <c r="CF18" s="73" t="str">
        <f>IF(NSi.TS[[#This Row],[Ped.2]]=1,100,IF(NSi.TS[[#This Row],[Ped.2]]=2,89,IF(NSi.TS[[#This Row],[Ped.2]]=3,79,IF(NSi.TS[[#This Row],[Ped.2]]=4,69,IF(NSi.TS[[#This Row],[Ped.2]]=5,0,"-")))))</f>
        <v>-</v>
      </c>
      <c r="CG18" s="73" t="str">
        <f>IF(NSi.TS[[#This Row],[Pro-A.2]]=1,100,IF(NSi.TS[[#This Row],[Pro-A.2]]=2,89,IF(NSi.TS[[#This Row],[Pro-A.2]]=3,79,IF(NSi.TS[[#This Row],[Pro-A.2]]=4,69,IF(NSi.TS[[#This Row],[Pro-A.2]]=5,0,"-")))))</f>
        <v>-</v>
      </c>
      <c r="CH18" s="74" t="str">
        <f>IF(NSi.TS[[#This Row],[KU.3]]="A",100,IF(NSi.TS[[#This Row],[KU.3]]="B",89,IF(NSi.TS[[#This Row],[KU.3]]="C",79,IF(NSi.TS[[#This Row],[KU.3]]="D",69,IF(NSi.TS[[#This Row],[KU.3]]="E",0,"-")))))</f>
        <v>-</v>
      </c>
      <c r="CI18" s="73" t="str">
        <f>IF(NSi.TS[[#This Row],[TJ.3]]=1,100,IF(NSi.TS[[#This Row],[TJ.3]]=2,89,IF(NSi.TS[[#This Row],[TJ.3]]=3,79,IF(NSi.TS[[#This Row],[TJ.3]]=4,69,IF(NSi.TS[[#This Row],[TJ.3]]=5,0,"-")))))</f>
        <v>-</v>
      </c>
      <c r="CJ18" s="73" t="str">
        <f>IF(NSi.TS[[#This Row],[Ker.3]]=1,100,IF(NSi.TS[[#This Row],[Ker.3]]=2,89,IF(NSi.TS[[#This Row],[Ker.3]]=3,79,IF(NSi.TS[[#This Row],[Ker.3]]=4,69,IF(NSi.TS[[#This Row],[Ker.3]]=5,0,"-")))))</f>
        <v>-</v>
      </c>
      <c r="CK18" s="73" t="str">
        <f>IF(NSi.TS[[#This Row],[Ped.3]]=1,100,IF(NSi.TS[[#This Row],[Ped.3]]=2,89,IF(NSi.TS[[#This Row],[Ped.3]]=3,79,IF(NSi.TS[[#This Row],[Ped.3]]=4,69,IF(NSi.TS[[#This Row],[Ped.3]]=5,0,"-")))))</f>
        <v>-</v>
      </c>
      <c r="CL18" s="73" t="str">
        <f>IF(NSi.TS[[#This Row],[Pro-A.3]]=1,100,IF(NSi.TS[[#This Row],[Pro-A.3]]=2,89,IF(NSi.TS[[#This Row],[Pro-A.3]]=3,79,IF(NSi.TS[[#This Row],[Pro-A.3]]=4,69,IF(NSi.TS[[#This Row],[Pro-A.3]]=5,0,"-")))))</f>
        <v>-</v>
      </c>
      <c r="CM18" s="74" t="str">
        <f>IF(NSi.TS[[#This Row],[KU.4]]="A",100,IF(NSi.TS[[#This Row],[KU.4]]="B",89,IF(NSi.TS[[#This Row],[KU.4]]="C",79,IF(NSi.TS[[#This Row],[KU.4]]="D",69,IF(NSi.TS[[#This Row],[KU.4]]="E",0,"-")))))</f>
        <v>-</v>
      </c>
      <c r="CN18" s="73" t="str">
        <f>IF(NSi.TS[[#This Row],[TJ.4]]=1,100,IF(NSi.TS[[#This Row],[TJ.4]]=2,89,IF(NSi.TS[[#This Row],[TJ.4]]=3,79,IF(NSi.TS[[#This Row],[TJ.4]]=4,69,IF(NSi.TS[[#This Row],[TJ.4]]=5,0,"-")))))</f>
        <v>-</v>
      </c>
      <c r="CO18" s="73" t="str">
        <f>IF(NSi.TS[[#This Row],[Ker.4]]=1,100,IF(NSi.TS[[#This Row],[Ker.4]]=2,89,IF(NSi.TS[[#This Row],[Ker.4]]=3,79,IF(NSi.TS[[#This Row],[Ker.4]]=4,69,IF(NSi.TS[[#This Row],[Ker.4]]=5,0,"-")))))</f>
        <v>-</v>
      </c>
      <c r="CP18" s="73" t="str">
        <f>IF(NSi.TS[[#This Row],[Ped.4]]=1,100,IF(NSi.TS[[#This Row],[Ped.4]]=2,89,IF(NSi.TS[[#This Row],[Ped.4]]=3,79,IF(NSi.TS[[#This Row],[Ped.4]]=4,69,IF(NSi.TS[[#This Row],[Ped.4]]=5,0,"-")))))</f>
        <v>-</v>
      </c>
      <c r="CQ18" s="73" t="str">
        <f>IF(NSi.TS[[#This Row],[Pro-A.4]]=1,100,IF(NSi.TS[[#This Row],[Pro-A.4]]=2,89,IF(NSi.TS[[#This Row],[Pro-A.4]]=3,79,IF(NSi.TS[[#This Row],[Pro-A.4]]=4,69,IF(NSi.TS[[#This Row],[Pro-A.4]]=5,0,"-")))))</f>
        <v>-</v>
      </c>
      <c r="CR18" s="74" t="str">
        <f>IF(NSi.TS[[#This Row],[KU.5]]="A",100,IF(NSi.TS[[#This Row],[KU.5]]="B",89,IF(NSi.TS[[#This Row],[KU.5]]="C",79,IF(NSi.TS[[#This Row],[KU.5]]="D",69,IF(NSi.TS[[#This Row],[KU.5]]="E",0,"-")))))</f>
        <v>-</v>
      </c>
      <c r="CS18" s="73" t="str">
        <f>IF(NSi.TS[[#This Row],[TJ.5]]=1,100,IF(NSi.TS[[#This Row],[TJ.5]]=2,89,IF(NSi.TS[[#This Row],[TJ.5]]=3,79,IF(NSi.TS[[#This Row],[TJ.5]]=4,69,IF(NSi.TS[[#This Row],[TJ.5]]=5,0,"-")))))</f>
        <v>-</v>
      </c>
      <c r="CT18" s="73" t="str">
        <f>IF(NSi.TS[[#This Row],[Ker.5]]=1,100,IF(NSi.TS[[#This Row],[Ker.5]]=2,89,IF(NSi.TS[[#This Row],[Ker.5]]=3,79,IF(NSi.TS[[#This Row],[Ker.5]]=4,69,IF(NSi.TS[[#This Row],[Ker.5]]=5,0,"-")))))</f>
        <v>-</v>
      </c>
      <c r="CU18" s="73" t="str">
        <f>IF(NSi.TS[[#This Row],[Ped.5]]=1,100,IF(NSi.TS[[#This Row],[Ped.5]]=2,89,IF(NSi.TS[[#This Row],[Ped.5]]=3,79,IF(NSi.TS[[#This Row],[Ped.5]]=4,69,IF(NSi.TS[[#This Row],[Ped.5]]=5,0,"-")))))</f>
        <v>-</v>
      </c>
      <c r="CV18" s="73" t="str">
        <f>IF(NSi.TS[[#This Row],[Pro-A.5]]=1,100,IF(NSi.TS[[#This Row],[Pro-A.5]]=2,89,IF(NSi.TS[[#This Row],[Pro-A.5]]=3,79,IF(NSi.TS[[#This Row],[Pro-A.5]]=4,69,IF(NSi.TS[[#This Row],[Pro-A.5]]=5,0,"-")))))</f>
        <v>-</v>
      </c>
      <c r="CW18" s="74" t="str">
        <f>IF(NSi.TS[[#This Row],[KU.6]]="A",100,IF(NSi.TS[[#This Row],[KU.6]]="B",89,IF(NSi.TS[[#This Row],[KU.6]]="C",79,IF(NSi.TS[[#This Row],[KU.6]]="D",69,IF(NSi.TS[[#This Row],[KU.6]]="E",0,"-")))))</f>
        <v>-</v>
      </c>
      <c r="CX18" s="73" t="str">
        <f>IF(NSi.TS[[#This Row],[TJ.6]]=1,100,IF(NSi.TS[[#This Row],[TJ.6]]=2,89,IF(NSi.TS[[#This Row],[TJ.6]]=3,79,IF(NSi.TS[[#This Row],[TJ.6]]=4,69,IF(NSi.TS[[#This Row],[TJ.6]]=5,0,"-")))))</f>
        <v>-</v>
      </c>
      <c r="CY18" s="73" t="str">
        <f>IF(NSi.TS[[#This Row],[Ker.6]]=1,100,IF(NSi.TS[[#This Row],[Ker.6]]=2,89,IF(NSi.TS[[#This Row],[Ker.6]]=3,79,IF(NSi.TS[[#This Row],[Ker.6]]=4,69,IF(NSi.TS[[#This Row],[Ker.6]]=5,0,"-")))))</f>
        <v>-</v>
      </c>
      <c r="CZ18" s="73" t="str">
        <f>IF(NSi.TS[[#This Row],[Ped.6]]=1,100,IF(NSi.TS[[#This Row],[Ped.6]]=2,89,IF(NSi.TS[[#This Row],[Ped.6]]=3,79,IF(NSi.TS[[#This Row],[Ped.6]]=4,69,IF(NSi.TS[[#This Row],[Ped.6]]=5,0,"-")))))</f>
        <v>-</v>
      </c>
      <c r="DA18" s="73" t="str">
        <f>IF(NSi.TS[[#This Row],[Pro-A.6]]=1,100,IF(NSi.TS[[#This Row],[Pro-A.6]]=2,89,IF(NSi.TS[[#This Row],[Pro-A.6]]=3,79,IF(NSi.TS[[#This Row],[Pro-A.6]]=4,69,IF(NSi.TS[[#This Row],[Pro-A.6]]=5,0,"-")))))</f>
        <v>-</v>
      </c>
      <c r="DB18" s="74" t="str">
        <f>IF(NSi.TS[[#This Row],[KU.7]]="A",100,IF(NSi.TS[[#This Row],[KU.7]]="B",89,IF(NSi.TS[[#This Row],[KU.7]]="C",79,IF(NSi.TS[[#This Row],[KU.7]]="D",69,IF(NSi.TS[[#This Row],[KU.7]]="E",0,"-")))))</f>
        <v>-</v>
      </c>
      <c r="DC18" s="73" t="str">
        <f>IF(NSi.TS[[#This Row],[TJ.7]]=1,100,IF(NSi.TS[[#This Row],[TJ.7]]=2,89,IF(NSi.TS[[#This Row],[TJ.7]]=3,79,IF(NSi.TS[[#This Row],[TJ.7]]=4,69,IF(NSi.TS[[#This Row],[TJ.7]]=5,0,"-")))))</f>
        <v>-</v>
      </c>
      <c r="DD18" s="73" t="str">
        <f>IF(NSi.TS[[#This Row],[Ker.7]]=1,100,IF(NSi.TS[[#This Row],[Ker.7]]=2,89,IF(NSi.TS[[#This Row],[Ker.7]]=3,79,IF(NSi.TS[[#This Row],[Ker.7]]=4,69,IF(NSi.TS[[#This Row],[Ker.7]]=5,0,"-")))))</f>
        <v>-</v>
      </c>
      <c r="DE18" s="73" t="str">
        <f>IF(NSi.TS[[#This Row],[Ped.7]]=1,100,IF(NSi.TS[[#This Row],[Ped.7]]=2,89,IF(NSi.TS[[#This Row],[Ped.7]]=3,79,IF(NSi.TS[[#This Row],[Ped.7]]=4,69,IF(NSi.TS[[#This Row],[Ped.7]]=5,0,"-")))))</f>
        <v>-</v>
      </c>
      <c r="DF18" s="73" t="str">
        <f>IF(NSi.TS[[#This Row],[Pro-A.7]]=1,100,IF(NSi.TS[[#This Row],[Pro-A.7]]=2,89,IF(NSi.TS[[#This Row],[Pro-A.7]]=3,79,IF(NSi.TS[[#This Row],[Pro-A.7]]=4,69,IF(NSi.TS[[#This Row],[Pro-A.7]]=5,0,"-")))))</f>
        <v>-</v>
      </c>
      <c r="DG18" s="74" t="str">
        <f>IF(NSi.TS[[#This Row],[KU.8]]="A",100,IF(NSi.TS[[#This Row],[KU.8]]="B",89,IF(NSi.TS[[#This Row],[KU.8]]="C",79,IF(NSi.TS[[#This Row],[KU.8]]="D",69,IF(NSi.TS[[#This Row],[KU.8]]="E",0,"-")))))</f>
        <v>-</v>
      </c>
      <c r="DH18" s="73" t="str">
        <f>IF(NSi.TS[[#This Row],[TJ.8]]=1,100,IF(NSi.TS[[#This Row],[TJ.8]]=2,89,IF(NSi.TS[[#This Row],[TJ.8]]=3,79,IF(NSi.TS[[#This Row],[TJ.8]]=4,69,IF(NSi.TS[[#This Row],[TJ.8]]=5,0,"-")))))</f>
        <v>-</v>
      </c>
      <c r="DI18" s="73" t="str">
        <f>IF(NSi.TS[[#This Row],[Ker.8]]=1,100,IF(NSi.TS[[#This Row],[Ker.8]]=2,89,IF(NSi.TS[[#This Row],[Ker.8]]=3,79,IF(NSi.TS[[#This Row],[Ker.8]]=4,69,IF(NSi.TS[[#This Row],[Ker.8]]=5,0,"-")))))</f>
        <v>-</v>
      </c>
      <c r="DJ18" s="73" t="str">
        <f>IF(NSi.TS[[#This Row],[Ped.8]]=1,100,IF(NSi.TS[[#This Row],[Ped.8]]=2,89,IF(NSi.TS[[#This Row],[Ped.8]]=3,79,IF(NSi.TS[[#This Row],[Ped.8]]=4,69,IF(NSi.TS[[#This Row],[Ped.8]]=5,0,"-")))))</f>
        <v>-</v>
      </c>
      <c r="DK18" s="73" t="str">
        <f>IF(NSi.TS[[#This Row],[Pro-A.8]]=1,100,IF(NSi.TS[[#This Row],[Pro-A.8]]=2,89,IF(NSi.TS[[#This Row],[Pro-A.8]]=3,79,IF(NSi.TS[[#This Row],[Pro-A.8]]=4,69,IF(NSi.TS[[#This Row],[Pro-A.8]]=5,0,"-")))))</f>
        <v>-</v>
      </c>
      <c r="DL18" s="74" t="str">
        <f>IF(NSi.TS[[#This Row],[KU.9]]="A",100,IF(NSi.TS[[#This Row],[KU.9]]="B",89,IF(NSi.TS[[#This Row],[KU.9]]="C",79,IF(NSi.TS[[#This Row],[KU.9]]="D",69,IF(NSi.TS[[#This Row],[KU.9]]="E",0,"-")))))</f>
        <v>-</v>
      </c>
      <c r="DM18" s="73" t="str">
        <f>IF(NSi.TS[[#This Row],[TJ.9]]=1,100,IF(NSi.TS[[#This Row],[TJ.9]]=2,89,IF(NSi.TS[[#This Row],[TJ.9]]=3,79,IF(NSi.TS[[#This Row],[TJ.9]]=4,69,IF(NSi.TS[[#This Row],[TJ.9]]=5,0,"-")))))</f>
        <v>-</v>
      </c>
      <c r="DN18" s="73" t="str">
        <f>IF(NSi.TS[[#This Row],[Ker.9]]=1,100,IF(NSi.TS[[#This Row],[Ker.9]]=2,89,IF(NSi.TS[[#This Row],[Ker.9]]=3,79,IF(NSi.TS[[#This Row],[Ker.9]]=4,69,IF(NSi.TS[[#This Row],[Ker.9]]=5,0,"-")))))</f>
        <v>-</v>
      </c>
      <c r="DO18" s="73" t="str">
        <f>IF(NSi.TS[[#This Row],[Ped.9]]=1,100,IF(NSi.TS[[#This Row],[Ped.9]]=2,89,IF(NSi.TS[[#This Row],[Ped.9]]=3,79,IF(NSi.TS[[#This Row],[Ped.9]]=4,69,IF(NSi.TS[[#This Row],[Ped.9]]=5,0,"-")))))</f>
        <v>-</v>
      </c>
      <c r="DP18" s="73" t="str">
        <f>IF(NSi.TS[[#This Row],[Pro-A.9]]=1,100,IF(NSi.TS[[#This Row],[Pro-A.9]]=2,89,IF(NSi.TS[[#This Row],[Pro-A.9]]=3,79,IF(NSi.TS[[#This Row],[Pro-A.9]]=4,69,IF(NSi.TS[[#This Row],[Pro-A.9]]=5,0,"-")))))</f>
        <v>-</v>
      </c>
    </row>
    <row r="19" spans="1:120" ht="50.1" customHeight="1" x14ac:dyDescent="0.3">
      <c r="A19" s="85"/>
      <c r="B19" s="86"/>
      <c r="C19" s="87"/>
      <c r="D19" s="87"/>
      <c r="E19" s="87"/>
      <c r="F19" s="44" t="str">
        <f>IFERROR(ROUND(AVERAGE(CSCR[#This Row]),0),"")</f>
        <v/>
      </c>
      <c r="G19" s="41" t="s">
        <v>102</v>
      </c>
      <c r="H19" s="45" t="s">
        <v>102</v>
      </c>
      <c r="I19" s="45" t="s">
        <v>102</v>
      </c>
      <c r="J19" s="45" t="s">
        <v>102</v>
      </c>
      <c r="K19" s="45" t="s">
        <v>102</v>
      </c>
      <c r="L19" s="41" t="s">
        <v>102</v>
      </c>
      <c r="M19" s="45" t="s">
        <v>102</v>
      </c>
      <c r="N19" s="45" t="s">
        <v>102</v>
      </c>
      <c r="O19" s="45" t="s">
        <v>102</v>
      </c>
      <c r="P19" s="45" t="s">
        <v>102</v>
      </c>
      <c r="Q19" s="41" t="s">
        <v>102</v>
      </c>
      <c r="R19" s="45" t="s">
        <v>102</v>
      </c>
      <c r="S19" s="45" t="s">
        <v>102</v>
      </c>
      <c r="T19" s="45" t="s">
        <v>102</v>
      </c>
      <c r="U19" s="45" t="s">
        <v>102</v>
      </c>
      <c r="V19" s="41" t="s">
        <v>102</v>
      </c>
      <c r="W19" s="45" t="s">
        <v>102</v>
      </c>
      <c r="X19" s="45" t="s">
        <v>102</v>
      </c>
      <c r="Y19" s="45" t="s">
        <v>102</v>
      </c>
      <c r="Z19" s="45" t="s">
        <v>102</v>
      </c>
      <c r="AA19" s="41" t="s">
        <v>102</v>
      </c>
      <c r="AB19" s="45" t="s">
        <v>102</v>
      </c>
      <c r="AC19" s="45" t="s">
        <v>102</v>
      </c>
      <c r="AD19" s="45" t="s">
        <v>102</v>
      </c>
      <c r="AE19" s="45" t="s">
        <v>102</v>
      </c>
      <c r="AF19" s="41" t="s">
        <v>102</v>
      </c>
      <c r="AG19" s="45" t="s">
        <v>102</v>
      </c>
      <c r="AH19" s="45" t="s">
        <v>102</v>
      </c>
      <c r="AI19" s="45" t="s">
        <v>102</v>
      </c>
      <c r="AJ19" s="45" t="s">
        <v>102</v>
      </c>
      <c r="AK19" s="41" t="s">
        <v>102</v>
      </c>
      <c r="AL19" s="45" t="s">
        <v>102</v>
      </c>
      <c r="AM19" s="45" t="s">
        <v>102</v>
      </c>
      <c r="AN19" s="45" t="s">
        <v>102</v>
      </c>
      <c r="AO19" s="45" t="s">
        <v>102</v>
      </c>
      <c r="AP19" s="41" t="s">
        <v>102</v>
      </c>
      <c r="AQ19" s="45" t="s">
        <v>102</v>
      </c>
      <c r="AR19" s="45" t="s">
        <v>102</v>
      </c>
      <c r="AS19" s="45" t="s">
        <v>102</v>
      </c>
      <c r="AT19" s="45" t="s">
        <v>102</v>
      </c>
      <c r="AU19" s="41" t="s">
        <v>102</v>
      </c>
      <c r="AV19" s="45" t="s">
        <v>102</v>
      </c>
      <c r="AW19" s="45" t="s">
        <v>102</v>
      </c>
      <c r="AX19" s="45" t="s">
        <v>102</v>
      </c>
      <c r="AY19" s="45" t="s">
        <v>102</v>
      </c>
      <c r="BA19" s="10" t="str">
        <f>CONCATENATE(NSi.TS[[#This Row],[KU.1]],(IF(A.LoE[[#This Row],[LE.1]]="-","-",IF(A.LoE[[#This Row],[LE.1]]&gt;=90,1,IF(A.LoE[[#This Row],[LE.1]]&gt;=80,2,IF(A.LoE[[#This Row],[LE.1]]&gt;=70,3,IF(A.LoE[[#This Row],[LE.1]]&gt;=1,4,5)))))))</f>
        <v>--</v>
      </c>
      <c r="BB19" s="46" t="str">
        <f>CONCATENATE(NSi.TS[[#This Row],[KU.2]],(IF(A.LoE[[#This Row],[LE.2]]="-","-",IF(A.LoE[[#This Row],[LE.2]]&gt;=90,1,IF(A.LoE[[#This Row],[LE.2]]&gt;=80,2,IF(A.LoE[[#This Row],[LE.2]]&gt;=70,3,IF(A.LoE[[#This Row],[LE.2]]&gt;=1,4,5)))))))</f>
        <v>--</v>
      </c>
      <c r="BC19" s="46" t="str">
        <f>CONCATENATE(NSi.TS[[#This Row],[KU.3]],(IF(A.LoE[[#This Row],[LE.3]]="-","-",IF(A.LoE[[#This Row],[LE.3]]&gt;=90,1,IF(A.LoE[[#This Row],[LE.3]]&gt;=80,2,IF(A.LoE[[#This Row],[LE.3]]&gt;=70,3,IF(A.LoE[[#This Row],[LE.3]]&gt;=1,4,5)))))))</f>
        <v>--</v>
      </c>
      <c r="BD19" s="46" t="str">
        <f>CONCATENATE(NSi.TS[[#This Row],[KU.4]],(IF(A.LoE[[#This Row],[LE.4]]="-","-",IF(A.LoE[[#This Row],[LE.4]]&gt;=90,1,IF(A.LoE[[#This Row],[LE.4]]&gt;=80,2,IF(A.LoE[[#This Row],[LE.4]]&gt;=70,3,IF(A.LoE[[#This Row],[LE.4]]&gt;=1,4,5)))))))</f>
        <v>--</v>
      </c>
      <c r="BE19" s="46" t="str">
        <f>CONCATENATE(NSi.TS[[#This Row],[KU.5]],(IF(A.LoE[[#This Row],[LE.5]]="-","-",IF(A.LoE[[#This Row],[LE.5]]&gt;=90,1,IF(A.LoE[[#This Row],[LE.5]]&gt;=80,2,IF(A.LoE[[#This Row],[LE.5]]&gt;=70,3,IF(A.LoE[[#This Row],[LE.5]]&gt;=1,4,5)))))))</f>
        <v>--</v>
      </c>
      <c r="BF19" s="46" t="str">
        <f>CONCATENATE(NSi.TS[[#This Row],[KU.6]],(IF(A.LoE[[#This Row],[LE.6]]="-","-",IF(A.LoE[[#This Row],[LE.6]]&gt;=90,1,IF(A.LoE[[#This Row],[LE.6]]&gt;=80,2,IF(A.LoE[[#This Row],[LE.6]]&gt;=70,3,IF(A.LoE[[#This Row],[LE.6]]&gt;=1,4,5)))))))</f>
        <v>--</v>
      </c>
      <c r="BG19" s="46" t="str">
        <f>CONCATENATE(NSi.TS[[#This Row],[KU.7]],(IF(A.LoE[[#This Row],[LE.7]]="-","-",IF(A.LoE[[#This Row],[LE.7]]&gt;=90,1,IF(A.LoE[[#This Row],[LE.7]]&gt;=80,2,IF(A.LoE[[#This Row],[LE.7]]&gt;=70,3,IF(A.LoE[[#This Row],[LE.7]]&gt;=1,4,5)))))))</f>
        <v>--</v>
      </c>
      <c r="BH19" s="46" t="str">
        <f>CONCATENATE(NSi.TS[[#This Row],[KU.8]],(IF(A.LoE[[#This Row],[LE.8]]="-","-",IF(A.LoE[[#This Row],[LE.8]]&gt;=90,1,IF(A.LoE[[#This Row],[LE.8]]&gt;=80,2,IF(A.LoE[[#This Row],[LE.8]]&gt;=70,3,IF(A.LoE[[#This Row],[LE.8]]&gt;=1,4,5)))))))</f>
        <v>--</v>
      </c>
      <c r="BI19" s="38" t="str">
        <f>CONCATENATE(NSi.TS[[#This Row],[KU.9]],(IF(A.LoE[[#This Row],[LE.9]]="-","-",IF(A.LoE[[#This Row],[LE.9]]&gt;=90,1,IF(A.LoE[[#This Row],[LE.9]]&gt;=80,2,IF(A.LoE[[#This Row],[LE.9]]&gt;=70,3,IF(A.LoE[[#This Row],[LE.9]]&gt;=1,4,5)))))))</f>
        <v>--</v>
      </c>
      <c r="BK19" s="35" t="str">
        <f>IFERROR(ROUND(AVERAGE(Con.Sk[[#This Row],[TJ.1]:[Pro-A.1]]),0),"-")</f>
        <v>-</v>
      </c>
      <c r="BL19" s="24" t="str">
        <f>IFERROR(ROUND(AVERAGE(Con.Sk[[#This Row],[TJ.2]:[Pro-A.2]]),0),"-")</f>
        <v>-</v>
      </c>
      <c r="BM19" s="24" t="str">
        <f>IFERROR(ROUND(AVERAGE(Con.Sk[[#This Row],[TJ.3]:[Pro-A.3]]),0),"-")</f>
        <v>-</v>
      </c>
      <c r="BN19" s="24" t="str">
        <f>IFERROR(ROUND(AVERAGE(Con.Sk[[#This Row],[TJ.4]:[Pro-A.4]]),0),"-")</f>
        <v>-</v>
      </c>
      <c r="BO19" s="24" t="str">
        <f>IFERROR(ROUND(AVERAGE(Con.Sk[[#This Row],[TJ.5]:[Pro-A.5]]),0),"-")</f>
        <v>-</v>
      </c>
      <c r="BP19" s="24" t="str">
        <f>IFERROR(ROUND(AVERAGE(Con.Sk[[#This Row],[TJ.6]:[Pro-A.6]]),0),"-")</f>
        <v>-</v>
      </c>
      <c r="BQ19" s="24" t="str">
        <f>IFERROR(ROUND(AVERAGE(Con.Sk[[#This Row],[TJ.7]:[Pro-A.7]]),0),"-")</f>
        <v>-</v>
      </c>
      <c r="BR19" s="24" t="str">
        <f>IFERROR(ROUND(AVERAGE(Con.Sk[[#This Row],[TJ.8]:[Pro-A.8]]),0),"-")</f>
        <v>-</v>
      </c>
      <c r="BS19" s="25" t="str">
        <f>IFERROR(ROUND(AVERAGE(Con.Sk[[#This Row],[TJ.9]:[Pro-A.9]]),0),"-")</f>
        <v>-</v>
      </c>
      <c r="BU19" s="47" t="str">
        <f>IFERROR(ROUND(AVERAGE(Con.Sk[[#This Row],[KU.1]],Con.Sk[[#This Row],[KU.2]],Con.Sk[[#This Row],[KU.3]],Con.Sk[[#This Row],[KU.4]],Con.Sk[[#This Row],[KU.5]],Con.Sk[[#This Row],[KU.6]],Con.Sk[[#This Row],[KU.7]],Con.Sk[[#This Row],[KU.8]],Con.Sk[[#This Row],[KU.9]]),0),"")</f>
        <v/>
      </c>
      <c r="BV19" s="48" t="str">
        <f>IFERROR(ROUND(AVERAGE(Con.Sk[[#This Row],[TJ.1]:[Pro-A.1]],Con.Sk[[#This Row],[TJ.2]:[Pro-A.2]],Con.Sk[[#This Row],[TJ.3]:[Pro-A.3]],Con.Sk[[#This Row],[TJ.4]:[Pro-A.4]],Con.Sk[[#This Row],[TJ.5]:[Pro-A.5]],Con.Sk[[#This Row],[TJ.6]:[Pro-A.6]],Con.Sk[[#This Row],[TJ.7]:[Pro-A.7]],Con.Sk[[#This Row],[TJ.8]:[Pro-A.8]],Con.Sk[[#This Row],[TJ.9]:[Pro-A.9]]),0),"")</f>
        <v/>
      </c>
      <c r="BW19" s="3"/>
      <c r="BX19" s="73" t="str">
        <f>IF(NSi.TS[[#This Row],[KU.1]]="A",100,IF(NSi.TS[[#This Row],[KU.1]]="B",89,IF(NSi.TS[[#This Row],[KU.1]]="C",79,IF(NSi.TS[[#This Row],[KU.1]]="D",69,IF(NSi.TS[[#This Row],[KU.1]]="E",0,"-")))))</f>
        <v>-</v>
      </c>
      <c r="BY19" s="73" t="str">
        <f>IF(NSi.TS[[#This Row],[TJ.1]]=1,100,IF(NSi.TS[[#This Row],[TJ.1]]=2,89,IF(NSi.TS[[#This Row],[TJ.1]]=3,79,IF(NSi.TS[[#This Row],[TJ.1]]=4,69,IF(NSi.TS[[#This Row],[TJ.1]]=5,0,"-")))))</f>
        <v>-</v>
      </c>
      <c r="BZ19" s="73" t="str">
        <f>IF(NSi.TS[[#This Row],[Ker.1]]=1,100,IF(NSi.TS[[#This Row],[Ker.1]]=2,89,IF(NSi.TS[[#This Row],[Ker.1]]=3,79,IF(NSi.TS[[#This Row],[Ker.1]]=4,69,IF(NSi.TS[[#This Row],[Ker.1]]=5,0,"-")))))</f>
        <v>-</v>
      </c>
      <c r="CA19" s="73" t="str">
        <f>IF(NSi.TS[[#This Row],[Ped.1]]=1,100,IF(NSi.TS[[#This Row],[Ped.1]]=2,89,IF(NSi.TS[[#This Row],[Ped.1]]=3,79,IF(NSi.TS[[#This Row],[Ped.1]]=4,69,IF(NSi.TS[[#This Row],[Ped.1]]=5,0,"-")))))</f>
        <v>-</v>
      </c>
      <c r="CB19" s="73" t="str">
        <f>IF(NSi.TS[[#This Row],[Pro-A.1]]=1,100,IF(NSi.TS[[#This Row],[Pro-A.1]]=2,89,IF(NSi.TS[[#This Row],[Pro-A.1]]=3,79,IF(NSi.TS[[#This Row],[Pro-A.1]]=4,69,IF(NSi.TS[[#This Row],[Pro-A.1]]=5,0,"-")))))</f>
        <v>-</v>
      </c>
      <c r="CC19" s="73" t="str">
        <f>IF(NSi.TS[[#This Row],[KU.2]]="A",100,IF(NSi.TS[[#This Row],[KU.2]]="B",89,IF(NSi.TS[[#This Row],[KU.2]]="C",79,IF(NSi.TS[[#This Row],[KU.2]]="D",69,IF(NSi.TS[[#This Row],[KU.2]]="E",0,"-")))))</f>
        <v>-</v>
      </c>
      <c r="CD19" s="73" t="str">
        <f>IF(NSi.TS[[#This Row],[TJ.2]]=1,100,IF(NSi.TS[[#This Row],[TJ.2]]=2,89,IF(NSi.TS[[#This Row],[TJ.2]]=3,79,IF(NSi.TS[[#This Row],[TJ.2]]=4,69,IF(NSi.TS[[#This Row],[TJ.2]]=5,0,"-")))))</f>
        <v>-</v>
      </c>
      <c r="CE19" s="73" t="str">
        <f>IF(NSi.TS[[#This Row],[Ker.2]]=1,100,IF(NSi.TS[[#This Row],[Ker.2]]=2,89,IF(NSi.TS[[#This Row],[Ker.2]]=3,79,IF(NSi.TS[[#This Row],[Ker.2]]=4,69,IF(NSi.TS[[#This Row],[Ker.2]]=5,0,"-")))))</f>
        <v>-</v>
      </c>
      <c r="CF19" s="73" t="str">
        <f>IF(NSi.TS[[#This Row],[Ped.2]]=1,100,IF(NSi.TS[[#This Row],[Ped.2]]=2,89,IF(NSi.TS[[#This Row],[Ped.2]]=3,79,IF(NSi.TS[[#This Row],[Ped.2]]=4,69,IF(NSi.TS[[#This Row],[Ped.2]]=5,0,"-")))))</f>
        <v>-</v>
      </c>
      <c r="CG19" s="73" t="str">
        <f>IF(NSi.TS[[#This Row],[Pro-A.2]]=1,100,IF(NSi.TS[[#This Row],[Pro-A.2]]=2,89,IF(NSi.TS[[#This Row],[Pro-A.2]]=3,79,IF(NSi.TS[[#This Row],[Pro-A.2]]=4,69,IF(NSi.TS[[#This Row],[Pro-A.2]]=5,0,"-")))))</f>
        <v>-</v>
      </c>
      <c r="CH19" s="74" t="str">
        <f>IF(NSi.TS[[#This Row],[KU.3]]="A",100,IF(NSi.TS[[#This Row],[KU.3]]="B",89,IF(NSi.TS[[#This Row],[KU.3]]="C",79,IF(NSi.TS[[#This Row],[KU.3]]="D",69,IF(NSi.TS[[#This Row],[KU.3]]="E",0,"-")))))</f>
        <v>-</v>
      </c>
      <c r="CI19" s="73" t="str">
        <f>IF(NSi.TS[[#This Row],[TJ.3]]=1,100,IF(NSi.TS[[#This Row],[TJ.3]]=2,89,IF(NSi.TS[[#This Row],[TJ.3]]=3,79,IF(NSi.TS[[#This Row],[TJ.3]]=4,69,IF(NSi.TS[[#This Row],[TJ.3]]=5,0,"-")))))</f>
        <v>-</v>
      </c>
      <c r="CJ19" s="73" t="str">
        <f>IF(NSi.TS[[#This Row],[Ker.3]]=1,100,IF(NSi.TS[[#This Row],[Ker.3]]=2,89,IF(NSi.TS[[#This Row],[Ker.3]]=3,79,IF(NSi.TS[[#This Row],[Ker.3]]=4,69,IF(NSi.TS[[#This Row],[Ker.3]]=5,0,"-")))))</f>
        <v>-</v>
      </c>
      <c r="CK19" s="73" t="str">
        <f>IF(NSi.TS[[#This Row],[Ped.3]]=1,100,IF(NSi.TS[[#This Row],[Ped.3]]=2,89,IF(NSi.TS[[#This Row],[Ped.3]]=3,79,IF(NSi.TS[[#This Row],[Ped.3]]=4,69,IF(NSi.TS[[#This Row],[Ped.3]]=5,0,"-")))))</f>
        <v>-</v>
      </c>
      <c r="CL19" s="73" t="str">
        <f>IF(NSi.TS[[#This Row],[Pro-A.3]]=1,100,IF(NSi.TS[[#This Row],[Pro-A.3]]=2,89,IF(NSi.TS[[#This Row],[Pro-A.3]]=3,79,IF(NSi.TS[[#This Row],[Pro-A.3]]=4,69,IF(NSi.TS[[#This Row],[Pro-A.3]]=5,0,"-")))))</f>
        <v>-</v>
      </c>
      <c r="CM19" s="74" t="str">
        <f>IF(NSi.TS[[#This Row],[KU.4]]="A",100,IF(NSi.TS[[#This Row],[KU.4]]="B",89,IF(NSi.TS[[#This Row],[KU.4]]="C",79,IF(NSi.TS[[#This Row],[KU.4]]="D",69,IF(NSi.TS[[#This Row],[KU.4]]="E",0,"-")))))</f>
        <v>-</v>
      </c>
      <c r="CN19" s="73" t="str">
        <f>IF(NSi.TS[[#This Row],[TJ.4]]=1,100,IF(NSi.TS[[#This Row],[TJ.4]]=2,89,IF(NSi.TS[[#This Row],[TJ.4]]=3,79,IF(NSi.TS[[#This Row],[TJ.4]]=4,69,IF(NSi.TS[[#This Row],[TJ.4]]=5,0,"-")))))</f>
        <v>-</v>
      </c>
      <c r="CO19" s="73" t="str">
        <f>IF(NSi.TS[[#This Row],[Ker.4]]=1,100,IF(NSi.TS[[#This Row],[Ker.4]]=2,89,IF(NSi.TS[[#This Row],[Ker.4]]=3,79,IF(NSi.TS[[#This Row],[Ker.4]]=4,69,IF(NSi.TS[[#This Row],[Ker.4]]=5,0,"-")))))</f>
        <v>-</v>
      </c>
      <c r="CP19" s="73" t="str">
        <f>IF(NSi.TS[[#This Row],[Ped.4]]=1,100,IF(NSi.TS[[#This Row],[Ped.4]]=2,89,IF(NSi.TS[[#This Row],[Ped.4]]=3,79,IF(NSi.TS[[#This Row],[Ped.4]]=4,69,IF(NSi.TS[[#This Row],[Ped.4]]=5,0,"-")))))</f>
        <v>-</v>
      </c>
      <c r="CQ19" s="73" t="str">
        <f>IF(NSi.TS[[#This Row],[Pro-A.4]]=1,100,IF(NSi.TS[[#This Row],[Pro-A.4]]=2,89,IF(NSi.TS[[#This Row],[Pro-A.4]]=3,79,IF(NSi.TS[[#This Row],[Pro-A.4]]=4,69,IF(NSi.TS[[#This Row],[Pro-A.4]]=5,0,"-")))))</f>
        <v>-</v>
      </c>
      <c r="CR19" s="74" t="str">
        <f>IF(NSi.TS[[#This Row],[KU.5]]="A",100,IF(NSi.TS[[#This Row],[KU.5]]="B",89,IF(NSi.TS[[#This Row],[KU.5]]="C",79,IF(NSi.TS[[#This Row],[KU.5]]="D",69,IF(NSi.TS[[#This Row],[KU.5]]="E",0,"-")))))</f>
        <v>-</v>
      </c>
      <c r="CS19" s="73" t="str">
        <f>IF(NSi.TS[[#This Row],[TJ.5]]=1,100,IF(NSi.TS[[#This Row],[TJ.5]]=2,89,IF(NSi.TS[[#This Row],[TJ.5]]=3,79,IF(NSi.TS[[#This Row],[TJ.5]]=4,69,IF(NSi.TS[[#This Row],[TJ.5]]=5,0,"-")))))</f>
        <v>-</v>
      </c>
      <c r="CT19" s="73" t="str">
        <f>IF(NSi.TS[[#This Row],[Ker.5]]=1,100,IF(NSi.TS[[#This Row],[Ker.5]]=2,89,IF(NSi.TS[[#This Row],[Ker.5]]=3,79,IF(NSi.TS[[#This Row],[Ker.5]]=4,69,IF(NSi.TS[[#This Row],[Ker.5]]=5,0,"-")))))</f>
        <v>-</v>
      </c>
      <c r="CU19" s="73" t="str">
        <f>IF(NSi.TS[[#This Row],[Ped.5]]=1,100,IF(NSi.TS[[#This Row],[Ped.5]]=2,89,IF(NSi.TS[[#This Row],[Ped.5]]=3,79,IF(NSi.TS[[#This Row],[Ped.5]]=4,69,IF(NSi.TS[[#This Row],[Ped.5]]=5,0,"-")))))</f>
        <v>-</v>
      </c>
      <c r="CV19" s="73" t="str">
        <f>IF(NSi.TS[[#This Row],[Pro-A.5]]=1,100,IF(NSi.TS[[#This Row],[Pro-A.5]]=2,89,IF(NSi.TS[[#This Row],[Pro-A.5]]=3,79,IF(NSi.TS[[#This Row],[Pro-A.5]]=4,69,IF(NSi.TS[[#This Row],[Pro-A.5]]=5,0,"-")))))</f>
        <v>-</v>
      </c>
      <c r="CW19" s="74" t="str">
        <f>IF(NSi.TS[[#This Row],[KU.6]]="A",100,IF(NSi.TS[[#This Row],[KU.6]]="B",89,IF(NSi.TS[[#This Row],[KU.6]]="C",79,IF(NSi.TS[[#This Row],[KU.6]]="D",69,IF(NSi.TS[[#This Row],[KU.6]]="E",0,"-")))))</f>
        <v>-</v>
      </c>
      <c r="CX19" s="73" t="str">
        <f>IF(NSi.TS[[#This Row],[TJ.6]]=1,100,IF(NSi.TS[[#This Row],[TJ.6]]=2,89,IF(NSi.TS[[#This Row],[TJ.6]]=3,79,IF(NSi.TS[[#This Row],[TJ.6]]=4,69,IF(NSi.TS[[#This Row],[TJ.6]]=5,0,"-")))))</f>
        <v>-</v>
      </c>
      <c r="CY19" s="73" t="str">
        <f>IF(NSi.TS[[#This Row],[Ker.6]]=1,100,IF(NSi.TS[[#This Row],[Ker.6]]=2,89,IF(NSi.TS[[#This Row],[Ker.6]]=3,79,IF(NSi.TS[[#This Row],[Ker.6]]=4,69,IF(NSi.TS[[#This Row],[Ker.6]]=5,0,"-")))))</f>
        <v>-</v>
      </c>
      <c r="CZ19" s="73" t="str">
        <f>IF(NSi.TS[[#This Row],[Ped.6]]=1,100,IF(NSi.TS[[#This Row],[Ped.6]]=2,89,IF(NSi.TS[[#This Row],[Ped.6]]=3,79,IF(NSi.TS[[#This Row],[Ped.6]]=4,69,IF(NSi.TS[[#This Row],[Ped.6]]=5,0,"-")))))</f>
        <v>-</v>
      </c>
      <c r="DA19" s="73" t="str">
        <f>IF(NSi.TS[[#This Row],[Pro-A.6]]=1,100,IF(NSi.TS[[#This Row],[Pro-A.6]]=2,89,IF(NSi.TS[[#This Row],[Pro-A.6]]=3,79,IF(NSi.TS[[#This Row],[Pro-A.6]]=4,69,IF(NSi.TS[[#This Row],[Pro-A.6]]=5,0,"-")))))</f>
        <v>-</v>
      </c>
      <c r="DB19" s="74" t="str">
        <f>IF(NSi.TS[[#This Row],[KU.7]]="A",100,IF(NSi.TS[[#This Row],[KU.7]]="B",89,IF(NSi.TS[[#This Row],[KU.7]]="C",79,IF(NSi.TS[[#This Row],[KU.7]]="D",69,IF(NSi.TS[[#This Row],[KU.7]]="E",0,"-")))))</f>
        <v>-</v>
      </c>
      <c r="DC19" s="73" t="str">
        <f>IF(NSi.TS[[#This Row],[TJ.7]]=1,100,IF(NSi.TS[[#This Row],[TJ.7]]=2,89,IF(NSi.TS[[#This Row],[TJ.7]]=3,79,IF(NSi.TS[[#This Row],[TJ.7]]=4,69,IF(NSi.TS[[#This Row],[TJ.7]]=5,0,"-")))))</f>
        <v>-</v>
      </c>
      <c r="DD19" s="73" t="str">
        <f>IF(NSi.TS[[#This Row],[Ker.7]]=1,100,IF(NSi.TS[[#This Row],[Ker.7]]=2,89,IF(NSi.TS[[#This Row],[Ker.7]]=3,79,IF(NSi.TS[[#This Row],[Ker.7]]=4,69,IF(NSi.TS[[#This Row],[Ker.7]]=5,0,"-")))))</f>
        <v>-</v>
      </c>
      <c r="DE19" s="73" t="str">
        <f>IF(NSi.TS[[#This Row],[Ped.7]]=1,100,IF(NSi.TS[[#This Row],[Ped.7]]=2,89,IF(NSi.TS[[#This Row],[Ped.7]]=3,79,IF(NSi.TS[[#This Row],[Ped.7]]=4,69,IF(NSi.TS[[#This Row],[Ped.7]]=5,0,"-")))))</f>
        <v>-</v>
      </c>
      <c r="DF19" s="73" t="str">
        <f>IF(NSi.TS[[#This Row],[Pro-A.7]]=1,100,IF(NSi.TS[[#This Row],[Pro-A.7]]=2,89,IF(NSi.TS[[#This Row],[Pro-A.7]]=3,79,IF(NSi.TS[[#This Row],[Pro-A.7]]=4,69,IF(NSi.TS[[#This Row],[Pro-A.7]]=5,0,"-")))))</f>
        <v>-</v>
      </c>
      <c r="DG19" s="74" t="str">
        <f>IF(NSi.TS[[#This Row],[KU.8]]="A",100,IF(NSi.TS[[#This Row],[KU.8]]="B",89,IF(NSi.TS[[#This Row],[KU.8]]="C",79,IF(NSi.TS[[#This Row],[KU.8]]="D",69,IF(NSi.TS[[#This Row],[KU.8]]="E",0,"-")))))</f>
        <v>-</v>
      </c>
      <c r="DH19" s="73" t="str">
        <f>IF(NSi.TS[[#This Row],[TJ.8]]=1,100,IF(NSi.TS[[#This Row],[TJ.8]]=2,89,IF(NSi.TS[[#This Row],[TJ.8]]=3,79,IF(NSi.TS[[#This Row],[TJ.8]]=4,69,IF(NSi.TS[[#This Row],[TJ.8]]=5,0,"-")))))</f>
        <v>-</v>
      </c>
      <c r="DI19" s="73" t="str">
        <f>IF(NSi.TS[[#This Row],[Ker.8]]=1,100,IF(NSi.TS[[#This Row],[Ker.8]]=2,89,IF(NSi.TS[[#This Row],[Ker.8]]=3,79,IF(NSi.TS[[#This Row],[Ker.8]]=4,69,IF(NSi.TS[[#This Row],[Ker.8]]=5,0,"-")))))</f>
        <v>-</v>
      </c>
      <c r="DJ19" s="73" t="str">
        <f>IF(NSi.TS[[#This Row],[Ped.8]]=1,100,IF(NSi.TS[[#This Row],[Ped.8]]=2,89,IF(NSi.TS[[#This Row],[Ped.8]]=3,79,IF(NSi.TS[[#This Row],[Ped.8]]=4,69,IF(NSi.TS[[#This Row],[Ped.8]]=5,0,"-")))))</f>
        <v>-</v>
      </c>
      <c r="DK19" s="73" t="str">
        <f>IF(NSi.TS[[#This Row],[Pro-A.8]]=1,100,IF(NSi.TS[[#This Row],[Pro-A.8]]=2,89,IF(NSi.TS[[#This Row],[Pro-A.8]]=3,79,IF(NSi.TS[[#This Row],[Pro-A.8]]=4,69,IF(NSi.TS[[#This Row],[Pro-A.8]]=5,0,"-")))))</f>
        <v>-</v>
      </c>
      <c r="DL19" s="74" t="str">
        <f>IF(NSi.TS[[#This Row],[KU.9]]="A",100,IF(NSi.TS[[#This Row],[KU.9]]="B",89,IF(NSi.TS[[#This Row],[KU.9]]="C",79,IF(NSi.TS[[#This Row],[KU.9]]="D",69,IF(NSi.TS[[#This Row],[KU.9]]="E",0,"-")))))</f>
        <v>-</v>
      </c>
      <c r="DM19" s="73" t="str">
        <f>IF(NSi.TS[[#This Row],[TJ.9]]=1,100,IF(NSi.TS[[#This Row],[TJ.9]]=2,89,IF(NSi.TS[[#This Row],[TJ.9]]=3,79,IF(NSi.TS[[#This Row],[TJ.9]]=4,69,IF(NSi.TS[[#This Row],[TJ.9]]=5,0,"-")))))</f>
        <v>-</v>
      </c>
      <c r="DN19" s="73" t="str">
        <f>IF(NSi.TS[[#This Row],[Ker.9]]=1,100,IF(NSi.TS[[#This Row],[Ker.9]]=2,89,IF(NSi.TS[[#This Row],[Ker.9]]=3,79,IF(NSi.TS[[#This Row],[Ker.9]]=4,69,IF(NSi.TS[[#This Row],[Ker.9]]=5,0,"-")))))</f>
        <v>-</v>
      </c>
      <c r="DO19" s="73" t="str">
        <f>IF(NSi.TS[[#This Row],[Ped.9]]=1,100,IF(NSi.TS[[#This Row],[Ped.9]]=2,89,IF(NSi.TS[[#This Row],[Ped.9]]=3,79,IF(NSi.TS[[#This Row],[Ped.9]]=4,69,IF(NSi.TS[[#This Row],[Ped.9]]=5,0,"-")))))</f>
        <v>-</v>
      </c>
      <c r="DP19" s="73" t="str">
        <f>IF(NSi.TS[[#This Row],[Pro-A.9]]=1,100,IF(NSi.TS[[#This Row],[Pro-A.9]]=2,89,IF(NSi.TS[[#This Row],[Pro-A.9]]=3,79,IF(NSi.TS[[#This Row],[Pro-A.9]]=4,69,IF(NSi.TS[[#This Row],[Pro-A.9]]=5,0,"-")))))</f>
        <v>-</v>
      </c>
    </row>
    <row r="20" spans="1:120" ht="50.1" customHeight="1" x14ac:dyDescent="0.3">
      <c r="A20" s="85"/>
      <c r="B20" s="86"/>
      <c r="C20" s="87"/>
      <c r="D20" s="87"/>
      <c r="E20" s="87"/>
      <c r="F20" s="44" t="str">
        <f>IFERROR(ROUND(AVERAGE(CSCR[#This Row]),0),"")</f>
        <v/>
      </c>
      <c r="G20" s="41" t="s">
        <v>102</v>
      </c>
      <c r="H20" s="45" t="s">
        <v>102</v>
      </c>
      <c r="I20" s="45" t="s">
        <v>102</v>
      </c>
      <c r="J20" s="45" t="s">
        <v>102</v>
      </c>
      <c r="K20" s="45" t="s">
        <v>102</v>
      </c>
      <c r="L20" s="41" t="s">
        <v>102</v>
      </c>
      <c r="M20" s="45" t="s">
        <v>102</v>
      </c>
      <c r="N20" s="45" t="s">
        <v>102</v>
      </c>
      <c r="O20" s="45" t="s">
        <v>102</v>
      </c>
      <c r="P20" s="45" t="s">
        <v>102</v>
      </c>
      <c r="Q20" s="41" t="s">
        <v>102</v>
      </c>
      <c r="R20" s="45" t="s">
        <v>102</v>
      </c>
      <c r="S20" s="45" t="s">
        <v>102</v>
      </c>
      <c r="T20" s="45" t="s">
        <v>102</v>
      </c>
      <c r="U20" s="45" t="s">
        <v>102</v>
      </c>
      <c r="V20" s="41" t="s">
        <v>102</v>
      </c>
      <c r="W20" s="45" t="s">
        <v>102</v>
      </c>
      <c r="X20" s="45" t="s">
        <v>102</v>
      </c>
      <c r="Y20" s="45" t="s">
        <v>102</v>
      </c>
      <c r="Z20" s="45" t="s">
        <v>102</v>
      </c>
      <c r="AA20" s="41" t="s">
        <v>102</v>
      </c>
      <c r="AB20" s="45" t="s">
        <v>102</v>
      </c>
      <c r="AC20" s="45" t="s">
        <v>102</v>
      </c>
      <c r="AD20" s="45" t="s">
        <v>102</v>
      </c>
      <c r="AE20" s="45" t="s">
        <v>102</v>
      </c>
      <c r="AF20" s="41" t="s">
        <v>102</v>
      </c>
      <c r="AG20" s="45" t="s">
        <v>102</v>
      </c>
      <c r="AH20" s="45" t="s">
        <v>102</v>
      </c>
      <c r="AI20" s="45" t="s">
        <v>102</v>
      </c>
      <c r="AJ20" s="45" t="s">
        <v>102</v>
      </c>
      <c r="AK20" s="41" t="s">
        <v>102</v>
      </c>
      <c r="AL20" s="45" t="s">
        <v>102</v>
      </c>
      <c r="AM20" s="45" t="s">
        <v>102</v>
      </c>
      <c r="AN20" s="45" t="s">
        <v>102</v>
      </c>
      <c r="AO20" s="45" t="s">
        <v>102</v>
      </c>
      <c r="AP20" s="41" t="s">
        <v>102</v>
      </c>
      <c r="AQ20" s="45" t="s">
        <v>102</v>
      </c>
      <c r="AR20" s="45" t="s">
        <v>102</v>
      </c>
      <c r="AS20" s="45" t="s">
        <v>102</v>
      </c>
      <c r="AT20" s="45" t="s">
        <v>102</v>
      </c>
      <c r="AU20" s="41" t="s">
        <v>102</v>
      </c>
      <c r="AV20" s="45" t="s">
        <v>102</v>
      </c>
      <c r="AW20" s="45" t="s">
        <v>102</v>
      </c>
      <c r="AX20" s="45" t="s">
        <v>102</v>
      </c>
      <c r="AY20" s="45" t="s">
        <v>102</v>
      </c>
      <c r="BA20" s="10" t="str">
        <f>CONCATENATE(NSi.TS[[#This Row],[KU.1]],(IF(A.LoE[[#This Row],[LE.1]]="-","-",IF(A.LoE[[#This Row],[LE.1]]&gt;=90,1,IF(A.LoE[[#This Row],[LE.1]]&gt;=80,2,IF(A.LoE[[#This Row],[LE.1]]&gt;=70,3,IF(A.LoE[[#This Row],[LE.1]]&gt;=1,4,5)))))))</f>
        <v>--</v>
      </c>
      <c r="BB20" s="46" t="str">
        <f>CONCATENATE(NSi.TS[[#This Row],[KU.2]],(IF(A.LoE[[#This Row],[LE.2]]="-","-",IF(A.LoE[[#This Row],[LE.2]]&gt;=90,1,IF(A.LoE[[#This Row],[LE.2]]&gt;=80,2,IF(A.LoE[[#This Row],[LE.2]]&gt;=70,3,IF(A.LoE[[#This Row],[LE.2]]&gt;=1,4,5)))))))</f>
        <v>--</v>
      </c>
      <c r="BC20" s="46" t="str">
        <f>CONCATENATE(NSi.TS[[#This Row],[KU.3]],(IF(A.LoE[[#This Row],[LE.3]]="-","-",IF(A.LoE[[#This Row],[LE.3]]&gt;=90,1,IF(A.LoE[[#This Row],[LE.3]]&gt;=80,2,IF(A.LoE[[#This Row],[LE.3]]&gt;=70,3,IF(A.LoE[[#This Row],[LE.3]]&gt;=1,4,5)))))))</f>
        <v>--</v>
      </c>
      <c r="BD20" s="46" t="str">
        <f>CONCATENATE(NSi.TS[[#This Row],[KU.4]],(IF(A.LoE[[#This Row],[LE.4]]="-","-",IF(A.LoE[[#This Row],[LE.4]]&gt;=90,1,IF(A.LoE[[#This Row],[LE.4]]&gt;=80,2,IF(A.LoE[[#This Row],[LE.4]]&gt;=70,3,IF(A.LoE[[#This Row],[LE.4]]&gt;=1,4,5)))))))</f>
        <v>--</v>
      </c>
      <c r="BE20" s="46" t="str">
        <f>CONCATENATE(NSi.TS[[#This Row],[KU.5]],(IF(A.LoE[[#This Row],[LE.5]]="-","-",IF(A.LoE[[#This Row],[LE.5]]&gt;=90,1,IF(A.LoE[[#This Row],[LE.5]]&gt;=80,2,IF(A.LoE[[#This Row],[LE.5]]&gt;=70,3,IF(A.LoE[[#This Row],[LE.5]]&gt;=1,4,5)))))))</f>
        <v>--</v>
      </c>
      <c r="BF20" s="46" t="str">
        <f>CONCATENATE(NSi.TS[[#This Row],[KU.6]],(IF(A.LoE[[#This Row],[LE.6]]="-","-",IF(A.LoE[[#This Row],[LE.6]]&gt;=90,1,IF(A.LoE[[#This Row],[LE.6]]&gt;=80,2,IF(A.LoE[[#This Row],[LE.6]]&gt;=70,3,IF(A.LoE[[#This Row],[LE.6]]&gt;=1,4,5)))))))</f>
        <v>--</v>
      </c>
      <c r="BG20" s="46" t="str">
        <f>CONCATENATE(NSi.TS[[#This Row],[KU.7]],(IF(A.LoE[[#This Row],[LE.7]]="-","-",IF(A.LoE[[#This Row],[LE.7]]&gt;=90,1,IF(A.LoE[[#This Row],[LE.7]]&gt;=80,2,IF(A.LoE[[#This Row],[LE.7]]&gt;=70,3,IF(A.LoE[[#This Row],[LE.7]]&gt;=1,4,5)))))))</f>
        <v>--</v>
      </c>
      <c r="BH20" s="46" t="str">
        <f>CONCATENATE(NSi.TS[[#This Row],[KU.8]],(IF(A.LoE[[#This Row],[LE.8]]="-","-",IF(A.LoE[[#This Row],[LE.8]]&gt;=90,1,IF(A.LoE[[#This Row],[LE.8]]&gt;=80,2,IF(A.LoE[[#This Row],[LE.8]]&gt;=70,3,IF(A.LoE[[#This Row],[LE.8]]&gt;=1,4,5)))))))</f>
        <v>--</v>
      </c>
      <c r="BI20" s="38" t="str">
        <f>CONCATENATE(NSi.TS[[#This Row],[KU.9]],(IF(A.LoE[[#This Row],[LE.9]]="-","-",IF(A.LoE[[#This Row],[LE.9]]&gt;=90,1,IF(A.LoE[[#This Row],[LE.9]]&gt;=80,2,IF(A.LoE[[#This Row],[LE.9]]&gt;=70,3,IF(A.LoE[[#This Row],[LE.9]]&gt;=1,4,5)))))))</f>
        <v>--</v>
      </c>
      <c r="BK20" s="35" t="str">
        <f>IFERROR(ROUND(AVERAGE(Con.Sk[[#This Row],[TJ.1]:[Pro-A.1]]),0),"-")</f>
        <v>-</v>
      </c>
      <c r="BL20" s="24" t="str">
        <f>IFERROR(ROUND(AVERAGE(Con.Sk[[#This Row],[TJ.2]:[Pro-A.2]]),0),"-")</f>
        <v>-</v>
      </c>
      <c r="BM20" s="24" t="str">
        <f>IFERROR(ROUND(AVERAGE(Con.Sk[[#This Row],[TJ.3]:[Pro-A.3]]),0),"-")</f>
        <v>-</v>
      </c>
      <c r="BN20" s="24" t="str">
        <f>IFERROR(ROUND(AVERAGE(Con.Sk[[#This Row],[TJ.4]:[Pro-A.4]]),0),"-")</f>
        <v>-</v>
      </c>
      <c r="BO20" s="24" t="str">
        <f>IFERROR(ROUND(AVERAGE(Con.Sk[[#This Row],[TJ.5]:[Pro-A.5]]),0),"-")</f>
        <v>-</v>
      </c>
      <c r="BP20" s="24" t="str">
        <f>IFERROR(ROUND(AVERAGE(Con.Sk[[#This Row],[TJ.6]:[Pro-A.6]]),0),"-")</f>
        <v>-</v>
      </c>
      <c r="BQ20" s="24" t="str">
        <f>IFERROR(ROUND(AVERAGE(Con.Sk[[#This Row],[TJ.7]:[Pro-A.7]]),0),"-")</f>
        <v>-</v>
      </c>
      <c r="BR20" s="24" t="str">
        <f>IFERROR(ROUND(AVERAGE(Con.Sk[[#This Row],[TJ.8]:[Pro-A.8]]),0),"-")</f>
        <v>-</v>
      </c>
      <c r="BS20" s="25" t="str">
        <f>IFERROR(ROUND(AVERAGE(Con.Sk[[#This Row],[TJ.9]:[Pro-A.9]]),0),"-")</f>
        <v>-</v>
      </c>
      <c r="BU20" s="47" t="str">
        <f>IFERROR(ROUND(AVERAGE(Con.Sk[[#This Row],[KU.1]],Con.Sk[[#This Row],[KU.2]],Con.Sk[[#This Row],[KU.3]],Con.Sk[[#This Row],[KU.4]],Con.Sk[[#This Row],[KU.5]],Con.Sk[[#This Row],[KU.6]],Con.Sk[[#This Row],[KU.7]],Con.Sk[[#This Row],[KU.8]],Con.Sk[[#This Row],[KU.9]]),0),"")</f>
        <v/>
      </c>
      <c r="BV20" s="48" t="str">
        <f>IFERROR(ROUND(AVERAGE(Con.Sk[[#This Row],[TJ.1]:[Pro-A.1]],Con.Sk[[#This Row],[TJ.2]:[Pro-A.2]],Con.Sk[[#This Row],[TJ.3]:[Pro-A.3]],Con.Sk[[#This Row],[TJ.4]:[Pro-A.4]],Con.Sk[[#This Row],[TJ.5]:[Pro-A.5]],Con.Sk[[#This Row],[TJ.6]:[Pro-A.6]],Con.Sk[[#This Row],[TJ.7]:[Pro-A.7]],Con.Sk[[#This Row],[TJ.8]:[Pro-A.8]],Con.Sk[[#This Row],[TJ.9]:[Pro-A.9]]),0),"")</f>
        <v/>
      </c>
      <c r="BW20" s="3"/>
      <c r="BX20" s="73" t="str">
        <f>IF(NSi.TS[[#This Row],[KU.1]]="A",100,IF(NSi.TS[[#This Row],[KU.1]]="B",89,IF(NSi.TS[[#This Row],[KU.1]]="C",79,IF(NSi.TS[[#This Row],[KU.1]]="D",69,IF(NSi.TS[[#This Row],[KU.1]]="E",0,"-")))))</f>
        <v>-</v>
      </c>
      <c r="BY20" s="73" t="str">
        <f>IF(NSi.TS[[#This Row],[TJ.1]]=1,100,IF(NSi.TS[[#This Row],[TJ.1]]=2,89,IF(NSi.TS[[#This Row],[TJ.1]]=3,79,IF(NSi.TS[[#This Row],[TJ.1]]=4,69,IF(NSi.TS[[#This Row],[TJ.1]]=5,0,"-")))))</f>
        <v>-</v>
      </c>
      <c r="BZ20" s="73" t="str">
        <f>IF(NSi.TS[[#This Row],[Ker.1]]=1,100,IF(NSi.TS[[#This Row],[Ker.1]]=2,89,IF(NSi.TS[[#This Row],[Ker.1]]=3,79,IF(NSi.TS[[#This Row],[Ker.1]]=4,69,IF(NSi.TS[[#This Row],[Ker.1]]=5,0,"-")))))</f>
        <v>-</v>
      </c>
      <c r="CA20" s="73" t="str">
        <f>IF(NSi.TS[[#This Row],[Ped.1]]=1,100,IF(NSi.TS[[#This Row],[Ped.1]]=2,89,IF(NSi.TS[[#This Row],[Ped.1]]=3,79,IF(NSi.TS[[#This Row],[Ped.1]]=4,69,IF(NSi.TS[[#This Row],[Ped.1]]=5,0,"-")))))</f>
        <v>-</v>
      </c>
      <c r="CB20" s="73" t="str">
        <f>IF(NSi.TS[[#This Row],[Pro-A.1]]=1,100,IF(NSi.TS[[#This Row],[Pro-A.1]]=2,89,IF(NSi.TS[[#This Row],[Pro-A.1]]=3,79,IF(NSi.TS[[#This Row],[Pro-A.1]]=4,69,IF(NSi.TS[[#This Row],[Pro-A.1]]=5,0,"-")))))</f>
        <v>-</v>
      </c>
      <c r="CC20" s="73" t="str">
        <f>IF(NSi.TS[[#This Row],[KU.2]]="A",100,IF(NSi.TS[[#This Row],[KU.2]]="B",89,IF(NSi.TS[[#This Row],[KU.2]]="C",79,IF(NSi.TS[[#This Row],[KU.2]]="D",69,IF(NSi.TS[[#This Row],[KU.2]]="E",0,"-")))))</f>
        <v>-</v>
      </c>
      <c r="CD20" s="73" t="str">
        <f>IF(NSi.TS[[#This Row],[TJ.2]]=1,100,IF(NSi.TS[[#This Row],[TJ.2]]=2,89,IF(NSi.TS[[#This Row],[TJ.2]]=3,79,IF(NSi.TS[[#This Row],[TJ.2]]=4,69,IF(NSi.TS[[#This Row],[TJ.2]]=5,0,"-")))))</f>
        <v>-</v>
      </c>
      <c r="CE20" s="73" t="str">
        <f>IF(NSi.TS[[#This Row],[Ker.2]]=1,100,IF(NSi.TS[[#This Row],[Ker.2]]=2,89,IF(NSi.TS[[#This Row],[Ker.2]]=3,79,IF(NSi.TS[[#This Row],[Ker.2]]=4,69,IF(NSi.TS[[#This Row],[Ker.2]]=5,0,"-")))))</f>
        <v>-</v>
      </c>
      <c r="CF20" s="73" t="str">
        <f>IF(NSi.TS[[#This Row],[Ped.2]]=1,100,IF(NSi.TS[[#This Row],[Ped.2]]=2,89,IF(NSi.TS[[#This Row],[Ped.2]]=3,79,IF(NSi.TS[[#This Row],[Ped.2]]=4,69,IF(NSi.TS[[#This Row],[Ped.2]]=5,0,"-")))))</f>
        <v>-</v>
      </c>
      <c r="CG20" s="73" t="str">
        <f>IF(NSi.TS[[#This Row],[Pro-A.2]]=1,100,IF(NSi.TS[[#This Row],[Pro-A.2]]=2,89,IF(NSi.TS[[#This Row],[Pro-A.2]]=3,79,IF(NSi.TS[[#This Row],[Pro-A.2]]=4,69,IF(NSi.TS[[#This Row],[Pro-A.2]]=5,0,"-")))))</f>
        <v>-</v>
      </c>
      <c r="CH20" s="74" t="str">
        <f>IF(NSi.TS[[#This Row],[KU.3]]="A",100,IF(NSi.TS[[#This Row],[KU.3]]="B",89,IF(NSi.TS[[#This Row],[KU.3]]="C",79,IF(NSi.TS[[#This Row],[KU.3]]="D",69,IF(NSi.TS[[#This Row],[KU.3]]="E",0,"-")))))</f>
        <v>-</v>
      </c>
      <c r="CI20" s="73" t="str">
        <f>IF(NSi.TS[[#This Row],[TJ.3]]=1,100,IF(NSi.TS[[#This Row],[TJ.3]]=2,89,IF(NSi.TS[[#This Row],[TJ.3]]=3,79,IF(NSi.TS[[#This Row],[TJ.3]]=4,69,IF(NSi.TS[[#This Row],[TJ.3]]=5,0,"-")))))</f>
        <v>-</v>
      </c>
      <c r="CJ20" s="73" t="str">
        <f>IF(NSi.TS[[#This Row],[Ker.3]]=1,100,IF(NSi.TS[[#This Row],[Ker.3]]=2,89,IF(NSi.TS[[#This Row],[Ker.3]]=3,79,IF(NSi.TS[[#This Row],[Ker.3]]=4,69,IF(NSi.TS[[#This Row],[Ker.3]]=5,0,"-")))))</f>
        <v>-</v>
      </c>
      <c r="CK20" s="73" t="str">
        <f>IF(NSi.TS[[#This Row],[Ped.3]]=1,100,IF(NSi.TS[[#This Row],[Ped.3]]=2,89,IF(NSi.TS[[#This Row],[Ped.3]]=3,79,IF(NSi.TS[[#This Row],[Ped.3]]=4,69,IF(NSi.TS[[#This Row],[Ped.3]]=5,0,"-")))))</f>
        <v>-</v>
      </c>
      <c r="CL20" s="73" t="str">
        <f>IF(NSi.TS[[#This Row],[Pro-A.3]]=1,100,IF(NSi.TS[[#This Row],[Pro-A.3]]=2,89,IF(NSi.TS[[#This Row],[Pro-A.3]]=3,79,IF(NSi.TS[[#This Row],[Pro-A.3]]=4,69,IF(NSi.TS[[#This Row],[Pro-A.3]]=5,0,"-")))))</f>
        <v>-</v>
      </c>
      <c r="CM20" s="74" t="str">
        <f>IF(NSi.TS[[#This Row],[KU.4]]="A",100,IF(NSi.TS[[#This Row],[KU.4]]="B",89,IF(NSi.TS[[#This Row],[KU.4]]="C",79,IF(NSi.TS[[#This Row],[KU.4]]="D",69,IF(NSi.TS[[#This Row],[KU.4]]="E",0,"-")))))</f>
        <v>-</v>
      </c>
      <c r="CN20" s="73" t="str">
        <f>IF(NSi.TS[[#This Row],[TJ.4]]=1,100,IF(NSi.TS[[#This Row],[TJ.4]]=2,89,IF(NSi.TS[[#This Row],[TJ.4]]=3,79,IF(NSi.TS[[#This Row],[TJ.4]]=4,69,IF(NSi.TS[[#This Row],[TJ.4]]=5,0,"-")))))</f>
        <v>-</v>
      </c>
      <c r="CO20" s="73" t="str">
        <f>IF(NSi.TS[[#This Row],[Ker.4]]=1,100,IF(NSi.TS[[#This Row],[Ker.4]]=2,89,IF(NSi.TS[[#This Row],[Ker.4]]=3,79,IF(NSi.TS[[#This Row],[Ker.4]]=4,69,IF(NSi.TS[[#This Row],[Ker.4]]=5,0,"-")))))</f>
        <v>-</v>
      </c>
      <c r="CP20" s="73" t="str">
        <f>IF(NSi.TS[[#This Row],[Ped.4]]=1,100,IF(NSi.TS[[#This Row],[Ped.4]]=2,89,IF(NSi.TS[[#This Row],[Ped.4]]=3,79,IF(NSi.TS[[#This Row],[Ped.4]]=4,69,IF(NSi.TS[[#This Row],[Ped.4]]=5,0,"-")))))</f>
        <v>-</v>
      </c>
      <c r="CQ20" s="73" t="str">
        <f>IF(NSi.TS[[#This Row],[Pro-A.4]]=1,100,IF(NSi.TS[[#This Row],[Pro-A.4]]=2,89,IF(NSi.TS[[#This Row],[Pro-A.4]]=3,79,IF(NSi.TS[[#This Row],[Pro-A.4]]=4,69,IF(NSi.TS[[#This Row],[Pro-A.4]]=5,0,"-")))))</f>
        <v>-</v>
      </c>
      <c r="CR20" s="74" t="str">
        <f>IF(NSi.TS[[#This Row],[KU.5]]="A",100,IF(NSi.TS[[#This Row],[KU.5]]="B",89,IF(NSi.TS[[#This Row],[KU.5]]="C",79,IF(NSi.TS[[#This Row],[KU.5]]="D",69,IF(NSi.TS[[#This Row],[KU.5]]="E",0,"-")))))</f>
        <v>-</v>
      </c>
      <c r="CS20" s="73" t="str">
        <f>IF(NSi.TS[[#This Row],[TJ.5]]=1,100,IF(NSi.TS[[#This Row],[TJ.5]]=2,89,IF(NSi.TS[[#This Row],[TJ.5]]=3,79,IF(NSi.TS[[#This Row],[TJ.5]]=4,69,IF(NSi.TS[[#This Row],[TJ.5]]=5,0,"-")))))</f>
        <v>-</v>
      </c>
      <c r="CT20" s="73" t="str">
        <f>IF(NSi.TS[[#This Row],[Ker.5]]=1,100,IF(NSi.TS[[#This Row],[Ker.5]]=2,89,IF(NSi.TS[[#This Row],[Ker.5]]=3,79,IF(NSi.TS[[#This Row],[Ker.5]]=4,69,IF(NSi.TS[[#This Row],[Ker.5]]=5,0,"-")))))</f>
        <v>-</v>
      </c>
      <c r="CU20" s="73" t="str">
        <f>IF(NSi.TS[[#This Row],[Ped.5]]=1,100,IF(NSi.TS[[#This Row],[Ped.5]]=2,89,IF(NSi.TS[[#This Row],[Ped.5]]=3,79,IF(NSi.TS[[#This Row],[Ped.5]]=4,69,IF(NSi.TS[[#This Row],[Ped.5]]=5,0,"-")))))</f>
        <v>-</v>
      </c>
      <c r="CV20" s="73" t="str">
        <f>IF(NSi.TS[[#This Row],[Pro-A.5]]=1,100,IF(NSi.TS[[#This Row],[Pro-A.5]]=2,89,IF(NSi.TS[[#This Row],[Pro-A.5]]=3,79,IF(NSi.TS[[#This Row],[Pro-A.5]]=4,69,IF(NSi.TS[[#This Row],[Pro-A.5]]=5,0,"-")))))</f>
        <v>-</v>
      </c>
      <c r="CW20" s="74" t="str">
        <f>IF(NSi.TS[[#This Row],[KU.6]]="A",100,IF(NSi.TS[[#This Row],[KU.6]]="B",89,IF(NSi.TS[[#This Row],[KU.6]]="C",79,IF(NSi.TS[[#This Row],[KU.6]]="D",69,IF(NSi.TS[[#This Row],[KU.6]]="E",0,"-")))))</f>
        <v>-</v>
      </c>
      <c r="CX20" s="73" t="str">
        <f>IF(NSi.TS[[#This Row],[TJ.6]]=1,100,IF(NSi.TS[[#This Row],[TJ.6]]=2,89,IF(NSi.TS[[#This Row],[TJ.6]]=3,79,IF(NSi.TS[[#This Row],[TJ.6]]=4,69,IF(NSi.TS[[#This Row],[TJ.6]]=5,0,"-")))))</f>
        <v>-</v>
      </c>
      <c r="CY20" s="73" t="str">
        <f>IF(NSi.TS[[#This Row],[Ker.6]]=1,100,IF(NSi.TS[[#This Row],[Ker.6]]=2,89,IF(NSi.TS[[#This Row],[Ker.6]]=3,79,IF(NSi.TS[[#This Row],[Ker.6]]=4,69,IF(NSi.TS[[#This Row],[Ker.6]]=5,0,"-")))))</f>
        <v>-</v>
      </c>
      <c r="CZ20" s="73" t="str">
        <f>IF(NSi.TS[[#This Row],[Ped.6]]=1,100,IF(NSi.TS[[#This Row],[Ped.6]]=2,89,IF(NSi.TS[[#This Row],[Ped.6]]=3,79,IF(NSi.TS[[#This Row],[Ped.6]]=4,69,IF(NSi.TS[[#This Row],[Ped.6]]=5,0,"-")))))</f>
        <v>-</v>
      </c>
      <c r="DA20" s="73" t="str">
        <f>IF(NSi.TS[[#This Row],[Pro-A.6]]=1,100,IF(NSi.TS[[#This Row],[Pro-A.6]]=2,89,IF(NSi.TS[[#This Row],[Pro-A.6]]=3,79,IF(NSi.TS[[#This Row],[Pro-A.6]]=4,69,IF(NSi.TS[[#This Row],[Pro-A.6]]=5,0,"-")))))</f>
        <v>-</v>
      </c>
      <c r="DB20" s="74" t="str">
        <f>IF(NSi.TS[[#This Row],[KU.7]]="A",100,IF(NSi.TS[[#This Row],[KU.7]]="B",89,IF(NSi.TS[[#This Row],[KU.7]]="C",79,IF(NSi.TS[[#This Row],[KU.7]]="D",69,IF(NSi.TS[[#This Row],[KU.7]]="E",0,"-")))))</f>
        <v>-</v>
      </c>
      <c r="DC20" s="73" t="str">
        <f>IF(NSi.TS[[#This Row],[TJ.7]]=1,100,IF(NSi.TS[[#This Row],[TJ.7]]=2,89,IF(NSi.TS[[#This Row],[TJ.7]]=3,79,IF(NSi.TS[[#This Row],[TJ.7]]=4,69,IF(NSi.TS[[#This Row],[TJ.7]]=5,0,"-")))))</f>
        <v>-</v>
      </c>
      <c r="DD20" s="73" t="str">
        <f>IF(NSi.TS[[#This Row],[Ker.7]]=1,100,IF(NSi.TS[[#This Row],[Ker.7]]=2,89,IF(NSi.TS[[#This Row],[Ker.7]]=3,79,IF(NSi.TS[[#This Row],[Ker.7]]=4,69,IF(NSi.TS[[#This Row],[Ker.7]]=5,0,"-")))))</f>
        <v>-</v>
      </c>
      <c r="DE20" s="73" t="str">
        <f>IF(NSi.TS[[#This Row],[Ped.7]]=1,100,IF(NSi.TS[[#This Row],[Ped.7]]=2,89,IF(NSi.TS[[#This Row],[Ped.7]]=3,79,IF(NSi.TS[[#This Row],[Ped.7]]=4,69,IF(NSi.TS[[#This Row],[Ped.7]]=5,0,"-")))))</f>
        <v>-</v>
      </c>
      <c r="DF20" s="73" t="str">
        <f>IF(NSi.TS[[#This Row],[Pro-A.7]]=1,100,IF(NSi.TS[[#This Row],[Pro-A.7]]=2,89,IF(NSi.TS[[#This Row],[Pro-A.7]]=3,79,IF(NSi.TS[[#This Row],[Pro-A.7]]=4,69,IF(NSi.TS[[#This Row],[Pro-A.7]]=5,0,"-")))))</f>
        <v>-</v>
      </c>
      <c r="DG20" s="74" t="str">
        <f>IF(NSi.TS[[#This Row],[KU.8]]="A",100,IF(NSi.TS[[#This Row],[KU.8]]="B",89,IF(NSi.TS[[#This Row],[KU.8]]="C",79,IF(NSi.TS[[#This Row],[KU.8]]="D",69,IF(NSi.TS[[#This Row],[KU.8]]="E",0,"-")))))</f>
        <v>-</v>
      </c>
      <c r="DH20" s="73" t="str">
        <f>IF(NSi.TS[[#This Row],[TJ.8]]=1,100,IF(NSi.TS[[#This Row],[TJ.8]]=2,89,IF(NSi.TS[[#This Row],[TJ.8]]=3,79,IF(NSi.TS[[#This Row],[TJ.8]]=4,69,IF(NSi.TS[[#This Row],[TJ.8]]=5,0,"-")))))</f>
        <v>-</v>
      </c>
      <c r="DI20" s="73" t="str">
        <f>IF(NSi.TS[[#This Row],[Ker.8]]=1,100,IF(NSi.TS[[#This Row],[Ker.8]]=2,89,IF(NSi.TS[[#This Row],[Ker.8]]=3,79,IF(NSi.TS[[#This Row],[Ker.8]]=4,69,IF(NSi.TS[[#This Row],[Ker.8]]=5,0,"-")))))</f>
        <v>-</v>
      </c>
      <c r="DJ20" s="73" t="str">
        <f>IF(NSi.TS[[#This Row],[Ped.8]]=1,100,IF(NSi.TS[[#This Row],[Ped.8]]=2,89,IF(NSi.TS[[#This Row],[Ped.8]]=3,79,IF(NSi.TS[[#This Row],[Ped.8]]=4,69,IF(NSi.TS[[#This Row],[Ped.8]]=5,0,"-")))))</f>
        <v>-</v>
      </c>
      <c r="DK20" s="73" t="str">
        <f>IF(NSi.TS[[#This Row],[Pro-A.8]]=1,100,IF(NSi.TS[[#This Row],[Pro-A.8]]=2,89,IF(NSi.TS[[#This Row],[Pro-A.8]]=3,79,IF(NSi.TS[[#This Row],[Pro-A.8]]=4,69,IF(NSi.TS[[#This Row],[Pro-A.8]]=5,0,"-")))))</f>
        <v>-</v>
      </c>
      <c r="DL20" s="74" t="str">
        <f>IF(NSi.TS[[#This Row],[KU.9]]="A",100,IF(NSi.TS[[#This Row],[KU.9]]="B",89,IF(NSi.TS[[#This Row],[KU.9]]="C",79,IF(NSi.TS[[#This Row],[KU.9]]="D",69,IF(NSi.TS[[#This Row],[KU.9]]="E",0,"-")))))</f>
        <v>-</v>
      </c>
      <c r="DM20" s="73" t="str">
        <f>IF(NSi.TS[[#This Row],[TJ.9]]=1,100,IF(NSi.TS[[#This Row],[TJ.9]]=2,89,IF(NSi.TS[[#This Row],[TJ.9]]=3,79,IF(NSi.TS[[#This Row],[TJ.9]]=4,69,IF(NSi.TS[[#This Row],[TJ.9]]=5,0,"-")))))</f>
        <v>-</v>
      </c>
      <c r="DN20" s="73" t="str">
        <f>IF(NSi.TS[[#This Row],[Ker.9]]=1,100,IF(NSi.TS[[#This Row],[Ker.9]]=2,89,IF(NSi.TS[[#This Row],[Ker.9]]=3,79,IF(NSi.TS[[#This Row],[Ker.9]]=4,69,IF(NSi.TS[[#This Row],[Ker.9]]=5,0,"-")))))</f>
        <v>-</v>
      </c>
      <c r="DO20" s="73" t="str">
        <f>IF(NSi.TS[[#This Row],[Ped.9]]=1,100,IF(NSi.TS[[#This Row],[Ped.9]]=2,89,IF(NSi.TS[[#This Row],[Ped.9]]=3,79,IF(NSi.TS[[#This Row],[Ped.9]]=4,69,IF(NSi.TS[[#This Row],[Ped.9]]=5,0,"-")))))</f>
        <v>-</v>
      </c>
      <c r="DP20" s="73" t="str">
        <f>IF(NSi.TS[[#This Row],[Pro-A.9]]=1,100,IF(NSi.TS[[#This Row],[Pro-A.9]]=2,89,IF(NSi.TS[[#This Row],[Pro-A.9]]=3,79,IF(NSi.TS[[#This Row],[Pro-A.9]]=4,69,IF(NSi.TS[[#This Row],[Pro-A.9]]=5,0,"-")))))</f>
        <v>-</v>
      </c>
    </row>
    <row r="21" spans="1:120" ht="50.1" customHeight="1" x14ac:dyDescent="0.3">
      <c r="A21" s="85"/>
      <c r="B21" s="86"/>
      <c r="C21" s="87"/>
      <c r="D21" s="87"/>
      <c r="E21" s="87"/>
      <c r="F21" s="44" t="str">
        <f>IFERROR(ROUND(AVERAGE(CSCR[#This Row]),0),"")</f>
        <v/>
      </c>
      <c r="G21" s="41" t="s">
        <v>102</v>
      </c>
      <c r="H21" s="45" t="s">
        <v>102</v>
      </c>
      <c r="I21" s="45" t="s">
        <v>102</v>
      </c>
      <c r="J21" s="45" t="s">
        <v>102</v>
      </c>
      <c r="K21" s="45" t="s">
        <v>102</v>
      </c>
      <c r="L21" s="41" t="s">
        <v>102</v>
      </c>
      <c r="M21" s="45" t="s">
        <v>102</v>
      </c>
      <c r="N21" s="45" t="s">
        <v>102</v>
      </c>
      <c r="O21" s="45" t="s">
        <v>102</v>
      </c>
      <c r="P21" s="45" t="s">
        <v>102</v>
      </c>
      <c r="Q21" s="41" t="s">
        <v>102</v>
      </c>
      <c r="R21" s="45" t="s">
        <v>102</v>
      </c>
      <c r="S21" s="45" t="s">
        <v>102</v>
      </c>
      <c r="T21" s="45" t="s">
        <v>102</v>
      </c>
      <c r="U21" s="45" t="s">
        <v>102</v>
      </c>
      <c r="V21" s="41" t="s">
        <v>102</v>
      </c>
      <c r="W21" s="45" t="s">
        <v>102</v>
      </c>
      <c r="X21" s="45" t="s">
        <v>102</v>
      </c>
      <c r="Y21" s="45" t="s">
        <v>102</v>
      </c>
      <c r="Z21" s="45" t="s">
        <v>102</v>
      </c>
      <c r="AA21" s="41" t="s">
        <v>102</v>
      </c>
      <c r="AB21" s="45" t="s">
        <v>102</v>
      </c>
      <c r="AC21" s="45" t="s">
        <v>102</v>
      </c>
      <c r="AD21" s="45" t="s">
        <v>102</v>
      </c>
      <c r="AE21" s="45" t="s">
        <v>102</v>
      </c>
      <c r="AF21" s="41" t="s">
        <v>102</v>
      </c>
      <c r="AG21" s="45" t="s">
        <v>102</v>
      </c>
      <c r="AH21" s="45" t="s">
        <v>102</v>
      </c>
      <c r="AI21" s="45" t="s">
        <v>102</v>
      </c>
      <c r="AJ21" s="45" t="s">
        <v>102</v>
      </c>
      <c r="AK21" s="41" t="s">
        <v>102</v>
      </c>
      <c r="AL21" s="45" t="s">
        <v>102</v>
      </c>
      <c r="AM21" s="45" t="s">
        <v>102</v>
      </c>
      <c r="AN21" s="45" t="s">
        <v>102</v>
      </c>
      <c r="AO21" s="45" t="s">
        <v>102</v>
      </c>
      <c r="AP21" s="41" t="s">
        <v>102</v>
      </c>
      <c r="AQ21" s="45" t="s">
        <v>102</v>
      </c>
      <c r="AR21" s="45" t="s">
        <v>102</v>
      </c>
      <c r="AS21" s="45" t="s">
        <v>102</v>
      </c>
      <c r="AT21" s="45" t="s">
        <v>102</v>
      </c>
      <c r="AU21" s="41" t="s">
        <v>102</v>
      </c>
      <c r="AV21" s="45" t="s">
        <v>102</v>
      </c>
      <c r="AW21" s="45" t="s">
        <v>102</v>
      </c>
      <c r="AX21" s="45" t="s">
        <v>102</v>
      </c>
      <c r="AY21" s="45" t="s">
        <v>102</v>
      </c>
      <c r="BA21" s="10" t="str">
        <f>CONCATENATE(NSi.TS[[#This Row],[KU.1]],(IF(A.LoE[[#This Row],[LE.1]]="-","-",IF(A.LoE[[#This Row],[LE.1]]&gt;=90,1,IF(A.LoE[[#This Row],[LE.1]]&gt;=80,2,IF(A.LoE[[#This Row],[LE.1]]&gt;=70,3,IF(A.LoE[[#This Row],[LE.1]]&gt;=1,4,5)))))))</f>
        <v>--</v>
      </c>
      <c r="BB21" s="46" t="str">
        <f>CONCATENATE(NSi.TS[[#This Row],[KU.2]],(IF(A.LoE[[#This Row],[LE.2]]="-","-",IF(A.LoE[[#This Row],[LE.2]]&gt;=90,1,IF(A.LoE[[#This Row],[LE.2]]&gt;=80,2,IF(A.LoE[[#This Row],[LE.2]]&gt;=70,3,IF(A.LoE[[#This Row],[LE.2]]&gt;=1,4,5)))))))</f>
        <v>--</v>
      </c>
      <c r="BC21" s="46" t="str">
        <f>CONCATENATE(NSi.TS[[#This Row],[KU.3]],(IF(A.LoE[[#This Row],[LE.3]]="-","-",IF(A.LoE[[#This Row],[LE.3]]&gt;=90,1,IF(A.LoE[[#This Row],[LE.3]]&gt;=80,2,IF(A.LoE[[#This Row],[LE.3]]&gt;=70,3,IF(A.LoE[[#This Row],[LE.3]]&gt;=1,4,5)))))))</f>
        <v>--</v>
      </c>
      <c r="BD21" s="46" t="str">
        <f>CONCATENATE(NSi.TS[[#This Row],[KU.4]],(IF(A.LoE[[#This Row],[LE.4]]="-","-",IF(A.LoE[[#This Row],[LE.4]]&gt;=90,1,IF(A.LoE[[#This Row],[LE.4]]&gt;=80,2,IF(A.LoE[[#This Row],[LE.4]]&gt;=70,3,IF(A.LoE[[#This Row],[LE.4]]&gt;=1,4,5)))))))</f>
        <v>--</v>
      </c>
      <c r="BE21" s="46" t="str">
        <f>CONCATENATE(NSi.TS[[#This Row],[KU.5]],(IF(A.LoE[[#This Row],[LE.5]]="-","-",IF(A.LoE[[#This Row],[LE.5]]&gt;=90,1,IF(A.LoE[[#This Row],[LE.5]]&gt;=80,2,IF(A.LoE[[#This Row],[LE.5]]&gt;=70,3,IF(A.LoE[[#This Row],[LE.5]]&gt;=1,4,5)))))))</f>
        <v>--</v>
      </c>
      <c r="BF21" s="46" t="str">
        <f>CONCATENATE(NSi.TS[[#This Row],[KU.6]],(IF(A.LoE[[#This Row],[LE.6]]="-","-",IF(A.LoE[[#This Row],[LE.6]]&gt;=90,1,IF(A.LoE[[#This Row],[LE.6]]&gt;=80,2,IF(A.LoE[[#This Row],[LE.6]]&gt;=70,3,IF(A.LoE[[#This Row],[LE.6]]&gt;=1,4,5)))))))</f>
        <v>--</v>
      </c>
      <c r="BG21" s="46" t="str">
        <f>CONCATENATE(NSi.TS[[#This Row],[KU.7]],(IF(A.LoE[[#This Row],[LE.7]]="-","-",IF(A.LoE[[#This Row],[LE.7]]&gt;=90,1,IF(A.LoE[[#This Row],[LE.7]]&gt;=80,2,IF(A.LoE[[#This Row],[LE.7]]&gt;=70,3,IF(A.LoE[[#This Row],[LE.7]]&gt;=1,4,5)))))))</f>
        <v>--</v>
      </c>
      <c r="BH21" s="46" t="str">
        <f>CONCATENATE(NSi.TS[[#This Row],[KU.8]],(IF(A.LoE[[#This Row],[LE.8]]="-","-",IF(A.LoE[[#This Row],[LE.8]]&gt;=90,1,IF(A.LoE[[#This Row],[LE.8]]&gt;=80,2,IF(A.LoE[[#This Row],[LE.8]]&gt;=70,3,IF(A.LoE[[#This Row],[LE.8]]&gt;=1,4,5)))))))</f>
        <v>--</v>
      </c>
      <c r="BI21" s="38" t="str">
        <f>CONCATENATE(NSi.TS[[#This Row],[KU.9]],(IF(A.LoE[[#This Row],[LE.9]]="-","-",IF(A.LoE[[#This Row],[LE.9]]&gt;=90,1,IF(A.LoE[[#This Row],[LE.9]]&gt;=80,2,IF(A.LoE[[#This Row],[LE.9]]&gt;=70,3,IF(A.LoE[[#This Row],[LE.9]]&gt;=1,4,5)))))))</f>
        <v>--</v>
      </c>
      <c r="BK21" s="35" t="str">
        <f>IFERROR(ROUND(AVERAGE(Con.Sk[[#This Row],[TJ.1]:[Pro-A.1]]),0),"-")</f>
        <v>-</v>
      </c>
      <c r="BL21" s="24" t="str">
        <f>IFERROR(ROUND(AVERAGE(Con.Sk[[#This Row],[TJ.2]:[Pro-A.2]]),0),"-")</f>
        <v>-</v>
      </c>
      <c r="BM21" s="24" t="str">
        <f>IFERROR(ROUND(AVERAGE(Con.Sk[[#This Row],[TJ.3]:[Pro-A.3]]),0),"-")</f>
        <v>-</v>
      </c>
      <c r="BN21" s="24" t="str">
        <f>IFERROR(ROUND(AVERAGE(Con.Sk[[#This Row],[TJ.4]:[Pro-A.4]]),0),"-")</f>
        <v>-</v>
      </c>
      <c r="BO21" s="24" t="str">
        <f>IFERROR(ROUND(AVERAGE(Con.Sk[[#This Row],[TJ.5]:[Pro-A.5]]),0),"-")</f>
        <v>-</v>
      </c>
      <c r="BP21" s="24" t="str">
        <f>IFERROR(ROUND(AVERAGE(Con.Sk[[#This Row],[TJ.6]:[Pro-A.6]]),0),"-")</f>
        <v>-</v>
      </c>
      <c r="BQ21" s="24" t="str">
        <f>IFERROR(ROUND(AVERAGE(Con.Sk[[#This Row],[TJ.7]:[Pro-A.7]]),0),"-")</f>
        <v>-</v>
      </c>
      <c r="BR21" s="24" t="str">
        <f>IFERROR(ROUND(AVERAGE(Con.Sk[[#This Row],[TJ.8]:[Pro-A.8]]),0),"-")</f>
        <v>-</v>
      </c>
      <c r="BS21" s="25" t="str">
        <f>IFERROR(ROUND(AVERAGE(Con.Sk[[#This Row],[TJ.9]:[Pro-A.9]]),0),"-")</f>
        <v>-</v>
      </c>
      <c r="BU21" s="47" t="str">
        <f>IFERROR(ROUND(AVERAGE(Con.Sk[[#This Row],[KU.1]],Con.Sk[[#This Row],[KU.2]],Con.Sk[[#This Row],[KU.3]],Con.Sk[[#This Row],[KU.4]],Con.Sk[[#This Row],[KU.5]],Con.Sk[[#This Row],[KU.6]],Con.Sk[[#This Row],[KU.7]],Con.Sk[[#This Row],[KU.8]],Con.Sk[[#This Row],[KU.9]]),0),"")</f>
        <v/>
      </c>
      <c r="BV21" s="48" t="str">
        <f>IFERROR(ROUND(AVERAGE(Con.Sk[[#This Row],[TJ.1]:[Pro-A.1]],Con.Sk[[#This Row],[TJ.2]:[Pro-A.2]],Con.Sk[[#This Row],[TJ.3]:[Pro-A.3]],Con.Sk[[#This Row],[TJ.4]:[Pro-A.4]],Con.Sk[[#This Row],[TJ.5]:[Pro-A.5]],Con.Sk[[#This Row],[TJ.6]:[Pro-A.6]],Con.Sk[[#This Row],[TJ.7]:[Pro-A.7]],Con.Sk[[#This Row],[TJ.8]:[Pro-A.8]],Con.Sk[[#This Row],[TJ.9]:[Pro-A.9]]),0),"")</f>
        <v/>
      </c>
      <c r="BW21" s="3"/>
      <c r="BX21" s="73" t="str">
        <f>IF(NSi.TS[[#This Row],[KU.1]]="A",100,IF(NSi.TS[[#This Row],[KU.1]]="B",89,IF(NSi.TS[[#This Row],[KU.1]]="C",79,IF(NSi.TS[[#This Row],[KU.1]]="D",69,IF(NSi.TS[[#This Row],[KU.1]]="E",0,"-")))))</f>
        <v>-</v>
      </c>
      <c r="BY21" s="73" t="str">
        <f>IF(NSi.TS[[#This Row],[TJ.1]]=1,100,IF(NSi.TS[[#This Row],[TJ.1]]=2,89,IF(NSi.TS[[#This Row],[TJ.1]]=3,79,IF(NSi.TS[[#This Row],[TJ.1]]=4,69,IF(NSi.TS[[#This Row],[TJ.1]]=5,0,"-")))))</f>
        <v>-</v>
      </c>
      <c r="BZ21" s="73" t="str">
        <f>IF(NSi.TS[[#This Row],[Ker.1]]=1,100,IF(NSi.TS[[#This Row],[Ker.1]]=2,89,IF(NSi.TS[[#This Row],[Ker.1]]=3,79,IF(NSi.TS[[#This Row],[Ker.1]]=4,69,IF(NSi.TS[[#This Row],[Ker.1]]=5,0,"-")))))</f>
        <v>-</v>
      </c>
      <c r="CA21" s="73" t="str">
        <f>IF(NSi.TS[[#This Row],[Ped.1]]=1,100,IF(NSi.TS[[#This Row],[Ped.1]]=2,89,IF(NSi.TS[[#This Row],[Ped.1]]=3,79,IF(NSi.TS[[#This Row],[Ped.1]]=4,69,IF(NSi.TS[[#This Row],[Ped.1]]=5,0,"-")))))</f>
        <v>-</v>
      </c>
      <c r="CB21" s="73" t="str">
        <f>IF(NSi.TS[[#This Row],[Pro-A.1]]=1,100,IF(NSi.TS[[#This Row],[Pro-A.1]]=2,89,IF(NSi.TS[[#This Row],[Pro-A.1]]=3,79,IF(NSi.TS[[#This Row],[Pro-A.1]]=4,69,IF(NSi.TS[[#This Row],[Pro-A.1]]=5,0,"-")))))</f>
        <v>-</v>
      </c>
      <c r="CC21" s="73" t="str">
        <f>IF(NSi.TS[[#This Row],[KU.2]]="A",100,IF(NSi.TS[[#This Row],[KU.2]]="B",89,IF(NSi.TS[[#This Row],[KU.2]]="C",79,IF(NSi.TS[[#This Row],[KU.2]]="D",69,IF(NSi.TS[[#This Row],[KU.2]]="E",0,"-")))))</f>
        <v>-</v>
      </c>
      <c r="CD21" s="73" t="str">
        <f>IF(NSi.TS[[#This Row],[TJ.2]]=1,100,IF(NSi.TS[[#This Row],[TJ.2]]=2,89,IF(NSi.TS[[#This Row],[TJ.2]]=3,79,IF(NSi.TS[[#This Row],[TJ.2]]=4,69,IF(NSi.TS[[#This Row],[TJ.2]]=5,0,"-")))))</f>
        <v>-</v>
      </c>
      <c r="CE21" s="73" t="str">
        <f>IF(NSi.TS[[#This Row],[Ker.2]]=1,100,IF(NSi.TS[[#This Row],[Ker.2]]=2,89,IF(NSi.TS[[#This Row],[Ker.2]]=3,79,IF(NSi.TS[[#This Row],[Ker.2]]=4,69,IF(NSi.TS[[#This Row],[Ker.2]]=5,0,"-")))))</f>
        <v>-</v>
      </c>
      <c r="CF21" s="73" t="str">
        <f>IF(NSi.TS[[#This Row],[Ped.2]]=1,100,IF(NSi.TS[[#This Row],[Ped.2]]=2,89,IF(NSi.TS[[#This Row],[Ped.2]]=3,79,IF(NSi.TS[[#This Row],[Ped.2]]=4,69,IF(NSi.TS[[#This Row],[Ped.2]]=5,0,"-")))))</f>
        <v>-</v>
      </c>
      <c r="CG21" s="73" t="str">
        <f>IF(NSi.TS[[#This Row],[Pro-A.2]]=1,100,IF(NSi.TS[[#This Row],[Pro-A.2]]=2,89,IF(NSi.TS[[#This Row],[Pro-A.2]]=3,79,IF(NSi.TS[[#This Row],[Pro-A.2]]=4,69,IF(NSi.TS[[#This Row],[Pro-A.2]]=5,0,"-")))))</f>
        <v>-</v>
      </c>
      <c r="CH21" s="74" t="str">
        <f>IF(NSi.TS[[#This Row],[KU.3]]="A",100,IF(NSi.TS[[#This Row],[KU.3]]="B",89,IF(NSi.TS[[#This Row],[KU.3]]="C",79,IF(NSi.TS[[#This Row],[KU.3]]="D",69,IF(NSi.TS[[#This Row],[KU.3]]="E",0,"-")))))</f>
        <v>-</v>
      </c>
      <c r="CI21" s="73" t="str">
        <f>IF(NSi.TS[[#This Row],[TJ.3]]=1,100,IF(NSi.TS[[#This Row],[TJ.3]]=2,89,IF(NSi.TS[[#This Row],[TJ.3]]=3,79,IF(NSi.TS[[#This Row],[TJ.3]]=4,69,IF(NSi.TS[[#This Row],[TJ.3]]=5,0,"-")))))</f>
        <v>-</v>
      </c>
      <c r="CJ21" s="73" t="str">
        <f>IF(NSi.TS[[#This Row],[Ker.3]]=1,100,IF(NSi.TS[[#This Row],[Ker.3]]=2,89,IF(NSi.TS[[#This Row],[Ker.3]]=3,79,IF(NSi.TS[[#This Row],[Ker.3]]=4,69,IF(NSi.TS[[#This Row],[Ker.3]]=5,0,"-")))))</f>
        <v>-</v>
      </c>
      <c r="CK21" s="73" t="str">
        <f>IF(NSi.TS[[#This Row],[Ped.3]]=1,100,IF(NSi.TS[[#This Row],[Ped.3]]=2,89,IF(NSi.TS[[#This Row],[Ped.3]]=3,79,IF(NSi.TS[[#This Row],[Ped.3]]=4,69,IF(NSi.TS[[#This Row],[Ped.3]]=5,0,"-")))))</f>
        <v>-</v>
      </c>
      <c r="CL21" s="73" t="str">
        <f>IF(NSi.TS[[#This Row],[Pro-A.3]]=1,100,IF(NSi.TS[[#This Row],[Pro-A.3]]=2,89,IF(NSi.TS[[#This Row],[Pro-A.3]]=3,79,IF(NSi.TS[[#This Row],[Pro-A.3]]=4,69,IF(NSi.TS[[#This Row],[Pro-A.3]]=5,0,"-")))))</f>
        <v>-</v>
      </c>
      <c r="CM21" s="74" t="str">
        <f>IF(NSi.TS[[#This Row],[KU.4]]="A",100,IF(NSi.TS[[#This Row],[KU.4]]="B",89,IF(NSi.TS[[#This Row],[KU.4]]="C",79,IF(NSi.TS[[#This Row],[KU.4]]="D",69,IF(NSi.TS[[#This Row],[KU.4]]="E",0,"-")))))</f>
        <v>-</v>
      </c>
      <c r="CN21" s="73" t="str">
        <f>IF(NSi.TS[[#This Row],[TJ.4]]=1,100,IF(NSi.TS[[#This Row],[TJ.4]]=2,89,IF(NSi.TS[[#This Row],[TJ.4]]=3,79,IF(NSi.TS[[#This Row],[TJ.4]]=4,69,IF(NSi.TS[[#This Row],[TJ.4]]=5,0,"-")))))</f>
        <v>-</v>
      </c>
      <c r="CO21" s="73" t="str">
        <f>IF(NSi.TS[[#This Row],[Ker.4]]=1,100,IF(NSi.TS[[#This Row],[Ker.4]]=2,89,IF(NSi.TS[[#This Row],[Ker.4]]=3,79,IF(NSi.TS[[#This Row],[Ker.4]]=4,69,IF(NSi.TS[[#This Row],[Ker.4]]=5,0,"-")))))</f>
        <v>-</v>
      </c>
      <c r="CP21" s="73" t="str">
        <f>IF(NSi.TS[[#This Row],[Ped.4]]=1,100,IF(NSi.TS[[#This Row],[Ped.4]]=2,89,IF(NSi.TS[[#This Row],[Ped.4]]=3,79,IF(NSi.TS[[#This Row],[Ped.4]]=4,69,IF(NSi.TS[[#This Row],[Ped.4]]=5,0,"-")))))</f>
        <v>-</v>
      </c>
      <c r="CQ21" s="73" t="str">
        <f>IF(NSi.TS[[#This Row],[Pro-A.4]]=1,100,IF(NSi.TS[[#This Row],[Pro-A.4]]=2,89,IF(NSi.TS[[#This Row],[Pro-A.4]]=3,79,IF(NSi.TS[[#This Row],[Pro-A.4]]=4,69,IF(NSi.TS[[#This Row],[Pro-A.4]]=5,0,"-")))))</f>
        <v>-</v>
      </c>
      <c r="CR21" s="74" t="str">
        <f>IF(NSi.TS[[#This Row],[KU.5]]="A",100,IF(NSi.TS[[#This Row],[KU.5]]="B",89,IF(NSi.TS[[#This Row],[KU.5]]="C",79,IF(NSi.TS[[#This Row],[KU.5]]="D",69,IF(NSi.TS[[#This Row],[KU.5]]="E",0,"-")))))</f>
        <v>-</v>
      </c>
      <c r="CS21" s="73" t="str">
        <f>IF(NSi.TS[[#This Row],[TJ.5]]=1,100,IF(NSi.TS[[#This Row],[TJ.5]]=2,89,IF(NSi.TS[[#This Row],[TJ.5]]=3,79,IF(NSi.TS[[#This Row],[TJ.5]]=4,69,IF(NSi.TS[[#This Row],[TJ.5]]=5,0,"-")))))</f>
        <v>-</v>
      </c>
      <c r="CT21" s="73" t="str">
        <f>IF(NSi.TS[[#This Row],[Ker.5]]=1,100,IF(NSi.TS[[#This Row],[Ker.5]]=2,89,IF(NSi.TS[[#This Row],[Ker.5]]=3,79,IF(NSi.TS[[#This Row],[Ker.5]]=4,69,IF(NSi.TS[[#This Row],[Ker.5]]=5,0,"-")))))</f>
        <v>-</v>
      </c>
      <c r="CU21" s="73" t="str">
        <f>IF(NSi.TS[[#This Row],[Ped.5]]=1,100,IF(NSi.TS[[#This Row],[Ped.5]]=2,89,IF(NSi.TS[[#This Row],[Ped.5]]=3,79,IF(NSi.TS[[#This Row],[Ped.5]]=4,69,IF(NSi.TS[[#This Row],[Ped.5]]=5,0,"-")))))</f>
        <v>-</v>
      </c>
      <c r="CV21" s="73" t="str">
        <f>IF(NSi.TS[[#This Row],[Pro-A.5]]=1,100,IF(NSi.TS[[#This Row],[Pro-A.5]]=2,89,IF(NSi.TS[[#This Row],[Pro-A.5]]=3,79,IF(NSi.TS[[#This Row],[Pro-A.5]]=4,69,IF(NSi.TS[[#This Row],[Pro-A.5]]=5,0,"-")))))</f>
        <v>-</v>
      </c>
      <c r="CW21" s="74" t="str">
        <f>IF(NSi.TS[[#This Row],[KU.6]]="A",100,IF(NSi.TS[[#This Row],[KU.6]]="B",89,IF(NSi.TS[[#This Row],[KU.6]]="C",79,IF(NSi.TS[[#This Row],[KU.6]]="D",69,IF(NSi.TS[[#This Row],[KU.6]]="E",0,"-")))))</f>
        <v>-</v>
      </c>
      <c r="CX21" s="73" t="str">
        <f>IF(NSi.TS[[#This Row],[TJ.6]]=1,100,IF(NSi.TS[[#This Row],[TJ.6]]=2,89,IF(NSi.TS[[#This Row],[TJ.6]]=3,79,IF(NSi.TS[[#This Row],[TJ.6]]=4,69,IF(NSi.TS[[#This Row],[TJ.6]]=5,0,"-")))))</f>
        <v>-</v>
      </c>
      <c r="CY21" s="73" t="str">
        <f>IF(NSi.TS[[#This Row],[Ker.6]]=1,100,IF(NSi.TS[[#This Row],[Ker.6]]=2,89,IF(NSi.TS[[#This Row],[Ker.6]]=3,79,IF(NSi.TS[[#This Row],[Ker.6]]=4,69,IF(NSi.TS[[#This Row],[Ker.6]]=5,0,"-")))))</f>
        <v>-</v>
      </c>
      <c r="CZ21" s="73" t="str">
        <f>IF(NSi.TS[[#This Row],[Ped.6]]=1,100,IF(NSi.TS[[#This Row],[Ped.6]]=2,89,IF(NSi.TS[[#This Row],[Ped.6]]=3,79,IF(NSi.TS[[#This Row],[Ped.6]]=4,69,IF(NSi.TS[[#This Row],[Ped.6]]=5,0,"-")))))</f>
        <v>-</v>
      </c>
      <c r="DA21" s="73" t="str">
        <f>IF(NSi.TS[[#This Row],[Pro-A.6]]=1,100,IF(NSi.TS[[#This Row],[Pro-A.6]]=2,89,IF(NSi.TS[[#This Row],[Pro-A.6]]=3,79,IF(NSi.TS[[#This Row],[Pro-A.6]]=4,69,IF(NSi.TS[[#This Row],[Pro-A.6]]=5,0,"-")))))</f>
        <v>-</v>
      </c>
      <c r="DB21" s="74" t="str">
        <f>IF(NSi.TS[[#This Row],[KU.7]]="A",100,IF(NSi.TS[[#This Row],[KU.7]]="B",89,IF(NSi.TS[[#This Row],[KU.7]]="C",79,IF(NSi.TS[[#This Row],[KU.7]]="D",69,IF(NSi.TS[[#This Row],[KU.7]]="E",0,"-")))))</f>
        <v>-</v>
      </c>
      <c r="DC21" s="73" t="str">
        <f>IF(NSi.TS[[#This Row],[TJ.7]]=1,100,IF(NSi.TS[[#This Row],[TJ.7]]=2,89,IF(NSi.TS[[#This Row],[TJ.7]]=3,79,IF(NSi.TS[[#This Row],[TJ.7]]=4,69,IF(NSi.TS[[#This Row],[TJ.7]]=5,0,"-")))))</f>
        <v>-</v>
      </c>
      <c r="DD21" s="73" t="str">
        <f>IF(NSi.TS[[#This Row],[Ker.7]]=1,100,IF(NSi.TS[[#This Row],[Ker.7]]=2,89,IF(NSi.TS[[#This Row],[Ker.7]]=3,79,IF(NSi.TS[[#This Row],[Ker.7]]=4,69,IF(NSi.TS[[#This Row],[Ker.7]]=5,0,"-")))))</f>
        <v>-</v>
      </c>
      <c r="DE21" s="73" t="str">
        <f>IF(NSi.TS[[#This Row],[Ped.7]]=1,100,IF(NSi.TS[[#This Row],[Ped.7]]=2,89,IF(NSi.TS[[#This Row],[Ped.7]]=3,79,IF(NSi.TS[[#This Row],[Ped.7]]=4,69,IF(NSi.TS[[#This Row],[Ped.7]]=5,0,"-")))))</f>
        <v>-</v>
      </c>
      <c r="DF21" s="73" t="str">
        <f>IF(NSi.TS[[#This Row],[Pro-A.7]]=1,100,IF(NSi.TS[[#This Row],[Pro-A.7]]=2,89,IF(NSi.TS[[#This Row],[Pro-A.7]]=3,79,IF(NSi.TS[[#This Row],[Pro-A.7]]=4,69,IF(NSi.TS[[#This Row],[Pro-A.7]]=5,0,"-")))))</f>
        <v>-</v>
      </c>
      <c r="DG21" s="74" t="str">
        <f>IF(NSi.TS[[#This Row],[KU.8]]="A",100,IF(NSi.TS[[#This Row],[KU.8]]="B",89,IF(NSi.TS[[#This Row],[KU.8]]="C",79,IF(NSi.TS[[#This Row],[KU.8]]="D",69,IF(NSi.TS[[#This Row],[KU.8]]="E",0,"-")))))</f>
        <v>-</v>
      </c>
      <c r="DH21" s="73" t="str">
        <f>IF(NSi.TS[[#This Row],[TJ.8]]=1,100,IF(NSi.TS[[#This Row],[TJ.8]]=2,89,IF(NSi.TS[[#This Row],[TJ.8]]=3,79,IF(NSi.TS[[#This Row],[TJ.8]]=4,69,IF(NSi.TS[[#This Row],[TJ.8]]=5,0,"-")))))</f>
        <v>-</v>
      </c>
      <c r="DI21" s="73" t="str">
        <f>IF(NSi.TS[[#This Row],[Ker.8]]=1,100,IF(NSi.TS[[#This Row],[Ker.8]]=2,89,IF(NSi.TS[[#This Row],[Ker.8]]=3,79,IF(NSi.TS[[#This Row],[Ker.8]]=4,69,IF(NSi.TS[[#This Row],[Ker.8]]=5,0,"-")))))</f>
        <v>-</v>
      </c>
      <c r="DJ21" s="73" t="str">
        <f>IF(NSi.TS[[#This Row],[Ped.8]]=1,100,IF(NSi.TS[[#This Row],[Ped.8]]=2,89,IF(NSi.TS[[#This Row],[Ped.8]]=3,79,IF(NSi.TS[[#This Row],[Ped.8]]=4,69,IF(NSi.TS[[#This Row],[Ped.8]]=5,0,"-")))))</f>
        <v>-</v>
      </c>
      <c r="DK21" s="73" t="str">
        <f>IF(NSi.TS[[#This Row],[Pro-A.8]]=1,100,IF(NSi.TS[[#This Row],[Pro-A.8]]=2,89,IF(NSi.TS[[#This Row],[Pro-A.8]]=3,79,IF(NSi.TS[[#This Row],[Pro-A.8]]=4,69,IF(NSi.TS[[#This Row],[Pro-A.8]]=5,0,"-")))))</f>
        <v>-</v>
      </c>
      <c r="DL21" s="74" t="str">
        <f>IF(NSi.TS[[#This Row],[KU.9]]="A",100,IF(NSi.TS[[#This Row],[KU.9]]="B",89,IF(NSi.TS[[#This Row],[KU.9]]="C",79,IF(NSi.TS[[#This Row],[KU.9]]="D",69,IF(NSi.TS[[#This Row],[KU.9]]="E",0,"-")))))</f>
        <v>-</v>
      </c>
      <c r="DM21" s="73" t="str">
        <f>IF(NSi.TS[[#This Row],[TJ.9]]=1,100,IF(NSi.TS[[#This Row],[TJ.9]]=2,89,IF(NSi.TS[[#This Row],[TJ.9]]=3,79,IF(NSi.TS[[#This Row],[TJ.9]]=4,69,IF(NSi.TS[[#This Row],[TJ.9]]=5,0,"-")))))</f>
        <v>-</v>
      </c>
      <c r="DN21" s="73" t="str">
        <f>IF(NSi.TS[[#This Row],[Ker.9]]=1,100,IF(NSi.TS[[#This Row],[Ker.9]]=2,89,IF(NSi.TS[[#This Row],[Ker.9]]=3,79,IF(NSi.TS[[#This Row],[Ker.9]]=4,69,IF(NSi.TS[[#This Row],[Ker.9]]=5,0,"-")))))</f>
        <v>-</v>
      </c>
      <c r="DO21" s="73" t="str">
        <f>IF(NSi.TS[[#This Row],[Ped.9]]=1,100,IF(NSi.TS[[#This Row],[Ped.9]]=2,89,IF(NSi.TS[[#This Row],[Ped.9]]=3,79,IF(NSi.TS[[#This Row],[Ped.9]]=4,69,IF(NSi.TS[[#This Row],[Ped.9]]=5,0,"-")))))</f>
        <v>-</v>
      </c>
      <c r="DP21" s="73" t="str">
        <f>IF(NSi.TS[[#This Row],[Pro-A.9]]=1,100,IF(NSi.TS[[#This Row],[Pro-A.9]]=2,89,IF(NSi.TS[[#This Row],[Pro-A.9]]=3,79,IF(NSi.TS[[#This Row],[Pro-A.9]]=4,69,IF(NSi.TS[[#This Row],[Pro-A.9]]=5,0,"-")))))</f>
        <v>-</v>
      </c>
    </row>
    <row r="22" spans="1:120" ht="50.1" customHeight="1" x14ac:dyDescent="0.3">
      <c r="A22" s="85"/>
      <c r="B22" s="86"/>
      <c r="C22" s="87"/>
      <c r="D22" s="87"/>
      <c r="E22" s="87"/>
      <c r="F22" s="44" t="str">
        <f>IFERROR(ROUND(AVERAGE(CSCR[#This Row]),0),"")</f>
        <v/>
      </c>
      <c r="G22" s="41" t="s">
        <v>102</v>
      </c>
      <c r="H22" s="45" t="s">
        <v>102</v>
      </c>
      <c r="I22" s="45" t="s">
        <v>102</v>
      </c>
      <c r="J22" s="45" t="s">
        <v>102</v>
      </c>
      <c r="K22" s="45" t="s">
        <v>102</v>
      </c>
      <c r="L22" s="41" t="s">
        <v>102</v>
      </c>
      <c r="M22" s="45" t="s">
        <v>102</v>
      </c>
      <c r="N22" s="45" t="s">
        <v>102</v>
      </c>
      <c r="O22" s="45" t="s">
        <v>102</v>
      </c>
      <c r="P22" s="45" t="s">
        <v>102</v>
      </c>
      <c r="Q22" s="41" t="s">
        <v>102</v>
      </c>
      <c r="R22" s="45" t="s">
        <v>102</v>
      </c>
      <c r="S22" s="45" t="s">
        <v>102</v>
      </c>
      <c r="T22" s="45" t="s">
        <v>102</v>
      </c>
      <c r="U22" s="45" t="s">
        <v>102</v>
      </c>
      <c r="V22" s="41" t="s">
        <v>102</v>
      </c>
      <c r="W22" s="45" t="s">
        <v>102</v>
      </c>
      <c r="X22" s="45" t="s">
        <v>102</v>
      </c>
      <c r="Y22" s="45" t="s">
        <v>102</v>
      </c>
      <c r="Z22" s="45" t="s">
        <v>102</v>
      </c>
      <c r="AA22" s="41" t="s">
        <v>102</v>
      </c>
      <c r="AB22" s="45" t="s">
        <v>102</v>
      </c>
      <c r="AC22" s="45" t="s">
        <v>102</v>
      </c>
      <c r="AD22" s="45" t="s">
        <v>102</v>
      </c>
      <c r="AE22" s="45" t="s">
        <v>102</v>
      </c>
      <c r="AF22" s="41" t="s">
        <v>102</v>
      </c>
      <c r="AG22" s="45" t="s">
        <v>102</v>
      </c>
      <c r="AH22" s="45" t="s">
        <v>102</v>
      </c>
      <c r="AI22" s="45" t="s">
        <v>102</v>
      </c>
      <c r="AJ22" s="45" t="s">
        <v>102</v>
      </c>
      <c r="AK22" s="41" t="s">
        <v>102</v>
      </c>
      <c r="AL22" s="45" t="s">
        <v>102</v>
      </c>
      <c r="AM22" s="45" t="s">
        <v>102</v>
      </c>
      <c r="AN22" s="45" t="s">
        <v>102</v>
      </c>
      <c r="AO22" s="45" t="s">
        <v>102</v>
      </c>
      <c r="AP22" s="41" t="s">
        <v>102</v>
      </c>
      <c r="AQ22" s="45" t="s">
        <v>102</v>
      </c>
      <c r="AR22" s="45" t="s">
        <v>102</v>
      </c>
      <c r="AS22" s="45" t="s">
        <v>102</v>
      </c>
      <c r="AT22" s="45" t="s">
        <v>102</v>
      </c>
      <c r="AU22" s="41" t="s">
        <v>102</v>
      </c>
      <c r="AV22" s="45" t="s">
        <v>102</v>
      </c>
      <c r="AW22" s="45" t="s">
        <v>102</v>
      </c>
      <c r="AX22" s="45" t="s">
        <v>102</v>
      </c>
      <c r="AY22" s="45" t="s">
        <v>102</v>
      </c>
      <c r="BA22" s="10" t="str">
        <f>CONCATENATE(NSi.TS[[#This Row],[KU.1]],(IF(A.LoE[[#This Row],[LE.1]]="-","-",IF(A.LoE[[#This Row],[LE.1]]&gt;=90,1,IF(A.LoE[[#This Row],[LE.1]]&gt;=80,2,IF(A.LoE[[#This Row],[LE.1]]&gt;=70,3,IF(A.LoE[[#This Row],[LE.1]]&gt;=1,4,5)))))))</f>
        <v>--</v>
      </c>
      <c r="BB22" s="46" t="str">
        <f>CONCATENATE(NSi.TS[[#This Row],[KU.2]],(IF(A.LoE[[#This Row],[LE.2]]="-","-",IF(A.LoE[[#This Row],[LE.2]]&gt;=90,1,IF(A.LoE[[#This Row],[LE.2]]&gt;=80,2,IF(A.LoE[[#This Row],[LE.2]]&gt;=70,3,IF(A.LoE[[#This Row],[LE.2]]&gt;=1,4,5)))))))</f>
        <v>--</v>
      </c>
      <c r="BC22" s="46" t="str">
        <f>CONCATENATE(NSi.TS[[#This Row],[KU.3]],(IF(A.LoE[[#This Row],[LE.3]]="-","-",IF(A.LoE[[#This Row],[LE.3]]&gt;=90,1,IF(A.LoE[[#This Row],[LE.3]]&gt;=80,2,IF(A.LoE[[#This Row],[LE.3]]&gt;=70,3,IF(A.LoE[[#This Row],[LE.3]]&gt;=1,4,5)))))))</f>
        <v>--</v>
      </c>
      <c r="BD22" s="46" t="str">
        <f>CONCATENATE(NSi.TS[[#This Row],[KU.4]],(IF(A.LoE[[#This Row],[LE.4]]="-","-",IF(A.LoE[[#This Row],[LE.4]]&gt;=90,1,IF(A.LoE[[#This Row],[LE.4]]&gt;=80,2,IF(A.LoE[[#This Row],[LE.4]]&gt;=70,3,IF(A.LoE[[#This Row],[LE.4]]&gt;=1,4,5)))))))</f>
        <v>--</v>
      </c>
      <c r="BE22" s="46" t="str">
        <f>CONCATENATE(NSi.TS[[#This Row],[KU.5]],(IF(A.LoE[[#This Row],[LE.5]]="-","-",IF(A.LoE[[#This Row],[LE.5]]&gt;=90,1,IF(A.LoE[[#This Row],[LE.5]]&gt;=80,2,IF(A.LoE[[#This Row],[LE.5]]&gt;=70,3,IF(A.LoE[[#This Row],[LE.5]]&gt;=1,4,5)))))))</f>
        <v>--</v>
      </c>
      <c r="BF22" s="46" t="str">
        <f>CONCATENATE(NSi.TS[[#This Row],[KU.6]],(IF(A.LoE[[#This Row],[LE.6]]="-","-",IF(A.LoE[[#This Row],[LE.6]]&gt;=90,1,IF(A.LoE[[#This Row],[LE.6]]&gt;=80,2,IF(A.LoE[[#This Row],[LE.6]]&gt;=70,3,IF(A.LoE[[#This Row],[LE.6]]&gt;=1,4,5)))))))</f>
        <v>--</v>
      </c>
      <c r="BG22" s="46" t="str">
        <f>CONCATENATE(NSi.TS[[#This Row],[KU.7]],(IF(A.LoE[[#This Row],[LE.7]]="-","-",IF(A.LoE[[#This Row],[LE.7]]&gt;=90,1,IF(A.LoE[[#This Row],[LE.7]]&gt;=80,2,IF(A.LoE[[#This Row],[LE.7]]&gt;=70,3,IF(A.LoE[[#This Row],[LE.7]]&gt;=1,4,5)))))))</f>
        <v>--</v>
      </c>
      <c r="BH22" s="46" t="str">
        <f>CONCATENATE(NSi.TS[[#This Row],[KU.8]],(IF(A.LoE[[#This Row],[LE.8]]="-","-",IF(A.LoE[[#This Row],[LE.8]]&gt;=90,1,IF(A.LoE[[#This Row],[LE.8]]&gt;=80,2,IF(A.LoE[[#This Row],[LE.8]]&gt;=70,3,IF(A.LoE[[#This Row],[LE.8]]&gt;=1,4,5)))))))</f>
        <v>--</v>
      </c>
      <c r="BI22" s="38" t="str">
        <f>CONCATENATE(NSi.TS[[#This Row],[KU.9]],(IF(A.LoE[[#This Row],[LE.9]]="-","-",IF(A.LoE[[#This Row],[LE.9]]&gt;=90,1,IF(A.LoE[[#This Row],[LE.9]]&gt;=80,2,IF(A.LoE[[#This Row],[LE.9]]&gt;=70,3,IF(A.LoE[[#This Row],[LE.9]]&gt;=1,4,5)))))))</f>
        <v>--</v>
      </c>
      <c r="BK22" s="35" t="str">
        <f>IFERROR(ROUND(AVERAGE(Con.Sk[[#This Row],[TJ.1]:[Pro-A.1]]),0),"-")</f>
        <v>-</v>
      </c>
      <c r="BL22" s="24" t="str">
        <f>IFERROR(ROUND(AVERAGE(Con.Sk[[#This Row],[TJ.2]:[Pro-A.2]]),0),"-")</f>
        <v>-</v>
      </c>
      <c r="BM22" s="24" t="str">
        <f>IFERROR(ROUND(AVERAGE(Con.Sk[[#This Row],[TJ.3]:[Pro-A.3]]),0),"-")</f>
        <v>-</v>
      </c>
      <c r="BN22" s="24" t="str">
        <f>IFERROR(ROUND(AVERAGE(Con.Sk[[#This Row],[TJ.4]:[Pro-A.4]]),0),"-")</f>
        <v>-</v>
      </c>
      <c r="BO22" s="24" t="str">
        <f>IFERROR(ROUND(AVERAGE(Con.Sk[[#This Row],[TJ.5]:[Pro-A.5]]),0),"-")</f>
        <v>-</v>
      </c>
      <c r="BP22" s="24" t="str">
        <f>IFERROR(ROUND(AVERAGE(Con.Sk[[#This Row],[TJ.6]:[Pro-A.6]]),0),"-")</f>
        <v>-</v>
      </c>
      <c r="BQ22" s="24" t="str">
        <f>IFERROR(ROUND(AVERAGE(Con.Sk[[#This Row],[TJ.7]:[Pro-A.7]]),0),"-")</f>
        <v>-</v>
      </c>
      <c r="BR22" s="24" t="str">
        <f>IFERROR(ROUND(AVERAGE(Con.Sk[[#This Row],[TJ.8]:[Pro-A.8]]),0),"-")</f>
        <v>-</v>
      </c>
      <c r="BS22" s="25" t="str">
        <f>IFERROR(ROUND(AVERAGE(Con.Sk[[#This Row],[TJ.9]:[Pro-A.9]]),0),"-")</f>
        <v>-</v>
      </c>
      <c r="BU22" s="47" t="str">
        <f>IFERROR(ROUND(AVERAGE(Con.Sk[[#This Row],[KU.1]],Con.Sk[[#This Row],[KU.2]],Con.Sk[[#This Row],[KU.3]],Con.Sk[[#This Row],[KU.4]],Con.Sk[[#This Row],[KU.5]],Con.Sk[[#This Row],[KU.6]],Con.Sk[[#This Row],[KU.7]],Con.Sk[[#This Row],[KU.8]],Con.Sk[[#This Row],[KU.9]]),0),"")</f>
        <v/>
      </c>
      <c r="BV22" s="48" t="str">
        <f>IFERROR(ROUND(AVERAGE(Con.Sk[[#This Row],[TJ.1]:[Pro-A.1]],Con.Sk[[#This Row],[TJ.2]:[Pro-A.2]],Con.Sk[[#This Row],[TJ.3]:[Pro-A.3]],Con.Sk[[#This Row],[TJ.4]:[Pro-A.4]],Con.Sk[[#This Row],[TJ.5]:[Pro-A.5]],Con.Sk[[#This Row],[TJ.6]:[Pro-A.6]],Con.Sk[[#This Row],[TJ.7]:[Pro-A.7]],Con.Sk[[#This Row],[TJ.8]:[Pro-A.8]],Con.Sk[[#This Row],[TJ.9]:[Pro-A.9]]),0),"")</f>
        <v/>
      </c>
      <c r="BW22" s="3"/>
      <c r="BX22" s="73" t="str">
        <f>IF(NSi.TS[[#This Row],[KU.1]]="A",100,IF(NSi.TS[[#This Row],[KU.1]]="B",89,IF(NSi.TS[[#This Row],[KU.1]]="C",79,IF(NSi.TS[[#This Row],[KU.1]]="D",69,IF(NSi.TS[[#This Row],[KU.1]]="E",0,"-")))))</f>
        <v>-</v>
      </c>
      <c r="BY22" s="73" t="str">
        <f>IF(NSi.TS[[#This Row],[TJ.1]]=1,100,IF(NSi.TS[[#This Row],[TJ.1]]=2,89,IF(NSi.TS[[#This Row],[TJ.1]]=3,79,IF(NSi.TS[[#This Row],[TJ.1]]=4,69,IF(NSi.TS[[#This Row],[TJ.1]]=5,0,"-")))))</f>
        <v>-</v>
      </c>
      <c r="BZ22" s="73" t="str">
        <f>IF(NSi.TS[[#This Row],[Ker.1]]=1,100,IF(NSi.TS[[#This Row],[Ker.1]]=2,89,IF(NSi.TS[[#This Row],[Ker.1]]=3,79,IF(NSi.TS[[#This Row],[Ker.1]]=4,69,IF(NSi.TS[[#This Row],[Ker.1]]=5,0,"-")))))</f>
        <v>-</v>
      </c>
      <c r="CA22" s="73" t="str">
        <f>IF(NSi.TS[[#This Row],[Ped.1]]=1,100,IF(NSi.TS[[#This Row],[Ped.1]]=2,89,IF(NSi.TS[[#This Row],[Ped.1]]=3,79,IF(NSi.TS[[#This Row],[Ped.1]]=4,69,IF(NSi.TS[[#This Row],[Ped.1]]=5,0,"-")))))</f>
        <v>-</v>
      </c>
      <c r="CB22" s="73" t="str">
        <f>IF(NSi.TS[[#This Row],[Pro-A.1]]=1,100,IF(NSi.TS[[#This Row],[Pro-A.1]]=2,89,IF(NSi.TS[[#This Row],[Pro-A.1]]=3,79,IF(NSi.TS[[#This Row],[Pro-A.1]]=4,69,IF(NSi.TS[[#This Row],[Pro-A.1]]=5,0,"-")))))</f>
        <v>-</v>
      </c>
      <c r="CC22" s="73" t="str">
        <f>IF(NSi.TS[[#This Row],[KU.2]]="A",100,IF(NSi.TS[[#This Row],[KU.2]]="B",89,IF(NSi.TS[[#This Row],[KU.2]]="C",79,IF(NSi.TS[[#This Row],[KU.2]]="D",69,IF(NSi.TS[[#This Row],[KU.2]]="E",0,"-")))))</f>
        <v>-</v>
      </c>
      <c r="CD22" s="73" t="str">
        <f>IF(NSi.TS[[#This Row],[TJ.2]]=1,100,IF(NSi.TS[[#This Row],[TJ.2]]=2,89,IF(NSi.TS[[#This Row],[TJ.2]]=3,79,IF(NSi.TS[[#This Row],[TJ.2]]=4,69,IF(NSi.TS[[#This Row],[TJ.2]]=5,0,"-")))))</f>
        <v>-</v>
      </c>
      <c r="CE22" s="73" t="str">
        <f>IF(NSi.TS[[#This Row],[Ker.2]]=1,100,IF(NSi.TS[[#This Row],[Ker.2]]=2,89,IF(NSi.TS[[#This Row],[Ker.2]]=3,79,IF(NSi.TS[[#This Row],[Ker.2]]=4,69,IF(NSi.TS[[#This Row],[Ker.2]]=5,0,"-")))))</f>
        <v>-</v>
      </c>
      <c r="CF22" s="73" t="str">
        <f>IF(NSi.TS[[#This Row],[Ped.2]]=1,100,IF(NSi.TS[[#This Row],[Ped.2]]=2,89,IF(NSi.TS[[#This Row],[Ped.2]]=3,79,IF(NSi.TS[[#This Row],[Ped.2]]=4,69,IF(NSi.TS[[#This Row],[Ped.2]]=5,0,"-")))))</f>
        <v>-</v>
      </c>
      <c r="CG22" s="73" t="str">
        <f>IF(NSi.TS[[#This Row],[Pro-A.2]]=1,100,IF(NSi.TS[[#This Row],[Pro-A.2]]=2,89,IF(NSi.TS[[#This Row],[Pro-A.2]]=3,79,IF(NSi.TS[[#This Row],[Pro-A.2]]=4,69,IF(NSi.TS[[#This Row],[Pro-A.2]]=5,0,"-")))))</f>
        <v>-</v>
      </c>
      <c r="CH22" s="74" t="str">
        <f>IF(NSi.TS[[#This Row],[KU.3]]="A",100,IF(NSi.TS[[#This Row],[KU.3]]="B",89,IF(NSi.TS[[#This Row],[KU.3]]="C",79,IF(NSi.TS[[#This Row],[KU.3]]="D",69,IF(NSi.TS[[#This Row],[KU.3]]="E",0,"-")))))</f>
        <v>-</v>
      </c>
      <c r="CI22" s="73" t="str">
        <f>IF(NSi.TS[[#This Row],[TJ.3]]=1,100,IF(NSi.TS[[#This Row],[TJ.3]]=2,89,IF(NSi.TS[[#This Row],[TJ.3]]=3,79,IF(NSi.TS[[#This Row],[TJ.3]]=4,69,IF(NSi.TS[[#This Row],[TJ.3]]=5,0,"-")))))</f>
        <v>-</v>
      </c>
      <c r="CJ22" s="73" t="str">
        <f>IF(NSi.TS[[#This Row],[Ker.3]]=1,100,IF(NSi.TS[[#This Row],[Ker.3]]=2,89,IF(NSi.TS[[#This Row],[Ker.3]]=3,79,IF(NSi.TS[[#This Row],[Ker.3]]=4,69,IF(NSi.TS[[#This Row],[Ker.3]]=5,0,"-")))))</f>
        <v>-</v>
      </c>
      <c r="CK22" s="73" t="str">
        <f>IF(NSi.TS[[#This Row],[Ped.3]]=1,100,IF(NSi.TS[[#This Row],[Ped.3]]=2,89,IF(NSi.TS[[#This Row],[Ped.3]]=3,79,IF(NSi.TS[[#This Row],[Ped.3]]=4,69,IF(NSi.TS[[#This Row],[Ped.3]]=5,0,"-")))))</f>
        <v>-</v>
      </c>
      <c r="CL22" s="73" t="str">
        <f>IF(NSi.TS[[#This Row],[Pro-A.3]]=1,100,IF(NSi.TS[[#This Row],[Pro-A.3]]=2,89,IF(NSi.TS[[#This Row],[Pro-A.3]]=3,79,IF(NSi.TS[[#This Row],[Pro-A.3]]=4,69,IF(NSi.TS[[#This Row],[Pro-A.3]]=5,0,"-")))))</f>
        <v>-</v>
      </c>
      <c r="CM22" s="74" t="str">
        <f>IF(NSi.TS[[#This Row],[KU.4]]="A",100,IF(NSi.TS[[#This Row],[KU.4]]="B",89,IF(NSi.TS[[#This Row],[KU.4]]="C",79,IF(NSi.TS[[#This Row],[KU.4]]="D",69,IF(NSi.TS[[#This Row],[KU.4]]="E",0,"-")))))</f>
        <v>-</v>
      </c>
      <c r="CN22" s="73" t="str">
        <f>IF(NSi.TS[[#This Row],[TJ.4]]=1,100,IF(NSi.TS[[#This Row],[TJ.4]]=2,89,IF(NSi.TS[[#This Row],[TJ.4]]=3,79,IF(NSi.TS[[#This Row],[TJ.4]]=4,69,IF(NSi.TS[[#This Row],[TJ.4]]=5,0,"-")))))</f>
        <v>-</v>
      </c>
      <c r="CO22" s="73" t="str">
        <f>IF(NSi.TS[[#This Row],[Ker.4]]=1,100,IF(NSi.TS[[#This Row],[Ker.4]]=2,89,IF(NSi.TS[[#This Row],[Ker.4]]=3,79,IF(NSi.TS[[#This Row],[Ker.4]]=4,69,IF(NSi.TS[[#This Row],[Ker.4]]=5,0,"-")))))</f>
        <v>-</v>
      </c>
      <c r="CP22" s="73" t="str">
        <f>IF(NSi.TS[[#This Row],[Ped.4]]=1,100,IF(NSi.TS[[#This Row],[Ped.4]]=2,89,IF(NSi.TS[[#This Row],[Ped.4]]=3,79,IF(NSi.TS[[#This Row],[Ped.4]]=4,69,IF(NSi.TS[[#This Row],[Ped.4]]=5,0,"-")))))</f>
        <v>-</v>
      </c>
      <c r="CQ22" s="73" t="str">
        <f>IF(NSi.TS[[#This Row],[Pro-A.4]]=1,100,IF(NSi.TS[[#This Row],[Pro-A.4]]=2,89,IF(NSi.TS[[#This Row],[Pro-A.4]]=3,79,IF(NSi.TS[[#This Row],[Pro-A.4]]=4,69,IF(NSi.TS[[#This Row],[Pro-A.4]]=5,0,"-")))))</f>
        <v>-</v>
      </c>
      <c r="CR22" s="74" t="str">
        <f>IF(NSi.TS[[#This Row],[KU.5]]="A",100,IF(NSi.TS[[#This Row],[KU.5]]="B",89,IF(NSi.TS[[#This Row],[KU.5]]="C",79,IF(NSi.TS[[#This Row],[KU.5]]="D",69,IF(NSi.TS[[#This Row],[KU.5]]="E",0,"-")))))</f>
        <v>-</v>
      </c>
      <c r="CS22" s="73" t="str">
        <f>IF(NSi.TS[[#This Row],[TJ.5]]=1,100,IF(NSi.TS[[#This Row],[TJ.5]]=2,89,IF(NSi.TS[[#This Row],[TJ.5]]=3,79,IF(NSi.TS[[#This Row],[TJ.5]]=4,69,IF(NSi.TS[[#This Row],[TJ.5]]=5,0,"-")))))</f>
        <v>-</v>
      </c>
      <c r="CT22" s="73" t="str">
        <f>IF(NSi.TS[[#This Row],[Ker.5]]=1,100,IF(NSi.TS[[#This Row],[Ker.5]]=2,89,IF(NSi.TS[[#This Row],[Ker.5]]=3,79,IF(NSi.TS[[#This Row],[Ker.5]]=4,69,IF(NSi.TS[[#This Row],[Ker.5]]=5,0,"-")))))</f>
        <v>-</v>
      </c>
      <c r="CU22" s="73" t="str">
        <f>IF(NSi.TS[[#This Row],[Ped.5]]=1,100,IF(NSi.TS[[#This Row],[Ped.5]]=2,89,IF(NSi.TS[[#This Row],[Ped.5]]=3,79,IF(NSi.TS[[#This Row],[Ped.5]]=4,69,IF(NSi.TS[[#This Row],[Ped.5]]=5,0,"-")))))</f>
        <v>-</v>
      </c>
      <c r="CV22" s="73" t="str">
        <f>IF(NSi.TS[[#This Row],[Pro-A.5]]=1,100,IF(NSi.TS[[#This Row],[Pro-A.5]]=2,89,IF(NSi.TS[[#This Row],[Pro-A.5]]=3,79,IF(NSi.TS[[#This Row],[Pro-A.5]]=4,69,IF(NSi.TS[[#This Row],[Pro-A.5]]=5,0,"-")))))</f>
        <v>-</v>
      </c>
      <c r="CW22" s="74" t="str">
        <f>IF(NSi.TS[[#This Row],[KU.6]]="A",100,IF(NSi.TS[[#This Row],[KU.6]]="B",89,IF(NSi.TS[[#This Row],[KU.6]]="C",79,IF(NSi.TS[[#This Row],[KU.6]]="D",69,IF(NSi.TS[[#This Row],[KU.6]]="E",0,"-")))))</f>
        <v>-</v>
      </c>
      <c r="CX22" s="73" t="str">
        <f>IF(NSi.TS[[#This Row],[TJ.6]]=1,100,IF(NSi.TS[[#This Row],[TJ.6]]=2,89,IF(NSi.TS[[#This Row],[TJ.6]]=3,79,IF(NSi.TS[[#This Row],[TJ.6]]=4,69,IF(NSi.TS[[#This Row],[TJ.6]]=5,0,"-")))))</f>
        <v>-</v>
      </c>
      <c r="CY22" s="73" t="str">
        <f>IF(NSi.TS[[#This Row],[Ker.6]]=1,100,IF(NSi.TS[[#This Row],[Ker.6]]=2,89,IF(NSi.TS[[#This Row],[Ker.6]]=3,79,IF(NSi.TS[[#This Row],[Ker.6]]=4,69,IF(NSi.TS[[#This Row],[Ker.6]]=5,0,"-")))))</f>
        <v>-</v>
      </c>
      <c r="CZ22" s="73" t="str">
        <f>IF(NSi.TS[[#This Row],[Ped.6]]=1,100,IF(NSi.TS[[#This Row],[Ped.6]]=2,89,IF(NSi.TS[[#This Row],[Ped.6]]=3,79,IF(NSi.TS[[#This Row],[Ped.6]]=4,69,IF(NSi.TS[[#This Row],[Ped.6]]=5,0,"-")))))</f>
        <v>-</v>
      </c>
      <c r="DA22" s="73" t="str">
        <f>IF(NSi.TS[[#This Row],[Pro-A.6]]=1,100,IF(NSi.TS[[#This Row],[Pro-A.6]]=2,89,IF(NSi.TS[[#This Row],[Pro-A.6]]=3,79,IF(NSi.TS[[#This Row],[Pro-A.6]]=4,69,IF(NSi.TS[[#This Row],[Pro-A.6]]=5,0,"-")))))</f>
        <v>-</v>
      </c>
      <c r="DB22" s="74" t="str">
        <f>IF(NSi.TS[[#This Row],[KU.7]]="A",100,IF(NSi.TS[[#This Row],[KU.7]]="B",89,IF(NSi.TS[[#This Row],[KU.7]]="C",79,IF(NSi.TS[[#This Row],[KU.7]]="D",69,IF(NSi.TS[[#This Row],[KU.7]]="E",0,"-")))))</f>
        <v>-</v>
      </c>
      <c r="DC22" s="73" t="str">
        <f>IF(NSi.TS[[#This Row],[TJ.7]]=1,100,IF(NSi.TS[[#This Row],[TJ.7]]=2,89,IF(NSi.TS[[#This Row],[TJ.7]]=3,79,IF(NSi.TS[[#This Row],[TJ.7]]=4,69,IF(NSi.TS[[#This Row],[TJ.7]]=5,0,"-")))))</f>
        <v>-</v>
      </c>
      <c r="DD22" s="73" t="str">
        <f>IF(NSi.TS[[#This Row],[Ker.7]]=1,100,IF(NSi.TS[[#This Row],[Ker.7]]=2,89,IF(NSi.TS[[#This Row],[Ker.7]]=3,79,IF(NSi.TS[[#This Row],[Ker.7]]=4,69,IF(NSi.TS[[#This Row],[Ker.7]]=5,0,"-")))))</f>
        <v>-</v>
      </c>
      <c r="DE22" s="73" t="str">
        <f>IF(NSi.TS[[#This Row],[Ped.7]]=1,100,IF(NSi.TS[[#This Row],[Ped.7]]=2,89,IF(NSi.TS[[#This Row],[Ped.7]]=3,79,IF(NSi.TS[[#This Row],[Ped.7]]=4,69,IF(NSi.TS[[#This Row],[Ped.7]]=5,0,"-")))))</f>
        <v>-</v>
      </c>
      <c r="DF22" s="73" t="str">
        <f>IF(NSi.TS[[#This Row],[Pro-A.7]]=1,100,IF(NSi.TS[[#This Row],[Pro-A.7]]=2,89,IF(NSi.TS[[#This Row],[Pro-A.7]]=3,79,IF(NSi.TS[[#This Row],[Pro-A.7]]=4,69,IF(NSi.TS[[#This Row],[Pro-A.7]]=5,0,"-")))))</f>
        <v>-</v>
      </c>
      <c r="DG22" s="74" t="str">
        <f>IF(NSi.TS[[#This Row],[KU.8]]="A",100,IF(NSi.TS[[#This Row],[KU.8]]="B",89,IF(NSi.TS[[#This Row],[KU.8]]="C",79,IF(NSi.TS[[#This Row],[KU.8]]="D",69,IF(NSi.TS[[#This Row],[KU.8]]="E",0,"-")))))</f>
        <v>-</v>
      </c>
      <c r="DH22" s="73" t="str">
        <f>IF(NSi.TS[[#This Row],[TJ.8]]=1,100,IF(NSi.TS[[#This Row],[TJ.8]]=2,89,IF(NSi.TS[[#This Row],[TJ.8]]=3,79,IF(NSi.TS[[#This Row],[TJ.8]]=4,69,IF(NSi.TS[[#This Row],[TJ.8]]=5,0,"-")))))</f>
        <v>-</v>
      </c>
      <c r="DI22" s="73" t="str">
        <f>IF(NSi.TS[[#This Row],[Ker.8]]=1,100,IF(NSi.TS[[#This Row],[Ker.8]]=2,89,IF(NSi.TS[[#This Row],[Ker.8]]=3,79,IF(NSi.TS[[#This Row],[Ker.8]]=4,69,IF(NSi.TS[[#This Row],[Ker.8]]=5,0,"-")))))</f>
        <v>-</v>
      </c>
      <c r="DJ22" s="73" t="str">
        <f>IF(NSi.TS[[#This Row],[Ped.8]]=1,100,IF(NSi.TS[[#This Row],[Ped.8]]=2,89,IF(NSi.TS[[#This Row],[Ped.8]]=3,79,IF(NSi.TS[[#This Row],[Ped.8]]=4,69,IF(NSi.TS[[#This Row],[Ped.8]]=5,0,"-")))))</f>
        <v>-</v>
      </c>
      <c r="DK22" s="73" t="str">
        <f>IF(NSi.TS[[#This Row],[Pro-A.8]]=1,100,IF(NSi.TS[[#This Row],[Pro-A.8]]=2,89,IF(NSi.TS[[#This Row],[Pro-A.8]]=3,79,IF(NSi.TS[[#This Row],[Pro-A.8]]=4,69,IF(NSi.TS[[#This Row],[Pro-A.8]]=5,0,"-")))))</f>
        <v>-</v>
      </c>
      <c r="DL22" s="74" t="str">
        <f>IF(NSi.TS[[#This Row],[KU.9]]="A",100,IF(NSi.TS[[#This Row],[KU.9]]="B",89,IF(NSi.TS[[#This Row],[KU.9]]="C",79,IF(NSi.TS[[#This Row],[KU.9]]="D",69,IF(NSi.TS[[#This Row],[KU.9]]="E",0,"-")))))</f>
        <v>-</v>
      </c>
      <c r="DM22" s="73" t="str">
        <f>IF(NSi.TS[[#This Row],[TJ.9]]=1,100,IF(NSi.TS[[#This Row],[TJ.9]]=2,89,IF(NSi.TS[[#This Row],[TJ.9]]=3,79,IF(NSi.TS[[#This Row],[TJ.9]]=4,69,IF(NSi.TS[[#This Row],[TJ.9]]=5,0,"-")))))</f>
        <v>-</v>
      </c>
      <c r="DN22" s="73" t="str">
        <f>IF(NSi.TS[[#This Row],[Ker.9]]=1,100,IF(NSi.TS[[#This Row],[Ker.9]]=2,89,IF(NSi.TS[[#This Row],[Ker.9]]=3,79,IF(NSi.TS[[#This Row],[Ker.9]]=4,69,IF(NSi.TS[[#This Row],[Ker.9]]=5,0,"-")))))</f>
        <v>-</v>
      </c>
      <c r="DO22" s="73" t="str">
        <f>IF(NSi.TS[[#This Row],[Ped.9]]=1,100,IF(NSi.TS[[#This Row],[Ped.9]]=2,89,IF(NSi.TS[[#This Row],[Ped.9]]=3,79,IF(NSi.TS[[#This Row],[Ped.9]]=4,69,IF(NSi.TS[[#This Row],[Ped.9]]=5,0,"-")))))</f>
        <v>-</v>
      </c>
      <c r="DP22" s="73" t="str">
        <f>IF(NSi.TS[[#This Row],[Pro-A.9]]=1,100,IF(NSi.TS[[#This Row],[Pro-A.9]]=2,89,IF(NSi.TS[[#This Row],[Pro-A.9]]=3,79,IF(NSi.TS[[#This Row],[Pro-A.9]]=4,69,IF(NSi.TS[[#This Row],[Pro-A.9]]=5,0,"-")))))</f>
        <v>-</v>
      </c>
    </row>
    <row r="23" spans="1:120" ht="50.1" customHeight="1" x14ac:dyDescent="0.3">
      <c r="A23" s="85"/>
      <c r="B23" s="86"/>
      <c r="C23" s="87"/>
      <c r="D23" s="87"/>
      <c r="E23" s="87"/>
      <c r="F23" s="44" t="str">
        <f>IFERROR(ROUND(AVERAGE(CSCR[#This Row]),0),"")</f>
        <v/>
      </c>
      <c r="G23" s="41" t="s">
        <v>102</v>
      </c>
      <c r="H23" s="45" t="s">
        <v>102</v>
      </c>
      <c r="I23" s="45" t="s">
        <v>102</v>
      </c>
      <c r="J23" s="45" t="s">
        <v>102</v>
      </c>
      <c r="K23" s="45" t="s">
        <v>102</v>
      </c>
      <c r="L23" s="41" t="s">
        <v>102</v>
      </c>
      <c r="M23" s="45" t="s">
        <v>102</v>
      </c>
      <c r="N23" s="45" t="s">
        <v>102</v>
      </c>
      <c r="O23" s="45" t="s">
        <v>102</v>
      </c>
      <c r="P23" s="45" t="s">
        <v>102</v>
      </c>
      <c r="Q23" s="41" t="s">
        <v>102</v>
      </c>
      <c r="R23" s="45" t="s">
        <v>102</v>
      </c>
      <c r="S23" s="45" t="s">
        <v>102</v>
      </c>
      <c r="T23" s="45" t="s">
        <v>102</v>
      </c>
      <c r="U23" s="45" t="s">
        <v>102</v>
      </c>
      <c r="V23" s="41" t="s">
        <v>102</v>
      </c>
      <c r="W23" s="45" t="s">
        <v>102</v>
      </c>
      <c r="X23" s="45" t="s">
        <v>102</v>
      </c>
      <c r="Y23" s="45" t="s">
        <v>102</v>
      </c>
      <c r="Z23" s="45" t="s">
        <v>102</v>
      </c>
      <c r="AA23" s="41" t="s">
        <v>102</v>
      </c>
      <c r="AB23" s="45" t="s">
        <v>102</v>
      </c>
      <c r="AC23" s="45" t="s">
        <v>102</v>
      </c>
      <c r="AD23" s="45" t="s">
        <v>102</v>
      </c>
      <c r="AE23" s="45" t="s">
        <v>102</v>
      </c>
      <c r="AF23" s="41" t="s">
        <v>102</v>
      </c>
      <c r="AG23" s="45" t="s">
        <v>102</v>
      </c>
      <c r="AH23" s="45" t="s">
        <v>102</v>
      </c>
      <c r="AI23" s="45" t="s">
        <v>102</v>
      </c>
      <c r="AJ23" s="45" t="s">
        <v>102</v>
      </c>
      <c r="AK23" s="41" t="s">
        <v>102</v>
      </c>
      <c r="AL23" s="45" t="s">
        <v>102</v>
      </c>
      <c r="AM23" s="45" t="s">
        <v>102</v>
      </c>
      <c r="AN23" s="45" t="s">
        <v>102</v>
      </c>
      <c r="AO23" s="45" t="s">
        <v>102</v>
      </c>
      <c r="AP23" s="41" t="s">
        <v>102</v>
      </c>
      <c r="AQ23" s="45" t="s">
        <v>102</v>
      </c>
      <c r="AR23" s="45" t="s">
        <v>102</v>
      </c>
      <c r="AS23" s="45" t="s">
        <v>102</v>
      </c>
      <c r="AT23" s="45" t="s">
        <v>102</v>
      </c>
      <c r="AU23" s="41" t="s">
        <v>102</v>
      </c>
      <c r="AV23" s="45" t="s">
        <v>102</v>
      </c>
      <c r="AW23" s="45" t="s">
        <v>102</v>
      </c>
      <c r="AX23" s="45" t="s">
        <v>102</v>
      </c>
      <c r="AY23" s="45" t="s">
        <v>102</v>
      </c>
      <c r="BA23" s="10" t="str">
        <f>CONCATENATE(NSi.TS[[#This Row],[KU.1]],(IF(A.LoE[[#This Row],[LE.1]]="-","-",IF(A.LoE[[#This Row],[LE.1]]&gt;=90,1,IF(A.LoE[[#This Row],[LE.1]]&gt;=80,2,IF(A.LoE[[#This Row],[LE.1]]&gt;=70,3,IF(A.LoE[[#This Row],[LE.1]]&gt;=1,4,5)))))))</f>
        <v>--</v>
      </c>
      <c r="BB23" s="46" t="str">
        <f>CONCATENATE(NSi.TS[[#This Row],[KU.2]],(IF(A.LoE[[#This Row],[LE.2]]="-","-",IF(A.LoE[[#This Row],[LE.2]]&gt;=90,1,IF(A.LoE[[#This Row],[LE.2]]&gt;=80,2,IF(A.LoE[[#This Row],[LE.2]]&gt;=70,3,IF(A.LoE[[#This Row],[LE.2]]&gt;=1,4,5)))))))</f>
        <v>--</v>
      </c>
      <c r="BC23" s="46" t="str">
        <f>CONCATENATE(NSi.TS[[#This Row],[KU.3]],(IF(A.LoE[[#This Row],[LE.3]]="-","-",IF(A.LoE[[#This Row],[LE.3]]&gt;=90,1,IF(A.LoE[[#This Row],[LE.3]]&gt;=80,2,IF(A.LoE[[#This Row],[LE.3]]&gt;=70,3,IF(A.LoE[[#This Row],[LE.3]]&gt;=1,4,5)))))))</f>
        <v>--</v>
      </c>
      <c r="BD23" s="46" t="str">
        <f>CONCATENATE(NSi.TS[[#This Row],[KU.4]],(IF(A.LoE[[#This Row],[LE.4]]="-","-",IF(A.LoE[[#This Row],[LE.4]]&gt;=90,1,IF(A.LoE[[#This Row],[LE.4]]&gt;=80,2,IF(A.LoE[[#This Row],[LE.4]]&gt;=70,3,IF(A.LoE[[#This Row],[LE.4]]&gt;=1,4,5)))))))</f>
        <v>--</v>
      </c>
      <c r="BE23" s="46" t="str">
        <f>CONCATENATE(NSi.TS[[#This Row],[KU.5]],(IF(A.LoE[[#This Row],[LE.5]]="-","-",IF(A.LoE[[#This Row],[LE.5]]&gt;=90,1,IF(A.LoE[[#This Row],[LE.5]]&gt;=80,2,IF(A.LoE[[#This Row],[LE.5]]&gt;=70,3,IF(A.LoE[[#This Row],[LE.5]]&gt;=1,4,5)))))))</f>
        <v>--</v>
      </c>
      <c r="BF23" s="46" t="str">
        <f>CONCATENATE(NSi.TS[[#This Row],[KU.6]],(IF(A.LoE[[#This Row],[LE.6]]="-","-",IF(A.LoE[[#This Row],[LE.6]]&gt;=90,1,IF(A.LoE[[#This Row],[LE.6]]&gt;=80,2,IF(A.LoE[[#This Row],[LE.6]]&gt;=70,3,IF(A.LoE[[#This Row],[LE.6]]&gt;=1,4,5)))))))</f>
        <v>--</v>
      </c>
      <c r="BG23" s="46" t="str">
        <f>CONCATENATE(NSi.TS[[#This Row],[KU.7]],(IF(A.LoE[[#This Row],[LE.7]]="-","-",IF(A.LoE[[#This Row],[LE.7]]&gt;=90,1,IF(A.LoE[[#This Row],[LE.7]]&gt;=80,2,IF(A.LoE[[#This Row],[LE.7]]&gt;=70,3,IF(A.LoE[[#This Row],[LE.7]]&gt;=1,4,5)))))))</f>
        <v>--</v>
      </c>
      <c r="BH23" s="46" t="str">
        <f>CONCATENATE(NSi.TS[[#This Row],[KU.8]],(IF(A.LoE[[#This Row],[LE.8]]="-","-",IF(A.LoE[[#This Row],[LE.8]]&gt;=90,1,IF(A.LoE[[#This Row],[LE.8]]&gt;=80,2,IF(A.LoE[[#This Row],[LE.8]]&gt;=70,3,IF(A.LoE[[#This Row],[LE.8]]&gt;=1,4,5)))))))</f>
        <v>--</v>
      </c>
      <c r="BI23" s="38" t="str">
        <f>CONCATENATE(NSi.TS[[#This Row],[KU.9]],(IF(A.LoE[[#This Row],[LE.9]]="-","-",IF(A.LoE[[#This Row],[LE.9]]&gt;=90,1,IF(A.LoE[[#This Row],[LE.9]]&gt;=80,2,IF(A.LoE[[#This Row],[LE.9]]&gt;=70,3,IF(A.LoE[[#This Row],[LE.9]]&gt;=1,4,5)))))))</f>
        <v>--</v>
      </c>
      <c r="BK23" s="35" t="str">
        <f>IFERROR(ROUND(AVERAGE(Con.Sk[[#This Row],[TJ.1]:[Pro-A.1]]),0),"-")</f>
        <v>-</v>
      </c>
      <c r="BL23" s="24" t="str">
        <f>IFERROR(ROUND(AVERAGE(Con.Sk[[#This Row],[TJ.2]:[Pro-A.2]]),0),"-")</f>
        <v>-</v>
      </c>
      <c r="BM23" s="24" t="str">
        <f>IFERROR(ROUND(AVERAGE(Con.Sk[[#This Row],[TJ.3]:[Pro-A.3]]),0),"-")</f>
        <v>-</v>
      </c>
      <c r="BN23" s="24" t="str">
        <f>IFERROR(ROUND(AVERAGE(Con.Sk[[#This Row],[TJ.4]:[Pro-A.4]]),0),"-")</f>
        <v>-</v>
      </c>
      <c r="BO23" s="24" t="str">
        <f>IFERROR(ROUND(AVERAGE(Con.Sk[[#This Row],[TJ.5]:[Pro-A.5]]),0),"-")</f>
        <v>-</v>
      </c>
      <c r="BP23" s="24" t="str">
        <f>IFERROR(ROUND(AVERAGE(Con.Sk[[#This Row],[TJ.6]:[Pro-A.6]]),0),"-")</f>
        <v>-</v>
      </c>
      <c r="BQ23" s="24" t="str">
        <f>IFERROR(ROUND(AVERAGE(Con.Sk[[#This Row],[TJ.7]:[Pro-A.7]]),0),"-")</f>
        <v>-</v>
      </c>
      <c r="BR23" s="24" t="str">
        <f>IFERROR(ROUND(AVERAGE(Con.Sk[[#This Row],[TJ.8]:[Pro-A.8]]),0),"-")</f>
        <v>-</v>
      </c>
      <c r="BS23" s="25" t="str">
        <f>IFERROR(ROUND(AVERAGE(Con.Sk[[#This Row],[TJ.9]:[Pro-A.9]]),0),"-")</f>
        <v>-</v>
      </c>
      <c r="BU23" s="47" t="str">
        <f>IFERROR(ROUND(AVERAGE(Con.Sk[[#This Row],[KU.1]],Con.Sk[[#This Row],[KU.2]],Con.Sk[[#This Row],[KU.3]],Con.Sk[[#This Row],[KU.4]],Con.Sk[[#This Row],[KU.5]],Con.Sk[[#This Row],[KU.6]],Con.Sk[[#This Row],[KU.7]],Con.Sk[[#This Row],[KU.8]],Con.Sk[[#This Row],[KU.9]]),0),"")</f>
        <v/>
      </c>
      <c r="BV23" s="48" t="str">
        <f>IFERROR(ROUND(AVERAGE(Con.Sk[[#This Row],[TJ.1]:[Pro-A.1]],Con.Sk[[#This Row],[TJ.2]:[Pro-A.2]],Con.Sk[[#This Row],[TJ.3]:[Pro-A.3]],Con.Sk[[#This Row],[TJ.4]:[Pro-A.4]],Con.Sk[[#This Row],[TJ.5]:[Pro-A.5]],Con.Sk[[#This Row],[TJ.6]:[Pro-A.6]],Con.Sk[[#This Row],[TJ.7]:[Pro-A.7]],Con.Sk[[#This Row],[TJ.8]:[Pro-A.8]],Con.Sk[[#This Row],[TJ.9]:[Pro-A.9]]),0),"")</f>
        <v/>
      </c>
      <c r="BW23" s="3"/>
      <c r="BX23" s="73" t="str">
        <f>IF(NSi.TS[[#This Row],[KU.1]]="A",100,IF(NSi.TS[[#This Row],[KU.1]]="B",89,IF(NSi.TS[[#This Row],[KU.1]]="C",79,IF(NSi.TS[[#This Row],[KU.1]]="D",69,IF(NSi.TS[[#This Row],[KU.1]]="E",0,"-")))))</f>
        <v>-</v>
      </c>
      <c r="BY23" s="73" t="str">
        <f>IF(NSi.TS[[#This Row],[TJ.1]]=1,100,IF(NSi.TS[[#This Row],[TJ.1]]=2,89,IF(NSi.TS[[#This Row],[TJ.1]]=3,79,IF(NSi.TS[[#This Row],[TJ.1]]=4,69,IF(NSi.TS[[#This Row],[TJ.1]]=5,0,"-")))))</f>
        <v>-</v>
      </c>
      <c r="BZ23" s="73" t="str">
        <f>IF(NSi.TS[[#This Row],[Ker.1]]=1,100,IF(NSi.TS[[#This Row],[Ker.1]]=2,89,IF(NSi.TS[[#This Row],[Ker.1]]=3,79,IF(NSi.TS[[#This Row],[Ker.1]]=4,69,IF(NSi.TS[[#This Row],[Ker.1]]=5,0,"-")))))</f>
        <v>-</v>
      </c>
      <c r="CA23" s="73" t="str">
        <f>IF(NSi.TS[[#This Row],[Ped.1]]=1,100,IF(NSi.TS[[#This Row],[Ped.1]]=2,89,IF(NSi.TS[[#This Row],[Ped.1]]=3,79,IF(NSi.TS[[#This Row],[Ped.1]]=4,69,IF(NSi.TS[[#This Row],[Ped.1]]=5,0,"-")))))</f>
        <v>-</v>
      </c>
      <c r="CB23" s="73" t="str">
        <f>IF(NSi.TS[[#This Row],[Pro-A.1]]=1,100,IF(NSi.TS[[#This Row],[Pro-A.1]]=2,89,IF(NSi.TS[[#This Row],[Pro-A.1]]=3,79,IF(NSi.TS[[#This Row],[Pro-A.1]]=4,69,IF(NSi.TS[[#This Row],[Pro-A.1]]=5,0,"-")))))</f>
        <v>-</v>
      </c>
      <c r="CC23" s="73" t="str">
        <f>IF(NSi.TS[[#This Row],[KU.2]]="A",100,IF(NSi.TS[[#This Row],[KU.2]]="B",89,IF(NSi.TS[[#This Row],[KU.2]]="C",79,IF(NSi.TS[[#This Row],[KU.2]]="D",69,IF(NSi.TS[[#This Row],[KU.2]]="E",0,"-")))))</f>
        <v>-</v>
      </c>
      <c r="CD23" s="73" t="str">
        <f>IF(NSi.TS[[#This Row],[TJ.2]]=1,100,IF(NSi.TS[[#This Row],[TJ.2]]=2,89,IF(NSi.TS[[#This Row],[TJ.2]]=3,79,IF(NSi.TS[[#This Row],[TJ.2]]=4,69,IF(NSi.TS[[#This Row],[TJ.2]]=5,0,"-")))))</f>
        <v>-</v>
      </c>
      <c r="CE23" s="73" t="str">
        <f>IF(NSi.TS[[#This Row],[Ker.2]]=1,100,IF(NSi.TS[[#This Row],[Ker.2]]=2,89,IF(NSi.TS[[#This Row],[Ker.2]]=3,79,IF(NSi.TS[[#This Row],[Ker.2]]=4,69,IF(NSi.TS[[#This Row],[Ker.2]]=5,0,"-")))))</f>
        <v>-</v>
      </c>
      <c r="CF23" s="73" t="str">
        <f>IF(NSi.TS[[#This Row],[Ped.2]]=1,100,IF(NSi.TS[[#This Row],[Ped.2]]=2,89,IF(NSi.TS[[#This Row],[Ped.2]]=3,79,IF(NSi.TS[[#This Row],[Ped.2]]=4,69,IF(NSi.TS[[#This Row],[Ped.2]]=5,0,"-")))))</f>
        <v>-</v>
      </c>
      <c r="CG23" s="73" t="str">
        <f>IF(NSi.TS[[#This Row],[Pro-A.2]]=1,100,IF(NSi.TS[[#This Row],[Pro-A.2]]=2,89,IF(NSi.TS[[#This Row],[Pro-A.2]]=3,79,IF(NSi.TS[[#This Row],[Pro-A.2]]=4,69,IF(NSi.TS[[#This Row],[Pro-A.2]]=5,0,"-")))))</f>
        <v>-</v>
      </c>
      <c r="CH23" s="74" t="str">
        <f>IF(NSi.TS[[#This Row],[KU.3]]="A",100,IF(NSi.TS[[#This Row],[KU.3]]="B",89,IF(NSi.TS[[#This Row],[KU.3]]="C",79,IF(NSi.TS[[#This Row],[KU.3]]="D",69,IF(NSi.TS[[#This Row],[KU.3]]="E",0,"-")))))</f>
        <v>-</v>
      </c>
      <c r="CI23" s="73" t="str">
        <f>IF(NSi.TS[[#This Row],[TJ.3]]=1,100,IF(NSi.TS[[#This Row],[TJ.3]]=2,89,IF(NSi.TS[[#This Row],[TJ.3]]=3,79,IF(NSi.TS[[#This Row],[TJ.3]]=4,69,IF(NSi.TS[[#This Row],[TJ.3]]=5,0,"-")))))</f>
        <v>-</v>
      </c>
      <c r="CJ23" s="73" t="str">
        <f>IF(NSi.TS[[#This Row],[Ker.3]]=1,100,IF(NSi.TS[[#This Row],[Ker.3]]=2,89,IF(NSi.TS[[#This Row],[Ker.3]]=3,79,IF(NSi.TS[[#This Row],[Ker.3]]=4,69,IF(NSi.TS[[#This Row],[Ker.3]]=5,0,"-")))))</f>
        <v>-</v>
      </c>
      <c r="CK23" s="73" t="str">
        <f>IF(NSi.TS[[#This Row],[Ped.3]]=1,100,IF(NSi.TS[[#This Row],[Ped.3]]=2,89,IF(NSi.TS[[#This Row],[Ped.3]]=3,79,IF(NSi.TS[[#This Row],[Ped.3]]=4,69,IF(NSi.TS[[#This Row],[Ped.3]]=5,0,"-")))))</f>
        <v>-</v>
      </c>
      <c r="CL23" s="73" t="str">
        <f>IF(NSi.TS[[#This Row],[Pro-A.3]]=1,100,IF(NSi.TS[[#This Row],[Pro-A.3]]=2,89,IF(NSi.TS[[#This Row],[Pro-A.3]]=3,79,IF(NSi.TS[[#This Row],[Pro-A.3]]=4,69,IF(NSi.TS[[#This Row],[Pro-A.3]]=5,0,"-")))))</f>
        <v>-</v>
      </c>
      <c r="CM23" s="74" t="str">
        <f>IF(NSi.TS[[#This Row],[KU.4]]="A",100,IF(NSi.TS[[#This Row],[KU.4]]="B",89,IF(NSi.TS[[#This Row],[KU.4]]="C",79,IF(NSi.TS[[#This Row],[KU.4]]="D",69,IF(NSi.TS[[#This Row],[KU.4]]="E",0,"-")))))</f>
        <v>-</v>
      </c>
      <c r="CN23" s="73" t="str">
        <f>IF(NSi.TS[[#This Row],[TJ.4]]=1,100,IF(NSi.TS[[#This Row],[TJ.4]]=2,89,IF(NSi.TS[[#This Row],[TJ.4]]=3,79,IF(NSi.TS[[#This Row],[TJ.4]]=4,69,IF(NSi.TS[[#This Row],[TJ.4]]=5,0,"-")))))</f>
        <v>-</v>
      </c>
      <c r="CO23" s="73" t="str">
        <f>IF(NSi.TS[[#This Row],[Ker.4]]=1,100,IF(NSi.TS[[#This Row],[Ker.4]]=2,89,IF(NSi.TS[[#This Row],[Ker.4]]=3,79,IF(NSi.TS[[#This Row],[Ker.4]]=4,69,IF(NSi.TS[[#This Row],[Ker.4]]=5,0,"-")))))</f>
        <v>-</v>
      </c>
      <c r="CP23" s="73" t="str">
        <f>IF(NSi.TS[[#This Row],[Ped.4]]=1,100,IF(NSi.TS[[#This Row],[Ped.4]]=2,89,IF(NSi.TS[[#This Row],[Ped.4]]=3,79,IF(NSi.TS[[#This Row],[Ped.4]]=4,69,IF(NSi.TS[[#This Row],[Ped.4]]=5,0,"-")))))</f>
        <v>-</v>
      </c>
      <c r="CQ23" s="73" t="str">
        <f>IF(NSi.TS[[#This Row],[Pro-A.4]]=1,100,IF(NSi.TS[[#This Row],[Pro-A.4]]=2,89,IF(NSi.TS[[#This Row],[Pro-A.4]]=3,79,IF(NSi.TS[[#This Row],[Pro-A.4]]=4,69,IF(NSi.TS[[#This Row],[Pro-A.4]]=5,0,"-")))))</f>
        <v>-</v>
      </c>
      <c r="CR23" s="74" t="str">
        <f>IF(NSi.TS[[#This Row],[KU.5]]="A",100,IF(NSi.TS[[#This Row],[KU.5]]="B",89,IF(NSi.TS[[#This Row],[KU.5]]="C",79,IF(NSi.TS[[#This Row],[KU.5]]="D",69,IF(NSi.TS[[#This Row],[KU.5]]="E",0,"-")))))</f>
        <v>-</v>
      </c>
      <c r="CS23" s="73" t="str">
        <f>IF(NSi.TS[[#This Row],[TJ.5]]=1,100,IF(NSi.TS[[#This Row],[TJ.5]]=2,89,IF(NSi.TS[[#This Row],[TJ.5]]=3,79,IF(NSi.TS[[#This Row],[TJ.5]]=4,69,IF(NSi.TS[[#This Row],[TJ.5]]=5,0,"-")))))</f>
        <v>-</v>
      </c>
      <c r="CT23" s="73" t="str">
        <f>IF(NSi.TS[[#This Row],[Ker.5]]=1,100,IF(NSi.TS[[#This Row],[Ker.5]]=2,89,IF(NSi.TS[[#This Row],[Ker.5]]=3,79,IF(NSi.TS[[#This Row],[Ker.5]]=4,69,IF(NSi.TS[[#This Row],[Ker.5]]=5,0,"-")))))</f>
        <v>-</v>
      </c>
      <c r="CU23" s="73" t="str">
        <f>IF(NSi.TS[[#This Row],[Ped.5]]=1,100,IF(NSi.TS[[#This Row],[Ped.5]]=2,89,IF(NSi.TS[[#This Row],[Ped.5]]=3,79,IF(NSi.TS[[#This Row],[Ped.5]]=4,69,IF(NSi.TS[[#This Row],[Ped.5]]=5,0,"-")))))</f>
        <v>-</v>
      </c>
      <c r="CV23" s="73" t="str">
        <f>IF(NSi.TS[[#This Row],[Pro-A.5]]=1,100,IF(NSi.TS[[#This Row],[Pro-A.5]]=2,89,IF(NSi.TS[[#This Row],[Pro-A.5]]=3,79,IF(NSi.TS[[#This Row],[Pro-A.5]]=4,69,IF(NSi.TS[[#This Row],[Pro-A.5]]=5,0,"-")))))</f>
        <v>-</v>
      </c>
      <c r="CW23" s="74" t="str">
        <f>IF(NSi.TS[[#This Row],[KU.6]]="A",100,IF(NSi.TS[[#This Row],[KU.6]]="B",89,IF(NSi.TS[[#This Row],[KU.6]]="C",79,IF(NSi.TS[[#This Row],[KU.6]]="D",69,IF(NSi.TS[[#This Row],[KU.6]]="E",0,"-")))))</f>
        <v>-</v>
      </c>
      <c r="CX23" s="73" t="str">
        <f>IF(NSi.TS[[#This Row],[TJ.6]]=1,100,IF(NSi.TS[[#This Row],[TJ.6]]=2,89,IF(NSi.TS[[#This Row],[TJ.6]]=3,79,IF(NSi.TS[[#This Row],[TJ.6]]=4,69,IF(NSi.TS[[#This Row],[TJ.6]]=5,0,"-")))))</f>
        <v>-</v>
      </c>
      <c r="CY23" s="73" t="str">
        <f>IF(NSi.TS[[#This Row],[Ker.6]]=1,100,IF(NSi.TS[[#This Row],[Ker.6]]=2,89,IF(NSi.TS[[#This Row],[Ker.6]]=3,79,IF(NSi.TS[[#This Row],[Ker.6]]=4,69,IF(NSi.TS[[#This Row],[Ker.6]]=5,0,"-")))))</f>
        <v>-</v>
      </c>
      <c r="CZ23" s="73" t="str">
        <f>IF(NSi.TS[[#This Row],[Ped.6]]=1,100,IF(NSi.TS[[#This Row],[Ped.6]]=2,89,IF(NSi.TS[[#This Row],[Ped.6]]=3,79,IF(NSi.TS[[#This Row],[Ped.6]]=4,69,IF(NSi.TS[[#This Row],[Ped.6]]=5,0,"-")))))</f>
        <v>-</v>
      </c>
      <c r="DA23" s="73" t="str">
        <f>IF(NSi.TS[[#This Row],[Pro-A.6]]=1,100,IF(NSi.TS[[#This Row],[Pro-A.6]]=2,89,IF(NSi.TS[[#This Row],[Pro-A.6]]=3,79,IF(NSi.TS[[#This Row],[Pro-A.6]]=4,69,IF(NSi.TS[[#This Row],[Pro-A.6]]=5,0,"-")))))</f>
        <v>-</v>
      </c>
      <c r="DB23" s="74" t="str">
        <f>IF(NSi.TS[[#This Row],[KU.7]]="A",100,IF(NSi.TS[[#This Row],[KU.7]]="B",89,IF(NSi.TS[[#This Row],[KU.7]]="C",79,IF(NSi.TS[[#This Row],[KU.7]]="D",69,IF(NSi.TS[[#This Row],[KU.7]]="E",0,"-")))))</f>
        <v>-</v>
      </c>
      <c r="DC23" s="73" t="str">
        <f>IF(NSi.TS[[#This Row],[TJ.7]]=1,100,IF(NSi.TS[[#This Row],[TJ.7]]=2,89,IF(NSi.TS[[#This Row],[TJ.7]]=3,79,IF(NSi.TS[[#This Row],[TJ.7]]=4,69,IF(NSi.TS[[#This Row],[TJ.7]]=5,0,"-")))))</f>
        <v>-</v>
      </c>
      <c r="DD23" s="73" t="str">
        <f>IF(NSi.TS[[#This Row],[Ker.7]]=1,100,IF(NSi.TS[[#This Row],[Ker.7]]=2,89,IF(NSi.TS[[#This Row],[Ker.7]]=3,79,IF(NSi.TS[[#This Row],[Ker.7]]=4,69,IF(NSi.TS[[#This Row],[Ker.7]]=5,0,"-")))))</f>
        <v>-</v>
      </c>
      <c r="DE23" s="73" t="str">
        <f>IF(NSi.TS[[#This Row],[Ped.7]]=1,100,IF(NSi.TS[[#This Row],[Ped.7]]=2,89,IF(NSi.TS[[#This Row],[Ped.7]]=3,79,IF(NSi.TS[[#This Row],[Ped.7]]=4,69,IF(NSi.TS[[#This Row],[Ped.7]]=5,0,"-")))))</f>
        <v>-</v>
      </c>
      <c r="DF23" s="73" t="str">
        <f>IF(NSi.TS[[#This Row],[Pro-A.7]]=1,100,IF(NSi.TS[[#This Row],[Pro-A.7]]=2,89,IF(NSi.TS[[#This Row],[Pro-A.7]]=3,79,IF(NSi.TS[[#This Row],[Pro-A.7]]=4,69,IF(NSi.TS[[#This Row],[Pro-A.7]]=5,0,"-")))))</f>
        <v>-</v>
      </c>
      <c r="DG23" s="74" t="str">
        <f>IF(NSi.TS[[#This Row],[KU.8]]="A",100,IF(NSi.TS[[#This Row],[KU.8]]="B",89,IF(NSi.TS[[#This Row],[KU.8]]="C",79,IF(NSi.TS[[#This Row],[KU.8]]="D",69,IF(NSi.TS[[#This Row],[KU.8]]="E",0,"-")))))</f>
        <v>-</v>
      </c>
      <c r="DH23" s="73" t="str">
        <f>IF(NSi.TS[[#This Row],[TJ.8]]=1,100,IF(NSi.TS[[#This Row],[TJ.8]]=2,89,IF(NSi.TS[[#This Row],[TJ.8]]=3,79,IF(NSi.TS[[#This Row],[TJ.8]]=4,69,IF(NSi.TS[[#This Row],[TJ.8]]=5,0,"-")))))</f>
        <v>-</v>
      </c>
      <c r="DI23" s="73" t="str">
        <f>IF(NSi.TS[[#This Row],[Ker.8]]=1,100,IF(NSi.TS[[#This Row],[Ker.8]]=2,89,IF(NSi.TS[[#This Row],[Ker.8]]=3,79,IF(NSi.TS[[#This Row],[Ker.8]]=4,69,IF(NSi.TS[[#This Row],[Ker.8]]=5,0,"-")))))</f>
        <v>-</v>
      </c>
      <c r="DJ23" s="73" t="str">
        <f>IF(NSi.TS[[#This Row],[Ped.8]]=1,100,IF(NSi.TS[[#This Row],[Ped.8]]=2,89,IF(NSi.TS[[#This Row],[Ped.8]]=3,79,IF(NSi.TS[[#This Row],[Ped.8]]=4,69,IF(NSi.TS[[#This Row],[Ped.8]]=5,0,"-")))))</f>
        <v>-</v>
      </c>
      <c r="DK23" s="73" t="str">
        <f>IF(NSi.TS[[#This Row],[Pro-A.8]]=1,100,IF(NSi.TS[[#This Row],[Pro-A.8]]=2,89,IF(NSi.TS[[#This Row],[Pro-A.8]]=3,79,IF(NSi.TS[[#This Row],[Pro-A.8]]=4,69,IF(NSi.TS[[#This Row],[Pro-A.8]]=5,0,"-")))))</f>
        <v>-</v>
      </c>
      <c r="DL23" s="74" t="str">
        <f>IF(NSi.TS[[#This Row],[KU.9]]="A",100,IF(NSi.TS[[#This Row],[KU.9]]="B",89,IF(NSi.TS[[#This Row],[KU.9]]="C",79,IF(NSi.TS[[#This Row],[KU.9]]="D",69,IF(NSi.TS[[#This Row],[KU.9]]="E",0,"-")))))</f>
        <v>-</v>
      </c>
      <c r="DM23" s="73" t="str">
        <f>IF(NSi.TS[[#This Row],[TJ.9]]=1,100,IF(NSi.TS[[#This Row],[TJ.9]]=2,89,IF(NSi.TS[[#This Row],[TJ.9]]=3,79,IF(NSi.TS[[#This Row],[TJ.9]]=4,69,IF(NSi.TS[[#This Row],[TJ.9]]=5,0,"-")))))</f>
        <v>-</v>
      </c>
      <c r="DN23" s="73" t="str">
        <f>IF(NSi.TS[[#This Row],[Ker.9]]=1,100,IF(NSi.TS[[#This Row],[Ker.9]]=2,89,IF(NSi.TS[[#This Row],[Ker.9]]=3,79,IF(NSi.TS[[#This Row],[Ker.9]]=4,69,IF(NSi.TS[[#This Row],[Ker.9]]=5,0,"-")))))</f>
        <v>-</v>
      </c>
      <c r="DO23" s="73" t="str">
        <f>IF(NSi.TS[[#This Row],[Ped.9]]=1,100,IF(NSi.TS[[#This Row],[Ped.9]]=2,89,IF(NSi.TS[[#This Row],[Ped.9]]=3,79,IF(NSi.TS[[#This Row],[Ped.9]]=4,69,IF(NSi.TS[[#This Row],[Ped.9]]=5,0,"-")))))</f>
        <v>-</v>
      </c>
      <c r="DP23" s="73" t="str">
        <f>IF(NSi.TS[[#This Row],[Pro-A.9]]=1,100,IF(NSi.TS[[#This Row],[Pro-A.9]]=2,89,IF(NSi.TS[[#This Row],[Pro-A.9]]=3,79,IF(NSi.TS[[#This Row],[Pro-A.9]]=4,69,IF(NSi.TS[[#This Row],[Pro-A.9]]=5,0,"-")))))</f>
        <v>-</v>
      </c>
    </row>
    <row r="24" spans="1:120" ht="50.1" customHeight="1" x14ac:dyDescent="0.3">
      <c r="A24" s="85"/>
      <c r="B24" s="86"/>
      <c r="C24" s="87"/>
      <c r="D24" s="87"/>
      <c r="E24" s="87"/>
      <c r="F24" s="44" t="str">
        <f>IFERROR(ROUND(AVERAGE(CSCR[#This Row]),0),"")</f>
        <v/>
      </c>
      <c r="G24" s="41" t="s">
        <v>102</v>
      </c>
      <c r="H24" s="45" t="s">
        <v>102</v>
      </c>
      <c r="I24" s="45" t="s">
        <v>102</v>
      </c>
      <c r="J24" s="45" t="s">
        <v>102</v>
      </c>
      <c r="K24" s="45" t="s">
        <v>102</v>
      </c>
      <c r="L24" s="41" t="s">
        <v>102</v>
      </c>
      <c r="M24" s="45" t="s">
        <v>102</v>
      </c>
      <c r="N24" s="45" t="s">
        <v>102</v>
      </c>
      <c r="O24" s="45" t="s">
        <v>102</v>
      </c>
      <c r="P24" s="45" t="s">
        <v>102</v>
      </c>
      <c r="Q24" s="41" t="s">
        <v>102</v>
      </c>
      <c r="R24" s="45" t="s">
        <v>102</v>
      </c>
      <c r="S24" s="45" t="s">
        <v>102</v>
      </c>
      <c r="T24" s="45" t="s">
        <v>102</v>
      </c>
      <c r="U24" s="45" t="s">
        <v>102</v>
      </c>
      <c r="V24" s="41" t="s">
        <v>102</v>
      </c>
      <c r="W24" s="45" t="s">
        <v>102</v>
      </c>
      <c r="X24" s="45" t="s">
        <v>102</v>
      </c>
      <c r="Y24" s="45" t="s">
        <v>102</v>
      </c>
      <c r="Z24" s="45" t="s">
        <v>102</v>
      </c>
      <c r="AA24" s="41" t="s">
        <v>102</v>
      </c>
      <c r="AB24" s="45" t="s">
        <v>102</v>
      </c>
      <c r="AC24" s="45" t="s">
        <v>102</v>
      </c>
      <c r="AD24" s="45" t="s">
        <v>102</v>
      </c>
      <c r="AE24" s="45" t="s">
        <v>102</v>
      </c>
      <c r="AF24" s="41" t="s">
        <v>102</v>
      </c>
      <c r="AG24" s="45" t="s">
        <v>102</v>
      </c>
      <c r="AH24" s="45" t="s">
        <v>102</v>
      </c>
      <c r="AI24" s="45" t="s">
        <v>102</v>
      </c>
      <c r="AJ24" s="45" t="s">
        <v>102</v>
      </c>
      <c r="AK24" s="41" t="s">
        <v>102</v>
      </c>
      <c r="AL24" s="45" t="s">
        <v>102</v>
      </c>
      <c r="AM24" s="45" t="s">
        <v>102</v>
      </c>
      <c r="AN24" s="45" t="s">
        <v>102</v>
      </c>
      <c r="AO24" s="45" t="s">
        <v>102</v>
      </c>
      <c r="AP24" s="41" t="s">
        <v>102</v>
      </c>
      <c r="AQ24" s="45" t="s">
        <v>102</v>
      </c>
      <c r="AR24" s="45" t="s">
        <v>102</v>
      </c>
      <c r="AS24" s="45" t="s">
        <v>102</v>
      </c>
      <c r="AT24" s="45" t="s">
        <v>102</v>
      </c>
      <c r="AU24" s="41" t="s">
        <v>102</v>
      </c>
      <c r="AV24" s="45" t="s">
        <v>102</v>
      </c>
      <c r="AW24" s="45" t="s">
        <v>102</v>
      </c>
      <c r="AX24" s="45" t="s">
        <v>102</v>
      </c>
      <c r="AY24" s="45" t="s">
        <v>102</v>
      </c>
      <c r="BA24" s="10" t="str">
        <f>CONCATENATE(NSi.TS[[#This Row],[KU.1]],(IF(A.LoE[[#This Row],[LE.1]]="-","-",IF(A.LoE[[#This Row],[LE.1]]&gt;=90,1,IF(A.LoE[[#This Row],[LE.1]]&gt;=80,2,IF(A.LoE[[#This Row],[LE.1]]&gt;=70,3,IF(A.LoE[[#This Row],[LE.1]]&gt;=1,4,5)))))))</f>
        <v>--</v>
      </c>
      <c r="BB24" s="46" t="str">
        <f>CONCATENATE(NSi.TS[[#This Row],[KU.2]],(IF(A.LoE[[#This Row],[LE.2]]="-","-",IF(A.LoE[[#This Row],[LE.2]]&gt;=90,1,IF(A.LoE[[#This Row],[LE.2]]&gt;=80,2,IF(A.LoE[[#This Row],[LE.2]]&gt;=70,3,IF(A.LoE[[#This Row],[LE.2]]&gt;=1,4,5)))))))</f>
        <v>--</v>
      </c>
      <c r="BC24" s="46" t="str">
        <f>CONCATENATE(NSi.TS[[#This Row],[KU.3]],(IF(A.LoE[[#This Row],[LE.3]]="-","-",IF(A.LoE[[#This Row],[LE.3]]&gt;=90,1,IF(A.LoE[[#This Row],[LE.3]]&gt;=80,2,IF(A.LoE[[#This Row],[LE.3]]&gt;=70,3,IF(A.LoE[[#This Row],[LE.3]]&gt;=1,4,5)))))))</f>
        <v>--</v>
      </c>
      <c r="BD24" s="46" t="str">
        <f>CONCATENATE(NSi.TS[[#This Row],[KU.4]],(IF(A.LoE[[#This Row],[LE.4]]="-","-",IF(A.LoE[[#This Row],[LE.4]]&gt;=90,1,IF(A.LoE[[#This Row],[LE.4]]&gt;=80,2,IF(A.LoE[[#This Row],[LE.4]]&gt;=70,3,IF(A.LoE[[#This Row],[LE.4]]&gt;=1,4,5)))))))</f>
        <v>--</v>
      </c>
      <c r="BE24" s="46" t="str">
        <f>CONCATENATE(NSi.TS[[#This Row],[KU.5]],(IF(A.LoE[[#This Row],[LE.5]]="-","-",IF(A.LoE[[#This Row],[LE.5]]&gt;=90,1,IF(A.LoE[[#This Row],[LE.5]]&gt;=80,2,IF(A.LoE[[#This Row],[LE.5]]&gt;=70,3,IF(A.LoE[[#This Row],[LE.5]]&gt;=1,4,5)))))))</f>
        <v>--</v>
      </c>
      <c r="BF24" s="46" t="str">
        <f>CONCATENATE(NSi.TS[[#This Row],[KU.6]],(IF(A.LoE[[#This Row],[LE.6]]="-","-",IF(A.LoE[[#This Row],[LE.6]]&gt;=90,1,IF(A.LoE[[#This Row],[LE.6]]&gt;=80,2,IF(A.LoE[[#This Row],[LE.6]]&gt;=70,3,IF(A.LoE[[#This Row],[LE.6]]&gt;=1,4,5)))))))</f>
        <v>--</v>
      </c>
      <c r="BG24" s="46" t="str">
        <f>CONCATENATE(NSi.TS[[#This Row],[KU.7]],(IF(A.LoE[[#This Row],[LE.7]]="-","-",IF(A.LoE[[#This Row],[LE.7]]&gt;=90,1,IF(A.LoE[[#This Row],[LE.7]]&gt;=80,2,IF(A.LoE[[#This Row],[LE.7]]&gt;=70,3,IF(A.LoE[[#This Row],[LE.7]]&gt;=1,4,5)))))))</f>
        <v>--</v>
      </c>
      <c r="BH24" s="46" t="str">
        <f>CONCATENATE(NSi.TS[[#This Row],[KU.8]],(IF(A.LoE[[#This Row],[LE.8]]="-","-",IF(A.LoE[[#This Row],[LE.8]]&gt;=90,1,IF(A.LoE[[#This Row],[LE.8]]&gt;=80,2,IF(A.LoE[[#This Row],[LE.8]]&gt;=70,3,IF(A.LoE[[#This Row],[LE.8]]&gt;=1,4,5)))))))</f>
        <v>--</v>
      </c>
      <c r="BI24" s="38" t="str">
        <f>CONCATENATE(NSi.TS[[#This Row],[KU.9]],(IF(A.LoE[[#This Row],[LE.9]]="-","-",IF(A.LoE[[#This Row],[LE.9]]&gt;=90,1,IF(A.LoE[[#This Row],[LE.9]]&gt;=80,2,IF(A.LoE[[#This Row],[LE.9]]&gt;=70,3,IF(A.LoE[[#This Row],[LE.9]]&gt;=1,4,5)))))))</f>
        <v>--</v>
      </c>
      <c r="BK24" s="35" t="str">
        <f>IFERROR(ROUND(AVERAGE(Con.Sk[[#This Row],[TJ.1]:[Pro-A.1]]),0),"-")</f>
        <v>-</v>
      </c>
      <c r="BL24" s="24" t="str">
        <f>IFERROR(ROUND(AVERAGE(Con.Sk[[#This Row],[TJ.2]:[Pro-A.2]]),0),"-")</f>
        <v>-</v>
      </c>
      <c r="BM24" s="24" t="str">
        <f>IFERROR(ROUND(AVERAGE(Con.Sk[[#This Row],[TJ.3]:[Pro-A.3]]),0),"-")</f>
        <v>-</v>
      </c>
      <c r="BN24" s="24" t="str">
        <f>IFERROR(ROUND(AVERAGE(Con.Sk[[#This Row],[TJ.4]:[Pro-A.4]]),0),"-")</f>
        <v>-</v>
      </c>
      <c r="BO24" s="24" t="str">
        <f>IFERROR(ROUND(AVERAGE(Con.Sk[[#This Row],[TJ.5]:[Pro-A.5]]),0),"-")</f>
        <v>-</v>
      </c>
      <c r="BP24" s="24" t="str">
        <f>IFERROR(ROUND(AVERAGE(Con.Sk[[#This Row],[TJ.6]:[Pro-A.6]]),0),"-")</f>
        <v>-</v>
      </c>
      <c r="BQ24" s="24" t="str">
        <f>IFERROR(ROUND(AVERAGE(Con.Sk[[#This Row],[TJ.7]:[Pro-A.7]]),0),"-")</f>
        <v>-</v>
      </c>
      <c r="BR24" s="24" t="str">
        <f>IFERROR(ROUND(AVERAGE(Con.Sk[[#This Row],[TJ.8]:[Pro-A.8]]),0),"-")</f>
        <v>-</v>
      </c>
      <c r="BS24" s="25" t="str">
        <f>IFERROR(ROUND(AVERAGE(Con.Sk[[#This Row],[TJ.9]:[Pro-A.9]]),0),"-")</f>
        <v>-</v>
      </c>
      <c r="BU24" s="47" t="str">
        <f>IFERROR(ROUND(AVERAGE(Con.Sk[[#This Row],[KU.1]],Con.Sk[[#This Row],[KU.2]],Con.Sk[[#This Row],[KU.3]],Con.Sk[[#This Row],[KU.4]],Con.Sk[[#This Row],[KU.5]],Con.Sk[[#This Row],[KU.6]],Con.Sk[[#This Row],[KU.7]],Con.Sk[[#This Row],[KU.8]],Con.Sk[[#This Row],[KU.9]]),0),"")</f>
        <v/>
      </c>
      <c r="BV24" s="48" t="str">
        <f>IFERROR(ROUND(AVERAGE(Con.Sk[[#This Row],[TJ.1]:[Pro-A.1]],Con.Sk[[#This Row],[TJ.2]:[Pro-A.2]],Con.Sk[[#This Row],[TJ.3]:[Pro-A.3]],Con.Sk[[#This Row],[TJ.4]:[Pro-A.4]],Con.Sk[[#This Row],[TJ.5]:[Pro-A.5]],Con.Sk[[#This Row],[TJ.6]:[Pro-A.6]],Con.Sk[[#This Row],[TJ.7]:[Pro-A.7]],Con.Sk[[#This Row],[TJ.8]:[Pro-A.8]],Con.Sk[[#This Row],[TJ.9]:[Pro-A.9]]),0),"")</f>
        <v/>
      </c>
      <c r="BW24" s="3"/>
      <c r="BX24" s="73" t="str">
        <f>IF(NSi.TS[[#This Row],[KU.1]]="A",100,IF(NSi.TS[[#This Row],[KU.1]]="B",89,IF(NSi.TS[[#This Row],[KU.1]]="C",79,IF(NSi.TS[[#This Row],[KU.1]]="D",69,IF(NSi.TS[[#This Row],[KU.1]]="E",0,"-")))))</f>
        <v>-</v>
      </c>
      <c r="BY24" s="73" t="str">
        <f>IF(NSi.TS[[#This Row],[TJ.1]]=1,100,IF(NSi.TS[[#This Row],[TJ.1]]=2,89,IF(NSi.TS[[#This Row],[TJ.1]]=3,79,IF(NSi.TS[[#This Row],[TJ.1]]=4,69,IF(NSi.TS[[#This Row],[TJ.1]]=5,0,"-")))))</f>
        <v>-</v>
      </c>
      <c r="BZ24" s="73" t="str">
        <f>IF(NSi.TS[[#This Row],[Ker.1]]=1,100,IF(NSi.TS[[#This Row],[Ker.1]]=2,89,IF(NSi.TS[[#This Row],[Ker.1]]=3,79,IF(NSi.TS[[#This Row],[Ker.1]]=4,69,IF(NSi.TS[[#This Row],[Ker.1]]=5,0,"-")))))</f>
        <v>-</v>
      </c>
      <c r="CA24" s="73" t="str">
        <f>IF(NSi.TS[[#This Row],[Ped.1]]=1,100,IF(NSi.TS[[#This Row],[Ped.1]]=2,89,IF(NSi.TS[[#This Row],[Ped.1]]=3,79,IF(NSi.TS[[#This Row],[Ped.1]]=4,69,IF(NSi.TS[[#This Row],[Ped.1]]=5,0,"-")))))</f>
        <v>-</v>
      </c>
      <c r="CB24" s="73" t="str">
        <f>IF(NSi.TS[[#This Row],[Pro-A.1]]=1,100,IF(NSi.TS[[#This Row],[Pro-A.1]]=2,89,IF(NSi.TS[[#This Row],[Pro-A.1]]=3,79,IF(NSi.TS[[#This Row],[Pro-A.1]]=4,69,IF(NSi.TS[[#This Row],[Pro-A.1]]=5,0,"-")))))</f>
        <v>-</v>
      </c>
      <c r="CC24" s="73" t="str">
        <f>IF(NSi.TS[[#This Row],[KU.2]]="A",100,IF(NSi.TS[[#This Row],[KU.2]]="B",89,IF(NSi.TS[[#This Row],[KU.2]]="C",79,IF(NSi.TS[[#This Row],[KU.2]]="D",69,IF(NSi.TS[[#This Row],[KU.2]]="E",0,"-")))))</f>
        <v>-</v>
      </c>
      <c r="CD24" s="73" t="str">
        <f>IF(NSi.TS[[#This Row],[TJ.2]]=1,100,IF(NSi.TS[[#This Row],[TJ.2]]=2,89,IF(NSi.TS[[#This Row],[TJ.2]]=3,79,IF(NSi.TS[[#This Row],[TJ.2]]=4,69,IF(NSi.TS[[#This Row],[TJ.2]]=5,0,"-")))))</f>
        <v>-</v>
      </c>
      <c r="CE24" s="73" t="str">
        <f>IF(NSi.TS[[#This Row],[Ker.2]]=1,100,IF(NSi.TS[[#This Row],[Ker.2]]=2,89,IF(NSi.TS[[#This Row],[Ker.2]]=3,79,IF(NSi.TS[[#This Row],[Ker.2]]=4,69,IF(NSi.TS[[#This Row],[Ker.2]]=5,0,"-")))))</f>
        <v>-</v>
      </c>
      <c r="CF24" s="73" t="str">
        <f>IF(NSi.TS[[#This Row],[Ped.2]]=1,100,IF(NSi.TS[[#This Row],[Ped.2]]=2,89,IF(NSi.TS[[#This Row],[Ped.2]]=3,79,IF(NSi.TS[[#This Row],[Ped.2]]=4,69,IF(NSi.TS[[#This Row],[Ped.2]]=5,0,"-")))))</f>
        <v>-</v>
      </c>
      <c r="CG24" s="73" t="str">
        <f>IF(NSi.TS[[#This Row],[Pro-A.2]]=1,100,IF(NSi.TS[[#This Row],[Pro-A.2]]=2,89,IF(NSi.TS[[#This Row],[Pro-A.2]]=3,79,IF(NSi.TS[[#This Row],[Pro-A.2]]=4,69,IF(NSi.TS[[#This Row],[Pro-A.2]]=5,0,"-")))))</f>
        <v>-</v>
      </c>
      <c r="CH24" s="74" t="str">
        <f>IF(NSi.TS[[#This Row],[KU.3]]="A",100,IF(NSi.TS[[#This Row],[KU.3]]="B",89,IF(NSi.TS[[#This Row],[KU.3]]="C",79,IF(NSi.TS[[#This Row],[KU.3]]="D",69,IF(NSi.TS[[#This Row],[KU.3]]="E",0,"-")))))</f>
        <v>-</v>
      </c>
      <c r="CI24" s="73" t="str">
        <f>IF(NSi.TS[[#This Row],[TJ.3]]=1,100,IF(NSi.TS[[#This Row],[TJ.3]]=2,89,IF(NSi.TS[[#This Row],[TJ.3]]=3,79,IF(NSi.TS[[#This Row],[TJ.3]]=4,69,IF(NSi.TS[[#This Row],[TJ.3]]=5,0,"-")))))</f>
        <v>-</v>
      </c>
      <c r="CJ24" s="73" t="str">
        <f>IF(NSi.TS[[#This Row],[Ker.3]]=1,100,IF(NSi.TS[[#This Row],[Ker.3]]=2,89,IF(NSi.TS[[#This Row],[Ker.3]]=3,79,IF(NSi.TS[[#This Row],[Ker.3]]=4,69,IF(NSi.TS[[#This Row],[Ker.3]]=5,0,"-")))))</f>
        <v>-</v>
      </c>
      <c r="CK24" s="73" t="str">
        <f>IF(NSi.TS[[#This Row],[Ped.3]]=1,100,IF(NSi.TS[[#This Row],[Ped.3]]=2,89,IF(NSi.TS[[#This Row],[Ped.3]]=3,79,IF(NSi.TS[[#This Row],[Ped.3]]=4,69,IF(NSi.TS[[#This Row],[Ped.3]]=5,0,"-")))))</f>
        <v>-</v>
      </c>
      <c r="CL24" s="73" t="str">
        <f>IF(NSi.TS[[#This Row],[Pro-A.3]]=1,100,IF(NSi.TS[[#This Row],[Pro-A.3]]=2,89,IF(NSi.TS[[#This Row],[Pro-A.3]]=3,79,IF(NSi.TS[[#This Row],[Pro-A.3]]=4,69,IF(NSi.TS[[#This Row],[Pro-A.3]]=5,0,"-")))))</f>
        <v>-</v>
      </c>
      <c r="CM24" s="74" t="str">
        <f>IF(NSi.TS[[#This Row],[KU.4]]="A",100,IF(NSi.TS[[#This Row],[KU.4]]="B",89,IF(NSi.TS[[#This Row],[KU.4]]="C",79,IF(NSi.TS[[#This Row],[KU.4]]="D",69,IF(NSi.TS[[#This Row],[KU.4]]="E",0,"-")))))</f>
        <v>-</v>
      </c>
      <c r="CN24" s="73" t="str">
        <f>IF(NSi.TS[[#This Row],[TJ.4]]=1,100,IF(NSi.TS[[#This Row],[TJ.4]]=2,89,IF(NSi.TS[[#This Row],[TJ.4]]=3,79,IF(NSi.TS[[#This Row],[TJ.4]]=4,69,IF(NSi.TS[[#This Row],[TJ.4]]=5,0,"-")))))</f>
        <v>-</v>
      </c>
      <c r="CO24" s="73" t="str">
        <f>IF(NSi.TS[[#This Row],[Ker.4]]=1,100,IF(NSi.TS[[#This Row],[Ker.4]]=2,89,IF(NSi.TS[[#This Row],[Ker.4]]=3,79,IF(NSi.TS[[#This Row],[Ker.4]]=4,69,IF(NSi.TS[[#This Row],[Ker.4]]=5,0,"-")))))</f>
        <v>-</v>
      </c>
      <c r="CP24" s="73" t="str">
        <f>IF(NSi.TS[[#This Row],[Ped.4]]=1,100,IF(NSi.TS[[#This Row],[Ped.4]]=2,89,IF(NSi.TS[[#This Row],[Ped.4]]=3,79,IF(NSi.TS[[#This Row],[Ped.4]]=4,69,IF(NSi.TS[[#This Row],[Ped.4]]=5,0,"-")))))</f>
        <v>-</v>
      </c>
      <c r="CQ24" s="73" t="str">
        <f>IF(NSi.TS[[#This Row],[Pro-A.4]]=1,100,IF(NSi.TS[[#This Row],[Pro-A.4]]=2,89,IF(NSi.TS[[#This Row],[Pro-A.4]]=3,79,IF(NSi.TS[[#This Row],[Pro-A.4]]=4,69,IF(NSi.TS[[#This Row],[Pro-A.4]]=5,0,"-")))))</f>
        <v>-</v>
      </c>
      <c r="CR24" s="74" t="str">
        <f>IF(NSi.TS[[#This Row],[KU.5]]="A",100,IF(NSi.TS[[#This Row],[KU.5]]="B",89,IF(NSi.TS[[#This Row],[KU.5]]="C",79,IF(NSi.TS[[#This Row],[KU.5]]="D",69,IF(NSi.TS[[#This Row],[KU.5]]="E",0,"-")))))</f>
        <v>-</v>
      </c>
      <c r="CS24" s="73" t="str">
        <f>IF(NSi.TS[[#This Row],[TJ.5]]=1,100,IF(NSi.TS[[#This Row],[TJ.5]]=2,89,IF(NSi.TS[[#This Row],[TJ.5]]=3,79,IF(NSi.TS[[#This Row],[TJ.5]]=4,69,IF(NSi.TS[[#This Row],[TJ.5]]=5,0,"-")))))</f>
        <v>-</v>
      </c>
      <c r="CT24" s="73" t="str">
        <f>IF(NSi.TS[[#This Row],[Ker.5]]=1,100,IF(NSi.TS[[#This Row],[Ker.5]]=2,89,IF(NSi.TS[[#This Row],[Ker.5]]=3,79,IF(NSi.TS[[#This Row],[Ker.5]]=4,69,IF(NSi.TS[[#This Row],[Ker.5]]=5,0,"-")))))</f>
        <v>-</v>
      </c>
      <c r="CU24" s="73" t="str">
        <f>IF(NSi.TS[[#This Row],[Ped.5]]=1,100,IF(NSi.TS[[#This Row],[Ped.5]]=2,89,IF(NSi.TS[[#This Row],[Ped.5]]=3,79,IF(NSi.TS[[#This Row],[Ped.5]]=4,69,IF(NSi.TS[[#This Row],[Ped.5]]=5,0,"-")))))</f>
        <v>-</v>
      </c>
      <c r="CV24" s="73" t="str">
        <f>IF(NSi.TS[[#This Row],[Pro-A.5]]=1,100,IF(NSi.TS[[#This Row],[Pro-A.5]]=2,89,IF(NSi.TS[[#This Row],[Pro-A.5]]=3,79,IF(NSi.TS[[#This Row],[Pro-A.5]]=4,69,IF(NSi.TS[[#This Row],[Pro-A.5]]=5,0,"-")))))</f>
        <v>-</v>
      </c>
      <c r="CW24" s="74" t="str">
        <f>IF(NSi.TS[[#This Row],[KU.6]]="A",100,IF(NSi.TS[[#This Row],[KU.6]]="B",89,IF(NSi.TS[[#This Row],[KU.6]]="C",79,IF(NSi.TS[[#This Row],[KU.6]]="D",69,IF(NSi.TS[[#This Row],[KU.6]]="E",0,"-")))))</f>
        <v>-</v>
      </c>
      <c r="CX24" s="73" t="str">
        <f>IF(NSi.TS[[#This Row],[TJ.6]]=1,100,IF(NSi.TS[[#This Row],[TJ.6]]=2,89,IF(NSi.TS[[#This Row],[TJ.6]]=3,79,IF(NSi.TS[[#This Row],[TJ.6]]=4,69,IF(NSi.TS[[#This Row],[TJ.6]]=5,0,"-")))))</f>
        <v>-</v>
      </c>
      <c r="CY24" s="73" t="str">
        <f>IF(NSi.TS[[#This Row],[Ker.6]]=1,100,IF(NSi.TS[[#This Row],[Ker.6]]=2,89,IF(NSi.TS[[#This Row],[Ker.6]]=3,79,IF(NSi.TS[[#This Row],[Ker.6]]=4,69,IF(NSi.TS[[#This Row],[Ker.6]]=5,0,"-")))))</f>
        <v>-</v>
      </c>
      <c r="CZ24" s="73" t="str">
        <f>IF(NSi.TS[[#This Row],[Ped.6]]=1,100,IF(NSi.TS[[#This Row],[Ped.6]]=2,89,IF(NSi.TS[[#This Row],[Ped.6]]=3,79,IF(NSi.TS[[#This Row],[Ped.6]]=4,69,IF(NSi.TS[[#This Row],[Ped.6]]=5,0,"-")))))</f>
        <v>-</v>
      </c>
      <c r="DA24" s="73" t="str">
        <f>IF(NSi.TS[[#This Row],[Pro-A.6]]=1,100,IF(NSi.TS[[#This Row],[Pro-A.6]]=2,89,IF(NSi.TS[[#This Row],[Pro-A.6]]=3,79,IF(NSi.TS[[#This Row],[Pro-A.6]]=4,69,IF(NSi.TS[[#This Row],[Pro-A.6]]=5,0,"-")))))</f>
        <v>-</v>
      </c>
      <c r="DB24" s="74" t="str">
        <f>IF(NSi.TS[[#This Row],[KU.7]]="A",100,IF(NSi.TS[[#This Row],[KU.7]]="B",89,IF(NSi.TS[[#This Row],[KU.7]]="C",79,IF(NSi.TS[[#This Row],[KU.7]]="D",69,IF(NSi.TS[[#This Row],[KU.7]]="E",0,"-")))))</f>
        <v>-</v>
      </c>
      <c r="DC24" s="73" t="str">
        <f>IF(NSi.TS[[#This Row],[TJ.7]]=1,100,IF(NSi.TS[[#This Row],[TJ.7]]=2,89,IF(NSi.TS[[#This Row],[TJ.7]]=3,79,IF(NSi.TS[[#This Row],[TJ.7]]=4,69,IF(NSi.TS[[#This Row],[TJ.7]]=5,0,"-")))))</f>
        <v>-</v>
      </c>
      <c r="DD24" s="73" t="str">
        <f>IF(NSi.TS[[#This Row],[Ker.7]]=1,100,IF(NSi.TS[[#This Row],[Ker.7]]=2,89,IF(NSi.TS[[#This Row],[Ker.7]]=3,79,IF(NSi.TS[[#This Row],[Ker.7]]=4,69,IF(NSi.TS[[#This Row],[Ker.7]]=5,0,"-")))))</f>
        <v>-</v>
      </c>
      <c r="DE24" s="73" t="str">
        <f>IF(NSi.TS[[#This Row],[Ped.7]]=1,100,IF(NSi.TS[[#This Row],[Ped.7]]=2,89,IF(NSi.TS[[#This Row],[Ped.7]]=3,79,IF(NSi.TS[[#This Row],[Ped.7]]=4,69,IF(NSi.TS[[#This Row],[Ped.7]]=5,0,"-")))))</f>
        <v>-</v>
      </c>
      <c r="DF24" s="73" t="str">
        <f>IF(NSi.TS[[#This Row],[Pro-A.7]]=1,100,IF(NSi.TS[[#This Row],[Pro-A.7]]=2,89,IF(NSi.TS[[#This Row],[Pro-A.7]]=3,79,IF(NSi.TS[[#This Row],[Pro-A.7]]=4,69,IF(NSi.TS[[#This Row],[Pro-A.7]]=5,0,"-")))))</f>
        <v>-</v>
      </c>
      <c r="DG24" s="74" t="str">
        <f>IF(NSi.TS[[#This Row],[KU.8]]="A",100,IF(NSi.TS[[#This Row],[KU.8]]="B",89,IF(NSi.TS[[#This Row],[KU.8]]="C",79,IF(NSi.TS[[#This Row],[KU.8]]="D",69,IF(NSi.TS[[#This Row],[KU.8]]="E",0,"-")))))</f>
        <v>-</v>
      </c>
      <c r="DH24" s="73" t="str">
        <f>IF(NSi.TS[[#This Row],[TJ.8]]=1,100,IF(NSi.TS[[#This Row],[TJ.8]]=2,89,IF(NSi.TS[[#This Row],[TJ.8]]=3,79,IF(NSi.TS[[#This Row],[TJ.8]]=4,69,IF(NSi.TS[[#This Row],[TJ.8]]=5,0,"-")))))</f>
        <v>-</v>
      </c>
      <c r="DI24" s="73" t="str">
        <f>IF(NSi.TS[[#This Row],[Ker.8]]=1,100,IF(NSi.TS[[#This Row],[Ker.8]]=2,89,IF(NSi.TS[[#This Row],[Ker.8]]=3,79,IF(NSi.TS[[#This Row],[Ker.8]]=4,69,IF(NSi.TS[[#This Row],[Ker.8]]=5,0,"-")))))</f>
        <v>-</v>
      </c>
      <c r="DJ24" s="73" t="str">
        <f>IF(NSi.TS[[#This Row],[Ped.8]]=1,100,IF(NSi.TS[[#This Row],[Ped.8]]=2,89,IF(NSi.TS[[#This Row],[Ped.8]]=3,79,IF(NSi.TS[[#This Row],[Ped.8]]=4,69,IF(NSi.TS[[#This Row],[Ped.8]]=5,0,"-")))))</f>
        <v>-</v>
      </c>
      <c r="DK24" s="73" t="str">
        <f>IF(NSi.TS[[#This Row],[Pro-A.8]]=1,100,IF(NSi.TS[[#This Row],[Pro-A.8]]=2,89,IF(NSi.TS[[#This Row],[Pro-A.8]]=3,79,IF(NSi.TS[[#This Row],[Pro-A.8]]=4,69,IF(NSi.TS[[#This Row],[Pro-A.8]]=5,0,"-")))))</f>
        <v>-</v>
      </c>
      <c r="DL24" s="74" t="str">
        <f>IF(NSi.TS[[#This Row],[KU.9]]="A",100,IF(NSi.TS[[#This Row],[KU.9]]="B",89,IF(NSi.TS[[#This Row],[KU.9]]="C",79,IF(NSi.TS[[#This Row],[KU.9]]="D",69,IF(NSi.TS[[#This Row],[KU.9]]="E",0,"-")))))</f>
        <v>-</v>
      </c>
      <c r="DM24" s="73" t="str">
        <f>IF(NSi.TS[[#This Row],[TJ.9]]=1,100,IF(NSi.TS[[#This Row],[TJ.9]]=2,89,IF(NSi.TS[[#This Row],[TJ.9]]=3,79,IF(NSi.TS[[#This Row],[TJ.9]]=4,69,IF(NSi.TS[[#This Row],[TJ.9]]=5,0,"-")))))</f>
        <v>-</v>
      </c>
      <c r="DN24" s="73" t="str">
        <f>IF(NSi.TS[[#This Row],[Ker.9]]=1,100,IF(NSi.TS[[#This Row],[Ker.9]]=2,89,IF(NSi.TS[[#This Row],[Ker.9]]=3,79,IF(NSi.TS[[#This Row],[Ker.9]]=4,69,IF(NSi.TS[[#This Row],[Ker.9]]=5,0,"-")))))</f>
        <v>-</v>
      </c>
      <c r="DO24" s="73" t="str">
        <f>IF(NSi.TS[[#This Row],[Ped.9]]=1,100,IF(NSi.TS[[#This Row],[Ped.9]]=2,89,IF(NSi.TS[[#This Row],[Ped.9]]=3,79,IF(NSi.TS[[#This Row],[Ped.9]]=4,69,IF(NSi.TS[[#This Row],[Ped.9]]=5,0,"-")))))</f>
        <v>-</v>
      </c>
      <c r="DP24" s="73" t="str">
        <f>IF(NSi.TS[[#This Row],[Pro-A.9]]=1,100,IF(NSi.TS[[#This Row],[Pro-A.9]]=2,89,IF(NSi.TS[[#This Row],[Pro-A.9]]=3,79,IF(NSi.TS[[#This Row],[Pro-A.9]]=4,69,IF(NSi.TS[[#This Row],[Pro-A.9]]=5,0,"-")))))</f>
        <v>-</v>
      </c>
    </row>
    <row r="25" spans="1:120" ht="50.1" customHeight="1" x14ac:dyDescent="0.3">
      <c r="A25" s="85"/>
      <c r="B25" s="86"/>
      <c r="C25" s="87"/>
      <c r="D25" s="87"/>
      <c r="E25" s="87"/>
      <c r="F25" s="44" t="str">
        <f>IFERROR(ROUND(AVERAGE(CSCR[#This Row]),0),"")</f>
        <v/>
      </c>
      <c r="G25" s="41" t="s">
        <v>102</v>
      </c>
      <c r="H25" s="45" t="s">
        <v>102</v>
      </c>
      <c r="I25" s="45" t="s">
        <v>102</v>
      </c>
      <c r="J25" s="45" t="s">
        <v>102</v>
      </c>
      <c r="K25" s="45" t="s">
        <v>102</v>
      </c>
      <c r="L25" s="41" t="s">
        <v>102</v>
      </c>
      <c r="M25" s="45" t="s">
        <v>102</v>
      </c>
      <c r="N25" s="45" t="s">
        <v>102</v>
      </c>
      <c r="O25" s="45" t="s">
        <v>102</v>
      </c>
      <c r="P25" s="45" t="s">
        <v>102</v>
      </c>
      <c r="Q25" s="41" t="s">
        <v>102</v>
      </c>
      <c r="R25" s="45" t="s">
        <v>102</v>
      </c>
      <c r="S25" s="45" t="s">
        <v>102</v>
      </c>
      <c r="T25" s="45" t="s">
        <v>102</v>
      </c>
      <c r="U25" s="45" t="s">
        <v>102</v>
      </c>
      <c r="V25" s="41" t="s">
        <v>102</v>
      </c>
      <c r="W25" s="45" t="s">
        <v>102</v>
      </c>
      <c r="X25" s="45" t="s">
        <v>102</v>
      </c>
      <c r="Y25" s="45" t="s">
        <v>102</v>
      </c>
      <c r="Z25" s="45" t="s">
        <v>102</v>
      </c>
      <c r="AA25" s="41" t="s">
        <v>102</v>
      </c>
      <c r="AB25" s="45" t="s">
        <v>102</v>
      </c>
      <c r="AC25" s="45" t="s">
        <v>102</v>
      </c>
      <c r="AD25" s="45" t="s">
        <v>102</v>
      </c>
      <c r="AE25" s="45" t="s">
        <v>102</v>
      </c>
      <c r="AF25" s="41" t="s">
        <v>102</v>
      </c>
      <c r="AG25" s="45" t="s">
        <v>102</v>
      </c>
      <c r="AH25" s="45" t="s">
        <v>102</v>
      </c>
      <c r="AI25" s="45" t="s">
        <v>102</v>
      </c>
      <c r="AJ25" s="45" t="s">
        <v>102</v>
      </c>
      <c r="AK25" s="41" t="s">
        <v>102</v>
      </c>
      <c r="AL25" s="45" t="s">
        <v>102</v>
      </c>
      <c r="AM25" s="45" t="s">
        <v>102</v>
      </c>
      <c r="AN25" s="45" t="s">
        <v>102</v>
      </c>
      <c r="AO25" s="45" t="s">
        <v>102</v>
      </c>
      <c r="AP25" s="41" t="s">
        <v>102</v>
      </c>
      <c r="AQ25" s="45" t="s">
        <v>102</v>
      </c>
      <c r="AR25" s="45" t="s">
        <v>102</v>
      </c>
      <c r="AS25" s="45" t="s">
        <v>102</v>
      </c>
      <c r="AT25" s="45" t="s">
        <v>102</v>
      </c>
      <c r="AU25" s="41" t="s">
        <v>102</v>
      </c>
      <c r="AV25" s="45" t="s">
        <v>102</v>
      </c>
      <c r="AW25" s="45" t="s">
        <v>102</v>
      </c>
      <c r="AX25" s="45" t="s">
        <v>102</v>
      </c>
      <c r="AY25" s="45" t="s">
        <v>102</v>
      </c>
      <c r="BA25" s="10" t="str">
        <f>CONCATENATE(NSi.TS[[#This Row],[KU.1]],(IF(A.LoE[[#This Row],[LE.1]]="-","-",IF(A.LoE[[#This Row],[LE.1]]&gt;=90,1,IF(A.LoE[[#This Row],[LE.1]]&gt;=80,2,IF(A.LoE[[#This Row],[LE.1]]&gt;=70,3,IF(A.LoE[[#This Row],[LE.1]]&gt;=1,4,5)))))))</f>
        <v>--</v>
      </c>
      <c r="BB25" s="46" t="str">
        <f>CONCATENATE(NSi.TS[[#This Row],[KU.2]],(IF(A.LoE[[#This Row],[LE.2]]="-","-",IF(A.LoE[[#This Row],[LE.2]]&gt;=90,1,IF(A.LoE[[#This Row],[LE.2]]&gt;=80,2,IF(A.LoE[[#This Row],[LE.2]]&gt;=70,3,IF(A.LoE[[#This Row],[LE.2]]&gt;=1,4,5)))))))</f>
        <v>--</v>
      </c>
      <c r="BC25" s="46" t="str">
        <f>CONCATENATE(NSi.TS[[#This Row],[KU.3]],(IF(A.LoE[[#This Row],[LE.3]]="-","-",IF(A.LoE[[#This Row],[LE.3]]&gt;=90,1,IF(A.LoE[[#This Row],[LE.3]]&gt;=80,2,IF(A.LoE[[#This Row],[LE.3]]&gt;=70,3,IF(A.LoE[[#This Row],[LE.3]]&gt;=1,4,5)))))))</f>
        <v>--</v>
      </c>
      <c r="BD25" s="46" t="str">
        <f>CONCATENATE(NSi.TS[[#This Row],[KU.4]],(IF(A.LoE[[#This Row],[LE.4]]="-","-",IF(A.LoE[[#This Row],[LE.4]]&gt;=90,1,IF(A.LoE[[#This Row],[LE.4]]&gt;=80,2,IF(A.LoE[[#This Row],[LE.4]]&gt;=70,3,IF(A.LoE[[#This Row],[LE.4]]&gt;=1,4,5)))))))</f>
        <v>--</v>
      </c>
      <c r="BE25" s="46" t="str">
        <f>CONCATENATE(NSi.TS[[#This Row],[KU.5]],(IF(A.LoE[[#This Row],[LE.5]]="-","-",IF(A.LoE[[#This Row],[LE.5]]&gt;=90,1,IF(A.LoE[[#This Row],[LE.5]]&gt;=80,2,IF(A.LoE[[#This Row],[LE.5]]&gt;=70,3,IF(A.LoE[[#This Row],[LE.5]]&gt;=1,4,5)))))))</f>
        <v>--</v>
      </c>
      <c r="BF25" s="46" t="str">
        <f>CONCATENATE(NSi.TS[[#This Row],[KU.6]],(IF(A.LoE[[#This Row],[LE.6]]="-","-",IF(A.LoE[[#This Row],[LE.6]]&gt;=90,1,IF(A.LoE[[#This Row],[LE.6]]&gt;=80,2,IF(A.LoE[[#This Row],[LE.6]]&gt;=70,3,IF(A.LoE[[#This Row],[LE.6]]&gt;=1,4,5)))))))</f>
        <v>--</v>
      </c>
      <c r="BG25" s="46" t="str">
        <f>CONCATENATE(NSi.TS[[#This Row],[KU.7]],(IF(A.LoE[[#This Row],[LE.7]]="-","-",IF(A.LoE[[#This Row],[LE.7]]&gt;=90,1,IF(A.LoE[[#This Row],[LE.7]]&gt;=80,2,IF(A.LoE[[#This Row],[LE.7]]&gt;=70,3,IF(A.LoE[[#This Row],[LE.7]]&gt;=1,4,5)))))))</f>
        <v>--</v>
      </c>
      <c r="BH25" s="46" t="str">
        <f>CONCATENATE(NSi.TS[[#This Row],[KU.8]],(IF(A.LoE[[#This Row],[LE.8]]="-","-",IF(A.LoE[[#This Row],[LE.8]]&gt;=90,1,IF(A.LoE[[#This Row],[LE.8]]&gt;=80,2,IF(A.LoE[[#This Row],[LE.8]]&gt;=70,3,IF(A.LoE[[#This Row],[LE.8]]&gt;=1,4,5)))))))</f>
        <v>--</v>
      </c>
      <c r="BI25" s="38" t="str">
        <f>CONCATENATE(NSi.TS[[#This Row],[KU.9]],(IF(A.LoE[[#This Row],[LE.9]]="-","-",IF(A.LoE[[#This Row],[LE.9]]&gt;=90,1,IF(A.LoE[[#This Row],[LE.9]]&gt;=80,2,IF(A.LoE[[#This Row],[LE.9]]&gt;=70,3,IF(A.LoE[[#This Row],[LE.9]]&gt;=1,4,5)))))))</f>
        <v>--</v>
      </c>
      <c r="BK25" s="35" t="str">
        <f>IFERROR(ROUND(AVERAGE(Con.Sk[[#This Row],[TJ.1]:[Pro-A.1]]),0),"-")</f>
        <v>-</v>
      </c>
      <c r="BL25" s="24" t="str">
        <f>IFERROR(ROUND(AVERAGE(Con.Sk[[#This Row],[TJ.2]:[Pro-A.2]]),0),"-")</f>
        <v>-</v>
      </c>
      <c r="BM25" s="24" t="str">
        <f>IFERROR(ROUND(AVERAGE(Con.Sk[[#This Row],[TJ.3]:[Pro-A.3]]),0),"-")</f>
        <v>-</v>
      </c>
      <c r="BN25" s="24" t="str">
        <f>IFERROR(ROUND(AVERAGE(Con.Sk[[#This Row],[TJ.4]:[Pro-A.4]]),0),"-")</f>
        <v>-</v>
      </c>
      <c r="BO25" s="24" t="str">
        <f>IFERROR(ROUND(AVERAGE(Con.Sk[[#This Row],[TJ.5]:[Pro-A.5]]),0),"-")</f>
        <v>-</v>
      </c>
      <c r="BP25" s="24" t="str">
        <f>IFERROR(ROUND(AVERAGE(Con.Sk[[#This Row],[TJ.6]:[Pro-A.6]]),0),"-")</f>
        <v>-</v>
      </c>
      <c r="BQ25" s="24" t="str">
        <f>IFERROR(ROUND(AVERAGE(Con.Sk[[#This Row],[TJ.7]:[Pro-A.7]]),0),"-")</f>
        <v>-</v>
      </c>
      <c r="BR25" s="24" t="str">
        <f>IFERROR(ROUND(AVERAGE(Con.Sk[[#This Row],[TJ.8]:[Pro-A.8]]),0),"-")</f>
        <v>-</v>
      </c>
      <c r="BS25" s="25" t="str">
        <f>IFERROR(ROUND(AVERAGE(Con.Sk[[#This Row],[TJ.9]:[Pro-A.9]]),0),"-")</f>
        <v>-</v>
      </c>
      <c r="BU25" s="47" t="str">
        <f>IFERROR(ROUND(AVERAGE(Con.Sk[[#This Row],[KU.1]],Con.Sk[[#This Row],[KU.2]],Con.Sk[[#This Row],[KU.3]],Con.Sk[[#This Row],[KU.4]],Con.Sk[[#This Row],[KU.5]],Con.Sk[[#This Row],[KU.6]],Con.Sk[[#This Row],[KU.7]],Con.Sk[[#This Row],[KU.8]],Con.Sk[[#This Row],[KU.9]]),0),"")</f>
        <v/>
      </c>
      <c r="BV25" s="48" t="str">
        <f>IFERROR(ROUND(AVERAGE(Con.Sk[[#This Row],[TJ.1]:[Pro-A.1]],Con.Sk[[#This Row],[TJ.2]:[Pro-A.2]],Con.Sk[[#This Row],[TJ.3]:[Pro-A.3]],Con.Sk[[#This Row],[TJ.4]:[Pro-A.4]],Con.Sk[[#This Row],[TJ.5]:[Pro-A.5]],Con.Sk[[#This Row],[TJ.6]:[Pro-A.6]],Con.Sk[[#This Row],[TJ.7]:[Pro-A.7]],Con.Sk[[#This Row],[TJ.8]:[Pro-A.8]],Con.Sk[[#This Row],[TJ.9]:[Pro-A.9]]),0),"")</f>
        <v/>
      </c>
      <c r="BW25" s="3"/>
      <c r="BX25" s="73" t="str">
        <f>IF(NSi.TS[[#This Row],[KU.1]]="A",100,IF(NSi.TS[[#This Row],[KU.1]]="B",89,IF(NSi.TS[[#This Row],[KU.1]]="C",79,IF(NSi.TS[[#This Row],[KU.1]]="D",69,IF(NSi.TS[[#This Row],[KU.1]]="E",0,"-")))))</f>
        <v>-</v>
      </c>
      <c r="BY25" s="73" t="str">
        <f>IF(NSi.TS[[#This Row],[TJ.1]]=1,100,IF(NSi.TS[[#This Row],[TJ.1]]=2,89,IF(NSi.TS[[#This Row],[TJ.1]]=3,79,IF(NSi.TS[[#This Row],[TJ.1]]=4,69,IF(NSi.TS[[#This Row],[TJ.1]]=5,0,"-")))))</f>
        <v>-</v>
      </c>
      <c r="BZ25" s="73" t="str">
        <f>IF(NSi.TS[[#This Row],[Ker.1]]=1,100,IF(NSi.TS[[#This Row],[Ker.1]]=2,89,IF(NSi.TS[[#This Row],[Ker.1]]=3,79,IF(NSi.TS[[#This Row],[Ker.1]]=4,69,IF(NSi.TS[[#This Row],[Ker.1]]=5,0,"-")))))</f>
        <v>-</v>
      </c>
      <c r="CA25" s="73" t="str">
        <f>IF(NSi.TS[[#This Row],[Ped.1]]=1,100,IF(NSi.TS[[#This Row],[Ped.1]]=2,89,IF(NSi.TS[[#This Row],[Ped.1]]=3,79,IF(NSi.TS[[#This Row],[Ped.1]]=4,69,IF(NSi.TS[[#This Row],[Ped.1]]=5,0,"-")))))</f>
        <v>-</v>
      </c>
      <c r="CB25" s="73" t="str">
        <f>IF(NSi.TS[[#This Row],[Pro-A.1]]=1,100,IF(NSi.TS[[#This Row],[Pro-A.1]]=2,89,IF(NSi.TS[[#This Row],[Pro-A.1]]=3,79,IF(NSi.TS[[#This Row],[Pro-A.1]]=4,69,IF(NSi.TS[[#This Row],[Pro-A.1]]=5,0,"-")))))</f>
        <v>-</v>
      </c>
      <c r="CC25" s="73" t="str">
        <f>IF(NSi.TS[[#This Row],[KU.2]]="A",100,IF(NSi.TS[[#This Row],[KU.2]]="B",89,IF(NSi.TS[[#This Row],[KU.2]]="C",79,IF(NSi.TS[[#This Row],[KU.2]]="D",69,IF(NSi.TS[[#This Row],[KU.2]]="E",0,"-")))))</f>
        <v>-</v>
      </c>
      <c r="CD25" s="73" t="str">
        <f>IF(NSi.TS[[#This Row],[TJ.2]]=1,100,IF(NSi.TS[[#This Row],[TJ.2]]=2,89,IF(NSi.TS[[#This Row],[TJ.2]]=3,79,IF(NSi.TS[[#This Row],[TJ.2]]=4,69,IF(NSi.TS[[#This Row],[TJ.2]]=5,0,"-")))))</f>
        <v>-</v>
      </c>
      <c r="CE25" s="73" t="str">
        <f>IF(NSi.TS[[#This Row],[Ker.2]]=1,100,IF(NSi.TS[[#This Row],[Ker.2]]=2,89,IF(NSi.TS[[#This Row],[Ker.2]]=3,79,IF(NSi.TS[[#This Row],[Ker.2]]=4,69,IF(NSi.TS[[#This Row],[Ker.2]]=5,0,"-")))))</f>
        <v>-</v>
      </c>
      <c r="CF25" s="73" t="str">
        <f>IF(NSi.TS[[#This Row],[Ped.2]]=1,100,IF(NSi.TS[[#This Row],[Ped.2]]=2,89,IF(NSi.TS[[#This Row],[Ped.2]]=3,79,IF(NSi.TS[[#This Row],[Ped.2]]=4,69,IF(NSi.TS[[#This Row],[Ped.2]]=5,0,"-")))))</f>
        <v>-</v>
      </c>
      <c r="CG25" s="73" t="str">
        <f>IF(NSi.TS[[#This Row],[Pro-A.2]]=1,100,IF(NSi.TS[[#This Row],[Pro-A.2]]=2,89,IF(NSi.TS[[#This Row],[Pro-A.2]]=3,79,IF(NSi.TS[[#This Row],[Pro-A.2]]=4,69,IF(NSi.TS[[#This Row],[Pro-A.2]]=5,0,"-")))))</f>
        <v>-</v>
      </c>
      <c r="CH25" s="74" t="str">
        <f>IF(NSi.TS[[#This Row],[KU.3]]="A",100,IF(NSi.TS[[#This Row],[KU.3]]="B",89,IF(NSi.TS[[#This Row],[KU.3]]="C",79,IF(NSi.TS[[#This Row],[KU.3]]="D",69,IF(NSi.TS[[#This Row],[KU.3]]="E",0,"-")))))</f>
        <v>-</v>
      </c>
      <c r="CI25" s="73" t="str">
        <f>IF(NSi.TS[[#This Row],[TJ.3]]=1,100,IF(NSi.TS[[#This Row],[TJ.3]]=2,89,IF(NSi.TS[[#This Row],[TJ.3]]=3,79,IF(NSi.TS[[#This Row],[TJ.3]]=4,69,IF(NSi.TS[[#This Row],[TJ.3]]=5,0,"-")))))</f>
        <v>-</v>
      </c>
      <c r="CJ25" s="73" t="str">
        <f>IF(NSi.TS[[#This Row],[Ker.3]]=1,100,IF(NSi.TS[[#This Row],[Ker.3]]=2,89,IF(NSi.TS[[#This Row],[Ker.3]]=3,79,IF(NSi.TS[[#This Row],[Ker.3]]=4,69,IF(NSi.TS[[#This Row],[Ker.3]]=5,0,"-")))))</f>
        <v>-</v>
      </c>
      <c r="CK25" s="73" t="str">
        <f>IF(NSi.TS[[#This Row],[Ped.3]]=1,100,IF(NSi.TS[[#This Row],[Ped.3]]=2,89,IF(NSi.TS[[#This Row],[Ped.3]]=3,79,IF(NSi.TS[[#This Row],[Ped.3]]=4,69,IF(NSi.TS[[#This Row],[Ped.3]]=5,0,"-")))))</f>
        <v>-</v>
      </c>
      <c r="CL25" s="73" t="str">
        <f>IF(NSi.TS[[#This Row],[Pro-A.3]]=1,100,IF(NSi.TS[[#This Row],[Pro-A.3]]=2,89,IF(NSi.TS[[#This Row],[Pro-A.3]]=3,79,IF(NSi.TS[[#This Row],[Pro-A.3]]=4,69,IF(NSi.TS[[#This Row],[Pro-A.3]]=5,0,"-")))))</f>
        <v>-</v>
      </c>
      <c r="CM25" s="74" t="str">
        <f>IF(NSi.TS[[#This Row],[KU.4]]="A",100,IF(NSi.TS[[#This Row],[KU.4]]="B",89,IF(NSi.TS[[#This Row],[KU.4]]="C",79,IF(NSi.TS[[#This Row],[KU.4]]="D",69,IF(NSi.TS[[#This Row],[KU.4]]="E",0,"-")))))</f>
        <v>-</v>
      </c>
      <c r="CN25" s="73" t="str">
        <f>IF(NSi.TS[[#This Row],[TJ.4]]=1,100,IF(NSi.TS[[#This Row],[TJ.4]]=2,89,IF(NSi.TS[[#This Row],[TJ.4]]=3,79,IF(NSi.TS[[#This Row],[TJ.4]]=4,69,IF(NSi.TS[[#This Row],[TJ.4]]=5,0,"-")))))</f>
        <v>-</v>
      </c>
      <c r="CO25" s="73" t="str">
        <f>IF(NSi.TS[[#This Row],[Ker.4]]=1,100,IF(NSi.TS[[#This Row],[Ker.4]]=2,89,IF(NSi.TS[[#This Row],[Ker.4]]=3,79,IF(NSi.TS[[#This Row],[Ker.4]]=4,69,IF(NSi.TS[[#This Row],[Ker.4]]=5,0,"-")))))</f>
        <v>-</v>
      </c>
      <c r="CP25" s="73" t="str">
        <f>IF(NSi.TS[[#This Row],[Ped.4]]=1,100,IF(NSi.TS[[#This Row],[Ped.4]]=2,89,IF(NSi.TS[[#This Row],[Ped.4]]=3,79,IF(NSi.TS[[#This Row],[Ped.4]]=4,69,IF(NSi.TS[[#This Row],[Ped.4]]=5,0,"-")))))</f>
        <v>-</v>
      </c>
      <c r="CQ25" s="73" t="str">
        <f>IF(NSi.TS[[#This Row],[Pro-A.4]]=1,100,IF(NSi.TS[[#This Row],[Pro-A.4]]=2,89,IF(NSi.TS[[#This Row],[Pro-A.4]]=3,79,IF(NSi.TS[[#This Row],[Pro-A.4]]=4,69,IF(NSi.TS[[#This Row],[Pro-A.4]]=5,0,"-")))))</f>
        <v>-</v>
      </c>
      <c r="CR25" s="74" t="str">
        <f>IF(NSi.TS[[#This Row],[KU.5]]="A",100,IF(NSi.TS[[#This Row],[KU.5]]="B",89,IF(NSi.TS[[#This Row],[KU.5]]="C",79,IF(NSi.TS[[#This Row],[KU.5]]="D",69,IF(NSi.TS[[#This Row],[KU.5]]="E",0,"-")))))</f>
        <v>-</v>
      </c>
      <c r="CS25" s="73" t="str">
        <f>IF(NSi.TS[[#This Row],[TJ.5]]=1,100,IF(NSi.TS[[#This Row],[TJ.5]]=2,89,IF(NSi.TS[[#This Row],[TJ.5]]=3,79,IF(NSi.TS[[#This Row],[TJ.5]]=4,69,IF(NSi.TS[[#This Row],[TJ.5]]=5,0,"-")))))</f>
        <v>-</v>
      </c>
      <c r="CT25" s="73" t="str">
        <f>IF(NSi.TS[[#This Row],[Ker.5]]=1,100,IF(NSi.TS[[#This Row],[Ker.5]]=2,89,IF(NSi.TS[[#This Row],[Ker.5]]=3,79,IF(NSi.TS[[#This Row],[Ker.5]]=4,69,IF(NSi.TS[[#This Row],[Ker.5]]=5,0,"-")))))</f>
        <v>-</v>
      </c>
      <c r="CU25" s="73" t="str">
        <f>IF(NSi.TS[[#This Row],[Ped.5]]=1,100,IF(NSi.TS[[#This Row],[Ped.5]]=2,89,IF(NSi.TS[[#This Row],[Ped.5]]=3,79,IF(NSi.TS[[#This Row],[Ped.5]]=4,69,IF(NSi.TS[[#This Row],[Ped.5]]=5,0,"-")))))</f>
        <v>-</v>
      </c>
      <c r="CV25" s="73" t="str">
        <f>IF(NSi.TS[[#This Row],[Pro-A.5]]=1,100,IF(NSi.TS[[#This Row],[Pro-A.5]]=2,89,IF(NSi.TS[[#This Row],[Pro-A.5]]=3,79,IF(NSi.TS[[#This Row],[Pro-A.5]]=4,69,IF(NSi.TS[[#This Row],[Pro-A.5]]=5,0,"-")))))</f>
        <v>-</v>
      </c>
      <c r="CW25" s="74" t="str">
        <f>IF(NSi.TS[[#This Row],[KU.6]]="A",100,IF(NSi.TS[[#This Row],[KU.6]]="B",89,IF(NSi.TS[[#This Row],[KU.6]]="C",79,IF(NSi.TS[[#This Row],[KU.6]]="D",69,IF(NSi.TS[[#This Row],[KU.6]]="E",0,"-")))))</f>
        <v>-</v>
      </c>
      <c r="CX25" s="73" t="str">
        <f>IF(NSi.TS[[#This Row],[TJ.6]]=1,100,IF(NSi.TS[[#This Row],[TJ.6]]=2,89,IF(NSi.TS[[#This Row],[TJ.6]]=3,79,IF(NSi.TS[[#This Row],[TJ.6]]=4,69,IF(NSi.TS[[#This Row],[TJ.6]]=5,0,"-")))))</f>
        <v>-</v>
      </c>
      <c r="CY25" s="73" t="str">
        <f>IF(NSi.TS[[#This Row],[Ker.6]]=1,100,IF(NSi.TS[[#This Row],[Ker.6]]=2,89,IF(NSi.TS[[#This Row],[Ker.6]]=3,79,IF(NSi.TS[[#This Row],[Ker.6]]=4,69,IF(NSi.TS[[#This Row],[Ker.6]]=5,0,"-")))))</f>
        <v>-</v>
      </c>
      <c r="CZ25" s="73" t="str">
        <f>IF(NSi.TS[[#This Row],[Ped.6]]=1,100,IF(NSi.TS[[#This Row],[Ped.6]]=2,89,IF(NSi.TS[[#This Row],[Ped.6]]=3,79,IF(NSi.TS[[#This Row],[Ped.6]]=4,69,IF(NSi.TS[[#This Row],[Ped.6]]=5,0,"-")))))</f>
        <v>-</v>
      </c>
      <c r="DA25" s="73" t="str">
        <f>IF(NSi.TS[[#This Row],[Pro-A.6]]=1,100,IF(NSi.TS[[#This Row],[Pro-A.6]]=2,89,IF(NSi.TS[[#This Row],[Pro-A.6]]=3,79,IF(NSi.TS[[#This Row],[Pro-A.6]]=4,69,IF(NSi.TS[[#This Row],[Pro-A.6]]=5,0,"-")))))</f>
        <v>-</v>
      </c>
      <c r="DB25" s="74" t="str">
        <f>IF(NSi.TS[[#This Row],[KU.7]]="A",100,IF(NSi.TS[[#This Row],[KU.7]]="B",89,IF(NSi.TS[[#This Row],[KU.7]]="C",79,IF(NSi.TS[[#This Row],[KU.7]]="D",69,IF(NSi.TS[[#This Row],[KU.7]]="E",0,"-")))))</f>
        <v>-</v>
      </c>
      <c r="DC25" s="73" t="str">
        <f>IF(NSi.TS[[#This Row],[TJ.7]]=1,100,IF(NSi.TS[[#This Row],[TJ.7]]=2,89,IF(NSi.TS[[#This Row],[TJ.7]]=3,79,IF(NSi.TS[[#This Row],[TJ.7]]=4,69,IF(NSi.TS[[#This Row],[TJ.7]]=5,0,"-")))))</f>
        <v>-</v>
      </c>
      <c r="DD25" s="73" t="str">
        <f>IF(NSi.TS[[#This Row],[Ker.7]]=1,100,IF(NSi.TS[[#This Row],[Ker.7]]=2,89,IF(NSi.TS[[#This Row],[Ker.7]]=3,79,IF(NSi.TS[[#This Row],[Ker.7]]=4,69,IF(NSi.TS[[#This Row],[Ker.7]]=5,0,"-")))))</f>
        <v>-</v>
      </c>
      <c r="DE25" s="73" t="str">
        <f>IF(NSi.TS[[#This Row],[Ped.7]]=1,100,IF(NSi.TS[[#This Row],[Ped.7]]=2,89,IF(NSi.TS[[#This Row],[Ped.7]]=3,79,IF(NSi.TS[[#This Row],[Ped.7]]=4,69,IF(NSi.TS[[#This Row],[Ped.7]]=5,0,"-")))))</f>
        <v>-</v>
      </c>
      <c r="DF25" s="73" t="str">
        <f>IF(NSi.TS[[#This Row],[Pro-A.7]]=1,100,IF(NSi.TS[[#This Row],[Pro-A.7]]=2,89,IF(NSi.TS[[#This Row],[Pro-A.7]]=3,79,IF(NSi.TS[[#This Row],[Pro-A.7]]=4,69,IF(NSi.TS[[#This Row],[Pro-A.7]]=5,0,"-")))))</f>
        <v>-</v>
      </c>
      <c r="DG25" s="74" t="str">
        <f>IF(NSi.TS[[#This Row],[KU.8]]="A",100,IF(NSi.TS[[#This Row],[KU.8]]="B",89,IF(NSi.TS[[#This Row],[KU.8]]="C",79,IF(NSi.TS[[#This Row],[KU.8]]="D",69,IF(NSi.TS[[#This Row],[KU.8]]="E",0,"-")))))</f>
        <v>-</v>
      </c>
      <c r="DH25" s="73" t="str">
        <f>IF(NSi.TS[[#This Row],[TJ.8]]=1,100,IF(NSi.TS[[#This Row],[TJ.8]]=2,89,IF(NSi.TS[[#This Row],[TJ.8]]=3,79,IF(NSi.TS[[#This Row],[TJ.8]]=4,69,IF(NSi.TS[[#This Row],[TJ.8]]=5,0,"-")))))</f>
        <v>-</v>
      </c>
      <c r="DI25" s="73" t="str">
        <f>IF(NSi.TS[[#This Row],[Ker.8]]=1,100,IF(NSi.TS[[#This Row],[Ker.8]]=2,89,IF(NSi.TS[[#This Row],[Ker.8]]=3,79,IF(NSi.TS[[#This Row],[Ker.8]]=4,69,IF(NSi.TS[[#This Row],[Ker.8]]=5,0,"-")))))</f>
        <v>-</v>
      </c>
      <c r="DJ25" s="73" t="str">
        <f>IF(NSi.TS[[#This Row],[Ped.8]]=1,100,IF(NSi.TS[[#This Row],[Ped.8]]=2,89,IF(NSi.TS[[#This Row],[Ped.8]]=3,79,IF(NSi.TS[[#This Row],[Ped.8]]=4,69,IF(NSi.TS[[#This Row],[Ped.8]]=5,0,"-")))))</f>
        <v>-</v>
      </c>
      <c r="DK25" s="73" t="str">
        <f>IF(NSi.TS[[#This Row],[Pro-A.8]]=1,100,IF(NSi.TS[[#This Row],[Pro-A.8]]=2,89,IF(NSi.TS[[#This Row],[Pro-A.8]]=3,79,IF(NSi.TS[[#This Row],[Pro-A.8]]=4,69,IF(NSi.TS[[#This Row],[Pro-A.8]]=5,0,"-")))))</f>
        <v>-</v>
      </c>
      <c r="DL25" s="74" t="str">
        <f>IF(NSi.TS[[#This Row],[KU.9]]="A",100,IF(NSi.TS[[#This Row],[KU.9]]="B",89,IF(NSi.TS[[#This Row],[KU.9]]="C",79,IF(NSi.TS[[#This Row],[KU.9]]="D",69,IF(NSi.TS[[#This Row],[KU.9]]="E",0,"-")))))</f>
        <v>-</v>
      </c>
      <c r="DM25" s="73" t="str">
        <f>IF(NSi.TS[[#This Row],[TJ.9]]=1,100,IF(NSi.TS[[#This Row],[TJ.9]]=2,89,IF(NSi.TS[[#This Row],[TJ.9]]=3,79,IF(NSi.TS[[#This Row],[TJ.9]]=4,69,IF(NSi.TS[[#This Row],[TJ.9]]=5,0,"-")))))</f>
        <v>-</v>
      </c>
      <c r="DN25" s="73" t="str">
        <f>IF(NSi.TS[[#This Row],[Ker.9]]=1,100,IF(NSi.TS[[#This Row],[Ker.9]]=2,89,IF(NSi.TS[[#This Row],[Ker.9]]=3,79,IF(NSi.TS[[#This Row],[Ker.9]]=4,69,IF(NSi.TS[[#This Row],[Ker.9]]=5,0,"-")))))</f>
        <v>-</v>
      </c>
      <c r="DO25" s="73" t="str">
        <f>IF(NSi.TS[[#This Row],[Ped.9]]=1,100,IF(NSi.TS[[#This Row],[Ped.9]]=2,89,IF(NSi.TS[[#This Row],[Ped.9]]=3,79,IF(NSi.TS[[#This Row],[Ped.9]]=4,69,IF(NSi.TS[[#This Row],[Ped.9]]=5,0,"-")))))</f>
        <v>-</v>
      </c>
      <c r="DP25" s="73" t="str">
        <f>IF(NSi.TS[[#This Row],[Pro-A.9]]=1,100,IF(NSi.TS[[#This Row],[Pro-A.9]]=2,89,IF(NSi.TS[[#This Row],[Pro-A.9]]=3,79,IF(NSi.TS[[#This Row],[Pro-A.9]]=4,69,IF(NSi.TS[[#This Row],[Pro-A.9]]=5,0,"-")))))</f>
        <v>-</v>
      </c>
    </row>
    <row r="26" spans="1:120" ht="50.1" customHeight="1" x14ac:dyDescent="0.3">
      <c r="A26" s="85"/>
      <c r="B26" s="86"/>
      <c r="C26" s="87"/>
      <c r="D26" s="87"/>
      <c r="E26" s="87"/>
      <c r="F26" s="44" t="str">
        <f>IFERROR(ROUND(AVERAGE(CSCR[#This Row]),0),"")</f>
        <v/>
      </c>
      <c r="G26" s="41" t="s">
        <v>102</v>
      </c>
      <c r="H26" s="45" t="s">
        <v>102</v>
      </c>
      <c r="I26" s="45" t="s">
        <v>102</v>
      </c>
      <c r="J26" s="45" t="s">
        <v>102</v>
      </c>
      <c r="K26" s="45" t="s">
        <v>102</v>
      </c>
      <c r="L26" s="41" t="s">
        <v>102</v>
      </c>
      <c r="M26" s="45" t="s">
        <v>102</v>
      </c>
      <c r="N26" s="45" t="s">
        <v>102</v>
      </c>
      <c r="O26" s="45" t="s">
        <v>102</v>
      </c>
      <c r="P26" s="45" t="s">
        <v>102</v>
      </c>
      <c r="Q26" s="41" t="s">
        <v>102</v>
      </c>
      <c r="R26" s="45" t="s">
        <v>102</v>
      </c>
      <c r="S26" s="45" t="s">
        <v>102</v>
      </c>
      <c r="T26" s="45" t="s">
        <v>102</v>
      </c>
      <c r="U26" s="45" t="s">
        <v>102</v>
      </c>
      <c r="V26" s="41" t="s">
        <v>102</v>
      </c>
      <c r="W26" s="45" t="s">
        <v>102</v>
      </c>
      <c r="X26" s="45" t="s">
        <v>102</v>
      </c>
      <c r="Y26" s="45" t="s">
        <v>102</v>
      </c>
      <c r="Z26" s="45" t="s">
        <v>102</v>
      </c>
      <c r="AA26" s="41" t="s">
        <v>102</v>
      </c>
      <c r="AB26" s="45" t="s">
        <v>102</v>
      </c>
      <c r="AC26" s="45" t="s">
        <v>102</v>
      </c>
      <c r="AD26" s="45" t="s">
        <v>102</v>
      </c>
      <c r="AE26" s="45" t="s">
        <v>102</v>
      </c>
      <c r="AF26" s="41" t="s">
        <v>102</v>
      </c>
      <c r="AG26" s="45" t="s">
        <v>102</v>
      </c>
      <c r="AH26" s="45" t="s">
        <v>102</v>
      </c>
      <c r="AI26" s="45" t="s">
        <v>102</v>
      </c>
      <c r="AJ26" s="45" t="s">
        <v>102</v>
      </c>
      <c r="AK26" s="41" t="s">
        <v>102</v>
      </c>
      <c r="AL26" s="45" t="s">
        <v>102</v>
      </c>
      <c r="AM26" s="45" t="s">
        <v>102</v>
      </c>
      <c r="AN26" s="45" t="s">
        <v>102</v>
      </c>
      <c r="AO26" s="45" t="s">
        <v>102</v>
      </c>
      <c r="AP26" s="41" t="s">
        <v>102</v>
      </c>
      <c r="AQ26" s="45" t="s">
        <v>102</v>
      </c>
      <c r="AR26" s="45" t="s">
        <v>102</v>
      </c>
      <c r="AS26" s="45" t="s">
        <v>102</v>
      </c>
      <c r="AT26" s="45" t="s">
        <v>102</v>
      </c>
      <c r="AU26" s="41" t="s">
        <v>102</v>
      </c>
      <c r="AV26" s="45" t="s">
        <v>102</v>
      </c>
      <c r="AW26" s="45" t="s">
        <v>102</v>
      </c>
      <c r="AX26" s="45" t="s">
        <v>102</v>
      </c>
      <c r="AY26" s="45" t="s">
        <v>102</v>
      </c>
      <c r="BA26" s="10" t="str">
        <f>CONCATENATE(NSi.TS[[#This Row],[KU.1]],(IF(A.LoE[[#This Row],[LE.1]]="-","-",IF(A.LoE[[#This Row],[LE.1]]&gt;=90,1,IF(A.LoE[[#This Row],[LE.1]]&gt;=80,2,IF(A.LoE[[#This Row],[LE.1]]&gt;=70,3,IF(A.LoE[[#This Row],[LE.1]]&gt;=1,4,5)))))))</f>
        <v>--</v>
      </c>
      <c r="BB26" s="46" t="str">
        <f>CONCATENATE(NSi.TS[[#This Row],[KU.2]],(IF(A.LoE[[#This Row],[LE.2]]="-","-",IF(A.LoE[[#This Row],[LE.2]]&gt;=90,1,IF(A.LoE[[#This Row],[LE.2]]&gt;=80,2,IF(A.LoE[[#This Row],[LE.2]]&gt;=70,3,IF(A.LoE[[#This Row],[LE.2]]&gt;=1,4,5)))))))</f>
        <v>--</v>
      </c>
      <c r="BC26" s="46" t="str">
        <f>CONCATENATE(NSi.TS[[#This Row],[KU.3]],(IF(A.LoE[[#This Row],[LE.3]]="-","-",IF(A.LoE[[#This Row],[LE.3]]&gt;=90,1,IF(A.LoE[[#This Row],[LE.3]]&gt;=80,2,IF(A.LoE[[#This Row],[LE.3]]&gt;=70,3,IF(A.LoE[[#This Row],[LE.3]]&gt;=1,4,5)))))))</f>
        <v>--</v>
      </c>
      <c r="BD26" s="46" t="str">
        <f>CONCATENATE(NSi.TS[[#This Row],[KU.4]],(IF(A.LoE[[#This Row],[LE.4]]="-","-",IF(A.LoE[[#This Row],[LE.4]]&gt;=90,1,IF(A.LoE[[#This Row],[LE.4]]&gt;=80,2,IF(A.LoE[[#This Row],[LE.4]]&gt;=70,3,IF(A.LoE[[#This Row],[LE.4]]&gt;=1,4,5)))))))</f>
        <v>--</v>
      </c>
      <c r="BE26" s="46" t="str">
        <f>CONCATENATE(NSi.TS[[#This Row],[KU.5]],(IF(A.LoE[[#This Row],[LE.5]]="-","-",IF(A.LoE[[#This Row],[LE.5]]&gt;=90,1,IF(A.LoE[[#This Row],[LE.5]]&gt;=80,2,IF(A.LoE[[#This Row],[LE.5]]&gt;=70,3,IF(A.LoE[[#This Row],[LE.5]]&gt;=1,4,5)))))))</f>
        <v>--</v>
      </c>
      <c r="BF26" s="46" t="str">
        <f>CONCATENATE(NSi.TS[[#This Row],[KU.6]],(IF(A.LoE[[#This Row],[LE.6]]="-","-",IF(A.LoE[[#This Row],[LE.6]]&gt;=90,1,IF(A.LoE[[#This Row],[LE.6]]&gt;=80,2,IF(A.LoE[[#This Row],[LE.6]]&gt;=70,3,IF(A.LoE[[#This Row],[LE.6]]&gt;=1,4,5)))))))</f>
        <v>--</v>
      </c>
      <c r="BG26" s="46" t="str">
        <f>CONCATENATE(NSi.TS[[#This Row],[KU.7]],(IF(A.LoE[[#This Row],[LE.7]]="-","-",IF(A.LoE[[#This Row],[LE.7]]&gt;=90,1,IF(A.LoE[[#This Row],[LE.7]]&gt;=80,2,IF(A.LoE[[#This Row],[LE.7]]&gt;=70,3,IF(A.LoE[[#This Row],[LE.7]]&gt;=1,4,5)))))))</f>
        <v>--</v>
      </c>
      <c r="BH26" s="46" t="str">
        <f>CONCATENATE(NSi.TS[[#This Row],[KU.8]],(IF(A.LoE[[#This Row],[LE.8]]="-","-",IF(A.LoE[[#This Row],[LE.8]]&gt;=90,1,IF(A.LoE[[#This Row],[LE.8]]&gt;=80,2,IF(A.LoE[[#This Row],[LE.8]]&gt;=70,3,IF(A.LoE[[#This Row],[LE.8]]&gt;=1,4,5)))))))</f>
        <v>--</v>
      </c>
      <c r="BI26" s="38" t="str">
        <f>CONCATENATE(NSi.TS[[#This Row],[KU.9]],(IF(A.LoE[[#This Row],[LE.9]]="-","-",IF(A.LoE[[#This Row],[LE.9]]&gt;=90,1,IF(A.LoE[[#This Row],[LE.9]]&gt;=80,2,IF(A.LoE[[#This Row],[LE.9]]&gt;=70,3,IF(A.LoE[[#This Row],[LE.9]]&gt;=1,4,5)))))))</f>
        <v>--</v>
      </c>
      <c r="BK26" s="35" t="str">
        <f>IFERROR(ROUND(AVERAGE(Con.Sk[[#This Row],[TJ.1]:[Pro-A.1]]),0),"-")</f>
        <v>-</v>
      </c>
      <c r="BL26" s="24" t="str">
        <f>IFERROR(ROUND(AVERAGE(Con.Sk[[#This Row],[TJ.2]:[Pro-A.2]]),0),"-")</f>
        <v>-</v>
      </c>
      <c r="BM26" s="24" t="str">
        <f>IFERROR(ROUND(AVERAGE(Con.Sk[[#This Row],[TJ.3]:[Pro-A.3]]),0),"-")</f>
        <v>-</v>
      </c>
      <c r="BN26" s="24" t="str">
        <f>IFERROR(ROUND(AVERAGE(Con.Sk[[#This Row],[TJ.4]:[Pro-A.4]]),0),"-")</f>
        <v>-</v>
      </c>
      <c r="BO26" s="24" t="str">
        <f>IFERROR(ROUND(AVERAGE(Con.Sk[[#This Row],[TJ.5]:[Pro-A.5]]),0),"-")</f>
        <v>-</v>
      </c>
      <c r="BP26" s="24" t="str">
        <f>IFERROR(ROUND(AVERAGE(Con.Sk[[#This Row],[TJ.6]:[Pro-A.6]]),0),"-")</f>
        <v>-</v>
      </c>
      <c r="BQ26" s="24" t="str">
        <f>IFERROR(ROUND(AVERAGE(Con.Sk[[#This Row],[TJ.7]:[Pro-A.7]]),0),"-")</f>
        <v>-</v>
      </c>
      <c r="BR26" s="24" t="str">
        <f>IFERROR(ROUND(AVERAGE(Con.Sk[[#This Row],[TJ.8]:[Pro-A.8]]),0),"-")</f>
        <v>-</v>
      </c>
      <c r="BS26" s="25" t="str">
        <f>IFERROR(ROUND(AVERAGE(Con.Sk[[#This Row],[TJ.9]:[Pro-A.9]]),0),"-")</f>
        <v>-</v>
      </c>
      <c r="BU26" s="47" t="str">
        <f>IFERROR(ROUND(AVERAGE(Con.Sk[[#This Row],[KU.1]],Con.Sk[[#This Row],[KU.2]],Con.Sk[[#This Row],[KU.3]],Con.Sk[[#This Row],[KU.4]],Con.Sk[[#This Row],[KU.5]],Con.Sk[[#This Row],[KU.6]],Con.Sk[[#This Row],[KU.7]],Con.Sk[[#This Row],[KU.8]],Con.Sk[[#This Row],[KU.9]]),0),"")</f>
        <v/>
      </c>
      <c r="BV26" s="48" t="str">
        <f>IFERROR(ROUND(AVERAGE(Con.Sk[[#This Row],[TJ.1]:[Pro-A.1]],Con.Sk[[#This Row],[TJ.2]:[Pro-A.2]],Con.Sk[[#This Row],[TJ.3]:[Pro-A.3]],Con.Sk[[#This Row],[TJ.4]:[Pro-A.4]],Con.Sk[[#This Row],[TJ.5]:[Pro-A.5]],Con.Sk[[#This Row],[TJ.6]:[Pro-A.6]],Con.Sk[[#This Row],[TJ.7]:[Pro-A.7]],Con.Sk[[#This Row],[TJ.8]:[Pro-A.8]],Con.Sk[[#This Row],[TJ.9]:[Pro-A.9]]),0),"")</f>
        <v/>
      </c>
      <c r="BW26" s="3"/>
      <c r="BX26" s="73" t="str">
        <f>IF(NSi.TS[[#This Row],[KU.1]]="A",100,IF(NSi.TS[[#This Row],[KU.1]]="B",89,IF(NSi.TS[[#This Row],[KU.1]]="C",79,IF(NSi.TS[[#This Row],[KU.1]]="D",69,IF(NSi.TS[[#This Row],[KU.1]]="E",0,"-")))))</f>
        <v>-</v>
      </c>
      <c r="BY26" s="73" t="str">
        <f>IF(NSi.TS[[#This Row],[TJ.1]]=1,100,IF(NSi.TS[[#This Row],[TJ.1]]=2,89,IF(NSi.TS[[#This Row],[TJ.1]]=3,79,IF(NSi.TS[[#This Row],[TJ.1]]=4,69,IF(NSi.TS[[#This Row],[TJ.1]]=5,0,"-")))))</f>
        <v>-</v>
      </c>
      <c r="BZ26" s="73" t="str">
        <f>IF(NSi.TS[[#This Row],[Ker.1]]=1,100,IF(NSi.TS[[#This Row],[Ker.1]]=2,89,IF(NSi.TS[[#This Row],[Ker.1]]=3,79,IF(NSi.TS[[#This Row],[Ker.1]]=4,69,IF(NSi.TS[[#This Row],[Ker.1]]=5,0,"-")))))</f>
        <v>-</v>
      </c>
      <c r="CA26" s="73" t="str">
        <f>IF(NSi.TS[[#This Row],[Ped.1]]=1,100,IF(NSi.TS[[#This Row],[Ped.1]]=2,89,IF(NSi.TS[[#This Row],[Ped.1]]=3,79,IF(NSi.TS[[#This Row],[Ped.1]]=4,69,IF(NSi.TS[[#This Row],[Ped.1]]=5,0,"-")))))</f>
        <v>-</v>
      </c>
      <c r="CB26" s="73" t="str">
        <f>IF(NSi.TS[[#This Row],[Pro-A.1]]=1,100,IF(NSi.TS[[#This Row],[Pro-A.1]]=2,89,IF(NSi.TS[[#This Row],[Pro-A.1]]=3,79,IF(NSi.TS[[#This Row],[Pro-A.1]]=4,69,IF(NSi.TS[[#This Row],[Pro-A.1]]=5,0,"-")))))</f>
        <v>-</v>
      </c>
      <c r="CC26" s="73" t="str">
        <f>IF(NSi.TS[[#This Row],[KU.2]]="A",100,IF(NSi.TS[[#This Row],[KU.2]]="B",89,IF(NSi.TS[[#This Row],[KU.2]]="C",79,IF(NSi.TS[[#This Row],[KU.2]]="D",69,IF(NSi.TS[[#This Row],[KU.2]]="E",0,"-")))))</f>
        <v>-</v>
      </c>
      <c r="CD26" s="73" t="str">
        <f>IF(NSi.TS[[#This Row],[TJ.2]]=1,100,IF(NSi.TS[[#This Row],[TJ.2]]=2,89,IF(NSi.TS[[#This Row],[TJ.2]]=3,79,IF(NSi.TS[[#This Row],[TJ.2]]=4,69,IF(NSi.TS[[#This Row],[TJ.2]]=5,0,"-")))))</f>
        <v>-</v>
      </c>
      <c r="CE26" s="73" t="str">
        <f>IF(NSi.TS[[#This Row],[Ker.2]]=1,100,IF(NSi.TS[[#This Row],[Ker.2]]=2,89,IF(NSi.TS[[#This Row],[Ker.2]]=3,79,IF(NSi.TS[[#This Row],[Ker.2]]=4,69,IF(NSi.TS[[#This Row],[Ker.2]]=5,0,"-")))))</f>
        <v>-</v>
      </c>
      <c r="CF26" s="73" t="str">
        <f>IF(NSi.TS[[#This Row],[Ped.2]]=1,100,IF(NSi.TS[[#This Row],[Ped.2]]=2,89,IF(NSi.TS[[#This Row],[Ped.2]]=3,79,IF(NSi.TS[[#This Row],[Ped.2]]=4,69,IF(NSi.TS[[#This Row],[Ped.2]]=5,0,"-")))))</f>
        <v>-</v>
      </c>
      <c r="CG26" s="73" t="str">
        <f>IF(NSi.TS[[#This Row],[Pro-A.2]]=1,100,IF(NSi.TS[[#This Row],[Pro-A.2]]=2,89,IF(NSi.TS[[#This Row],[Pro-A.2]]=3,79,IF(NSi.TS[[#This Row],[Pro-A.2]]=4,69,IF(NSi.TS[[#This Row],[Pro-A.2]]=5,0,"-")))))</f>
        <v>-</v>
      </c>
      <c r="CH26" s="74" t="str">
        <f>IF(NSi.TS[[#This Row],[KU.3]]="A",100,IF(NSi.TS[[#This Row],[KU.3]]="B",89,IF(NSi.TS[[#This Row],[KU.3]]="C",79,IF(NSi.TS[[#This Row],[KU.3]]="D",69,IF(NSi.TS[[#This Row],[KU.3]]="E",0,"-")))))</f>
        <v>-</v>
      </c>
      <c r="CI26" s="73" t="str">
        <f>IF(NSi.TS[[#This Row],[TJ.3]]=1,100,IF(NSi.TS[[#This Row],[TJ.3]]=2,89,IF(NSi.TS[[#This Row],[TJ.3]]=3,79,IF(NSi.TS[[#This Row],[TJ.3]]=4,69,IF(NSi.TS[[#This Row],[TJ.3]]=5,0,"-")))))</f>
        <v>-</v>
      </c>
      <c r="CJ26" s="73" t="str">
        <f>IF(NSi.TS[[#This Row],[Ker.3]]=1,100,IF(NSi.TS[[#This Row],[Ker.3]]=2,89,IF(NSi.TS[[#This Row],[Ker.3]]=3,79,IF(NSi.TS[[#This Row],[Ker.3]]=4,69,IF(NSi.TS[[#This Row],[Ker.3]]=5,0,"-")))))</f>
        <v>-</v>
      </c>
      <c r="CK26" s="73" t="str">
        <f>IF(NSi.TS[[#This Row],[Ped.3]]=1,100,IF(NSi.TS[[#This Row],[Ped.3]]=2,89,IF(NSi.TS[[#This Row],[Ped.3]]=3,79,IF(NSi.TS[[#This Row],[Ped.3]]=4,69,IF(NSi.TS[[#This Row],[Ped.3]]=5,0,"-")))))</f>
        <v>-</v>
      </c>
      <c r="CL26" s="73" t="str">
        <f>IF(NSi.TS[[#This Row],[Pro-A.3]]=1,100,IF(NSi.TS[[#This Row],[Pro-A.3]]=2,89,IF(NSi.TS[[#This Row],[Pro-A.3]]=3,79,IF(NSi.TS[[#This Row],[Pro-A.3]]=4,69,IF(NSi.TS[[#This Row],[Pro-A.3]]=5,0,"-")))))</f>
        <v>-</v>
      </c>
      <c r="CM26" s="74" t="str">
        <f>IF(NSi.TS[[#This Row],[KU.4]]="A",100,IF(NSi.TS[[#This Row],[KU.4]]="B",89,IF(NSi.TS[[#This Row],[KU.4]]="C",79,IF(NSi.TS[[#This Row],[KU.4]]="D",69,IF(NSi.TS[[#This Row],[KU.4]]="E",0,"-")))))</f>
        <v>-</v>
      </c>
      <c r="CN26" s="73" t="str">
        <f>IF(NSi.TS[[#This Row],[TJ.4]]=1,100,IF(NSi.TS[[#This Row],[TJ.4]]=2,89,IF(NSi.TS[[#This Row],[TJ.4]]=3,79,IF(NSi.TS[[#This Row],[TJ.4]]=4,69,IF(NSi.TS[[#This Row],[TJ.4]]=5,0,"-")))))</f>
        <v>-</v>
      </c>
      <c r="CO26" s="73" t="str">
        <f>IF(NSi.TS[[#This Row],[Ker.4]]=1,100,IF(NSi.TS[[#This Row],[Ker.4]]=2,89,IF(NSi.TS[[#This Row],[Ker.4]]=3,79,IF(NSi.TS[[#This Row],[Ker.4]]=4,69,IF(NSi.TS[[#This Row],[Ker.4]]=5,0,"-")))))</f>
        <v>-</v>
      </c>
      <c r="CP26" s="73" t="str">
        <f>IF(NSi.TS[[#This Row],[Ped.4]]=1,100,IF(NSi.TS[[#This Row],[Ped.4]]=2,89,IF(NSi.TS[[#This Row],[Ped.4]]=3,79,IF(NSi.TS[[#This Row],[Ped.4]]=4,69,IF(NSi.TS[[#This Row],[Ped.4]]=5,0,"-")))))</f>
        <v>-</v>
      </c>
      <c r="CQ26" s="73" t="str">
        <f>IF(NSi.TS[[#This Row],[Pro-A.4]]=1,100,IF(NSi.TS[[#This Row],[Pro-A.4]]=2,89,IF(NSi.TS[[#This Row],[Pro-A.4]]=3,79,IF(NSi.TS[[#This Row],[Pro-A.4]]=4,69,IF(NSi.TS[[#This Row],[Pro-A.4]]=5,0,"-")))))</f>
        <v>-</v>
      </c>
      <c r="CR26" s="74" t="str">
        <f>IF(NSi.TS[[#This Row],[KU.5]]="A",100,IF(NSi.TS[[#This Row],[KU.5]]="B",89,IF(NSi.TS[[#This Row],[KU.5]]="C",79,IF(NSi.TS[[#This Row],[KU.5]]="D",69,IF(NSi.TS[[#This Row],[KU.5]]="E",0,"-")))))</f>
        <v>-</v>
      </c>
      <c r="CS26" s="73" t="str">
        <f>IF(NSi.TS[[#This Row],[TJ.5]]=1,100,IF(NSi.TS[[#This Row],[TJ.5]]=2,89,IF(NSi.TS[[#This Row],[TJ.5]]=3,79,IF(NSi.TS[[#This Row],[TJ.5]]=4,69,IF(NSi.TS[[#This Row],[TJ.5]]=5,0,"-")))))</f>
        <v>-</v>
      </c>
      <c r="CT26" s="73" t="str">
        <f>IF(NSi.TS[[#This Row],[Ker.5]]=1,100,IF(NSi.TS[[#This Row],[Ker.5]]=2,89,IF(NSi.TS[[#This Row],[Ker.5]]=3,79,IF(NSi.TS[[#This Row],[Ker.5]]=4,69,IF(NSi.TS[[#This Row],[Ker.5]]=5,0,"-")))))</f>
        <v>-</v>
      </c>
      <c r="CU26" s="73" t="str">
        <f>IF(NSi.TS[[#This Row],[Ped.5]]=1,100,IF(NSi.TS[[#This Row],[Ped.5]]=2,89,IF(NSi.TS[[#This Row],[Ped.5]]=3,79,IF(NSi.TS[[#This Row],[Ped.5]]=4,69,IF(NSi.TS[[#This Row],[Ped.5]]=5,0,"-")))))</f>
        <v>-</v>
      </c>
      <c r="CV26" s="73" t="str">
        <f>IF(NSi.TS[[#This Row],[Pro-A.5]]=1,100,IF(NSi.TS[[#This Row],[Pro-A.5]]=2,89,IF(NSi.TS[[#This Row],[Pro-A.5]]=3,79,IF(NSi.TS[[#This Row],[Pro-A.5]]=4,69,IF(NSi.TS[[#This Row],[Pro-A.5]]=5,0,"-")))))</f>
        <v>-</v>
      </c>
      <c r="CW26" s="74" t="str">
        <f>IF(NSi.TS[[#This Row],[KU.6]]="A",100,IF(NSi.TS[[#This Row],[KU.6]]="B",89,IF(NSi.TS[[#This Row],[KU.6]]="C",79,IF(NSi.TS[[#This Row],[KU.6]]="D",69,IF(NSi.TS[[#This Row],[KU.6]]="E",0,"-")))))</f>
        <v>-</v>
      </c>
      <c r="CX26" s="73" t="str">
        <f>IF(NSi.TS[[#This Row],[TJ.6]]=1,100,IF(NSi.TS[[#This Row],[TJ.6]]=2,89,IF(NSi.TS[[#This Row],[TJ.6]]=3,79,IF(NSi.TS[[#This Row],[TJ.6]]=4,69,IF(NSi.TS[[#This Row],[TJ.6]]=5,0,"-")))))</f>
        <v>-</v>
      </c>
      <c r="CY26" s="73" t="str">
        <f>IF(NSi.TS[[#This Row],[Ker.6]]=1,100,IF(NSi.TS[[#This Row],[Ker.6]]=2,89,IF(NSi.TS[[#This Row],[Ker.6]]=3,79,IF(NSi.TS[[#This Row],[Ker.6]]=4,69,IF(NSi.TS[[#This Row],[Ker.6]]=5,0,"-")))))</f>
        <v>-</v>
      </c>
      <c r="CZ26" s="73" t="str">
        <f>IF(NSi.TS[[#This Row],[Ped.6]]=1,100,IF(NSi.TS[[#This Row],[Ped.6]]=2,89,IF(NSi.TS[[#This Row],[Ped.6]]=3,79,IF(NSi.TS[[#This Row],[Ped.6]]=4,69,IF(NSi.TS[[#This Row],[Ped.6]]=5,0,"-")))))</f>
        <v>-</v>
      </c>
      <c r="DA26" s="73" t="str">
        <f>IF(NSi.TS[[#This Row],[Pro-A.6]]=1,100,IF(NSi.TS[[#This Row],[Pro-A.6]]=2,89,IF(NSi.TS[[#This Row],[Pro-A.6]]=3,79,IF(NSi.TS[[#This Row],[Pro-A.6]]=4,69,IF(NSi.TS[[#This Row],[Pro-A.6]]=5,0,"-")))))</f>
        <v>-</v>
      </c>
      <c r="DB26" s="74" t="str">
        <f>IF(NSi.TS[[#This Row],[KU.7]]="A",100,IF(NSi.TS[[#This Row],[KU.7]]="B",89,IF(NSi.TS[[#This Row],[KU.7]]="C",79,IF(NSi.TS[[#This Row],[KU.7]]="D",69,IF(NSi.TS[[#This Row],[KU.7]]="E",0,"-")))))</f>
        <v>-</v>
      </c>
      <c r="DC26" s="73" t="str">
        <f>IF(NSi.TS[[#This Row],[TJ.7]]=1,100,IF(NSi.TS[[#This Row],[TJ.7]]=2,89,IF(NSi.TS[[#This Row],[TJ.7]]=3,79,IF(NSi.TS[[#This Row],[TJ.7]]=4,69,IF(NSi.TS[[#This Row],[TJ.7]]=5,0,"-")))))</f>
        <v>-</v>
      </c>
      <c r="DD26" s="73" t="str">
        <f>IF(NSi.TS[[#This Row],[Ker.7]]=1,100,IF(NSi.TS[[#This Row],[Ker.7]]=2,89,IF(NSi.TS[[#This Row],[Ker.7]]=3,79,IF(NSi.TS[[#This Row],[Ker.7]]=4,69,IF(NSi.TS[[#This Row],[Ker.7]]=5,0,"-")))))</f>
        <v>-</v>
      </c>
      <c r="DE26" s="73" t="str">
        <f>IF(NSi.TS[[#This Row],[Ped.7]]=1,100,IF(NSi.TS[[#This Row],[Ped.7]]=2,89,IF(NSi.TS[[#This Row],[Ped.7]]=3,79,IF(NSi.TS[[#This Row],[Ped.7]]=4,69,IF(NSi.TS[[#This Row],[Ped.7]]=5,0,"-")))))</f>
        <v>-</v>
      </c>
      <c r="DF26" s="73" t="str">
        <f>IF(NSi.TS[[#This Row],[Pro-A.7]]=1,100,IF(NSi.TS[[#This Row],[Pro-A.7]]=2,89,IF(NSi.TS[[#This Row],[Pro-A.7]]=3,79,IF(NSi.TS[[#This Row],[Pro-A.7]]=4,69,IF(NSi.TS[[#This Row],[Pro-A.7]]=5,0,"-")))))</f>
        <v>-</v>
      </c>
      <c r="DG26" s="74" t="str">
        <f>IF(NSi.TS[[#This Row],[KU.8]]="A",100,IF(NSi.TS[[#This Row],[KU.8]]="B",89,IF(NSi.TS[[#This Row],[KU.8]]="C",79,IF(NSi.TS[[#This Row],[KU.8]]="D",69,IF(NSi.TS[[#This Row],[KU.8]]="E",0,"-")))))</f>
        <v>-</v>
      </c>
      <c r="DH26" s="73" t="str">
        <f>IF(NSi.TS[[#This Row],[TJ.8]]=1,100,IF(NSi.TS[[#This Row],[TJ.8]]=2,89,IF(NSi.TS[[#This Row],[TJ.8]]=3,79,IF(NSi.TS[[#This Row],[TJ.8]]=4,69,IF(NSi.TS[[#This Row],[TJ.8]]=5,0,"-")))))</f>
        <v>-</v>
      </c>
      <c r="DI26" s="73" t="str">
        <f>IF(NSi.TS[[#This Row],[Ker.8]]=1,100,IF(NSi.TS[[#This Row],[Ker.8]]=2,89,IF(NSi.TS[[#This Row],[Ker.8]]=3,79,IF(NSi.TS[[#This Row],[Ker.8]]=4,69,IF(NSi.TS[[#This Row],[Ker.8]]=5,0,"-")))))</f>
        <v>-</v>
      </c>
      <c r="DJ26" s="73" t="str">
        <f>IF(NSi.TS[[#This Row],[Ped.8]]=1,100,IF(NSi.TS[[#This Row],[Ped.8]]=2,89,IF(NSi.TS[[#This Row],[Ped.8]]=3,79,IF(NSi.TS[[#This Row],[Ped.8]]=4,69,IF(NSi.TS[[#This Row],[Ped.8]]=5,0,"-")))))</f>
        <v>-</v>
      </c>
      <c r="DK26" s="73" t="str">
        <f>IF(NSi.TS[[#This Row],[Pro-A.8]]=1,100,IF(NSi.TS[[#This Row],[Pro-A.8]]=2,89,IF(NSi.TS[[#This Row],[Pro-A.8]]=3,79,IF(NSi.TS[[#This Row],[Pro-A.8]]=4,69,IF(NSi.TS[[#This Row],[Pro-A.8]]=5,0,"-")))))</f>
        <v>-</v>
      </c>
      <c r="DL26" s="74" t="str">
        <f>IF(NSi.TS[[#This Row],[KU.9]]="A",100,IF(NSi.TS[[#This Row],[KU.9]]="B",89,IF(NSi.TS[[#This Row],[KU.9]]="C",79,IF(NSi.TS[[#This Row],[KU.9]]="D",69,IF(NSi.TS[[#This Row],[KU.9]]="E",0,"-")))))</f>
        <v>-</v>
      </c>
      <c r="DM26" s="73" t="str">
        <f>IF(NSi.TS[[#This Row],[TJ.9]]=1,100,IF(NSi.TS[[#This Row],[TJ.9]]=2,89,IF(NSi.TS[[#This Row],[TJ.9]]=3,79,IF(NSi.TS[[#This Row],[TJ.9]]=4,69,IF(NSi.TS[[#This Row],[TJ.9]]=5,0,"-")))))</f>
        <v>-</v>
      </c>
      <c r="DN26" s="73" t="str">
        <f>IF(NSi.TS[[#This Row],[Ker.9]]=1,100,IF(NSi.TS[[#This Row],[Ker.9]]=2,89,IF(NSi.TS[[#This Row],[Ker.9]]=3,79,IF(NSi.TS[[#This Row],[Ker.9]]=4,69,IF(NSi.TS[[#This Row],[Ker.9]]=5,0,"-")))))</f>
        <v>-</v>
      </c>
      <c r="DO26" s="73" t="str">
        <f>IF(NSi.TS[[#This Row],[Ped.9]]=1,100,IF(NSi.TS[[#This Row],[Ped.9]]=2,89,IF(NSi.TS[[#This Row],[Ped.9]]=3,79,IF(NSi.TS[[#This Row],[Ped.9]]=4,69,IF(NSi.TS[[#This Row],[Ped.9]]=5,0,"-")))))</f>
        <v>-</v>
      </c>
      <c r="DP26" s="73" t="str">
        <f>IF(NSi.TS[[#This Row],[Pro-A.9]]=1,100,IF(NSi.TS[[#This Row],[Pro-A.9]]=2,89,IF(NSi.TS[[#This Row],[Pro-A.9]]=3,79,IF(NSi.TS[[#This Row],[Pro-A.9]]=4,69,IF(NSi.TS[[#This Row],[Pro-A.9]]=5,0,"-")))))</f>
        <v>-</v>
      </c>
    </row>
    <row r="27" spans="1:120" ht="50.1" customHeight="1" x14ac:dyDescent="0.3">
      <c r="A27" s="85"/>
      <c r="B27" s="83"/>
      <c r="C27" s="84"/>
      <c r="D27" s="84"/>
      <c r="E27" s="84"/>
      <c r="F27" s="39" t="str">
        <f>IFERROR(ROUND(AVERAGE(CSCR[#This Row]),0),"")</f>
        <v/>
      </c>
      <c r="G27" s="41" t="s">
        <v>102</v>
      </c>
      <c r="H27" s="45" t="s">
        <v>102</v>
      </c>
      <c r="I27" s="45" t="s">
        <v>102</v>
      </c>
      <c r="J27" s="45" t="s">
        <v>102</v>
      </c>
      <c r="K27" s="45" t="s">
        <v>102</v>
      </c>
      <c r="L27" s="41" t="s">
        <v>102</v>
      </c>
      <c r="M27" s="45" t="s">
        <v>102</v>
      </c>
      <c r="N27" s="45" t="s">
        <v>102</v>
      </c>
      <c r="O27" s="45" t="s">
        <v>102</v>
      </c>
      <c r="P27" s="45" t="s">
        <v>102</v>
      </c>
      <c r="Q27" s="41" t="s">
        <v>102</v>
      </c>
      <c r="R27" s="45" t="s">
        <v>102</v>
      </c>
      <c r="S27" s="45" t="s">
        <v>102</v>
      </c>
      <c r="T27" s="45" t="s">
        <v>102</v>
      </c>
      <c r="U27" s="45" t="s">
        <v>102</v>
      </c>
      <c r="V27" s="41" t="s">
        <v>102</v>
      </c>
      <c r="W27" s="45" t="s">
        <v>102</v>
      </c>
      <c r="X27" s="45" t="s">
        <v>102</v>
      </c>
      <c r="Y27" s="45" t="s">
        <v>102</v>
      </c>
      <c r="Z27" s="45" t="s">
        <v>102</v>
      </c>
      <c r="AA27" s="41" t="s">
        <v>102</v>
      </c>
      <c r="AB27" s="45" t="s">
        <v>102</v>
      </c>
      <c r="AC27" s="45" t="s">
        <v>102</v>
      </c>
      <c r="AD27" s="45" t="s">
        <v>102</v>
      </c>
      <c r="AE27" s="45" t="s">
        <v>102</v>
      </c>
      <c r="AF27" s="41" t="s">
        <v>102</v>
      </c>
      <c r="AG27" s="45" t="s">
        <v>102</v>
      </c>
      <c r="AH27" s="45" t="s">
        <v>102</v>
      </c>
      <c r="AI27" s="45" t="s">
        <v>102</v>
      </c>
      <c r="AJ27" s="45" t="s">
        <v>102</v>
      </c>
      <c r="AK27" s="41" t="s">
        <v>102</v>
      </c>
      <c r="AL27" s="45" t="s">
        <v>102</v>
      </c>
      <c r="AM27" s="45" t="s">
        <v>102</v>
      </c>
      <c r="AN27" s="45" t="s">
        <v>102</v>
      </c>
      <c r="AO27" s="45" t="s">
        <v>102</v>
      </c>
      <c r="AP27" s="41" t="s">
        <v>102</v>
      </c>
      <c r="AQ27" s="45" t="s">
        <v>102</v>
      </c>
      <c r="AR27" s="45" t="s">
        <v>102</v>
      </c>
      <c r="AS27" s="45" t="s">
        <v>102</v>
      </c>
      <c r="AT27" s="45" t="s">
        <v>102</v>
      </c>
      <c r="AU27" s="41" t="s">
        <v>102</v>
      </c>
      <c r="AV27" s="45" t="s">
        <v>102</v>
      </c>
      <c r="AW27" s="45" t="s">
        <v>102</v>
      </c>
      <c r="AX27" s="45" t="s">
        <v>102</v>
      </c>
      <c r="AY27" s="45" t="s">
        <v>102</v>
      </c>
      <c r="BA27" s="10" t="str">
        <f>CONCATENATE(NSi.TS[[#This Row],[KU.1]],(IF(A.LoE[[#This Row],[LE.1]]="-","-",IF(A.LoE[[#This Row],[LE.1]]&gt;=90,1,IF(A.LoE[[#This Row],[LE.1]]&gt;=80,2,IF(A.LoE[[#This Row],[LE.1]]&gt;=70,3,IF(A.LoE[[#This Row],[LE.1]]&gt;=1,4,5)))))))</f>
        <v>--</v>
      </c>
      <c r="BB27" s="46" t="str">
        <f>CONCATENATE(NSi.TS[[#This Row],[KU.2]],(IF(A.LoE[[#This Row],[LE.2]]="-","-",IF(A.LoE[[#This Row],[LE.2]]&gt;=90,1,IF(A.LoE[[#This Row],[LE.2]]&gt;=80,2,IF(A.LoE[[#This Row],[LE.2]]&gt;=70,3,IF(A.LoE[[#This Row],[LE.2]]&gt;=1,4,5)))))))</f>
        <v>--</v>
      </c>
      <c r="BC27" s="46" t="str">
        <f>CONCATENATE(NSi.TS[[#This Row],[KU.3]],(IF(A.LoE[[#This Row],[LE.3]]="-","-",IF(A.LoE[[#This Row],[LE.3]]&gt;=90,1,IF(A.LoE[[#This Row],[LE.3]]&gt;=80,2,IF(A.LoE[[#This Row],[LE.3]]&gt;=70,3,IF(A.LoE[[#This Row],[LE.3]]&gt;=1,4,5)))))))</f>
        <v>--</v>
      </c>
      <c r="BD27" s="46" t="str">
        <f>CONCATENATE(NSi.TS[[#This Row],[KU.4]],(IF(A.LoE[[#This Row],[LE.4]]="-","-",IF(A.LoE[[#This Row],[LE.4]]&gt;=90,1,IF(A.LoE[[#This Row],[LE.4]]&gt;=80,2,IF(A.LoE[[#This Row],[LE.4]]&gt;=70,3,IF(A.LoE[[#This Row],[LE.4]]&gt;=1,4,5)))))))</f>
        <v>--</v>
      </c>
      <c r="BE27" s="46" t="str">
        <f>CONCATENATE(NSi.TS[[#This Row],[KU.5]],(IF(A.LoE[[#This Row],[LE.5]]="-","-",IF(A.LoE[[#This Row],[LE.5]]&gt;=90,1,IF(A.LoE[[#This Row],[LE.5]]&gt;=80,2,IF(A.LoE[[#This Row],[LE.5]]&gt;=70,3,IF(A.LoE[[#This Row],[LE.5]]&gt;=1,4,5)))))))</f>
        <v>--</v>
      </c>
      <c r="BF27" s="46" t="str">
        <f>CONCATENATE(NSi.TS[[#This Row],[KU.6]],(IF(A.LoE[[#This Row],[LE.6]]="-","-",IF(A.LoE[[#This Row],[LE.6]]&gt;=90,1,IF(A.LoE[[#This Row],[LE.6]]&gt;=80,2,IF(A.LoE[[#This Row],[LE.6]]&gt;=70,3,IF(A.LoE[[#This Row],[LE.6]]&gt;=1,4,5)))))))</f>
        <v>--</v>
      </c>
      <c r="BG27" s="46" t="str">
        <f>CONCATENATE(NSi.TS[[#This Row],[KU.7]],(IF(A.LoE[[#This Row],[LE.7]]="-","-",IF(A.LoE[[#This Row],[LE.7]]&gt;=90,1,IF(A.LoE[[#This Row],[LE.7]]&gt;=80,2,IF(A.LoE[[#This Row],[LE.7]]&gt;=70,3,IF(A.LoE[[#This Row],[LE.7]]&gt;=1,4,5)))))))</f>
        <v>--</v>
      </c>
      <c r="BH27" s="46" t="str">
        <f>CONCATENATE(NSi.TS[[#This Row],[KU.8]],(IF(A.LoE[[#This Row],[LE.8]]="-","-",IF(A.LoE[[#This Row],[LE.8]]&gt;=90,1,IF(A.LoE[[#This Row],[LE.8]]&gt;=80,2,IF(A.LoE[[#This Row],[LE.8]]&gt;=70,3,IF(A.LoE[[#This Row],[LE.8]]&gt;=1,4,5)))))))</f>
        <v>--</v>
      </c>
      <c r="BI27" s="38" t="str">
        <f>CONCATENATE(NSi.TS[[#This Row],[KU.9]],(IF(A.LoE[[#This Row],[LE.9]]="-","-",IF(A.LoE[[#This Row],[LE.9]]&gt;=90,1,IF(A.LoE[[#This Row],[LE.9]]&gt;=80,2,IF(A.LoE[[#This Row],[LE.9]]&gt;=70,3,IF(A.LoE[[#This Row],[LE.9]]&gt;=1,4,5)))))))</f>
        <v>--</v>
      </c>
      <c r="BK27" s="35" t="str">
        <f>IFERROR(ROUND(AVERAGE(Con.Sk[[#This Row],[TJ.1]:[Pro-A.1]]),0),"-")</f>
        <v>-</v>
      </c>
      <c r="BL27" s="24" t="str">
        <f>IFERROR(ROUND(AVERAGE(Con.Sk[[#This Row],[TJ.2]:[Pro-A.2]]),0),"-")</f>
        <v>-</v>
      </c>
      <c r="BM27" s="24" t="str">
        <f>IFERROR(ROUND(AVERAGE(Con.Sk[[#This Row],[TJ.3]:[Pro-A.3]]),0),"-")</f>
        <v>-</v>
      </c>
      <c r="BN27" s="24" t="str">
        <f>IFERROR(ROUND(AVERAGE(Con.Sk[[#This Row],[TJ.4]:[Pro-A.4]]),0),"-")</f>
        <v>-</v>
      </c>
      <c r="BO27" s="24" t="str">
        <f>IFERROR(ROUND(AVERAGE(Con.Sk[[#This Row],[TJ.5]:[Pro-A.5]]),0),"-")</f>
        <v>-</v>
      </c>
      <c r="BP27" s="24" t="str">
        <f>IFERROR(ROUND(AVERAGE(Con.Sk[[#This Row],[TJ.6]:[Pro-A.6]]),0),"-")</f>
        <v>-</v>
      </c>
      <c r="BQ27" s="24" t="str">
        <f>IFERROR(ROUND(AVERAGE(Con.Sk[[#This Row],[TJ.7]:[Pro-A.7]]),0),"-")</f>
        <v>-</v>
      </c>
      <c r="BR27" s="24" t="str">
        <f>IFERROR(ROUND(AVERAGE(Con.Sk[[#This Row],[TJ.8]:[Pro-A.8]]),0),"-")</f>
        <v>-</v>
      </c>
      <c r="BS27" s="25" t="str">
        <f>IFERROR(ROUND(AVERAGE(Con.Sk[[#This Row],[TJ.9]:[Pro-A.9]]),0),"-")</f>
        <v>-</v>
      </c>
      <c r="BU27" s="35" t="str">
        <f>IFERROR(ROUND(AVERAGE(Con.Sk[[#This Row],[KU.1]],Con.Sk[[#This Row],[KU.2]],Con.Sk[[#This Row],[KU.3]],Con.Sk[[#This Row],[KU.4]],Con.Sk[[#This Row],[KU.5]],Con.Sk[[#This Row],[KU.6]],Con.Sk[[#This Row],[KU.7]],Con.Sk[[#This Row],[KU.8]],Con.Sk[[#This Row],[KU.9]]),0),"")</f>
        <v/>
      </c>
      <c r="BV27" s="25" t="str">
        <f>IFERROR(ROUND(AVERAGE(Con.Sk[[#This Row],[TJ.1]:[Pro-A.1]],Con.Sk[[#This Row],[TJ.2]:[Pro-A.2]],Con.Sk[[#This Row],[TJ.3]:[Pro-A.3]],Con.Sk[[#This Row],[TJ.4]:[Pro-A.4]],Con.Sk[[#This Row],[TJ.5]:[Pro-A.5]],Con.Sk[[#This Row],[TJ.6]:[Pro-A.6]],Con.Sk[[#This Row],[TJ.7]:[Pro-A.7]],Con.Sk[[#This Row],[TJ.8]:[Pro-A.8]],Con.Sk[[#This Row],[TJ.9]:[Pro-A.9]]),0),"")</f>
        <v/>
      </c>
      <c r="BW27" s="3"/>
      <c r="BX27" s="75" t="str">
        <f>IF(NSi.TS[[#This Row],[KU.1]]="A",100,IF(NSi.TS[[#This Row],[KU.1]]="B",89,IF(NSi.TS[[#This Row],[KU.1]]="C",79,IF(NSi.TS[[#This Row],[KU.1]]="D",69,IF(NSi.TS[[#This Row],[KU.1]]="E",0,"-")))))</f>
        <v>-</v>
      </c>
      <c r="BY27" s="73" t="str">
        <f>IF(NSi.TS[[#This Row],[TJ.1]]=1,100,IF(NSi.TS[[#This Row],[TJ.1]]=2,89,IF(NSi.TS[[#This Row],[TJ.1]]=3,79,IF(NSi.TS[[#This Row],[TJ.1]]=4,69,IF(NSi.TS[[#This Row],[TJ.1]]=5,0,"-")))))</f>
        <v>-</v>
      </c>
      <c r="BZ27" s="73" t="str">
        <f>IF(NSi.TS[[#This Row],[Ker.1]]=1,100,IF(NSi.TS[[#This Row],[Ker.1]]=2,89,IF(NSi.TS[[#This Row],[Ker.1]]=3,79,IF(NSi.TS[[#This Row],[Ker.1]]=4,69,IF(NSi.TS[[#This Row],[Ker.1]]=5,0,"-")))))</f>
        <v>-</v>
      </c>
      <c r="CA27" s="73" t="str">
        <f>IF(NSi.TS[[#This Row],[Ped.1]]=1,100,IF(NSi.TS[[#This Row],[Ped.1]]=2,89,IF(NSi.TS[[#This Row],[Ped.1]]=3,79,IF(NSi.TS[[#This Row],[Ped.1]]=4,69,IF(NSi.TS[[#This Row],[Ped.1]]=5,0,"-")))))</f>
        <v>-</v>
      </c>
      <c r="CB27" s="73" t="str">
        <f>IF(NSi.TS[[#This Row],[Pro-A.1]]=1,100,IF(NSi.TS[[#This Row],[Pro-A.1]]=2,89,IF(NSi.TS[[#This Row],[Pro-A.1]]=3,79,IF(NSi.TS[[#This Row],[Pro-A.1]]=4,69,IF(NSi.TS[[#This Row],[Pro-A.1]]=5,0,"-")))))</f>
        <v>-</v>
      </c>
      <c r="CC27" s="73" t="str">
        <f>IF(NSi.TS[[#This Row],[KU.2]]="A",100,IF(NSi.TS[[#This Row],[KU.2]]="B",89,IF(NSi.TS[[#This Row],[KU.2]]="C",79,IF(NSi.TS[[#This Row],[KU.2]]="D",69,IF(NSi.TS[[#This Row],[KU.2]]="E",0,"-")))))</f>
        <v>-</v>
      </c>
      <c r="CD27" s="73" t="str">
        <f>IF(NSi.TS[[#This Row],[TJ.2]]=1,100,IF(NSi.TS[[#This Row],[TJ.2]]=2,89,IF(NSi.TS[[#This Row],[TJ.2]]=3,79,IF(NSi.TS[[#This Row],[TJ.2]]=4,69,IF(NSi.TS[[#This Row],[TJ.2]]=5,0,"-")))))</f>
        <v>-</v>
      </c>
      <c r="CE27" s="73" t="str">
        <f>IF(NSi.TS[[#This Row],[Ker.2]]=1,100,IF(NSi.TS[[#This Row],[Ker.2]]=2,89,IF(NSi.TS[[#This Row],[Ker.2]]=3,79,IF(NSi.TS[[#This Row],[Ker.2]]=4,69,IF(NSi.TS[[#This Row],[Ker.2]]=5,0,"-")))))</f>
        <v>-</v>
      </c>
      <c r="CF27" s="73" t="str">
        <f>IF(NSi.TS[[#This Row],[Ped.2]]=1,100,IF(NSi.TS[[#This Row],[Ped.2]]=2,89,IF(NSi.TS[[#This Row],[Ped.2]]=3,79,IF(NSi.TS[[#This Row],[Ped.2]]=4,69,IF(NSi.TS[[#This Row],[Ped.2]]=5,0,"-")))))</f>
        <v>-</v>
      </c>
      <c r="CG27" s="73" t="str">
        <f>IF(NSi.TS[[#This Row],[Pro-A.2]]=1,100,IF(NSi.TS[[#This Row],[Pro-A.2]]=2,89,IF(NSi.TS[[#This Row],[Pro-A.2]]=3,79,IF(NSi.TS[[#This Row],[Pro-A.2]]=4,69,IF(NSi.TS[[#This Row],[Pro-A.2]]=5,0,"-")))))</f>
        <v>-</v>
      </c>
      <c r="CH27" s="76" t="str">
        <f>IF(NSi.TS[[#This Row],[KU.3]]="A",100,IF(NSi.TS[[#This Row],[KU.3]]="B",89,IF(NSi.TS[[#This Row],[KU.3]]="C",79,IF(NSi.TS[[#This Row],[KU.3]]="D",69,IF(NSi.TS[[#This Row],[KU.3]]="E",0,"-")))))</f>
        <v>-</v>
      </c>
      <c r="CI27" s="73" t="str">
        <f>IF(NSi.TS[[#This Row],[TJ.3]]=1,100,IF(NSi.TS[[#This Row],[TJ.3]]=2,89,IF(NSi.TS[[#This Row],[TJ.3]]=3,79,IF(NSi.TS[[#This Row],[TJ.3]]=4,69,IF(NSi.TS[[#This Row],[TJ.3]]=5,0,"-")))))</f>
        <v>-</v>
      </c>
      <c r="CJ27" s="73" t="str">
        <f>IF(NSi.TS[[#This Row],[Ker.3]]=1,100,IF(NSi.TS[[#This Row],[Ker.3]]=2,89,IF(NSi.TS[[#This Row],[Ker.3]]=3,79,IF(NSi.TS[[#This Row],[Ker.3]]=4,69,IF(NSi.TS[[#This Row],[Ker.3]]=5,0,"-")))))</f>
        <v>-</v>
      </c>
      <c r="CK27" s="73" t="str">
        <f>IF(NSi.TS[[#This Row],[Ped.3]]=1,100,IF(NSi.TS[[#This Row],[Ped.3]]=2,89,IF(NSi.TS[[#This Row],[Ped.3]]=3,79,IF(NSi.TS[[#This Row],[Ped.3]]=4,69,IF(NSi.TS[[#This Row],[Ped.3]]=5,0,"-")))))</f>
        <v>-</v>
      </c>
      <c r="CL27" s="73" t="str">
        <f>IF(NSi.TS[[#This Row],[Pro-A.3]]=1,100,IF(NSi.TS[[#This Row],[Pro-A.3]]=2,89,IF(NSi.TS[[#This Row],[Pro-A.3]]=3,79,IF(NSi.TS[[#This Row],[Pro-A.3]]=4,69,IF(NSi.TS[[#This Row],[Pro-A.3]]=5,0,"-")))))</f>
        <v>-</v>
      </c>
      <c r="CM27" s="76" t="str">
        <f>IF(NSi.TS[[#This Row],[KU.4]]="A",100,IF(NSi.TS[[#This Row],[KU.4]]="B",89,IF(NSi.TS[[#This Row],[KU.4]]="C",79,IF(NSi.TS[[#This Row],[KU.4]]="D",69,IF(NSi.TS[[#This Row],[KU.4]]="E",0,"-")))))</f>
        <v>-</v>
      </c>
      <c r="CN27" s="73" t="str">
        <f>IF(NSi.TS[[#This Row],[TJ.4]]=1,100,IF(NSi.TS[[#This Row],[TJ.4]]=2,89,IF(NSi.TS[[#This Row],[TJ.4]]=3,79,IF(NSi.TS[[#This Row],[TJ.4]]=4,69,IF(NSi.TS[[#This Row],[TJ.4]]=5,0,"-")))))</f>
        <v>-</v>
      </c>
      <c r="CO27" s="73" t="str">
        <f>IF(NSi.TS[[#This Row],[Ker.4]]=1,100,IF(NSi.TS[[#This Row],[Ker.4]]=2,89,IF(NSi.TS[[#This Row],[Ker.4]]=3,79,IF(NSi.TS[[#This Row],[Ker.4]]=4,69,IF(NSi.TS[[#This Row],[Ker.4]]=5,0,"-")))))</f>
        <v>-</v>
      </c>
      <c r="CP27" s="73" t="str">
        <f>IF(NSi.TS[[#This Row],[Ped.4]]=1,100,IF(NSi.TS[[#This Row],[Ped.4]]=2,89,IF(NSi.TS[[#This Row],[Ped.4]]=3,79,IF(NSi.TS[[#This Row],[Ped.4]]=4,69,IF(NSi.TS[[#This Row],[Ped.4]]=5,0,"-")))))</f>
        <v>-</v>
      </c>
      <c r="CQ27" s="73" t="str">
        <f>IF(NSi.TS[[#This Row],[Pro-A.4]]=1,100,IF(NSi.TS[[#This Row],[Pro-A.4]]=2,89,IF(NSi.TS[[#This Row],[Pro-A.4]]=3,79,IF(NSi.TS[[#This Row],[Pro-A.4]]=4,69,IF(NSi.TS[[#This Row],[Pro-A.4]]=5,0,"-")))))</f>
        <v>-</v>
      </c>
      <c r="CR27" s="76" t="str">
        <f>IF(NSi.TS[[#This Row],[KU.5]]="A",100,IF(NSi.TS[[#This Row],[KU.5]]="B",89,IF(NSi.TS[[#This Row],[KU.5]]="C",79,IF(NSi.TS[[#This Row],[KU.5]]="D",69,IF(NSi.TS[[#This Row],[KU.5]]="E",0,"-")))))</f>
        <v>-</v>
      </c>
      <c r="CS27" s="73" t="str">
        <f>IF(NSi.TS[[#This Row],[TJ.5]]=1,100,IF(NSi.TS[[#This Row],[TJ.5]]=2,89,IF(NSi.TS[[#This Row],[TJ.5]]=3,79,IF(NSi.TS[[#This Row],[TJ.5]]=4,69,IF(NSi.TS[[#This Row],[TJ.5]]=5,0,"-")))))</f>
        <v>-</v>
      </c>
      <c r="CT27" s="73" t="str">
        <f>IF(NSi.TS[[#This Row],[Ker.5]]=1,100,IF(NSi.TS[[#This Row],[Ker.5]]=2,89,IF(NSi.TS[[#This Row],[Ker.5]]=3,79,IF(NSi.TS[[#This Row],[Ker.5]]=4,69,IF(NSi.TS[[#This Row],[Ker.5]]=5,0,"-")))))</f>
        <v>-</v>
      </c>
      <c r="CU27" s="73" t="str">
        <f>IF(NSi.TS[[#This Row],[Ped.5]]=1,100,IF(NSi.TS[[#This Row],[Ped.5]]=2,89,IF(NSi.TS[[#This Row],[Ped.5]]=3,79,IF(NSi.TS[[#This Row],[Ped.5]]=4,69,IF(NSi.TS[[#This Row],[Ped.5]]=5,0,"-")))))</f>
        <v>-</v>
      </c>
      <c r="CV27" s="73" t="str">
        <f>IF(NSi.TS[[#This Row],[Pro-A.5]]=1,100,IF(NSi.TS[[#This Row],[Pro-A.5]]=2,89,IF(NSi.TS[[#This Row],[Pro-A.5]]=3,79,IF(NSi.TS[[#This Row],[Pro-A.5]]=4,69,IF(NSi.TS[[#This Row],[Pro-A.5]]=5,0,"-")))))</f>
        <v>-</v>
      </c>
      <c r="CW27" s="76" t="str">
        <f>IF(NSi.TS[[#This Row],[KU.6]]="A",100,IF(NSi.TS[[#This Row],[KU.6]]="B",89,IF(NSi.TS[[#This Row],[KU.6]]="C",79,IF(NSi.TS[[#This Row],[KU.6]]="D",69,IF(NSi.TS[[#This Row],[KU.6]]="E",0,"-")))))</f>
        <v>-</v>
      </c>
      <c r="CX27" s="73" t="str">
        <f>IF(NSi.TS[[#This Row],[TJ.6]]=1,100,IF(NSi.TS[[#This Row],[TJ.6]]=2,89,IF(NSi.TS[[#This Row],[TJ.6]]=3,79,IF(NSi.TS[[#This Row],[TJ.6]]=4,69,IF(NSi.TS[[#This Row],[TJ.6]]=5,0,"-")))))</f>
        <v>-</v>
      </c>
      <c r="CY27" s="73" t="str">
        <f>IF(NSi.TS[[#This Row],[Ker.6]]=1,100,IF(NSi.TS[[#This Row],[Ker.6]]=2,89,IF(NSi.TS[[#This Row],[Ker.6]]=3,79,IF(NSi.TS[[#This Row],[Ker.6]]=4,69,IF(NSi.TS[[#This Row],[Ker.6]]=5,0,"-")))))</f>
        <v>-</v>
      </c>
      <c r="CZ27" s="73" t="str">
        <f>IF(NSi.TS[[#This Row],[Ped.6]]=1,100,IF(NSi.TS[[#This Row],[Ped.6]]=2,89,IF(NSi.TS[[#This Row],[Ped.6]]=3,79,IF(NSi.TS[[#This Row],[Ped.6]]=4,69,IF(NSi.TS[[#This Row],[Ped.6]]=5,0,"-")))))</f>
        <v>-</v>
      </c>
      <c r="DA27" s="73" t="str">
        <f>IF(NSi.TS[[#This Row],[Pro-A.6]]=1,100,IF(NSi.TS[[#This Row],[Pro-A.6]]=2,89,IF(NSi.TS[[#This Row],[Pro-A.6]]=3,79,IF(NSi.TS[[#This Row],[Pro-A.6]]=4,69,IF(NSi.TS[[#This Row],[Pro-A.6]]=5,0,"-")))))</f>
        <v>-</v>
      </c>
      <c r="DB27" s="76" t="str">
        <f>IF(NSi.TS[[#This Row],[KU.7]]="A",100,IF(NSi.TS[[#This Row],[KU.7]]="B",89,IF(NSi.TS[[#This Row],[KU.7]]="C",79,IF(NSi.TS[[#This Row],[KU.7]]="D",69,IF(NSi.TS[[#This Row],[KU.7]]="E",0,"-")))))</f>
        <v>-</v>
      </c>
      <c r="DC27" s="73" t="str">
        <f>IF(NSi.TS[[#This Row],[TJ.7]]=1,100,IF(NSi.TS[[#This Row],[TJ.7]]=2,89,IF(NSi.TS[[#This Row],[TJ.7]]=3,79,IF(NSi.TS[[#This Row],[TJ.7]]=4,69,IF(NSi.TS[[#This Row],[TJ.7]]=5,0,"-")))))</f>
        <v>-</v>
      </c>
      <c r="DD27" s="73" t="str">
        <f>IF(NSi.TS[[#This Row],[Ker.7]]=1,100,IF(NSi.TS[[#This Row],[Ker.7]]=2,89,IF(NSi.TS[[#This Row],[Ker.7]]=3,79,IF(NSi.TS[[#This Row],[Ker.7]]=4,69,IF(NSi.TS[[#This Row],[Ker.7]]=5,0,"-")))))</f>
        <v>-</v>
      </c>
      <c r="DE27" s="73" t="str">
        <f>IF(NSi.TS[[#This Row],[Ped.7]]=1,100,IF(NSi.TS[[#This Row],[Ped.7]]=2,89,IF(NSi.TS[[#This Row],[Ped.7]]=3,79,IF(NSi.TS[[#This Row],[Ped.7]]=4,69,IF(NSi.TS[[#This Row],[Ped.7]]=5,0,"-")))))</f>
        <v>-</v>
      </c>
      <c r="DF27" s="73" t="str">
        <f>IF(NSi.TS[[#This Row],[Pro-A.7]]=1,100,IF(NSi.TS[[#This Row],[Pro-A.7]]=2,89,IF(NSi.TS[[#This Row],[Pro-A.7]]=3,79,IF(NSi.TS[[#This Row],[Pro-A.7]]=4,69,IF(NSi.TS[[#This Row],[Pro-A.7]]=5,0,"-")))))</f>
        <v>-</v>
      </c>
      <c r="DG27" s="76" t="str">
        <f>IF(NSi.TS[[#This Row],[KU.8]]="A",100,IF(NSi.TS[[#This Row],[KU.8]]="B",89,IF(NSi.TS[[#This Row],[KU.8]]="C",79,IF(NSi.TS[[#This Row],[KU.8]]="D",69,IF(NSi.TS[[#This Row],[KU.8]]="E",0,"-")))))</f>
        <v>-</v>
      </c>
      <c r="DH27" s="73" t="str">
        <f>IF(NSi.TS[[#This Row],[TJ.8]]=1,100,IF(NSi.TS[[#This Row],[TJ.8]]=2,89,IF(NSi.TS[[#This Row],[TJ.8]]=3,79,IF(NSi.TS[[#This Row],[TJ.8]]=4,69,IF(NSi.TS[[#This Row],[TJ.8]]=5,0,"-")))))</f>
        <v>-</v>
      </c>
      <c r="DI27" s="73" t="str">
        <f>IF(NSi.TS[[#This Row],[Ker.8]]=1,100,IF(NSi.TS[[#This Row],[Ker.8]]=2,89,IF(NSi.TS[[#This Row],[Ker.8]]=3,79,IF(NSi.TS[[#This Row],[Ker.8]]=4,69,IF(NSi.TS[[#This Row],[Ker.8]]=5,0,"-")))))</f>
        <v>-</v>
      </c>
      <c r="DJ27" s="73" t="str">
        <f>IF(NSi.TS[[#This Row],[Ped.8]]=1,100,IF(NSi.TS[[#This Row],[Ped.8]]=2,89,IF(NSi.TS[[#This Row],[Ped.8]]=3,79,IF(NSi.TS[[#This Row],[Ped.8]]=4,69,IF(NSi.TS[[#This Row],[Ped.8]]=5,0,"-")))))</f>
        <v>-</v>
      </c>
      <c r="DK27" s="73" t="str">
        <f>IF(NSi.TS[[#This Row],[Pro-A.8]]=1,100,IF(NSi.TS[[#This Row],[Pro-A.8]]=2,89,IF(NSi.TS[[#This Row],[Pro-A.8]]=3,79,IF(NSi.TS[[#This Row],[Pro-A.8]]=4,69,IF(NSi.TS[[#This Row],[Pro-A.8]]=5,0,"-")))))</f>
        <v>-</v>
      </c>
      <c r="DL27" s="76" t="str">
        <f>IF(NSi.TS[[#This Row],[KU.9]]="A",100,IF(NSi.TS[[#This Row],[KU.9]]="B",89,IF(NSi.TS[[#This Row],[KU.9]]="C",79,IF(NSi.TS[[#This Row],[KU.9]]="D",69,IF(NSi.TS[[#This Row],[KU.9]]="E",0,"-")))))</f>
        <v>-</v>
      </c>
      <c r="DM27" s="73" t="str">
        <f>IF(NSi.TS[[#This Row],[TJ.9]]=1,100,IF(NSi.TS[[#This Row],[TJ.9]]=2,89,IF(NSi.TS[[#This Row],[TJ.9]]=3,79,IF(NSi.TS[[#This Row],[TJ.9]]=4,69,IF(NSi.TS[[#This Row],[TJ.9]]=5,0,"-")))))</f>
        <v>-</v>
      </c>
      <c r="DN27" s="73" t="str">
        <f>IF(NSi.TS[[#This Row],[Ker.9]]=1,100,IF(NSi.TS[[#This Row],[Ker.9]]=2,89,IF(NSi.TS[[#This Row],[Ker.9]]=3,79,IF(NSi.TS[[#This Row],[Ker.9]]=4,69,IF(NSi.TS[[#This Row],[Ker.9]]=5,0,"-")))))</f>
        <v>-</v>
      </c>
      <c r="DO27" s="73" t="str">
        <f>IF(NSi.TS[[#This Row],[Ped.9]]=1,100,IF(NSi.TS[[#This Row],[Ped.9]]=2,89,IF(NSi.TS[[#This Row],[Ped.9]]=3,79,IF(NSi.TS[[#This Row],[Ped.9]]=4,69,IF(NSi.TS[[#This Row],[Ped.9]]=5,0,"-")))))</f>
        <v>-</v>
      </c>
      <c r="DP27" s="73" t="str">
        <f>IF(NSi.TS[[#This Row],[Pro-A.9]]=1,100,IF(NSi.TS[[#This Row],[Pro-A.9]]=2,89,IF(NSi.TS[[#This Row],[Pro-A.9]]=3,79,IF(NSi.TS[[#This Row],[Pro-A.9]]=4,69,IF(NSi.TS[[#This Row],[Pro-A.9]]=5,0,"-")))))</f>
        <v>-</v>
      </c>
    </row>
  </sheetData>
  <sheetProtection selectLockedCells="1"/>
  <dataConsolidate/>
  <mergeCells count="10">
    <mergeCell ref="AG1:AJ1"/>
    <mergeCell ref="AL1:AO1"/>
    <mergeCell ref="AQ1:AT1"/>
    <mergeCell ref="AV1:AY1"/>
    <mergeCell ref="A1:F1"/>
    <mergeCell ref="H1:K1"/>
    <mergeCell ref="M1:P1"/>
    <mergeCell ref="R1:U1"/>
    <mergeCell ref="W1:Z1"/>
    <mergeCell ref="AB1:AE1"/>
  </mergeCells>
  <conditionalFormatting sqref="E1:E1048576">
    <cfRule type="containsText" dxfId="0" priority="2" operator="containsText" text="IPA">
      <formula>NOT(ISERROR(SEARCH("IPA",E1)))</formula>
    </cfRule>
    <cfRule type="containsText" dxfId="1" priority="1" operator="containsText" text="IPS">
      <formula>NOT(ISERROR(SEARCH("IPS",E1)))</formula>
    </cfRule>
  </conditionalFormatting>
  <dataValidations count="9">
    <dataValidation allowBlank="1" showInputMessage="1" showErrorMessage="1" prompt="Isilah dengan tanggal pengisian" sqref="H1:K1 M1:P1 R1:U1 W1:Z1 AB1:AE1 AG1:AJ1 AL1:AO1 AQ1:AT1 AV1:AY1" xr:uid="{7BD69251-75A4-42C6-8A71-CD7EA8E91EC9}"/>
    <dataValidation type="list" showInputMessage="1" showErrorMessage="1" promptTitle="Knowledge &amp; Understanding" prompt="A = Excellent_x000a_B = Good_x000a_C = Satisfactory_x000a_D = Poor_x000a_E = No Understanding" sqref="L3:L27 Q3:Q27 V3:V27 AA3:AA27 AF3:AF27 AK3:AK27 AP3:AP27 AU3:AU27 G3:G27" xr:uid="{4F310341-C904-4714-8FA2-ECE7CF2AE0E4}">
      <formula1>"-, A, B, C, D, E"</formula1>
    </dataValidation>
    <dataValidation allowBlank="1" showInputMessage="1" showErrorMessage="1" prompt="Nilai Sikap Tengah Semester" sqref="F3:F27" xr:uid="{2540D90D-7E19-4EA6-86EC-B17E0061A4B5}"/>
    <dataValidation allowBlank="1" showInputMessage="1" showErrorMessage="1" prompt="Nilai Weekly Report Cambridge untuk Mid Semester" sqref="BA3:BI27" xr:uid="{F14C688E-899C-4777-946B-202081995AAF}"/>
    <dataValidation type="list" showInputMessage="1" showErrorMessage="1" promptTitle="Level of Effort (Pro-Aktif)" prompt="1 = Excellent Effort_x000a_2 = Good Effort_x000a_3 = Satisfactory Effort_x000a_4 = Poor Effort_x000a_5 = No Effort" sqref="K3:K27 P3:P27 U3:U27 Z3:Z27 AE3:AE27 AJ3:AJ27 AO3:AO27 AT3:AT27 AY3:AY27" xr:uid="{C6ED2806-CCFF-4963-A1F3-AACBD85EA8C8}">
      <formula1>"-, 1, 2, 3, 4, 5"</formula1>
    </dataValidation>
    <dataValidation type="list" showInputMessage="1" showErrorMessage="1" promptTitle="Level of Effort (Peduli)" prompt="1 = Excellent Effort_x000a_2 = Good Effort_x000a_3 = Satisfactory Effort_x000a_4 = Poor Effort_x000a_5 = No Effort" sqref="J3:J27 O3:O27 T3:T27 Y3:Y27 AD3:AD27 AI3:AI27 AN3:AN27 AS3:AS27 AX3:AX27" xr:uid="{5390413C-A5AD-4076-A286-FB39D54D665A}">
      <formula1>"-, 1, 2, 3, 4, 5"</formula1>
    </dataValidation>
    <dataValidation type="list" showInputMessage="1" showErrorMessage="1" promptTitle="Level of Effort (Kerjasama)" prompt="1 = Excellent Effort_x000a_2 = Good Effort_x000a_3 = Satisfactory Effort_x000a_4 = Poor Effort_x000a_5 = No Effort" sqref="I3:I27 N3:N27 S3:S27 X3:X27 AC3:AC27 AH3:AH27 AM3:AM27 AR3:AR27 AW3:AW27" xr:uid="{147BE478-F1A6-41CA-AF1E-9BACF6674DA6}">
      <formula1>"-, 1, 2, 3, 4, 5"</formula1>
    </dataValidation>
    <dataValidation type="list" showInputMessage="1" showErrorMessage="1" promptTitle="Level of Effort (Tanggung Jawab)" prompt="1 = Excellent Effort_x000a_2 = Good Effort_x000a_3 = Satisfactory Effort_x000a_4 = Poor Effort_x000a_5 = No Effort" sqref="H3:H27 M3:M27 R3:R27 W3:W27 AB3:AB27 AG3:AG27 AL3:AL27 AQ3:AQ27 AV3:AV27" xr:uid="{693BDFA3-1259-4271-854F-858B9C05F225}">
      <formula1>"-, 1, 2, 3, 4, 5"</formula1>
    </dataValidation>
    <dataValidation allowBlank="1" showInputMessage="1" showErrorMessage="1" prompt="Diisi dengan mata pelajaran" sqref="A1:F1" xr:uid="{43B26625-AB38-4DB0-9341-1B6F5E26DA12}"/>
  </dataValidations>
  <pageMargins left="0.7" right="0.7" top="0.75" bottom="0.75" header="0.3" footer="0.3"/>
  <pageSetup orientation="portrait" horizontalDpi="360" verticalDpi="360" r:id="rId1"/>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6299A-454E-4DBB-A414-F6B728865413}">
  <sheetPr>
    <tabColor theme="7" tint="0.59999389629810485"/>
  </sheetPr>
  <dimension ref="A1:Y28"/>
  <sheetViews>
    <sheetView showGridLines="0" topLeftCell="E1" zoomScale="85" zoomScaleNormal="85" workbookViewId="0">
      <selection activeCell="P4" sqref="P4:P13"/>
    </sheetView>
  </sheetViews>
  <sheetFormatPr defaultColWidth="9.109375" defaultRowHeight="14.4" x14ac:dyDescent="0.3"/>
  <cols>
    <col min="1" max="1" width="8.109375" style="3" bestFit="1" customWidth="1"/>
    <col min="2" max="2" width="50.6640625" style="3" customWidth="1"/>
    <col min="3" max="5" width="20.6640625" style="3" customWidth="1"/>
    <col min="6" max="14" width="9.5546875" style="3" bestFit="1" customWidth="1"/>
    <col min="15" max="15" width="10.5546875" style="3" bestFit="1" customWidth="1"/>
    <col min="16" max="18" width="12.109375" style="3" bestFit="1" customWidth="1"/>
    <col min="19" max="21" width="12.33203125" style="3" bestFit="1" customWidth="1"/>
    <col min="22" max="22" width="13.44140625" style="3" bestFit="1" customWidth="1"/>
    <col min="23" max="23" width="9" style="3" bestFit="1" customWidth="1"/>
    <col min="24" max="24" width="12.88671875" style="3" bestFit="1" customWidth="1"/>
    <col min="25" max="25" width="14.109375" style="3" bestFit="1" customWidth="1"/>
    <col min="26" max="16384" width="9.109375" style="3"/>
  </cols>
  <sheetData>
    <row r="1" spans="1:25" x14ac:dyDescent="0.3">
      <c r="A1" s="79"/>
      <c r="B1" s="79"/>
      <c r="C1" s="79"/>
      <c r="D1" s="79"/>
      <c r="E1" s="79"/>
      <c r="P1" s="97" t="s">
        <v>103</v>
      </c>
      <c r="Q1" s="97"/>
      <c r="R1" s="97"/>
      <c r="S1" s="97"/>
      <c r="T1" s="97"/>
      <c r="U1" s="97"/>
    </row>
    <row r="2" spans="1:25" x14ac:dyDescent="0.3">
      <c r="A2" s="79"/>
      <c r="B2" s="79"/>
      <c r="C2" s="79"/>
      <c r="D2" s="79"/>
      <c r="E2" s="79"/>
      <c r="F2" s="96" t="s">
        <v>104</v>
      </c>
      <c r="G2" s="96"/>
      <c r="H2" s="96"/>
      <c r="I2" s="96"/>
      <c r="J2" s="96"/>
      <c r="K2" s="96"/>
      <c r="L2" s="96"/>
      <c r="M2" s="96"/>
      <c r="N2" s="96"/>
      <c r="O2" s="96"/>
      <c r="P2" s="17">
        <v>100</v>
      </c>
      <c r="Q2" s="17">
        <v>0</v>
      </c>
      <c r="R2" s="17">
        <v>0</v>
      </c>
      <c r="S2" s="18">
        <v>1</v>
      </c>
      <c r="T2" s="18">
        <v>0</v>
      </c>
      <c r="U2" s="18">
        <v>0</v>
      </c>
      <c r="V2" s="96" t="s">
        <v>105</v>
      </c>
      <c r="W2" s="96"/>
      <c r="X2" s="96"/>
      <c r="Y2" s="96"/>
    </row>
    <row r="3" spans="1:25" x14ac:dyDescent="0.3">
      <c r="A3" s="1" t="s">
        <v>31</v>
      </c>
      <c r="B3" s="2" t="s">
        <v>32</v>
      </c>
      <c r="C3" s="2" t="s">
        <v>33</v>
      </c>
      <c r="D3" s="2" t="s">
        <v>34</v>
      </c>
      <c r="E3" s="2" t="s">
        <v>35</v>
      </c>
      <c r="F3" s="4" t="s">
        <v>106</v>
      </c>
      <c r="G3" s="4" t="s">
        <v>107</v>
      </c>
      <c r="H3" s="4" t="s">
        <v>108</v>
      </c>
      <c r="I3" s="4" t="s">
        <v>109</v>
      </c>
      <c r="J3" s="4" t="s">
        <v>110</v>
      </c>
      <c r="K3" s="4" t="s">
        <v>111</v>
      </c>
      <c r="L3" s="4" t="s">
        <v>112</v>
      </c>
      <c r="M3" s="4" t="s">
        <v>113</v>
      </c>
      <c r="N3" s="4" t="s">
        <v>114</v>
      </c>
      <c r="O3" s="4" t="s">
        <v>115</v>
      </c>
      <c r="P3" s="6" t="s">
        <v>116</v>
      </c>
      <c r="Q3" s="6" t="s">
        <v>117</v>
      </c>
      <c r="R3" s="6" t="s">
        <v>118</v>
      </c>
      <c r="S3" s="5" t="s">
        <v>119</v>
      </c>
      <c r="T3" s="5" t="s">
        <v>120</v>
      </c>
      <c r="U3" s="5" t="s">
        <v>121</v>
      </c>
      <c r="V3" s="4" t="s">
        <v>122</v>
      </c>
      <c r="W3" s="12" t="s">
        <v>123</v>
      </c>
      <c r="X3" s="13" t="s">
        <v>124</v>
      </c>
      <c r="Y3" s="7" t="s">
        <v>125</v>
      </c>
    </row>
    <row r="4" spans="1:25" ht="50.1" customHeight="1" x14ac:dyDescent="0.3">
      <c r="A4" s="69">
        <f>IF('NS (Mid.S)'!A3=0,"",'NS (Mid.S)'!A3)</f>
        <v>1</v>
      </c>
      <c r="B4" s="70" t="str">
        <f>IF('NS (Mid.S)'!B3=0,"",'NS (Mid.S)'!B3)</f>
        <v/>
      </c>
      <c r="C4" s="69" t="str">
        <f>IF('NS (Mid.S)'!C3=0,"",'NS (Mid.S)'!C3)</f>
        <v/>
      </c>
      <c r="D4" s="69" t="str">
        <f>IF('NS (Mid.S)'!D3=0,"",'NS (Mid.S)'!D3)</f>
        <v/>
      </c>
      <c r="E4" s="69" t="str">
        <f>IF('NS (Mid.S)'!E3=0,"",'NS (Mid.S)'!E3)</f>
        <v/>
      </c>
      <c r="F4" s="15"/>
      <c r="G4" s="15"/>
      <c r="H4" s="15"/>
      <c r="I4" s="15"/>
      <c r="J4" s="15"/>
      <c r="K4" s="15"/>
      <c r="L4" s="15"/>
      <c r="M4" s="15"/>
      <c r="N4" s="15"/>
      <c r="O4" s="15"/>
      <c r="P4" s="16"/>
      <c r="Q4" s="16"/>
      <c r="R4" s="16"/>
      <c r="S4" s="9">
        <f>IFERROR(ROUND((Mid.S[[#This Row],[Paper 1]]/$P$2*100)*$S$2,0),"")</f>
        <v>0</v>
      </c>
      <c r="T4" s="9"/>
      <c r="U4" s="9"/>
      <c r="V4" s="8" t="str">
        <f>IFERROR(ROUND(AVERAGE(Mid.S[[#This Row],[NP 1]:[NP 10]]),0),"")</f>
        <v/>
      </c>
      <c r="W4" s="9" t="str">
        <f>IFERROR(IF(SUM(Mid.S[[#This Row],[Nilai P1]:[Nilai P3]])=0,"",SUM(Mid.S[[#This Row],[Nilai P1]:[Nilai P3]])),"")</f>
        <v/>
      </c>
      <c r="X4" s="14" t="str">
        <f>IFERROR(ROUND(((Mid.S[[#This Row],[NTS]]*2)+(Mid.S[[#This Row],[Rata2 NP]]*3))/5,0),"")</f>
        <v/>
      </c>
      <c r="Y4" s="11" t="str">
        <f>IF(Mid.S[[#This Row],[NRap.TS]]="","Belum Terukur",IF(Mid.S[[#This Row],[NRap.TS]]&gt;=92,"A",IF(Mid.S[[#This Row],[NRap.TS]]&gt;=83,"B",IF(Mid.S[[#This Row],[NRap.TS]]&gt;=75,"C","D"))))</f>
        <v>Belum Terukur</v>
      </c>
    </row>
    <row r="5" spans="1:25" ht="50.1" customHeight="1" x14ac:dyDescent="0.3">
      <c r="A5" s="69">
        <f>IF('NS (Mid.S)'!A4=0,"",'NS (Mid.S)'!A4)</f>
        <v>2</v>
      </c>
      <c r="B5" s="70" t="str">
        <f>IF('NS (Mid.S)'!B4=0,"",'NS (Mid.S)'!B4)</f>
        <v/>
      </c>
      <c r="C5" s="69" t="str">
        <f>IF('NS (Mid.S)'!C4=0,"",'NS (Mid.S)'!C4)</f>
        <v/>
      </c>
      <c r="D5" s="69" t="str">
        <f>IF('NS (Mid.S)'!D4=0,"",'NS (Mid.S)'!D4)</f>
        <v/>
      </c>
      <c r="E5" s="69" t="str">
        <f>IF('NS (Mid.S)'!E4=0,"",'NS (Mid.S)'!E4)</f>
        <v/>
      </c>
      <c r="F5" s="15"/>
      <c r="G5" s="15"/>
      <c r="H5" s="15"/>
      <c r="I5" s="15"/>
      <c r="J5" s="15"/>
      <c r="K5" s="15"/>
      <c r="L5" s="15"/>
      <c r="M5" s="15"/>
      <c r="N5" s="15"/>
      <c r="O5" s="15"/>
      <c r="P5" s="16"/>
      <c r="Q5" s="16"/>
      <c r="R5" s="16"/>
      <c r="S5" s="9">
        <f>IFERROR(ROUND((Mid.S[[#This Row],[Paper 1]]/$P$2*100)*$S$2,0),"")</f>
        <v>0</v>
      </c>
      <c r="T5" s="9"/>
      <c r="U5" s="9"/>
      <c r="V5" s="8" t="str">
        <f>IFERROR(ROUND(AVERAGE(Mid.S[[#This Row],[NP 1]:[NP 10]]),0),"")</f>
        <v/>
      </c>
      <c r="W5" s="9" t="str">
        <f>IFERROR(IF(SUM(Mid.S[[#This Row],[Nilai P1]:[Nilai P3]])=0,"",SUM(Mid.S[[#This Row],[Nilai P1]:[Nilai P3]])),"")</f>
        <v/>
      </c>
      <c r="X5" s="14" t="str">
        <f>IFERROR(ROUND(((Mid.S[[#This Row],[NTS]]*2)+(Mid.S[[#This Row],[Rata2 NP]]*3))/5,0),"")</f>
        <v/>
      </c>
      <c r="Y5" s="11" t="str">
        <f>IF(Mid.S[[#This Row],[NRap.TS]]="","Belum Terukur",IF(Mid.S[[#This Row],[NRap.TS]]&gt;=92,"A",IF(Mid.S[[#This Row],[NRap.TS]]&gt;=83,"B",IF(Mid.S[[#This Row],[NRap.TS]]&gt;=75,"C","D"))))</f>
        <v>Belum Terukur</v>
      </c>
    </row>
    <row r="6" spans="1:25" ht="50.1" customHeight="1" x14ac:dyDescent="0.3">
      <c r="A6" s="69">
        <f>IF('NS (Mid.S)'!A5=0,"",'NS (Mid.S)'!A5)</f>
        <v>3</v>
      </c>
      <c r="B6" s="70" t="str">
        <f>IF('NS (Mid.S)'!B5=0,"",'NS (Mid.S)'!B5)</f>
        <v/>
      </c>
      <c r="C6" s="69" t="str">
        <f>IF('NS (Mid.S)'!C5=0,"",'NS (Mid.S)'!C5)</f>
        <v/>
      </c>
      <c r="D6" s="69" t="str">
        <f>IF('NS (Mid.S)'!D5=0,"",'NS (Mid.S)'!D5)</f>
        <v/>
      </c>
      <c r="E6" s="69" t="str">
        <f>IF('NS (Mid.S)'!E5=0,"",'NS (Mid.S)'!E5)</f>
        <v/>
      </c>
      <c r="F6" s="15"/>
      <c r="G6" s="15"/>
      <c r="H6" s="15"/>
      <c r="I6" s="15"/>
      <c r="J6" s="15"/>
      <c r="K6" s="15"/>
      <c r="L6" s="15"/>
      <c r="M6" s="15"/>
      <c r="N6" s="15"/>
      <c r="O6" s="15"/>
      <c r="P6" s="16"/>
      <c r="Q6" s="16"/>
      <c r="R6" s="16"/>
      <c r="S6" s="9">
        <f>IFERROR(ROUND((Mid.S[[#This Row],[Paper 1]]/$P$2*100)*$S$2,0),"")</f>
        <v>0</v>
      </c>
      <c r="T6" s="9"/>
      <c r="U6" s="9"/>
      <c r="V6" s="8" t="str">
        <f>IFERROR(ROUND(AVERAGE(Mid.S[[#This Row],[NP 1]:[NP 10]]),0),"")</f>
        <v/>
      </c>
      <c r="W6" s="9" t="str">
        <f>IFERROR(IF(SUM(Mid.S[[#This Row],[Nilai P1]:[Nilai P3]])=0,"",SUM(Mid.S[[#This Row],[Nilai P1]:[Nilai P3]])),"")</f>
        <v/>
      </c>
      <c r="X6" s="14" t="str">
        <f>IFERROR(ROUND(((Mid.S[[#This Row],[NTS]]*2)+(Mid.S[[#This Row],[Rata2 NP]]*3))/5,0),"")</f>
        <v/>
      </c>
      <c r="Y6" s="11" t="str">
        <f>IF(Mid.S[[#This Row],[NRap.TS]]="","Belum Terukur",IF(Mid.S[[#This Row],[NRap.TS]]&gt;=92,"A",IF(Mid.S[[#This Row],[NRap.TS]]&gt;=83,"B",IF(Mid.S[[#This Row],[NRap.TS]]&gt;=75,"C","D"))))</f>
        <v>Belum Terukur</v>
      </c>
    </row>
    <row r="7" spans="1:25" ht="50.1" customHeight="1" x14ac:dyDescent="0.3">
      <c r="A7" s="69">
        <f>IF('NS (Mid.S)'!A6=0,"",'NS (Mid.S)'!A6)</f>
        <v>4</v>
      </c>
      <c r="B7" s="70" t="str">
        <f>IF('NS (Mid.S)'!B6=0,"",'NS (Mid.S)'!B6)</f>
        <v/>
      </c>
      <c r="C7" s="69" t="str">
        <f>IF('NS (Mid.S)'!C6=0,"",'NS (Mid.S)'!C6)</f>
        <v/>
      </c>
      <c r="D7" s="69" t="str">
        <f>IF('NS (Mid.S)'!D6=0,"",'NS (Mid.S)'!D6)</f>
        <v/>
      </c>
      <c r="E7" s="69" t="str">
        <f>IF('NS (Mid.S)'!E6=0,"",'NS (Mid.S)'!E6)</f>
        <v/>
      </c>
      <c r="F7" s="15"/>
      <c r="G7" s="15"/>
      <c r="H7" s="15"/>
      <c r="I7" s="15"/>
      <c r="J7" s="15"/>
      <c r="K7" s="15"/>
      <c r="L7" s="15"/>
      <c r="M7" s="15"/>
      <c r="N7" s="15"/>
      <c r="O7" s="15"/>
      <c r="P7" s="16"/>
      <c r="Q7" s="16"/>
      <c r="R7" s="16"/>
      <c r="S7" s="9">
        <f>IFERROR(ROUND((Mid.S[[#This Row],[Paper 1]]/$P$2*100)*$S$2,0),"")</f>
        <v>0</v>
      </c>
      <c r="T7" s="9"/>
      <c r="U7" s="9"/>
      <c r="V7" s="8" t="str">
        <f>IFERROR(ROUND(AVERAGE(Mid.S[[#This Row],[NP 1]:[NP 10]]),0),"")</f>
        <v/>
      </c>
      <c r="W7" s="9" t="str">
        <f>IFERROR(IF(SUM(Mid.S[[#This Row],[Nilai P1]:[Nilai P3]])=0,"",SUM(Mid.S[[#This Row],[Nilai P1]:[Nilai P3]])),"")</f>
        <v/>
      </c>
      <c r="X7" s="14" t="str">
        <f>IFERROR(ROUND(((Mid.S[[#This Row],[NTS]]*2)+(Mid.S[[#This Row],[Rata2 NP]]*3))/5,0),"")</f>
        <v/>
      </c>
      <c r="Y7" s="11" t="str">
        <f>IF(Mid.S[[#This Row],[NRap.TS]]="","Belum Terukur",IF(Mid.S[[#This Row],[NRap.TS]]&gt;=92,"A",IF(Mid.S[[#This Row],[NRap.TS]]&gt;=83,"B",IF(Mid.S[[#This Row],[NRap.TS]]&gt;=75,"C","D"))))</f>
        <v>Belum Terukur</v>
      </c>
    </row>
    <row r="8" spans="1:25" ht="50.1" customHeight="1" x14ac:dyDescent="0.3">
      <c r="A8" s="69">
        <f>IF('NS (Mid.S)'!A7=0,"",'NS (Mid.S)'!A7)</f>
        <v>5</v>
      </c>
      <c r="B8" s="70" t="str">
        <f>IF('NS (Mid.S)'!B7=0,"",'NS (Mid.S)'!B7)</f>
        <v/>
      </c>
      <c r="C8" s="69" t="str">
        <f>IF('NS (Mid.S)'!C7=0,"",'NS (Mid.S)'!C7)</f>
        <v/>
      </c>
      <c r="D8" s="69" t="str">
        <f>IF('NS (Mid.S)'!D7=0,"",'NS (Mid.S)'!D7)</f>
        <v/>
      </c>
      <c r="E8" s="69" t="str">
        <f>IF('NS (Mid.S)'!E7=0,"",'NS (Mid.S)'!E7)</f>
        <v/>
      </c>
      <c r="F8" s="15"/>
      <c r="G8" s="15"/>
      <c r="H8" s="15"/>
      <c r="I8" s="15"/>
      <c r="J8" s="15"/>
      <c r="K8" s="15"/>
      <c r="L8" s="15"/>
      <c r="M8" s="15"/>
      <c r="N8" s="15"/>
      <c r="O8" s="15"/>
      <c r="P8" s="16"/>
      <c r="Q8" s="16"/>
      <c r="R8" s="16"/>
      <c r="S8" s="9">
        <f>IFERROR(ROUND((Mid.S[[#This Row],[Paper 1]]/$P$2*100)*$S$2,0),"")</f>
        <v>0</v>
      </c>
      <c r="T8" s="9"/>
      <c r="U8" s="9"/>
      <c r="V8" s="8" t="str">
        <f>IFERROR(ROUND(AVERAGE(Mid.S[[#This Row],[NP 1]:[NP 10]]),0),"")</f>
        <v/>
      </c>
      <c r="W8" s="9" t="str">
        <f>IFERROR(IF(SUM(Mid.S[[#This Row],[Nilai P1]:[Nilai P3]])=0,"",SUM(Mid.S[[#This Row],[Nilai P1]:[Nilai P3]])),"")</f>
        <v/>
      </c>
      <c r="X8" s="14" t="str">
        <f>IFERROR(ROUND(((Mid.S[[#This Row],[NTS]]*2)+(Mid.S[[#This Row],[Rata2 NP]]*3))/5,0),"")</f>
        <v/>
      </c>
      <c r="Y8" s="11" t="str">
        <f>IF(Mid.S[[#This Row],[NRap.TS]]="","Belum Terukur",IF(Mid.S[[#This Row],[NRap.TS]]&gt;=92,"A",IF(Mid.S[[#This Row],[NRap.TS]]&gt;=83,"B",IF(Mid.S[[#This Row],[NRap.TS]]&gt;=75,"C","D"))))</f>
        <v>Belum Terukur</v>
      </c>
    </row>
    <row r="9" spans="1:25" ht="50.1" customHeight="1" x14ac:dyDescent="0.3">
      <c r="A9" s="69">
        <f>IF('NS (Mid.S)'!A8=0,"",'NS (Mid.S)'!A8)</f>
        <v>6</v>
      </c>
      <c r="B9" s="70" t="str">
        <f>IF('NS (Mid.S)'!B8=0,"",'NS (Mid.S)'!B8)</f>
        <v/>
      </c>
      <c r="C9" s="69" t="str">
        <f>IF('NS (Mid.S)'!C8=0,"",'NS (Mid.S)'!C8)</f>
        <v/>
      </c>
      <c r="D9" s="69" t="str">
        <f>IF('NS (Mid.S)'!D8=0,"",'NS (Mid.S)'!D8)</f>
        <v/>
      </c>
      <c r="E9" s="69" t="str">
        <f>IF('NS (Mid.S)'!E8=0,"",'NS (Mid.S)'!E8)</f>
        <v/>
      </c>
      <c r="F9" s="15"/>
      <c r="G9" s="15"/>
      <c r="H9" s="15"/>
      <c r="I9" s="15"/>
      <c r="J9" s="15"/>
      <c r="K9" s="15"/>
      <c r="L9" s="15"/>
      <c r="M9" s="15"/>
      <c r="N9" s="15"/>
      <c r="O9" s="15"/>
      <c r="P9" s="16"/>
      <c r="Q9" s="16"/>
      <c r="R9" s="16"/>
      <c r="S9" s="9">
        <f>IFERROR(ROUND((Mid.S[[#This Row],[Paper 1]]/$P$2*100)*$S$2,0),"")</f>
        <v>0</v>
      </c>
      <c r="T9" s="9"/>
      <c r="U9" s="9"/>
      <c r="V9" s="8" t="str">
        <f>IFERROR(ROUND(AVERAGE(Mid.S[[#This Row],[NP 1]:[NP 10]]),0),"")</f>
        <v/>
      </c>
      <c r="W9" s="9" t="str">
        <f>IFERROR(IF(SUM(Mid.S[[#This Row],[Nilai P1]:[Nilai P3]])=0,"",SUM(Mid.S[[#This Row],[Nilai P1]:[Nilai P3]])),"")</f>
        <v/>
      </c>
      <c r="X9" s="14" t="str">
        <f>IFERROR(ROUND(((Mid.S[[#This Row],[NTS]]*2)+(Mid.S[[#This Row],[Rata2 NP]]*3))/5,0),"")</f>
        <v/>
      </c>
      <c r="Y9" s="11" t="str">
        <f>IF(Mid.S[[#This Row],[NRap.TS]]="","Belum Terukur",IF(Mid.S[[#This Row],[NRap.TS]]&gt;=92,"A",IF(Mid.S[[#This Row],[NRap.TS]]&gt;=83,"B",IF(Mid.S[[#This Row],[NRap.TS]]&gt;=75,"C","D"))))</f>
        <v>Belum Terukur</v>
      </c>
    </row>
    <row r="10" spans="1:25" ht="50.1" customHeight="1" x14ac:dyDescent="0.3">
      <c r="A10" s="69">
        <f>IF('NS (Mid.S)'!A9=0,"",'NS (Mid.S)'!A9)</f>
        <v>7</v>
      </c>
      <c r="B10" s="70" t="str">
        <f>IF('NS (Mid.S)'!B9=0,"",'NS (Mid.S)'!B9)</f>
        <v/>
      </c>
      <c r="C10" s="69" t="str">
        <f>IF('NS (Mid.S)'!C9=0,"",'NS (Mid.S)'!C9)</f>
        <v/>
      </c>
      <c r="D10" s="69" t="str">
        <f>IF('NS (Mid.S)'!D9=0,"",'NS (Mid.S)'!D9)</f>
        <v/>
      </c>
      <c r="E10" s="69" t="str">
        <f>IF('NS (Mid.S)'!E9=0,"",'NS (Mid.S)'!E9)</f>
        <v/>
      </c>
      <c r="F10" s="15"/>
      <c r="G10" s="15"/>
      <c r="H10" s="15"/>
      <c r="I10" s="15"/>
      <c r="J10" s="15"/>
      <c r="K10" s="15"/>
      <c r="L10" s="15"/>
      <c r="M10" s="15"/>
      <c r="N10" s="15"/>
      <c r="O10" s="15"/>
      <c r="P10" s="16"/>
      <c r="Q10" s="16"/>
      <c r="R10" s="16"/>
      <c r="S10" s="9">
        <f>IFERROR(ROUND((Mid.S[[#This Row],[Paper 1]]/$P$2*100)*$S$2,0),"")</f>
        <v>0</v>
      </c>
      <c r="T10" s="9"/>
      <c r="U10" s="9"/>
      <c r="V10" s="8" t="str">
        <f>IFERROR(ROUND(AVERAGE(Mid.S[[#This Row],[NP 1]:[NP 10]]),0),"")</f>
        <v/>
      </c>
      <c r="W10" s="9" t="str">
        <f>IFERROR(IF(SUM(Mid.S[[#This Row],[Nilai P1]:[Nilai P3]])=0,"",SUM(Mid.S[[#This Row],[Nilai P1]:[Nilai P3]])),"")</f>
        <v/>
      </c>
      <c r="X10" s="14" t="str">
        <f>IFERROR(ROUND(((Mid.S[[#This Row],[NTS]]*2)+(Mid.S[[#This Row],[Rata2 NP]]*3))/5,0),"")</f>
        <v/>
      </c>
      <c r="Y10" s="11" t="str">
        <f>IF(Mid.S[[#This Row],[NRap.TS]]="","Belum Terukur",IF(Mid.S[[#This Row],[NRap.TS]]&gt;=92,"A",IF(Mid.S[[#This Row],[NRap.TS]]&gt;=83,"B",IF(Mid.S[[#This Row],[NRap.TS]]&gt;=75,"C","D"))))</f>
        <v>Belum Terukur</v>
      </c>
    </row>
    <row r="11" spans="1:25" ht="50.1" customHeight="1" x14ac:dyDescent="0.3">
      <c r="A11" s="69">
        <f>IF('NS (Mid.S)'!A10=0,"",'NS (Mid.S)'!A10)</f>
        <v>8</v>
      </c>
      <c r="B11" s="70" t="str">
        <f>IF('NS (Mid.S)'!B10=0,"",'NS (Mid.S)'!B10)</f>
        <v/>
      </c>
      <c r="C11" s="69" t="str">
        <f>IF('NS (Mid.S)'!C10=0,"",'NS (Mid.S)'!C10)</f>
        <v/>
      </c>
      <c r="D11" s="69" t="str">
        <f>IF('NS (Mid.S)'!D10=0,"",'NS (Mid.S)'!D10)</f>
        <v/>
      </c>
      <c r="E11" s="69" t="str">
        <f>IF('NS (Mid.S)'!E10=0,"",'NS (Mid.S)'!E10)</f>
        <v/>
      </c>
      <c r="F11" s="15"/>
      <c r="G11" s="15"/>
      <c r="H11" s="15"/>
      <c r="I11" s="15"/>
      <c r="J11" s="15"/>
      <c r="K11" s="15"/>
      <c r="L11" s="15"/>
      <c r="M11" s="15"/>
      <c r="N11" s="15"/>
      <c r="O11" s="15"/>
      <c r="P11" s="16"/>
      <c r="Q11" s="16"/>
      <c r="R11" s="16"/>
      <c r="S11" s="9">
        <f>IFERROR(ROUND((Mid.S[[#This Row],[Paper 1]]/$P$2*100)*$S$2,0),"")</f>
        <v>0</v>
      </c>
      <c r="T11" s="9"/>
      <c r="U11" s="9"/>
      <c r="V11" s="8" t="str">
        <f>IFERROR(ROUND(AVERAGE(Mid.S[[#This Row],[NP 1]:[NP 10]]),0),"")</f>
        <v/>
      </c>
      <c r="W11" s="9" t="str">
        <f>IFERROR(IF(SUM(Mid.S[[#This Row],[Nilai P1]:[Nilai P3]])=0,"",SUM(Mid.S[[#This Row],[Nilai P1]:[Nilai P3]])),"")</f>
        <v/>
      </c>
      <c r="X11" s="14" t="str">
        <f>IFERROR(ROUND(((Mid.S[[#This Row],[NTS]]*2)+(Mid.S[[#This Row],[Rata2 NP]]*3))/5,0),"")</f>
        <v/>
      </c>
      <c r="Y11" s="11" t="str">
        <f>IF(Mid.S[[#This Row],[NRap.TS]]="","Belum Terukur",IF(Mid.S[[#This Row],[NRap.TS]]&gt;=92,"A",IF(Mid.S[[#This Row],[NRap.TS]]&gt;=83,"B",IF(Mid.S[[#This Row],[NRap.TS]]&gt;=75,"C","D"))))</f>
        <v>Belum Terukur</v>
      </c>
    </row>
    <row r="12" spans="1:25" ht="50.1" customHeight="1" x14ac:dyDescent="0.3">
      <c r="A12" s="69">
        <f>IF('NS (Mid.S)'!A11=0,"",'NS (Mid.S)'!A11)</f>
        <v>9</v>
      </c>
      <c r="B12" s="70" t="str">
        <f>IF('NS (Mid.S)'!B11=0,"",'NS (Mid.S)'!B11)</f>
        <v/>
      </c>
      <c r="C12" s="69" t="str">
        <f>IF('NS (Mid.S)'!C11=0,"",'NS (Mid.S)'!C11)</f>
        <v/>
      </c>
      <c r="D12" s="69" t="str">
        <f>IF('NS (Mid.S)'!D11=0,"",'NS (Mid.S)'!D11)</f>
        <v/>
      </c>
      <c r="E12" s="69" t="str">
        <f>IF('NS (Mid.S)'!E11=0,"",'NS (Mid.S)'!E11)</f>
        <v/>
      </c>
      <c r="F12" s="15"/>
      <c r="G12" s="15"/>
      <c r="H12" s="15"/>
      <c r="I12" s="15"/>
      <c r="J12" s="15"/>
      <c r="K12" s="15"/>
      <c r="L12" s="15"/>
      <c r="M12" s="15"/>
      <c r="N12" s="15"/>
      <c r="O12" s="15"/>
      <c r="P12" s="16"/>
      <c r="Q12" s="16"/>
      <c r="R12" s="16"/>
      <c r="S12" s="9">
        <f>IFERROR(ROUND((Mid.S[[#This Row],[Paper 1]]/$P$2*100)*$S$2,0),"")</f>
        <v>0</v>
      </c>
      <c r="T12" s="9"/>
      <c r="U12" s="9"/>
      <c r="V12" s="8" t="str">
        <f>IFERROR(ROUND(AVERAGE(Mid.S[[#This Row],[NP 1]:[NP 10]]),0),"")</f>
        <v/>
      </c>
      <c r="W12" s="9" t="str">
        <f>IFERROR(IF(SUM(Mid.S[[#This Row],[Nilai P1]:[Nilai P3]])=0,"",SUM(Mid.S[[#This Row],[Nilai P1]:[Nilai P3]])),"")</f>
        <v/>
      </c>
      <c r="X12" s="14" t="str">
        <f>IFERROR(ROUND(((Mid.S[[#This Row],[NTS]]*2)+(Mid.S[[#This Row],[Rata2 NP]]*3))/5,0),"")</f>
        <v/>
      </c>
      <c r="Y12" s="11" t="str">
        <f>IF(Mid.S[[#This Row],[NRap.TS]]="","Belum Terukur",IF(Mid.S[[#This Row],[NRap.TS]]&gt;=92,"A",IF(Mid.S[[#This Row],[NRap.TS]]&gt;=83,"B",IF(Mid.S[[#This Row],[NRap.TS]]&gt;=75,"C","D"))))</f>
        <v>Belum Terukur</v>
      </c>
    </row>
    <row r="13" spans="1:25" ht="50.1" customHeight="1" x14ac:dyDescent="0.3">
      <c r="A13" s="69">
        <f>IF('NS (Mid.S)'!A12=0,"",'NS (Mid.S)'!A12)</f>
        <v>10</v>
      </c>
      <c r="B13" s="70" t="str">
        <f>IF('NS (Mid.S)'!B12=0,"",'NS (Mid.S)'!B12)</f>
        <v/>
      </c>
      <c r="C13" s="69" t="str">
        <f>IF('NS (Mid.S)'!C12=0,"",'NS (Mid.S)'!C12)</f>
        <v/>
      </c>
      <c r="D13" s="69" t="str">
        <f>IF('NS (Mid.S)'!D12=0,"",'NS (Mid.S)'!D12)</f>
        <v/>
      </c>
      <c r="E13" s="69" t="str">
        <f>IF('NS (Mid.S)'!E12=0,"",'NS (Mid.S)'!E12)</f>
        <v/>
      </c>
      <c r="F13" s="15"/>
      <c r="G13" s="15"/>
      <c r="H13" s="15"/>
      <c r="I13" s="15"/>
      <c r="J13" s="15"/>
      <c r="K13" s="15"/>
      <c r="L13" s="15"/>
      <c r="M13" s="15"/>
      <c r="N13" s="15"/>
      <c r="O13" s="15"/>
      <c r="P13" s="16"/>
      <c r="Q13" s="16"/>
      <c r="R13" s="16"/>
      <c r="S13" s="9">
        <f>IFERROR(ROUND((Mid.S[[#This Row],[Paper 1]]/$P$2*100)*$S$2,0),"")</f>
        <v>0</v>
      </c>
      <c r="T13" s="9"/>
      <c r="U13" s="9"/>
      <c r="V13" s="8" t="str">
        <f>IFERROR(ROUND(AVERAGE(Mid.S[[#This Row],[NP 1]:[NP 10]]),0),"")</f>
        <v/>
      </c>
      <c r="W13" s="9" t="str">
        <f>IFERROR(IF(SUM(Mid.S[[#This Row],[Nilai P1]:[Nilai P3]])=0,"",SUM(Mid.S[[#This Row],[Nilai P1]:[Nilai P3]])),"")</f>
        <v/>
      </c>
      <c r="X13" s="14" t="str">
        <f>IFERROR(ROUND(((Mid.S[[#This Row],[NTS]]*2)+(Mid.S[[#This Row],[Rata2 NP]]*3))/5,0),"")</f>
        <v/>
      </c>
      <c r="Y13" s="11" t="str">
        <f>IF(Mid.S[[#This Row],[NRap.TS]]="","Belum Terukur",IF(Mid.S[[#This Row],[NRap.TS]]&gt;=92,"A",IF(Mid.S[[#This Row],[NRap.TS]]&gt;=83,"B",IF(Mid.S[[#This Row],[NRap.TS]]&gt;=75,"C","D"))))</f>
        <v>Belum Terukur</v>
      </c>
    </row>
    <row r="14" spans="1:25" ht="50.1" customHeight="1" x14ac:dyDescent="0.3">
      <c r="A14" s="69" t="str">
        <f>IF('NS (Mid.S)'!A13=0,"",'NS (Mid.S)'!A13)</f>
        <v/>
      </c>
      <c r="B14" s="70" t="str">
        <f>IF('NS (Mid.S)'!B13=0,"",'NS (Mid.S)'!B13)</f>
        <v/>
      </c>
      <c r="C14" s="69" t="str">
        <f>IF('NS (Mid.S)'!C13=0,"",'NS (Mid.S)'!C13)</f>
        <v/>
      </c>
      <c r="D14" s="69" t="str">
        <f>IF('NS (Mid.S)'!D13=0,"",'NS (Mid.S)'!D13)</f>
        <v/>
      </c>
      <c r="E14" s="69" t="str">
        <f>IF('NS (Mid.S)'!E13=0,"",'NS (Mid.S)'!E13)</f>
        <v/>
      </c>
      <c r="F14" s="15"/>
      <c r="G14" s="15"/>
      <c r="H14" s="15"/>
      <c r="I14" s="15"/>
      <c r="J14" s="15"/>
      <c r="K14" s="15"/>
      <c r="L14" s="15"/>
      <c r="M14" s="15"/>
      <c r="N14" s="15"/>
      <c r="O14" s="15"/>
      <c r="P14" s="16"/>
      <c r="Q14" s="16"/>
      <c r="R14" s="16"/>
      <c r="S14" s="9">
        <f>IFERROR(ROUND((Mid.S[[#This Row],[Paper 1]]/$P$2*100)*$S$2,0),"")</f>
        <v>0</v>
      </c>
      <c r="T14" s="9"/>
      <c r="U14" s="9"/>
      <c r="V14" s="8" t="str">
        <f>IFERROR(ROUND(AVERAGE(Mid.S[[#This Row],[NP 1]:[NP 10]]),0),"")</f>
        <v/>
      </c>
      <c r="W14" s="9" t="str">
        <f>IFERROR(IF(SUM(Mid.S[[#This Row],[Nilai P1]:[Nilai P3]])=0,"",SUM(Mid.S[[#This Row],[Nilai P1]:[Nilai P3]])),"")</f>
        <v/>
      </c>
      <c r="X14" s="14" t="str">
        <f>IFERROR(ROUND(((Mid.S[[#This Row],[NTS]]*2)+(Mid.S[[#This Row],[Rata2 NP]]*3))/5,0),"")</f>
        <v/>
      </c>
      <c r="Y14" s="11" t="str">
        <f>IF(Mid.S[[#This Row],[NRap.TS]]="","Belum Terukur",IF(Mid.S[[#This Row],[NRap.TS]]&gt;=92,"A",IF(Mid.S[[#This Row],[NRap.TS]]&gt;=83,"B",IF(Mid.S[[#This Row],[NRap.TS]]&gt;=75,"C","D"))))</f>
        <v>Belum Terukur</v>
      </c>
    </row>
    <row r="15" spans="1:25" ht="50.1" customHeight="1" x14ac:dyDescent="0.3">
      <c r="A15" s="69" t="str">
        <f>IF('NS (Mid.S)'!A14=0,"",'NS (Mid.S)'!A14)</f>
        <v/>
      </c>
      <c r="B15" s="70" t="str">
        <f>IF('NS (Mid.S)'!B14=0,"",'NS (Mid.S)'!B14)</f>
        <v/>
      </c>
      <c r="C15" s="69" t="str">
        <f>IF('NS (Mid.S)'!C14=0,"",'NS (Mid.S)'!C14)</f>
        <v/>
      </c>
      <c r="D15" s="69" t="str">
        <f>IF('NS (Mid.S)'!D14=0,"",'NS (Mid.S)'!D14)</f>
        <v/>
      </c>
      <c r="E15" s="69" t="str">
        <f>IF('NS (Mid.S)'!E14=0,"",'NS (Mid.S)'!E14)</f>
        <v/>
      </c>
      <c r="F15" s="15"/>
      <c r="G15" s="15"/>
      <c r="H15" s="15"/>
      <c r="I15" s="15"/>
      <c r="J15" s="15"/>
      <c r="K15" s="15"/>
      <c r="L15" s="15"/>
      <c r="M15" s="15"/>
      <c r="N15" s="15"/>
      <c r="O15" s="15"/>
      <c r="P15" s="16"/>
      <c r="Q15" s="16"/>
      <c r="R15" s="16"/>
      <c r="S15" s="9">
        <f>IFERROR(ROUND((Mid.S[[#This Row],[Paper 1]]/$P$2*100)*$S$2,0),"")</f>
        <v>0</v>
      </c>
      <c r="T15" s="9"/>
      <c r="U15" s="9"/>
      <c r="V15" s="8" t="str">
        <f>IFERROR(ROUND(AVERAGE(Mid.S[[#This Row],[NP 1]:[NP 10]]),0),"")</f>
        <v/>
      </c>
      <c r="W15" s="9" t="str">
        <f>IFERROR(IF(SUM(Mid.S[[#This Row],[Nilai P1]:[Nilai P3]])=0,"",SUM(Mid.S[[#This Row],[Nilai P1]:[Nilai P3]])),"")</f>
        <v/>
      </c>
      <c r="X15" s="14" t="str">
        <f>IFERROR(ROUND(((Mid.S[[#This Row],[NTS]]*2)+(Mid.S[[#This Row],[Rata2 NP]]*3))/5,0),"")</f>
        <v/>
      </c>
      <c r="Y15" s="11" t="str">
        <f>IF(Mid.S[[#This Row],[NRap.TS]]="","Belum Terukur",IF(Mid.S[[#This Row],[NRap.TS]]&gt;=92,"A",IF(Mid.S[[#This Row],[NRap.TS]]&gt;=83,"B",IF(Mid.S[[#This Row],[NRap.TS]]&gt;=75,"C","D"))))</f>
        <v>Belum Terukur</v>
      </c>
    </row>
    <row r="16" spans="1:25" ht="50.1" customHeight="1" x14ac:dyDescent="0.3">
      <c r="A16" s="69" t="str">
        <f>IF('NS (Mid.S)'!A15=0,"",'NS (Mid.S)'!A15)</f>
        <v/>
      </c>
      <c r="B16" s="70" t="str">
        <f>IF('NS (Mid.S)'!B15=0,"",'NS (Mid.S)'!B15)</f>
        <v/>
      </c>
      <c r="C16" s="69" t="str">
        <f>IF('NS (Mid.S)'!C15=0,"",'NS (Mid.S)'!C15)</f>
        <v/>
      </c>
      <c r="D16" s="69" t="str">
        <f>IF('NS (Mid.S)'!D15=0,"",'NS (Mid.S)'!D15)</f>
        <v/>
      </c>
      <c r="E16" s="69" t="str">
        <f>IF('NS (Mid.S)'!E15=0,"",'NS (Mid.S)'!E15)</f>
        <v/>
      </c>
      <c r="F16" s="15"/>
      <c r="G16" s="15"/>
      <c r="H16" s="15"/>
      <c r="I16" s="15"/>
      <c r="J16" s="15"/>
      <c r="K16" s="15"/>
      <c r="L16" s="15"/>
      <c r="M16" s="15"/>
      <c r="N16" s="15"/>
      <c r="O16" s="15"/>
      <c r="P16" s="16"/>
      <c r="Q16" s="16"/>
      <c r="R16" s="16"/>
      <c r="S16" s="9">
        <f>IFERROR(ROUND((Mid.S[[#This Row],[Paper 1]]/$P$2*100)*$S$2,0),"")</f>
        <v>0</v>
      </c>
      <c r="T16" s="9"/>
      <c r="U16" s="9"/>
      <c r="V16" s="8" t="str">
        <f>IFERROR(ROUND(AVERAGE(Mid.S[[#This Row],[NP 1]:[NP 10]]),0),"")</f>
        <v/>
      </c>
      <c r="W16" s="9" t="str">
        <f>IFERROR(IF(SUM(Mid.S[[#This Row],[Nilai P1]:[Nilai P3]])=0,"",SUM(Mid.S[[#This Row],[Nilai P1]:[Nilai P3]])),"")</f>
        <v/>
      </c>
      <c r="X16" s="14" t="str">
        <f>IFERROR(ROUND(((Mid.S[[#This Row],[NTS]]*2)+(Mid.S[[#This Row],[Rata2 NP]]*3))/5,0),"")</f>
        <v/>
      </c>
      <c r="Y16" s="11" t="str">
        <f>IF(Mid.S[[#This Row],[NRap.TS]]="","Belum Terukur",IF(Mid.S[[#This Row],[NRap.TS]]&gt;=92,"A",IF(Mid.S[[#This Row],[NRap.TS]]&gt;=83,"B",IF(Mid.S[[#This Row],[NRap.TS]]&gt;=75,"C","D"))))</f>
        <v>Belum Terukur</v>
      </c>
    </row>
    <row r="17" spans="1:25" ht="50.1" customHeight="1" x14ac:dyDescent="0.3">
      <c r="A17" s="69" t="str">
        <f>IF('NS (Mid.S)'!A16=0,"",'NS (Mid.S)'!A16)</f>
        <v/>
      </c>
      <c r="B17" s="70" t="str">
        <f>IF('NS (Mid.S)'!B16=0,"",'NS (Mid.S)'!B16)</f>
        <v/>
      </c>
      <c r="C17" s="69" t="str">
        <f>IF('NS (Mid.S)'!C16=0,"",'NS (Mid.S)'!C16)</f>
        <v/>
      </c>
      <c r="D17" s="69" t="str">
        <f>IF('NS (Mid.S)'!D16=0,"",'NS (Mid.S)'!D16)</f>
        <v/>
      </c>
      <c r="E17" s="69" t="str">
        <f>IF('NS (Mid.S)'!E16=0,"",'NS (Mid.S)'!E16)</f>
        <v/>
      </c>
      <c r="F17" s="15"/>
      <c r="G17" s="15"/>
      <c r="H17" s="15"/>
      <c r="I17" s="15"/>
      <c r="J17" s="15"/>
      <c r="K17" s="15"/>
      <c r="L17" s="15"/>
      <c r="M17" s="15"/>
      <c r="N17" s="15"/>
      <c r="O17" s="15"/>
      <c r="P17" s="16"/>
      <c r="Q17" s="16"/>
      <c r="R17" s="16"/>
      <c r="S17" s="9">
        <f>IFERROR(ROUND((Mid.S[[#This Row],[Paper 1]]/$P$2*100)*$S$2,0),"")</f>
        <v>0</v>
      </c>
      <c r="T17" s="9"/>
      <c r="U17" s="9"/>
      <c r="V17" s="8" t="str">
        <f>IFERROR(ROUND(AVERAGE(Mid.S[[#This Row],[NP 1]:[NP 10]]),0),"")</f>
        <v/>
      </c>
      <c r="W17" s="9" t="str">
        <f>IFERROR(IF(SUM(Mid.S[[#This Row],[Nilai P1]:[Nilai P3]])=0,"",SUM(Mid.S[[#This Row],[Nilai P1]:[Nilai P3]])),"")</f>
        <v/>
      </c>
      <c r="X17" s="14" t="str">
        <f>IFERROR(ROUND(((Mid.S[[#This Row],[NTS]]*2)+(Mid.S[[#This Row],[Rata2 NP]]*3))/5,0),"")</f>
        <v/>
      </c>
      <c r="Y17" s="11" t="str">
        <f>IF(Mid.S[[#This Row],[NRap.TS]]="","Belum Terukur",IF(Mid.S[[#This Row],[NRap.TS]]&gt;=92,"A",IF(Mid.S[[#This Row],[NRap.TS]]&gt;=83,"B",IF(Mid.S[[#This Row],[NRap.TS]]&gt;=75,"C","D"))))</f>
        <v>Belum Terukur</v>
      </c>
    </row>
    <row r="18" spans="1:25" ht="50.1" customHeight="1" x14ac:dyDescent="0.3">
      <c r="A18" s="69" t="str">
        <f>IF('NS (Mid.S)'!A17=0,"",'NS (Mid.S)'!A17)</f>
        <v/>
      </c>
      <c r="B18" s="70" t="str">
        <f>IF('NS (Mid.S)'!B17=0,"",'NS (Mid.S)'!B17)</f>
        <v/>
      </c>
      <c r="C18" s="69" t="str">
        <f>IF('NS (Mid.S)'!C17=0,"",'NS (Mid.S)'!C17)</f>
        <v/>
      </c>
      <c r="D18" s="69" t="str">
        <f>IF('NS (Mid.S)'!D17=0,"",'NS (Mid.S)'!D17)</f>
        <v/>
      </c>
      <c r="E18" s="69" t="str">
        <f>IF('NS (Mid.S)'!E17=0,"",'NS (Mid.S)'!E17)</f>
        <v/>
      </c>
      <c r="F18" s="15"/>
      <c r="G18" s="15"/>
      <c r="H18" s="15"/>
      <c r="I18" s="15"/>
      <c r="J18" s="15"/>
      <c r="K18" s="15"/>
      <c r="L18" s="15"/>
      <c r="M18" s="15"/>
      <c r="N18" s="15"/>
      <c r="O18" s="15"/>
      <c r="P18" s="16"/>
      <c r="Q18" s="16"/>
      <c r="R18" s="16"/>
      <c r="S18" s="9">
        <f>IFERROR(ROUND((Mid.S[[#This Row],[Paper 1]]/$P$2*100)*$S$2,0),"")</f>
        <v>0</v>
      </c>
      <c r="T18" s="9"/>
      <c r="U18" s="9"/>
      <c r="V18" s="8" t="str">
        <f>IFERROR(ROUND(AVERAGE(Mid.S[[#This Row],[NP 1]:[NP 10]]),0),"")</f>
        <v/>
      </c>
      <c r="W18" s="9" t="str">
        <f>IFERROR(IF(SUM(Mid.S[[#This Row],[Nilai P1]:[Nilai P3]])=0,"",SUM(Mid.S[[#This Row],[Nilai P1]:[Nilai P3]])),"")</f>
        <v/>
      </c>
      <c r="X18" s="14" t="str">
        <f>IFERROR(ROUND(((Mid.S[[#This Row],[NTS]]*2)+(Mid.S[[#This Row],[Rata2 NP]]*3))/5,0),"")</f>
        <v/>
      </c>
      <c r="Y18" s="11" t="str">
        <f>IF(Mid.S[[#This Row],[NRap.TS]]="","Belum Terukur",IF(Mid.S[[#This Row],[NRap.TS]]&gt;=92,"A",IF(Mid.S[[#This Row],[NRap.TS]]&gt;=83,"B",IF(Mid.S[[#This Row],[NRap.TS]]&gt;=75,"C","D"))))</f>
        <v>Belum Terukur</v>
      </c>
    </row>
    <row r="19" spans="1:25" ht="50.1" customHeight="1" x14ac:dyDescent="0.3">
      <c r="A19" s="69" t="str">
        <f>IF('NS (Mid.S)'!A18=0,"",'NS (Mid.S)'!A18)</f>
        <v/>
      </c>
      <c r="B19" s="70" t="str">
        <f>IF('NS (Mid.S)'!B18=0,"",'NS (Mid.S)'!B18)</f>
        <v/>
      </c>
      <c r="C19" s="69" t="str">
        <f>IF('NS (Mid.S)'!C18=0,"",'NS (Mid.S)'!C18)</f>
        <v/>
      </c>
      <c r="D19" s="69" t="str">
        <f>IF('NS (Mid.S)'!D18=0,"",'NS (Mid.S)'!D18)</f>
        <v/>
      </c>
      <c r="E19" s="69" t="str">
        <f>IF('NS (Mid.S)'!E18=0,"",'NS (Mid.S)'!E18)</f>
        <v/>
      </c>
      <c r="F19" s="15"/>
      <c r="G19" s="15"/>
      <c r="H19" s="15"/>
      <c r="I19" s="15"/>
      <c r="J19" s="15"/>
      <c r="K19" s="15"/>
      <c r="L19" s="15"/>
      <c r="M19" s="15"/>
      <c r="N19" s="15"/>
      <c r="O19" s="15"/>
      <c r="P19" s="16"/>
      <c r="Q19" s="16"/>
      <c r="R19" s="16"/>
      <c r="S19" s="9">
        <f>IFERROR(ROUND((Mid.S[[#This Row],[Paper 1]]/$P$2*100)*$S$2,0),"")</f>
        <v>0</v>
      </c>
      <c r="T19" s="9"/>
      <c r="U19" s="9"/>
      <c r="V19" s="8" t="str">
        <f>IFERROR(ROUND(AVERAGE(Mid.S[[#This Row],[NP 1]:[NP 10]]),0),"")</f>
        <v/>
      </c>
      <c r="W19" s="9" t="str">
        <f>IFERROR(IF(SUM(Mid.S[[#This Row],[Nilai P1]:[Nilai P3]])=0,"",SUM(Mid.S[[#This Row],[Nilai P1]:[Nilai P3]])),"")</f>
        <v/>
      </c>
      <c r="X19" s="14" t="str">
        <f>IFERROR(ROUND(((Mid.S[[#This Row],[NTS]]*2)+(Mid.S[[#This Row],[Rata2 NP]]*3))/5,0),"")</f>
        <v/>
      </c>
      <c r="Y19" s="11" t="str">
        <f>IF(Mid.S[[#This Row],[NRap.TS]]="","Belum Terukur",IF(Mid.S[[#This Row],[NRap.TS]]&gt;=92,"A",IF(Mid.S[[#This Row],[NRap.TS]]&gt;=83,"B",IF(Mid.S[[#This Row],[NRap.TS]]&gt;=75,"C","D"))))</f>
        <v>Belum Terukur</v>
      </c>
    </row>
    <row r="20" spans="1:25" ht="50.1" customHeight="1" x14ac:dyDescent="0.3">
      <c r="A20" s="69" t="str">
        <f>IF('NS (Mid.S)'!A19=0,"",'NS (Mid.S)'!A19)</f>
        <v/>
      </c>
      <c r="B20" s="70" t="str">
        <f>IF('NS (Mid.S)'!B19=0,"",'NS (Mid.S)'!B19)</f>
        <v/>
      </c>
      <c r="C20" s="69" t="str">
        <f>IF('NS (Mid.S)'!C19=0,"",'NS (Mid.S)'!C19)</f>
        <v/>
      </c>
      <c r="D20" s="69" t="str">
        <f>IF('NS (Mid.S)'!D19=0,"",'NS (Mid.S)'!D19)</f>
        <v/>
      </c>
      <c r="E20" s="69" t="str">
        <f>IF('NS (Mid.S)'!E19=0,"",'NS (Mid.S)'!E19)</f>
        <v/>
      </c>
      <c r="F20" s="15"/>
      <c r="G20" s="15"/>
      <c r="H20" s="15"/>
      <c r="I20" s="15"/>
      <c r="J20" s="15"/>
      <c r="K20" s="15"/>
      <c r="L20" s="15"/>
      <c r="M20" s="15"/>
      <c r="N20" s="15"/>
      <c r="O20" s="15"/>
      <c r="P20" s="16"/>
      <c r="Q20" s="16"/>
      <c r="R20" s="16"/>
      <c r="S20" s="9">
        <f>IFERROR(ROUND((Mid.S[[#This Row],[Paper 1]]/$P$2*100)*$S$2,0),"")</f>
        <v>0</v>
      </c>
      <c r="T20" s="9"/>
      <c r="U20" s="9"/>
      <c r="V20" s="8" t="str">
        <f>IFERROR(ROUND(AVERAGE(Mid.S[[#This Row],[NP 1]:[NP 10]]),0),"")</f>
        <v/>
      </c>
      <c r="W20" s="9" t="str">
        <f>IFERROR(IF(SUM(Mid.S[[#This Row],[Nilai P1]:[Nilai P3]])=0,"",SUM(Mid.S[[#This Row],[Nilai P1]:[Nilai P3]])),"")</f>
        <v/>
      </c>
      <c r="X20" s="14" t="str">
        <f>IFERROR(ROUND(((Mid.S[[#This Row],[NTS]]*2)+(Mid.S[[#This Row],[Rata2 NP]]*3))/5,0),"")</f>
        <v/>
      </c>
      <c r="Y20" s="11" t="str">
        <f>IF(Mid.S[[#This Row],[NRap.TS]]="","Belum Terukur",IF(Mid.S[[#This Row],[NRap.TS]]&gt;=92,"A",IF(Mid.S[[#This Row],[NRap.TS]]&gt;=83,"B",IF(Mid.S[[#This Row],[NRap.TS]]&gt;=75,"C","D"))))</f>
        <v>Belum Terukur</v>
      </c>
    </row>
    <row r="21" spans="1:25" ht="50.1" customHeight="1" x14ac:dyDescent="0.3">
      <c r="A21" s="69" t="str">
        <f>IF('NS (Mid.S)'!A20=0,"",'NS (Mid.S)'!A20)</f>
        <v/>
      </c>
      <c r="B21" s="70" t="str">
        <f>IF('NS (Mid.S)'!B20=0,"",'NS (Mid.S)'!B20)</f>
        <v/>
      </c>
      <c r="C21" s="69" t="str">
        <f>IF('NS (Mid.S)'!C20=0,"",'NS (Mid.S)'!C20)</f>
        <v/>
      </c>
      <c r="D21" s="69" t="str">
        <f>IF('NS (Mid.S)'!D20=0,"",'NS (Mid.S)'!D20)</f>
        <v/>
      </c>
      <c r="E21" s="69" t="str">
        <f>IF('NS (Mid.S)'!E20=0,"",'NS (Mid.S)'!E20)</f>
        <v/>
      </c>
      <c r="F21" s="15"/>
      <c r="G21" s="15"/>
      <c r="H21" s="15"/>
      <c r="I21" s="15"/>
      <c r="J21" s="15"/>
      <c r="K21" s="15"/>
      <c r="L21" s="15"/>
      <c r="M21" s="15"/>
      <c r="N21" s="15"/>
      <c r="O21" s="15"/>
      <c r="P21" s="16"/>
      <c r="Q21" s="16"/>
      <c r="R21" s="16"/>
      <c r="S21" s="9">
        <f>IFERROR(ROUND((Mid.S[[#This Row],[Paper 1]]/$P$2*100)*$S$2,0),"")</f>
        <v>0</v>
      </c>
      <c r="T21" s="9"/>
      <c r="U21" s="9"/>
      <c r="V21" s="8" t="str">
        <f>IFERROR(ROUND(AVERAGE(Mid.S[[#This Row],[NP 1]:[NP 10]]),0),"")</f>
        <v/>
      </c>
      <c r="W21" s="9" t="str">
        <f>IFERROR(IF(SUM(Mid.S[[#This Row],[Nilai P1]:[Nilai P3]])=0,"",SUM(Mid.S[[#This Row],[Nilai P1]:[Nilai P3]])),"")</f>
        <v/>
      </c>
      <c r="X21" s="14" t="str">
        <f>IFERROR(ROUND(((Mid.S[[#This Row],[NTS]]*2)+(Mid.S[[#This Row],[Rata2 NP]]*3))/5,0),"")</f>
        <v/>
      </c>
      <c r="Y21" s="11" t="str">
        <f>IF(Mid.S[[#This Row],[NRap.TS]]="","Belum Terukur",IF(Mid.S[[#This Row],[NRap.TS]]&gt;=92,"A",IF(Mid.S[[#This Row],[NRap.TS]]&gt;=83,"B",IF(Mid.S[[#This Row],[NRap.TS]]&gt;=75,"C","D"))))</f>
        <v>Belum Terukur</v>
      </c>
    </row>
    <row r="22" spans="1:25" ht="50.1" customHeight="1" x14ac:dyDescent="0.3">
      <c r="A22" s="69" t="str">
        <f>IF('NS (Mid.S)'!A21=0,"",'NS (Mid.S)'!A21)</f>
        <v/>
      </c>
      <c r="B22" s="70" t="str">
        <f>IF('NS (Mid.S)'!B21=0,"",'NS (Mid.S)'!B21)</f>
        <v/>
      </c>
      <c r="C22" s="69" t="str">
        <f>IF('NS (Mid.S)'!C21=0,"",'NS (Mid.S)'!C21)</f>
        <v/>
      </c>
      <c r="D22" s="69" t="str">
        <f>IF('NS (Mid.S)'!D21=0,"",'NS (Mid.S)'!D21)</f>
        <v/>
      </c>
      <c r="E22" s="69" t="str">
        <f>IF('NS (Mid.S)'!E21=0,"",'NS (Mid.S)'!E21)</f>
        <v/>
      </c>
      <c r="F22" s="15"/>
      <c r="G22" s="15"/>
      <c r="H22" s="15"/>
      <c r="I22" s="15"/>
      <c r="J22" s="15"/>
      <c r="K22" s="15"/>
      <c r="L22" s="15"/>
      <c r="M22" s="15"/>
      <c r="N22" s="15"/>
      <c r="O22" s="15"/>
      <c r="P22" s="16"/>
      <c r="Q22" s="16"/>
      <c r="R22" s="16"/>
      <c r="S22" s="9">
        <f>IFERROR(ROUND((Mid.S[[#This Row],[Paper 1]]/$P$2*100)*$S$2,0),"")</f>
        <v>0</v>
      </c>
      <c r="T22" s="9"/>
      <c r="U22" s="9"/>
      <c r="V22" s="8" t="str">
        <f>IFERROR(ROUND(AVERAGE(Mid.S[[#This Row],[NP 1]:[NP 10]]),0),"")</f>
        <v/>
      </c>
      <c r="W22" s="9" t="str">
        <f>IFERROR(IF(SUM(Mid.S[[#This Row],[Nilai P1]:[Nilai P3]])=0,"",SUM(Mid.S[[#This Row],[Nilai P1]:[Nilai P3]])),"")</f>
        <v/>
      </c>
      <c r="X22" s="14" t="str">
        <f>IFERROR(ROUND(((Mid.S[[#This Row],[NTS]]*2)+(Mid.S[[#This Row],[Rata2 NP]]*3))/5,0),"")</f>
        <v/>
      </c>
      <c r="Y22" s="11" t="str">
        <f>IF(Mid.S[[#This Row],[NRap.TS]]="","Belum Terukur",IF(Mid.S[[#This Row],[NRap.TS]]&gt;=92,"A",IF(Mid.S[[#This Row],[NRap.TS]]&gt;=83,"B",IF(Mid.S[[#This Row],[NRap.TS]]&gt;=75,"C","D"))))</f>
        <v>Belum Terukur</v>
      </c>
    </row>
    <row r="23" spans="1:25" ht="50.1" customHeight="1" x14ac:dyDescent="0.3">
      <c r="A23" s="69" t="str">
        <f>IF('NS (Mid.S)'!A22=0,"",'NS (Mid.S)'!A22)</f>
        <v/>
      </c>
      <c r="B23" s="70" t="str">
        <f>IF('NS (Mid.S)'!B22=0,"",'NS (Mid.S)'!B22)</f>
        <v/>
      </c>
      <c r="C23" s="69" t="str">
        <f>IF('NS (Mid.S)'!C22=0,"",'NS (Mid.S)'!C22)</f>
        <v/>
      </c>
      <c r="D23" s="69" t="str">
        <f>IF('NS (Mid.S)'!D22=0,"",'NS (Mid.S)'!D22)</f>
        <v/>
      </c>
      <c r="E23" s="69" t="str">
        <f>IF('NS (Mid.S)'!E22=0,"",'NS (Mid.S)'!E22)</f>
        <v/>
      </c>
      <c r="F23" s="15"/>
      <c r="G23" s="15"/>
      <c r="H23" s="15"/>
      <c r="I23" s="15"/>
      <c r="J23" s="15"/>
      <c r="K23" s="15"/>
      <c r="L23" s="15"/>
      <c r="M23" s="15"/>
      <c r="N23" s="15"/>
      <c r="O23" s="15"/>
      <c r="P23" s="16"/>
      <c r="Q23" s="16"/>
      <c r="R23" s="16"/>
      <c r="S23" s="9">
        <f>IFERROR(ROUND((Mid.S[[#This Row],[Paper 1]]/$P$2*100)*$S$2,0),"")</f>
        <v>0</v>
      </c>
      <c r="T23" s="9"/>
      <c r="U23" s="9"/>
      <c r="V23" s="8" t="str">
        <f>IFERROR(ROUND(AVERAGE(Mid.S[[#This Row],[NP 1]:[NP 10]]),0),"")</f>
        <v/>
      </c>
      <c r="W23" s="9" t="str">
        <f>IFERROR(IF(SUM(Mid.S[[#This Row],[Nilai P1]:[Nilai P3]])=0,"",SUM(Mid.S[[#This Row],[Nilai P1]:[Nilai P3]])),"")</f>
        <v/>
      </c>
      <c r="X23" s="14" t="str">
        <f>IFERROR(ROUND(((Mid.S[[#This Row],[NTS]]*2)+(Mid.S[[#This Row],[Rata2 NP]]*3))/5,0),"")</f>
        <v/>
      </c>
      <c r="Y23" s="11" t="str">
        <f>IF(Mid.S[[#This Row],[NRap.TS]]="","Belum Terukur",IF(Mid.S[[#This Row],[NRap.TS]]&gt;=92,"A",IF(Mid.S[[#This Row],[NRap.TS]]&gt;=83,"B",IF(Mid.S[[#This Row],[NRap.TS]]&gt;=75,"C","D"))))</f>
        <v>Belum Terukur</v>
      </c>
    </row>
    <row r="24" spans="1:25" ht="50.1" customHeight="1" x14ac:dyDescent="0.3">
      <c r="A24" s="69" t="str">
        <f>IF('NS (Mid.S)'!A23=0,"",'NS (Mid.S)'!A23)</f>
        <v/>
      </c>
      <c r="B24" s="70" t="str">
        <f>IF('NS (Mid.S)'!B23=0,"",'NS (Mid.S)'!B23)</f>
        <v/>
      </c>
      <c r="C24" s="69" t="str">
        <f>IF('NS (Mid.S)'!C23=0,"",'NS (Mid.S)'!C23)</f>
        <v/>
      </c>
      <c r="D24" s="69" t="str">
        <f>IF('NS (Mid.S)'!D23=0,"",'NS (Mid.S)'!D23)</f>
        <v/>
      </c>
      <c r="E24" s="69" t="str">
        <f>IF('NS (Mid.S)'!E23=0,"",'NS (Mid.S)'!E23)</f>
        <v/>
      </c>
      <c r="F24" s="15"/>
      <c r="G24" s="15"/>
      <c r="H24" s="15"/>
      <c r="I24" s="15"/>
      <c r="J24" s="15"/>
      <c r="K24" s="15"/>
      <c r="L24" s="15"/>
      <c r="M24" s="15"/>
      <c r="N24" s="15"/>
      <c r="O24" s="15"/>
      <c r="P24" s="16"/>
      <c r="Q24" s="16"/>
      <c r="R24" s="16"/>
      <c r="S24" s="9">
        <f>IFERROR(ROUND((Mid.S[[#This Row],[Paper 1]]/$P$2*100)*$S$2,0),"")</f>
        <v>0</v>
      </c>
      <c r="T24" s="9"/>
      <c r="U24" s="9"/>
      <c r="V24" s="8" t="str">
        <f>IFERROR(ROUND(AVERAGE(Mid.S[[#This Row],[NP 1]:[NP 10]]),0),"")</f>
        <v/>
      </c>
      <c r="W24" s="9" t="str">
        <f>IFERROR(IF(SUM(Mid.S[[#This Row],[Nilai P1]:[Nilai P3]])=0,"",SUM(Mid.S[[#This Row],[Nilai P1]:[Nilai P3]])),"")</f>
        <v/>
      </c>
      <c r="X24" s="14" t="str">
        <f>IFERROR(ROUND(((Mid.S[[#This Row],[NTS]]*2)+(Mid.S[[#This Row],[Rata2 NP]]*3))/5,0),"")</f>
        <v/>
      </c>
      <c r="Y24" s="11" t="str">
        <f>IF(Mid.S[[#This Row],[NRap.TS]]="","Belum Terukur",IF(Mid.S[[#This Row],[NRap.TS]]&gt;=92,"A",IF(Mid.S[[#This Row],[NRap.TS]]&gt;=83,"B",IF(Mid.S[[#This Row],[NRap.TS]]&gt;=75,"C","D"))))</f>
        <v>Belum Terukur</v>
      </c>
    </row>
    <row r="25" spans="1:25" ht="50.1" customHeight="1" x14ac:dyDescent="0.3">
      <c r="A25" s="69" t="str">
        <f>IF('NS (Mid.S)'!A24=0,"",'NS (Mid.S)'!A24)</f>
        <v/>
      </c>
      <c r="B25" s="70" t="str">
        <f>IF('NS (Mid.S)'!B24=0,"",'NS (Mid.S)'!B24)</f>
        <v/>
      </c>
      <c r="C25" s="69" t="str">
        <f>IF('NS (Mid.S)'!C24=0,"",'NS (Mid.S)'!C24)</f>
        <v/>
      </c>
      <c r="D25" s="69" t="str">
        <f>IF('NS (Mid.S)'!D24=0,"",'NS (Mid.S)'!D24)</f>
        <v/>
      </c>
      <c r="E25" s="69" t="str">
        <f>IF('NS (Mid.S)'!E24=0,"",'NS (Mid.S)'!E24)</f>
        <v/>
      </c>
      <c r="F25" s="15"/>
      <c r="G25" s="15"/>
      <c r="H25" s="15"/>
      <c r="I25" s="15"/>
      <c r="J25" s="15"/>
      <c r="K25" s="15"/>
      <c r="L25" s="15"/>
      <c r="M25" s="15"/>
      <c r="N25" s="15"/>
      <c r="O25" s="15"/>
      <c r="P25" s="16"/>
      <c r="Q25" s="16"/>
      <c r="R25" s="16"/>
      <c r="S25" s="9">
        <f>IFERROR(ROUND((Mid.S[[#This Row],[Paper 1]]/$P$2*100)*$S$2,0),"")</f>
        <v>0</v>
      </c>
      <c r="T25" s="9"/>
      <c r="U25" s="9"/>
      <c r="V25" s="8" t="str">
        <f>IFERROR(ROUND(AVERAGE(Mid.S[[#This Row],[NP 1]:[NP 10]]),0),"")</f>
        <v/>
      </c>
      <c r="W25" s="9" t="str">
        <f>IFERROR(IF(SUM(Mid.S[[#This Row],[Nilai P1]:[Nilai P3]])=0,"",SUM(Mid.S[[#This Row],[Nilai P1]:[Nilai P3]])),"")</f>
        <v/>
      </c>
      <c r="X25" s="14" t="str">
        <f>IFERROR(ROUND(((Mid.S[[#This Row],[NTS]]*2)+(Mid.S[[#This Row],[Rata2 NP]]*3))/5,0),"")</f>
        <v/>
      </c>
      <c r="Y25" s="11" t="str">
        <f>IF(Mid.S[[#This Row],[NRap.TS]]="","Belum Terukur",IF(Mid.S[[#This Row],[NRap.TS]]&gt;=92,"A",IF(Mid.S[[#This Row],[NRap.TS]]&gt;=83,"B",IF(Mid.S[[#This Row],[NRap.TS]]&gt;=75,"C","D"))))</f>
        <v>Belum Terukur</v>
      </c>
    </row>
    <row r="26" spans="1:25" ht="50.1" customHeight="1" x14ac:dyDescent="0.3">
      <c r="A26" s="69" t="str">
        <f>IF('NS (Mid.S)'!A25=0,"",'NS (Mid.S)'!A25)</f>
        <v/>
      </c>
      <c r="B26" s="70" t="str">
        <f>IF('NS (Mid.S)'!B25=0,"",'NS (Mid.S)'!B25)</f>
        <v/>
      </c>
      <c r="C26" s="69" t="str">
        <f>IF('NS (Mid.S)'!C25=0,"",'NS (Mid.S)'!C25)</f>
        <v/>
      </c>
      <c r="D26" s="69" t="str">
        <f>IF('NS (Mid.S)'!D25=0,"",'NS (Mid.S)'!D25)</f>
        <v/>
      </c>
      <c r="E26" s="69" t="str">
        <f>IF('NS (Mid.S)'!E25=0,"",'NS (Mid.S)'!E25)</f>
        <v/>
      </c>
      <c r="F26" s="15"/>
      <c r="G26" s="15"/>
      <c r="H26" s="15"/>
      <c r="I26" s="15"/>
      <c r="J26" s="15"/>
      <c r="K26" s="15"/>
      <c r="L26" s="15"/>
      <c r="M26" s="15"/>
      <c r="N26" s="15"/>
      <c r="O26" s="15"/>
      <c r="P26" s="16"/>
      <c r="Q26" s="16"/>
      <c r="R26" s="16"/>
      <c r="S26" s="9">
        <f>IFERROR(ROUND((Mid.S[[#This Row],[Paper 1]]/$P$2*100)*$S$2,0),"")</f>
        <v>0</v>
      </c>
      <c r="T26" s="9"/>
      <c r="U26" s="9"/>
      <c r="V26" s="8" t="str">
        <f>IFERROR(ROUND(AVERAGE(Mid.S[[#This Row],[NP 1]:[NP 10]]),0),"")</f>
        <v/>
      </c>
      <c r="W26" s="9" t="str">
        <f>IFERROR(IF(SUM(Mid.S[[#This Row],[Nilai P1]:[Nilai P3]])=0,"",SUM(Mid.S[[#This Row],[Nilai P1]:[Nilai P3]])),"")</f>
        <v/>
      </c>
      <c r="X26" s="14" t="str">
        <f>IFERROR(ROUND(((Mid.S[[#This Row],[NTS]]*2)+(Mid.S[[#This Row],[Rata2 NP]]*3))/5,0),"")</f>
        <v/>
      </c>
      <c r="Y26" s="11" t="str">
        <f>IF(Mid.S[[#This Row],[NRap.TS]]="","Belum Terukur",IF(Mid.S[[#This Row],[NRap.TS]]&gt;=92,"A",IF(Mid.S[[#This Row],[NRap.TS]]&gt;=83,"B",IF(Mid.S[[#This Row],[NRap.TS]]&gt;=75,"C","D"))))</f>
        <v>Belum Terukur</v>
      </c>
    </row>
    <row r="27" spans="1:25" ht="50.1" customHeight="1" x14ac:dyDescent="0.3">
      <c r="A27" s="69" t="str">
        <f>IF('NS (Mid.S)'!A26=0,"",'NS (Mid.S)'!A26)</f>
        <v/>
      </c>
      <c r="B27" s="70" t="str">
        <f>IF('NS (Mid.S)'!B26=0,"",'NS (Mid.S)'!B26)</f>
        <v/>
      </c>
      <c r="C27" s="69" t="str">
        <f>IF('NS (Mid.S)'!C26=0,"",'NS (Mid.S)'!C26)</f>
        <v/>
      </c>
      <c r="D27" s="69" t="str">
        <f>IF('NS (Mid.S)'!D26=0,"",'NS (Mid.S)'!D26)</f>
        <v/>
      </c>
      <c r="E27" s="69" t="str">
        <f>IF('NS (Mid.S)'!E26=0,"",'NS (Mid.S)'!E26)</f>
        <v/>
      </c>
      <c r="F27" s="15"/>
      <c r="G27" s="15"/>
      <c r="H27" s="15"/>
      <c r="I27" s="15"/>
      <c r="J27" s="15"/>
      <c r="K27" s="15"/>
      <c r="L27" s="15"/>
      <c r="M27" s="15"/>
      <c r="N27" s="15"/>
      <c r="O27" s="15"/>
      <c r="P27" s="16"/>
      <c r="Q27" s="16"/>
      <c r="R27" s="16"/>
      <c r="S27" s="9">
        <f>IFERROR(ROUND((Mid.S[[#This Row],[Paper 1]]/$P$2*100)*$S$2,0),"")</f>
        <v>0</v>
      </c>
      <c r="T27" s="9"/>
      <c r="U27" s="9"/>
      <c r="V27" s="8" t="str">
        <f>IFERROR(ROUND(AVERAGE(Mid.S[[#This Row],[NP 1]:[NP 10]]),0),"")</f>
        <v/>
      </c>
      <c r="W27" s="9" t="str">
        <f>IFERROR(IF(SUM(Mid.S[[#This Row],[Nilai P1]:[Nilai P3]])=0,"",SUM(Mid.S[[#This Row],[Nilai P1]:[Nilai P3]])),"")</f>
        <v/>
      </c>
      <c r="X27" s="14" t="str">
        <f>IFERROR(ROUND(((Mid.S[[#This Row],[NTS]]*2)+(Mid.S[[#This Row],[Rata2 NP]]*3))/5,0),"")</f>
        <v/>
      </c>
      <c r="Y27" s="11" t="str">
        <f>IF(Mid.S[[#This Row],[NRap.TS]]="","Belum Terukur",IF(Mid.S[[#This Row],[NRap.TS]]&gt;=92,"A",IF(Mid.S[[#This Row],[NRap.TS]]&gt;=83,"B",IF(Mid.S[[#This Row],[NRap.TS]]&gt;=75,"C","D"))))</f>
        <v>Belum Terukur</v>
      </c>
    </row>
    <row r="28" spans="1:25" ht="50.1" customHeight="1" x14ac:dyDescent="0.3">
      <c r="A28" s="69" t="str">
        <f>IF('NS (Mid.S)'!A27=0,"",'NS (Mid.S)'!A27)</f>
        <v/>
      </c>
      <c r="B28" s="70" t="str">
        <f>IF('NS (Mid.S)'!B27=0,"",'NS (Mid.S)'!B27)</f>
        <v/>
      </c>
      <c r="C28" s="69" t="str">
        <f>IF('NS (Mid.S)'!C27=0,"",'NS (Mid.S)'!C27)</f>
        <v/>
      </c>
      <c r="D28" s="69" t="str">
        <f>IF('NS (Mid.S)'!D27=0,"",'NS (Mid.S)'!D27)</f>
        <v/>
      </c>
      <c r="E28" s="69" t="str">
        <f>IF('NS (Mid.S)'!E27=0,"",'NS (Mid.S)'!E27)</f>
        <v/>
      </c>
      <c r="F28" s="15"/>
      <c r="G28" s="15"/>
      <c r="H28" s="15"/>
      <c r="I28" s="15"/>
      <c r="J28" s="15"/>
      <c r="K28" s="15"/>
      <c r="L28" s="15"/>
      <c r="M28" s="15"/>
      <c r="N28" s="15"/>
      <c r="O28" s="15"/>
      <c r="P28" s="16"/>
      <c r="Q28" s="16"/>
      <c r="R28" s="16"/>
      <c r="S28" s="9">
        <f>IFERROR(ROUND((Mid.S[[#This Row],[Paper 1]]/$P$2*100)*$S$2,0),"")</f>
        <v>0</v>
      </c>
      <c r="T28" s="9"/>
      <c r="U28" s="9"/>
      <c r="V28" s="8" t="str">
        <f>IFERROR(ROUND(AVERAGE(Mid.S[[#This Row],[NP 1]:[NP 10]]),0),"")</f>
        <v/>
      </c>
      <c r="W28" s="9" t="str">
        <f>IFERROR(IF(SUM(Mid.S[[#This Row],[Nilai P1]:[Nilai P3]])=0,"",SUM(Mid.S[[#This Row],[Nilai P1]:[Nilai P3]])),"")</f>
        <v/>
      </c>
      <c r="X28" s="14" t="str">
        <f>IFERROR(ROUND(((Mid.S[[#This Row],[NTS]]*2)+(Mid.S[[#This Row],[Rata2 NP]]*3))/5,0),"")</f>
        <v/>
      </c>
      <c r="Y28" s="11" t="str">
        <f>IF(Mid.S[[#This Row],[NRap.TS]]="","Belum Terukur",IF(Mid.S[[#This Row],[NRap.TS]]&gt;=92,"A",IF(Mid.S[[#This Row],[NRap.TS]]&gt;=83,"B",IF(Mid.S[[#This Row],[NRap.TS]]&gt;=75,"C","D"))))</f>
        <v>Belum Terukur</v>
      </c>
    </row>
  </sheetData>
  <sheetProtection selectLockedCells="1"/>
  <mergeCells count="3">
    <mergeCell ref="F2:O2"/>
    <mergeCell ref="P1:U1"/>
    <mergeCell ref="V2:Y2"/>
  </mergeCells>
  <phoneticPr fontId="5" type="noConversion"/>
  <conditionalFormatting sqref="A4:E28">
    <cfRule type="notContainsBlanks" dxfId="265" priority="1">
      <formula>LEN(TRIM(A4))&gt;0</formula>
    </cfRule>
  </conditionalFormatting>
  <conditionalFormatting sqref="F4:X28">
    <cfRule type="iconSet" priority="9">
      <iconSet>
        <cfvo type="percent" val="0"/>
        <cfvo type="num" val="50"/>
        <cfvo type="num" val="70"/>
      </iconSet>
    </cfRule>
  </conditionalFormatting>
  <dataValidations count="6">
    <dataValidation type="whole" operator="lessThanOrEqual" allowBlank="1" showInputMessage="1" showErrorMessage="1" sqref="P4:P28" xr:uid="{807F170B-5A46-4C0A-A5DE-E07384469500}">
      <formula1>$P$2</formula1>
    </dataValidation>
    <dataValidation type="whole" operator="lessThanOrEqual" allowBlank="1" showInputMessage="1" showErrorMessage="1" sqref="Q4:Q28" xr:uid="{7232C687-DF29-4279-AE6C-A932A40FC96C}">
      <formula1>$Q$2</formula1>
    </dataValidation>
    <dataValidation type="whole" operator="lessThanOrEqual" allowBlank="1" showInputMessage="1" showErrorMessage="1" sqref="R4:R28" xr:uid="{EC982F70-EE5E-43C9-A233-DD68C0C26D5F}">
      <formula1>$R$2</formula1>
    </dataValidation>
    <dataValidation allowBlank="1" showInputMessage="1" showErrorMessage="1" prompt="Rata-Rata Nilai Pengetahuan" sqref="V4:V28" xr:uid="{13BA572B-5EC2-41A7-B9AF-A2742B7CAD2A}"/>
    <dataValidation allowBlank="1" showInputMessage="1" showErrorMessage="1" prompt="Nilai Tengah Semester dari Ujian Paper 1, Paper 2, dan Paper 3" sqref="W4:W28" xr:uid="{B0D4A534-CE92-4820-A08C-40985C5702F6}"/>
    <dataValidation allowBlank="1" showInputMessage="1" showErrorMessage="1" prompt="Nilai Pengetahuan untuk Raport Tengah/Mid Semester" sqref="X4:Y28" xr:uid="{FD910673-6C7A-4095-9564-F4F7CB0B48F8}"/>
  </dataValidations>
  <pageMargins left="0.7" right="0.7" top="0.75" bottom="0.75" header="0.3" footer="0.3"/>
  <pageSetup orientation="portrait" horizontalDpi="360" verticalDpi="36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59605-61B9-40C6-937F-3187EEBB89C8}">
  <sheetPr>
    <tabColor theme="3" tint="0.39997558519241921"/>
  </sheetPr>
  <dimension ref="A1:Q27"/>
  <sheetViews>
    <sheetView showGridLines="0" topLeftCell="B6" zoomScale="85" zoomScaleNormal="85" workbookViewId="0">
      <selection activeCell="F3" sqref="F3:P12"/>
    </sheetView>
  </sheetViews>
  <sheetFormatPr defaultColWidth="9.109375" defaultRowHeight="14.4" x14ac:dyDescent="0.3"/>
  <cols>
    <col min="1" max="1" width="8.109375" style="3" bestFit="1" customWidth="1"/>
    <col min="2" max="2" width="50.6640625" style="3" customWidth="1"/>
    <col min="3" max="5" width="20.6640625" style="3" customWidth="1"/>
    <col min="6" max="14" width="9.5546875" style="3" bestFit="1" customWidth="1"/>
    <col min="15" max="15" width="10.5546875" style="3" bestFit="1" customWidth="1"/>
    <col min="16" max="17" width="17.44140625" style="3" customWidth="1"/>
    <col min="18" max="16384" width="9.109375" style="3"/>
  </cols>
  <sheetData>
    <row r="1" spans="1:17" x14ac:dyDescent="0.3">
      <c r="A1" s="79"/>
      <c r="B1" s="79"/>
      <c r="C1" s="79"/>
      <c r="D1" s="79"/>
      <c r="E1" s="79"/>
      <c r="F1" s="96" t="s">
        <v>126</v>
      </c>
      <c r="G1" s="96"/>
      <c r="H1" s="96"/>
      <c r="I1" s="96"/>
      <c r="J1" s="96"/>
      <c r="K1" s="96"/>
      <c r="L1" s="96"/>
      <c r="M1" s="96"/>
      <c r="N1" s="96"/>
      <c r="O1" s="96"/>
      <c r="P1" s="96" t="s">
        <v>105</v>
      </c>
      <c r="Q1" s="96"/>
    </row>
    <row r="2" spans="1:17" x14ac:dyDescent="0.3">
      <c r="A2" s="1" t="s">
        <v>31</v>
      </c>
      <c r="B2" s="2" t="s">
        <v>32</v>
      </c>
      <c r="C2" s="2" t="s">
        <v>33</v>
      </c>
      <c r="D2" s="2" t="s">
        <v>34</v>
      </c>
      <c r="E2" s="80" t="s">
        <v>35</v>
      </c>
      <c r="F2" s="4" t="s">
        <v>127</v>
      </c>
      <c r="G2" s="4" t="s">
        <v>128</v>
      </c>
      <c r="H2" s="4" t="s">
        <v>129</v>
      </c>
      <c r="I2" s="4" t="s">
        <v>130</v>
      </c>
      <c r="J2" s="4" t="s">
        <v>131</v>
      </c>
      <c r="K2" s="4" t="s">
        <v>132</v>
      </c>
      <c r="L2" s="4" t="s">
        <v>133</v>
      </c>
      <c r="M2" s="4" t="s">
        <v>134</v>
      </c>
      <c r="N2" s="4" t="s">
        <v>135</v>
      </c>
      <c r="O2" s="4" t="s">
        <v>136</v>
      </c>
      <c r="P2" s="42" t="s">
        <v>137</v>
      </c>
      <c r="Q2" s="7" t="s">
        <v>125</v>
      </c>
    </row>
    <row r="3" spans="1:17" ht="50.1" customHeight="1" x14ac:dyDescent="0.3">
      <c r="A3" s="69">
        <f>IF(NSi.TS[[#This Row],[No]]=0,"",NSi.TS[[#This Row],[No]])</f>
        <v>1</v>
      </c>
      <c r="B3" s="70" t="str">
        <f>IF(NSi.TS[[#This Row],[Nama Siswa]]=0,"",NSi.TS[[#This Row],[Nama Siswa]])</f>
        <v/>
      </c>
      <c r="C3" s="69" t="str">
        <f>IF(NSi.TS[[#This Row],[Nomor Induk]]=0,"",NSi.TS[[#This Row],[Nomor Induk]])</f>
        <v/>
      </c>
      <c r="D3" s="69" t="str">
        <f>IF(NSi.TS[[#This Row],[NISN]]=0,"",NSi.TS[[#This Row],[NISN]])</f>
        <v/>
      </c>
      <c r="E3" s="69" t="str">
        <f>IF(NSi.TS[[#This Row],[Jurusan]]=0,"",NSi.TS[[#This Row],[Jurusan]])</f>
        <v/>
      </c>
      <c r="F3" s="15"/>
      <c r="G3" s="15"/>
      <c r="H3" s="15"/>
      <c r="I3" s="15"/>
      <c r="J3" s="15"/>
      <c r="K3" s="15"/>
      <c r="L3" s="15"/>
      <c r="M3" s="15"/>
      <c r="N3" s="15"/>
      <c r="O3" s="15"/>
      <c r="P3" s="20"/>
      <c r="Q3" s="11" t="str">
        <f>IF(K.Mid.S[[#This Row],[Rata2 NK]]="","Belum Terukur",IF(K.Mid.S[[#This Row],[Rata2 NK]]&gt;=92,"A",IF(K.Mid.S[[#This Row],[Rata2 NK]]&gt;=83,"B",IF(K.Mid.S[[#This Row],[Rata2 NK]]&gt;=75,"C","D"))))</f>
        <v>Belum Terukur</v>
      </c>
    </row>
    <row r="4" spans="1:17" ht="50.1" customHeight="1" x14ac:dyDescent="0.3">
      <c r="A4" s="69">
        <f>IF(NSi.TS[[#This Row],[No]]=0,"",NSi.TS[[#This Row],[No]])</f>
        <v>2</v>
      </c>
      <c r="B4" s="70" t="str">
        <f>IF(NSi.TS[[#This Row],[Nama Siswa]]=0,"",NSi.TS[[#This Row],[Nama Siswa]])</f>
        <v/>
      </c>
      <c r="C4" s="69" t="str">
        <f>IF(NSi.TS[[#This Row],[Nomor Induk]]=0,"",NSi.TS[[#This Row],[Nomor Induk]])</f>
        <v/>
      </c>
      <c r="D4" s="69" t="str">
        <f>IF(NSi.TS[[#This Row],[NISN]]=0,"",NSi.TS[[#This Row],[NISN]])</f>
        <v/>
      </c>
      <c r="E4" s="69" t="str">
        <f>IF(NSi.TS[[#This Row],[Jurusan]]=0,"",NSi.TS[[#This Row],[Jurusan]])</f>
        <v/>
      </c>
      <c r="F4" s="15"/>
      <c r="G4" s="15"/>
      <c r="H4" s="15"/>
      <c r="I4" s="15"/>
      <c r="J4" s="15"/>
      <c r="K4" s="15"/>
      <c r="L4" s="15"/>
      <c r="M4" s="15"/>
      <c r="N4" s="15"/>
      <c r="O4" s="15"/>
      <c r="P4" s="20"/>
      <c r="Q4" s="11" t="str">
        <f>IF(K.Mid.S[[#This Row],[Rata2 NK]]="","Belum Terukur",IF(K.Mid.S[[#This Row],[Rata2 NK]]&gt;=92,"A",IF(K.Mid.S[[#This Row],[Rata2 NK]]&gt;=83,"B",IF(K.Mid.S[[#This Row],[Rata2 NK]]&gt;=75,"C","D"))))</f>
        <v>Belum Terukur</v>
      </c>
    </row>
    <row r="5" spans="1:17" ht="50.1" customHeight="1" x14ac:dyDescent="0.3">
      <c r="A5" s="69">
        <f>IF(NSi.TS[[#This Row],[No]]=0,"",NSi.TS[[#This Row],[No]])</f>
        <v>3</v>
      </c>
      <c r="B5" s="70" t="str">
        <f>IF(NSi.TS[[#This Row],[Nama Siswa]]=0,"",NSi.TS[[#This Row],[Nama Siswa]])</f>
        <v/>
      </c>
      <c r="C5" s="69" t="str">
        <f>IF(NSi.TS[[#This Row],[Nomor Induk]]=0,"",NSi.TS[[#This Row],[Nomor Induk]])</f>
        <v/>
      </c>
      <c r="D5" s="69" t="str">
        <f>IF(NSi.TS[[#This Row],[NISN]]=0,"",NSi.TS[[#This Row],[NISN]])</f>
        <v/>
      </c>
      <c r="E5" s="69" t="str">
        <f>IF(NSi.TS[[#This Row],[Jurusan]]=0,"",NSi.TS[[#This Row],[Jurusan]])</f>
        <v/>
      </c>
      <c r="F5" s="15"/>
      <c r="G5" s="15"/>
      <c r="H5" s="15"/>
      <c r="I5" s="15"/>
      <c r="J5" s="15"/>
      <c r="K5" s="15"/>
      <c r="L5" s="15"/>
      <c r="M5" s="15"/>
      <c r="N5" s="15"/>
      <c r="O5" s="15"/>
      <c r="P5" s="20"/>
      <c r="Q5" s="11" t="str">
        <f>IF(K.Mid.S[[#This Row],[Rata2 NK]]="","Belum Terukur",IF(K.Mid.S[[#This Row],[Rata2 NK]]&gt;=92,"A",IF(K.Mid.S[[#This Row],[Rata2 NK]]&gt;=83,"B",IF(K.Mid.S[[#This Row],[Rata2 NK]]&gt;=75,"C","D"))))</f>
        <v>Belum Terukur</v>
      </c>
    </row>
    <row r="6" spans="1:17" ht="50.1" customHeight="1" x14ac:dyDescent="0.3">
      <c r="A6" s="69">
        <f>IF(NSi.TS[[#This Row],[No]]=0,"",NSi.TS[[#This Row],[No]])</f>
        <v>4</v>
      </c>
      <c r="B6" s="70" t="str">
        <f>IF(NSi.TS[[#This Row],[Nama Siswa]]=0,"",NSi.TS[[#This Row],[Nama Siswa]])</f>
        <v/>
      </c>
      <c r="C6" s="69" t="str">
        <f>IF(NSi.TS[[#This Row],[Nomor Induk]]=0,"",NSi.TS[[#This Row],[Nomor Induk]])</f>
        <v/>
      </c>
      <c r="D6" s="69" t="str">
        <f>IF(NSi.TS[[#This Row],[NISN]]=0,"",NSi.TS[[#This Row],[NISN]])</f>
        <v/>
      </c>
      <c r="E6" s="69" t="str">
        <f>IF(NSi.TS[[#This Row],[Jurusan]]=0,"",NSi.TS[[#This Row],[Jurusan]])</f>
        <v/>
      </c>
      <c r="F6" s="15"/>
      <c r="G6" s="15"/>
      <c r="H6" s="15"/>
      <c r="I6" s="15"/>
      <c r="J6" s="15"/>
      <c r="K6" s="15"/>
      <c r="L6" s="15"/>
      <c r="M6" s="15"/>
      <c r="N6" s="15"/>
      <c r="O6" s="15"/>
      <c r="P6" s="20"/>
      <c r="Q6" s="11" t="str">
        <f>IF(K.Mid.S[[#This Row],[Rata2 NK]]="","Belum Terukur",IF(K.Mid.S[[#This Row],[Rata2 NK]]&gt;=92,"A",IF(K.Mid.S[[#This Row],[Rata2 NK]]&gt;=83,"B",IF(K.Mid.S[[#This Row],[Rata2 NK]]&gt;=75,"C","D"))))</f>
        <v>Belum Terukur</v>
      </c>
    </row>
    <row r="7" spans="1:17" ht="50.1" customHeight="1" x14ac:dyDescent="0.3">
      <c r="A7" s="69">
        <f>IF(NSi.TS[[#This Row],[No]]=0,"",NSi.TS[[#This Row],[No]])</f>
        <v>5</v>
      </c>
      <c r="B7" s="70" t="str">
        <f>IF(NSi.TS[[#This Row],[Nama Siswa]]=0,"",NSi.TS[[#This Row],[Nama Siswa]])</f>
        <v/>
      </c>
      <c r="C7" s="69" t="str">
        <f>IF(NSi.TS[[#This Row],[Nomor Induk]]=0,"",NSi.TS[[#This Row],[Nomor Induk]])</f>
        <v/>
      </c>
      <c r="D7" s="69" t="str">
        <f>IF(NSi.TS[[#This Row],[NISN]]=0,"",NSi.TS[[#This Row],[NISN]])</f>
        <v/>
      </c>
      <c r="E7" s="69" t="str">
        <f>IF(NSi.TS[[#This Row],[Jurusan]]=0,"",NSi.TS[[#This Row],[Jurusan]])</f>
        <v/>
      </c>
      <c r="F7" s="15"/>
      <c r="G7" s="15"/>
      <c r="H7" s="15"/>
      <c r="I7" s="15"/>
      <c r="J7" s="15"/>
      <c r="K7" s="15"/>
      <c r="L7" s="15"/>
      <c r="M7" s="15"/>
      <c r="N7" s="15"/>
      <c r="O7" s="15"/>
      <c r="P7" s="20"/>
      <c r="Q7" s="11" t="str">
        <f>IF(K.Mid.S[[#This Row],[Rata2 NK]]="","Belum Terukur",IF(K.Mid.S[[#This Row],[Rata2 NK]]&gt;=92,"A",IF(K.Mid.S[[#This Row],[Rata2 NK]]&gt;=83,"B",IF(K.Mid.S[[#This Row],[Rata2 NK]]&gt;=75,"C","D"))))</f>
        <v>Belum Terukur</v>
      </c>
    </row>
    <row r="8" spans="1:17" ht="50.1" customHeight="1" x14ac:dyDescent="0.3">
      <c r="A8" s="69">
        <f>IF(NSi.TS[[#This Row],[No]]=0,"",NSi.TS[[#This Row],[No]])</f>
        <v>6</v>
      </c>
      <c r="B8" s="70" t="str">
        <f>IF(NSi.TS[[#This Row],[Nama Siswa]]=0,"",NSi.TS[[#This Row],[Nama Siswa]])</f>
        <v/>
      </c>
      <c r="C8" s="69" t="str">
        <f>IF(NSi.TS[[#This Row],[Nomor Induk]]=0,"",NSi.TS[[#This Row],[Nomor Induk]])</f>
        <v/>
      </c>
      <c r="D8" s="69" t="str">
        <f>IF(NSi.TS[[#This Row],[NISN]]=0,"",NSi.TS[[#This Row],[NISN]])</f>
        <v/>
      </c>
      <c r="E8" s="69" t="str">
        <f>IF(NSi.TS[[#This Row],[Jurusan]]=0,"",NSi.TS[[#This Row],[Jurusan]])</f>
        <v/>
      </c>
      <c r="F8" s="15"/>
      <c r="G8" s="15"/>
      <c r="H8" s="15"/>
      <c r="I8" s="15"/>
      <c r="J8" s="15"/>
      <c r="K8" s="15"/>
      <c r="L8" s="15"/>
      <c r="M8" s="15"/>
      <c r="N8" s="15"/>
      <c r="O8" s="15"/>
      <c r="P8" s="20"/>
      <c r="Q8" s="11" t="str">
        <f>IF(K.Mid.S[[#This Row],[Rata2 NK]]="","Belum Terukur",IF(K.Mid.S[[#This Row],[Rata2 NK]]&gt;=92,"A",IF(K.Mid.S[[#This Row],[Rata2 NK]]&gt;=83,"B",IF(K.Mid.S[[#This Row],[Rata2 NK]]&gt;=75,"C","D"))))</f>
        <v>Belum Terukur</v>
      </c>
    </row>
    <row r="9" spans="1:17" ht="50.1" customHeight="1" x14ac:dyDescent="0.3">
      <c r="A9" s="69">
        <f>IF(NSi.TS[[#This Row],[No]]=0,"",NSi.TS[[#This Row],[No]])</f>
        <v>7</v>
      </c>
      <c r="B9" s="70" t="str">
        <f>IF(NSi.TS[[#This Row],[Nama Siswa]]=0,"",NSi.TS[[#This Row],[Nama Siswa]])</f>
        <v/>
      </c>
      <c r="C9" s="69" t="str">
        <f>IF(NSi.TS[[#This Row],[Nomor Induk]]=0,"",NSi.TS[[#This Row],[Nomor Induk]])</f>
        <v/>
      </c>
      <c r="D9" s="69" t="str">
        <f>IF(NSi.TS[[#This Row],[NISN]]=0,"",NSi.TS[[#This Row],[NISN]])</f>
        <v/>
      </c>
      <c r="E9" s="69" t="str">
        <f>IF(NSi.TS[[#This Row],[Jurusan]]=0,"",NSi.TS[[#This Row],[Jurusan]])</f>
        <v/>
      </c>
      <c r="F9" s="15"/>
      <c r="G9" s="15"/>
      <c r="H9" s="15"/>
      <c r="I9" s="15"/>
      <c r="J9" s="15"/>
      <c r="K9" s="15"/>
      <c r="L9" s="15"/>
      <c r="M9" s="15"/>
      <c r="N9" s="15"/>
      <c r="O9" s="15"/>
      <c r="P9" s="20"/>
      <c r="Q9" s="11" t="str">
        <f>IF(K.Mid.S[[#This Row],[Rata2 NK]]="","Belum Terukur",IF(K.Mid.S[[#This Row],[Rata2 NK]]&gt;=92,"A",IF(K.Mid.S[[#This Row],[Rata2 NK]]&gt;=83,"B",IF(K.Mid.S[[#This Row],[Rata2 NK]]&gt;=75,"C","D"))))</f>
        <v>Belum Terukur</v>
      </c>
    </row>
    <row r="10" spans="1:17" ht="50.1" customHeight="1" x14ac:dyDescent="0.3">
      <c r="A10" s="69">
        <f>IF(NSi.TS[[#This Row],[No]]=0,"",NSi.TS[[#This Row],[No]])</f>
        <v>8</v>
      </c>
      <c r="B10" s="70" t="str">
        <f>IF(NSi.TS[[#This Row],[Nama Siswa]]=0,"",NSi.TS[[#This Row],[Nama Siswa]])</f>
        <v/>
      </c>
      <c r="C10" s="69" t="str">
        <f>IF(NSi.TS[[#This Row],[Nomor Induk]]=0,"",NSi.TS[[#This Row],[Nomor Induk]])</f>
        <v/>
      </c>
      <c r="D10" s="69" t="str">
        <f>IF(NSi.TS[[#This Row],[NISN]]=0,"",NSi.TS[[#This Row],[NISN]])</f>
        <v/>
      </c>
      <c r="E10" s="69" t="str">
        <f>IF(NSi.TS[[#This Row],[Jurusan]]=0,"",NSi.TS[[#This Row],[Jurusan]])</f>
        <v/>
      </c>
      <c r="F10" s="15"/>
      <c r="G10" s="15"/>
      <c r="H10" s="15"/>
      <c r="I10" s="15"/>
      <c r="J10" s="15"/>
      <c r="K10" s="15"/>
      <c r="L10" s="15"/>
      <c r="M10" s="15"/>
      <c r="N10" s="15"/>
      <c r="O10" s="15"/>
      <c r="P10" s="20"/>
      <c r="Q10" s="11" t="str">
        <f>IF(K.Mid.S[[#This Row],[Rata2 NK]]="","Belum Terukur",IF(K.Mid.S[[#This Row],[Rata2 NK]]&gt;=92,"A",IF(K.Mid.S[[#This Row],[Rata2 NK]]&gt;=83,"B",IF(K.Mid.S[[#This Row],[Rata2 NK]]&gt;=75,"C","D"))))</f>
        <v>Belum Terukur</v>
      </c>
    </row>
    <row r="11" spans="1:17" ht="50.1" customHeight="1" x14ac:dyDescent="0.3">
      <c r="A11" s="69">
        <f>IF(NSi.TS[[#This Row],[No]]=0,"",NSi.TS[[#This Row],[No]])</f>
        <v>9</v>
      </c>
      <c r="B11" s="70" t="str">
        <f>IF(NSi.TS[[#This Row],[Nama Siswa]]=0,"",NSi.TS[[#This Row],[Nama Siswa]])</f>
        <v/>
      </c>
      <c r="C11" s="69" t="str">
        <f>IF(NSi.TS[[#This Row],[Nomor Induk]]=0,"",NSi.TS[[#This Row],[Nomor Induk]])</f>
        <v/>
      </c>
      <c r="D11" s="69" t="str">
        <f>IF(NSi.TS[[#This Row],[NISN]]=0,"",NSi.TS[[#This Row],[NISN]])</f>
        <v/>
      </c>
      <c r="E11" s="69" t="str">
        <f>IF(NSi.TS[[#This Row],[Jurusan]]=0,"",NSi.TS[[#This Row],[Jurusan]])</f>
        <v/>
      </c>
      <c r="F11" s="15"/>
      <c r="G11" s="15"/>
      <c r="H11" s="15"/>
      <c r="I11" s="15"/>
      <c r="J11" s="15"/>
      <c r="K11" s="15"/>
      <c r="L11" s="15"/>
      <c r="M11" s="15"/>
      <c r="N11" s="15"/>
      <c r="O11" s="15"/>
      <c r="P11" s="20"/>
      <c r="Q11" s="11" t="str">
        <f>IF(K.Mid.S[[#This Row],[Rata2 NK]]="","Belum Terukur",IF(K.Mid.S[[#This Row],[Rata2 NK]]&gt;=92,"A",IF(K.Mid.S[[#This Row],[Rata2 NK]]&gt;=83,"B",IF(K.Mid.S[[#This Row],[Rata2 NK]]&gt;=75,"C","D"))))</f>
        <v>Belum Terukur</v>
      </c>
    </row>
    <row r="12" spans="1:17" ht="50.1" customHeight="1" x14ac:dyDescent="0.3">
      <c r="A12" s="69">
        <f>IF(NSi.TS[[#This Row],[No]]=0,"",NSi.TS[[#This Row],[No]])</f>
        <v>10</v>
      </c>
      <c r="B12" s="70" t="str">
        <f>IF(NSi.TS[[#This Row],[Nama Siswa]]=0,"",NSi.TS[[#This Row],[Nama Siswa]])</f>
        <v/>
      </c>
      <c r="C12" s="69" t="str">
        <f>IF(NSi.TS[[#This Row],[Nomor Induk]]=0,"",NSi.TS[[#This Row],[Nomor Induk]])</f>
        <v/>
      </c>
      <c r="D12" s="69" t="str">
        <f>IF(NSi.TS[[#This Row],[NISN]]=0,"",NSi.TS[[#This Row],[NISN]])</f>
        <v/>
      </c>
      <c r="E12" s="69" t="str">
        <f>IF(NSi.TS[[#This Row],[Jurusan]]=0,"",NSi.TS[[#This Row],[Jurusan]])</f>
        <v/>
      </c>
      <c r="F12" s="15"/>
      <c r="G12" s="15"/>
      <c r="H12" s="15"/>
      <c r="I12" s="15"/>
      <c r="J12" s="15"/>
      <c r="K12" s="15"/>
      <c r="L12" s="15"/>
      <c r="M12" s="15"/>
      <c r="N12" s="15"/>
      <c r="O12" s="15"/>
      <c r="P12" s="20"/>
      <c r="Q12" s="11" t="str">
        <f>IF(K.Mid.S[[#This Row],[Rata2 NK]]="","Belum Terukur",IF(K.Mid.S[[#This Row],[Rata2 NK]]&gt;=92,"A",IF(K.Mid.S[[#This Row],[Rata2 NK]]&gt;=83,"B",IF(K.Mid.S[[#This Row],[Rata2 NK]]&gt;=75,"C","D"))))</f>
        <v>Belum Terukur</v>
      </c>
    </row>
    <row r="13" spans="1:17" ht="50.1" customHeight="1" x14ac:dyDescent="0.3">
      <c r="A13" s="69" t="str">
        <f>IF(NSi.TS[[#This Row],[No]]=0,"",NSi.TS[[#This Row],[No]])</f>
        <v/>
      </c>
      <c r="B13" s="70" t="str">
        <f>IF(NSi.TS[[#This Row],[Nama Siswa]]=0,"",NSi.TS[[#This Row],[Nama Siswa]])</f>
        <v/>
      </c>
      <c r="C13" s="69" t="str">
        <f>IF(NSi.TS[[#This Row],[Nomor Induk]]=0,"",NSi.TS[[#This Row],[Nomor Induk]])</f>
        <v/>
      </c>
      <c r="D13" s="69" t="str">
        <f>IF(NSi.TS[[#This Row],[NISN]]=0,"",NSi.TS[[#This Row],[NISN]])</f>
        <v/>
      </c>
      <c r="E13" s="69" t="str">
        <f>IF(NSi.TS[[#This Row],[Jurusan]]=0,"",NSi.TS[[#This Row],[Jurusan]])</f>
        <v/>
      </c>
      <c r="F13" s="15"/>
      <c r="G13" s="15"/>
      <c r="H13" s="15"/>
      <c r="I13" s="15"/>
      <c r="J13" s="15"/>
      <c r="K13" s="15"/>
      <c r="L13" s="15"/>
      <c r="M13" s="15"/>
      <c r="N13" s="15"/>
      <c r="O13" s="15"/>
      <c r="P13" s="20" t="str">
        <f>IFERROR(ROUND(AVERAGE(K.Mid.S[[#This Row],[NK 1]:[NK 10]]),0),"")</f>
        <v/>
      </c>
      <c r="Q13" s="11" t="str">
        <f>IF(K.Mid.S[[#This Row],[Rata2 NK]]="","Belum Terukur",IF(K.Mid.S[[#This Row],[Rata2 NK]]&gt;=92,"A",IF(K.Mid.S[[#This Row],[Rata2 NK]]&gt;=83,"B",IF(K.Mid.S[[#This Row],[Rata2 NK]]&gt;=75,"C","D"))))</f>
        <v>Belum Terukur</v>
      </c>
    </row>
    <row r="14" spans="1:17" ht="50.1" customHeight="1" x14ac:dyDescent="0.3">
      <c r="A14" s="69" t="str">
        <f>IF(NSi.TS[[#This Row],[No]]=0,"",NSi.TS[[#This Row],[No]])</f>
        <v/>
      </c>
      <c r="B14" s="70" t="str">
        <f>IF(NSi.TS[[#This Row],[Nama Siswa]]=0,"",NSi.TS[[#This Row],[Nama Siswa]])</f>
        <v/>
      </c>
      <c r="C14" s="69" t="str">
        <f>IF(NSi.TS[[#This Row],[Nomor Induk]]=0,"",NSi.TS[[#This Row],[Nomor Induk]])</f>
        <v/>
      </c>
      <c r="D14" s="69" t="str">
        <f>IF(NSi.TS[[#This Row],[NISN]]=0,"",NSi.TS[[#This Row],[NISN]])</f>
        <v/>
      </c>
      <c r="E14" s="69" t="str">
        <f>IF(NSi.TS[[#This Row],[Jurusan]]=0,"",NSi.TS[[#This Row],[Jurusan]])</f>
        <v/>
      </c>
      <c r="F14" s="15"/>
      <c r="G14" s="15"/>
      <c r="H14" s="15"/>
      <c r="I14" s="15"/>
      <c r="J14" s="15"/>
      <c r="K14" s="15"/>
      <c r="L14" s="15"/>
      <c r="M14" s="15"/>
      <c r="N14" s="15"/>
      <c r="O14" s="15"/>
      <c r="P14" s="20" t="str">
        <f>IFERROR(ROUND(AVERAGE(K.Mid.S[[#This Row],[NK 1]:[NK 10]]),0),"")</f>
        <v/>
      </c>
      <c r="Q14" s="11" t="str">
        <f>IF(K.Mid.S[[#This Row],[Rata2 NK]]="","Belum Terukur",IF(K.Mid.S[[#This Row],[Rata2 NK]]&gt;=92,"A",IF(K.Mid.S[[#This Row],[Rata2 NK]]&gt;=83,"B",IF(K.Mid.S[[#This Row],[Rata2 NK]]&gt;=75,"C","D"))))</f>
        <v>Belum Terukur</v>
      </c>
    </row>
    <row r="15" spans="1:17" ht="50.1" customHeight="1" x14ac:dyDescent="0.3">
      <c r="A15" s="69" t="str">
        <f>IF(NSi.TS[[#This Row],[No]]=0,"",NSi.TS[[#This Row],[No]])</f>
        <v/>
      </c>
      <c r="B15" s="70" t="str">
        <f>IF(NSi.TS[[#This Row],[Nama Siswa]]=0,"",NSi.TS[[#This Row],[Nama Siswa]])</f>
        <v/>
      </c>
      <c r="C15" s="69" t="str">
        <f>IF(NSi.TS[[#This Row],[Nomor Induk]]=0,"",NSi.TS[[#This Row],[Nomor Induk]])</f>
        <v/>
      </c>
      <c r="D15" s="69" t="str">
        <f>IF(NSi.TS[[#This Row],[NISN]]=0,"",NSi.TS[[#This Row],[NISN]])</f>
        <v/>
      </c>
      <c r="E15" s="69" t="str">
        <f>IF(NSi.TS[[#This Row],[Jurusan]]=0,"",NSi.TS[[#This Row],[Jurusan]])</f>
        <v/>
      </c>
      <c r="F15" s="15"/>
      <c r="G15" s="15"/>
      <c r="H15" s="15"/>
      <c r="I15" s="15"/>
      <c r="J15" s="15"/>
      <c r="K15" s="15"/>
      <c r="L15" s="15"/>
      <c r="M15" s="15"/>
      <c r="N15" s="15"/>
      <c r="O15" s="15"/>
      <c r="P15" s="20" t="str">
        <f>IFERROR(ROUND(AVERAGE(K.Mid.S[[#This Row],[NK 1]:[NK 10]]),0),"")</f>
        <v/>
      </c>
      <c r="Q15" s="11" t="str">
        <f>IF(K.Mid.S[[#This Row],[Rata2 NK]]="","Belum Terukur",IF(K.Mid.S[[#This Row],[Rata2 NK]]&gt;=92,"A",IF(K.Mid.S[[#This Row],[Rata2 NK]]&gt;=83,"B",IF(K.Mid.S[[#This Row],[Rata2 NK]]&gt;=75,"C","D"))))</f>
        <v>Belum Terukur</v>
      </c>
    </row>
    <row r="16" spans="1:17" ht="50.1" customHeight="1" x14ac:dyDescent="0.3">
      <c r="A16" s="69" t="str">
        <f>IF(NSi.TS[[#This Row],[No]]=0,"",NSi.TS[[#This Row],[No]])</f>
        <v/>
      </c>
      <c r="B16" s="70" t="str">
        <f>IF(NSi.TS[[#This Row],[Nama Siswa]]=0,"",NSi.TS[[#This Row],[Nama Siswa]])</f>
        <v/>
      </c>
      <c r="C16" s="69" t="str">
        <f>IF(NSi.TS[[#This Row],[Nomor Induk]]=0,"",NSi.TS[[#This Row],[Nomor Induk]])</f>
        <v/>
      </c>
      <c r="D16" s="69" t="str">
        <f>IF(NSi.TS[[#This Row],[NISN]]=0,"",NSi.TS[[#This Row],[NISN]])</f>
        <v/>
      </c>
      <c r="E16" s="69" t="str">
        <f>IF(NSi.TS[[#This Row],[Jurusan]]=0,"",NSi.TS[[#This Row],[Jurusan]])</f>
        <v/>
      </c>
      <c r="F16" s="15"/>
      <c r="G16" s="15"/>
      <c r="H16" s="15"/>
      <c r="I16" s="15"/>
      <c r="J16" s="15"/>
      <c r="K16" s="15"/>
      <c r="L16" s="15"/>
      <c r="M16" s="15"/>
      <c r="N16" s="15"/>
      <c r="O16" s="15"/>
      <c r="P16" s="20" t="str">
        <f>IFERROR(ROUND(AVERAGE(K.Mid.S[[#This Row],[NK 1]:[NK 10]]),0),"")</f>
        <v/>
      </c>
      <c r="Q16" s="11" t="str">
        <f>IF(K.Mid.S[[#This Row],[Rata2 NK]]="","Belum Terukur",IF(K.Mid.S[[#This Row],[Rata2 NK]]&gt;=92,"A",IF(K.Mid.S[[#This Row],[Rata2 NK]]&gt;=83,"B",IF(K.Mid.S[[#This Row],[Rata2 NK]]&gt;=75,"C","D"))))</f>
        <v>Belum Terukur</v>
      </c>
    </row>
    <row r="17" spans="1:17" ht="50.1" customHeight="1" x14ac:dyDescent="0.3">
      <c r="A17" s="69" t="str">
        <f>IF(NSi.TS[[#This Row],[No]]=0,"",NSi.TS[[#This Row],[No]])</f>
        <v/>
      </c>
      <c r="B17" s="70" t="str">
        <f>IF(NSi.TS[[#This Row],[Nama Siswa]]=0,"",NSi.TS[[#This Row],[Nama Siswa]])</f>
        <v/>
      </c>
      <c r="C17" s="69" t="str">
        <f>IF(NSi.TS[[#This Row],[Nomor Induk]]=0,"",NSi.TS[[#This Row],[Nomor Induk]])</f>
        <v/>
      </c>
      <c r="D17" s="69" t="str">
        <f>IF(NSi.TS[[#This Row],[NISN]]=0,"",NSi.TS[[#This Row],[NISN]])</f>
        <v/>
      </c>
      <c r="E17" s="69" t="str">
        <f>IF(NSi.TS[[#This Row],[Jurusan]]=0,"",NSi.TS[[#This Row],[Jurusan]])</f>
        <v/>
      </c>
      <c r="F17" s="15"/>
      <c r="G17" s="15"/>
      <c r="H17" s="15"/>
      <c r="I17" s="15"/>
      <c r="J17" s="15"/>
      <c r="K17" s="15"/>
      <c r="L17" s="15"/>
      <c r="M17" s="15"/>
      <c r="N17" s="15"/>
      <c r="O17" s="15"/>
      <c r="P17" s="20" t="str">
        <f>IFERROR(ROUND(AVERAGE(K.Mid.S[[#This Row],[NK 1]:[NK 10]]),0),"")</f>
        <v/>
      </c>
      <c r="Q17" s="11" t="str">
        <f>IF(K.Mid.S[[#This Row],[Rata2 NK]]="","Belum Terukur",IF(K.Mid.S[[#This Row],[Rata2 NK]]&gt;=92,"A",IF(K.Mid.S[[#This Row],[Rata2 NK]]&gt;=83,"B",IF(K.Mid.S[[#This Row],[Rata2 NK]]&gt;=75,"C","D"))))</f>
        <v>Belum Terukur</v>
      </c>
    </row>
    <row r="18" spans="1:17" ht="50.1" customHeight="1" x14ac:dyDescent="0.3">
      <c r="A18" s="69" t="str">
        <f>IF(NSi.TS[[#This Row],[No]]=0,"",NSi.TS[[#This Row],[No]])</f>
        <v/>
      </c>
      <c r="B18" s="70" t="str">
        <f>IF(NSi.TS[[#This Row],[Nama Siswa]]=0,"",NSi.TS[[#This Row],[Nama Siswa]])</f>
        <v/>
      </c>
      <c r="C18" s="69" t="str">
        <f>IF(NSi.TS[[#This Row],[Nomor Induk]]=0,"",NSi.TS[[#This Row],[Nomor Induk]])</f>
        <v/>
      </c>
      <c r="D18" s="69" t="str">
        <f>IF(NSi.TS[[#This Row],[NISN]]=0,"",NSi.TS[[#This Row],[NISN]])</f>
        <v/>
      </c>
      <c r="E18" s="69" t="str">
        <f>IF(NSi.TS[[#This Row],[Jurusan]]=0,"",NSi.TS[[#This Row],[Jurusan]])</f>
        <v/>
      </c>
      <c r="F18" s="15"/>
      <c r="G18" s="15"/>
      <c r="H18" s="15"/>
      <c r="I18" s="15"/>
      <c r="J18" s="15"/>
      <c r="K18" s="15"/>
      <c r="L18" s="15"/>
      <c r="M18" s="15"/>
      <c r="N18" s="15"/>
      <c r="O18" s="15"/>
      <c r="P18" s="20" t="str">
        <f>IFERROR(ROUND(AVERAGE(K.Mid.S[[#This Row],[NK 1]:[NK 10]]),0),"")</f>
        <v/>
      </c>
      <c r="Q18" s="11" t="str">
        <f>IF(K.Mid.S[[#This Row],[Rata2 NK]]="","Belum Terukur",IF(K.Mid.S[[#This Row],[Rata2 NK]]&gt;=92,"A",IF(K.Mid.S[[#This Row],[Rata2 NK]]&gt;=83,"B",IF(K.Mid.S[[#This Row],[Rata2 NK]]&gt;=75,"C","D"))))</f>
        <v>Belum Terukur</v>
      </c>
    </row>
    <row r="19" spans="1:17" ht="50.1" customHeight="1" x14ac:dyDescent="0.3">
      <c r="A19" s="69" t="str">
        <f>IF(NSi.TS[[#This Row],[No]]=0,"",NSi.TS[[#This Row],[No]])</f>
        <v/>
      </c>
      <c r="B19" s="70" t="str">
        <f>IF(NSi.TS[[#This Row],[Nama Siswa]]=0,"",NSi.TS[[#This Row],[Nama Siswa]])</f>
        <v/>
      </c>
      <c r="C19" s="69" t="str">
        <f>IF(NSi.TS[[#This Row],[Nomor Induk]]=0,"",NSi.TS[[#This Row],[Nomor Induk]])</f>
        <v/>
      </c>
      <c r="D19" s="69" t="str">
        <f>IF(NSi.TS[[#This Row],[NISN]]=0,"",NSi.TS[[#This Row],[NISN]])</f>
        <v/>
      </c>
      <c r="E19" s="69" t="str">
        <f>IF(NSi.TS[[#This Row],[Jurusan]]=0,"",NSi.TS[[#This Row],[Jurusan]])</f>
        <v/>
      </c>
      <c r="F19" s="15"/>
      <c r="G19" s="15"/>
      <c r="H19" s="15"/>
      <c r="I19" s="15"/>
      <c r="J19" s="15"/>
      <c r="K19" s="15"/>
      <c r="L19" s="15"/>
      <c r="M19" s="15"/>
      <c r="N19" s="15"/>
      <c r="O19" s="15"/>
      <c r="P19" s="20" t="str">
        <f>IFERROR(ROUND(AVERAGE(K.Mid.S[[#This Row],[NK 1]:[NK 10]]),0),"")</f>
        <v/>
      </c>
      <c r="Q19" s="11" t="str">
        <f>IF(K.Mid.S[[#This Row],[Rata2 NK]]="","Belum Terukur",IF(K.Mid.S[[#This Row],[Rata2 NK]]&gt;=92,"A",IF(K.Mid.S[[#This Row],[Rata2 NK]]&gt;=83,"B",IF(K.Mid.S[[#This Row],[Rata2 NK]]&gt;=75,"C","D"))))</f>
        <v>Belum Terukur</v>
      </c>
    </row>
    <row r="20" spans="1:17" ht="50.1" customHeight="1" x14ac:dyDescent="0.3">
      <c r="A20" s="69" t="str">
        <f>IF(NSi.TS[[#This Row],[No]]=0,"",NSi.TS[[#This Row],[No]])</f>
        <v/>
      </c>
      <c r="B20" s="70" t="str">
        <f>IF(NSi.TS[[#This Row],[Nama Siswa]]=0,"",NSi.TS[[#This Row],[Nama Siswa]])</f>
        <v/>
      </c>
      <c r="C20" s="69" t="str">
        <f>IF(NSi.TS[[#This Row],[Nomor Induk]]=0,"",NSi.TS[[#This Row],[Nomor Induk]])</f>
        <v/>
      </c>
      <c r="D20" s="69" t="str">
        <f>IF(NSi.TS[[#This Row],[NISN]]=0,"",NSi.TS[[#This Row],[NISN]])</f>
        <v/>
      </c>
      <c r="E20" s="69" t="str">
        <f>IF(NSi.TS[[#This Row],[Jurusan]]=0,"",NSi.TS[[#This Row],[Jurusan]])</f>
        <v/>
      </c>
      <c r="F20" s="15"/>
      <c r="G20" s="15"/>
      <c r="H20" s="15"/>
      <c r="I20" s="15"/>
      <c r="J20" s="15"/>
      <c r="K20" s="15"/>
      <c r="L20" s="15"/>
      <c r="M20" s="15"/>
      <c r="N20" s="15"/>
      <c r="O20" s="15"/>
      <c r="P20" s="20" t="str">
        <f>IFERROR(ROUND(AVERAGE(K.Mid.S[[#This Row],[NK 1]:[NK 10]]),0),"")</f>
        <v/>
      </c>
      <c r="Q20" s="11" t="str">
        <f>IF(K.Mid.S[[#This Row],[Rata2 NK]]="","Belum Terukur",IF(K.Mid.S[[#This Row],[Rata2 NK]]&gt;=92,"A",IF(K.Mid.S[[#This Row],[Rata2 NK]]&gt;=83,"B",IF(K.Mid.S[[#This Row],[Rata2 NK]]&gt;=75,"C","D"))))</f>
        <v>Belum Terukur</v>
      </c>
    </row>
    <row r="21" spans="1:17" ht="50.1" customHeight="1" x14ac:dyDescent="0.3">
      <c r="A21" s="69" t="str">
        <f>IF(NSi.TS[[#This Row],[No]]=0,"",NSi.TS[[#This Row],[No]])</f>
        <v/>
      </c>
      <c r="B21" s="70" t="str">
        <f>IF(NSi.TS[[#This Row],[Nama Siswa]]=0,"",NSi.TS[[#This Row],[Nama Siswa]])</f>
        <v/>
      </c>
      <c r="C21" s="69" t="str">
        <f>IF(NSi.TS[[#This Row],[Nomor Induk]]=0,"",NSi.TS[[#This Row],[Nomor Induk]])</f>
        <v/>
      </c>
      <c r="D21" s="69" t="str">
        <f>IF(NSi.TS[[#This Row],[NISN]]=0,"",NSi.TS[[#This Row],[NISN]])</f>
        <v/>
      </c>
      <c r="E21" s="69" t="str">
        <f>IF(NSi.TS[[#This Row],[Jurusan]]=0,"",NSi.TS[[#This Row],[Jurusan]])</f>
        <v/>
      </c>
      <c r="F21" s="15"/>
      <c r="G21" s="15"/>
      <c r="H21" s="15"/>
      <c r="I21" s="15"/>
      <c r="J21" s="15"/>
      <c r="K21" s="15"/>
      <c r="L21" s="15"/>
      <c r="M21" s="15"/>
      <c r="N21" s="15"/>
      <c r="O21" s="15"/>
      <c r="P21" s="20" t="str">
        <f>IFERROR(ROUND(AVERAGE(K.Mid.S[[#This Row],[NK 1]:[NK 10]]),0),"")</f>
        <v/>
      </c>
      <c r="Q21" s="11" t="str">
        <f>IF(K.Mid.S[[#This Row],[Rata2 NK]]="","Belum Terukur",IF(K.Mid.S[[#This Row],[Rata2 NK]]&gt;=92,"A",IF(K.Mid.S[[#This Row],[Rata2 NK]]&gt;=83,"B",IF(K.Mid.S[[#This Row],[Rata2 NK]]&gt;=75,"C","D"))))</f>
        <v>Belum Terukur</v>
      </c>
    </row>
    <row r="22" spans="1:17" ht="50.1" customHeight="1" x14ac:dyDescent="0.3">
      <c r="A22" s="69" t="str">
        <f>IF(NSi.TS[[#This Row],[No]]=0,"",NSi.TS[[#This Row],[No]])</f>
        <v/>
      </c>
      <c r="B22" s="70" t="str">
        <f>IF(NSi.TS[[#This Row],[Nama Siswa]]=0,"",NSi.TS[[#This Row],[Nama Siswa]])</f>
        <v/>
      </c>
      <c r="C22" s="69" t="str">
        <f>IF(NSi.TS[[#This Row],[Nomor Induk]]=0,"",NSi.TS[[#This Row],[Nomor Induk]])</f>
        <v/>
      </c>
      <c r="D22" s="69" t="str">
        <f>IF(NSi.TS[[#This Row],[NISN]]=0,"",NSi.TS[[#This Row],[NISN]])</f>
        <v/>
      </c>
      <c r="E22" s="69" t="str">
        <f>IF(NSi.TS[[#This Row],[Jurusan]]=0,"",NSi.TS[[#This Row],[Jurusan]])</f>
        <v/>
      </c>
      <c r="F22" s="15"/>
      <c r="G22" s="15"/>
      <c r="H22" s="15"/>
      <c r="I22" s="15"/>
      <c r="J22" s="15"/>
      <c r="K22" s="15"/>
      <c r="L22" s="15"/>
      <c r="M22" s="15"/>
      <c r="N22" s="15"/>
      <c r="O22" s="15"/>
      <c r="P22" s="20" t="str">
        <f>IFERROR(ROUND(AVERAGE(K.Mid.S[[#This Row],[NK 1]:[NK 10]]),0),"")</f>
        <v/>
      </c>
      <c r="Q22" s="11" t="str">
        <f>IF(K.Mid.S[[#This Row],[Rata2 NK]]="","Belum Terukur",IF(K.Mid.S[[#This Row],[Rata2 NK]]&gt;=92,"A",IF(K.Mid.S[[#This Row],[Rata2 NK]]&gt;=83,"B",IF(K.Mid.S[[#This Row],[Rata2 NK]]&gt;=75,"C","D"))))</f>
        <v>Belum Terukur</v>
      </c>
    </row>
    <row r="23" spans="1:17" ht="50.1" customHeight="1" x14ac:dyDescent="0.3">
      <c r="A23" s="69" t="str">
        <f>IF(NSi.TS[[#This Row],[No]]=0,"",NSi.TS[[#This Row],[No]])</f>
        <v/>
      </c>
      <c r="B23" s="70" t="str">
        <f>IF(NSi.TS[[#This Row],[Nama Siswa]]=0,"",NSi.TS[[#This Row],[Nama Siswa]])</f>
        <v/>
      </c>
      <c r="C23" s="69" t="str">
        <f>IF(NSi.TS[[#This Row],[Nomor Induk]]=0,"",NSi.TS[[#This Row],[Nomor Induk]])</f>
        <v/>
      </c>
      <c r="D23" s="69" t="str">
        <f>IF(NSi.TS[[#This Row],[NISN]]=0,"",NSi.TS[[#This Row],[NISN]])</f>
        <v/>
      </c>
      <c r="E23" s="69" t="str">
        <f>IF(NSi.TS[[#This Row],[Jurusan]]=0,"",NSi.TS[[#This Row],[Jurusan]])</f>
        <v/>
      </c>
      <c r="F23" s="15"/>
      <c r="G23" s="15"/>
      <c r="H23" s="15"/>
      <c r="I23" s="15"/>
      <c r="J23" s="15"/>
      <c r="K23" s="15"/>
      <c r="L23" s="15"/>
      <c r="M23" s="15"/>
      <c r="N23" s="15"/>
      <c r="O23" s="15"/>
      <c r="P23" s="20" t="str">
        <f>IFERROR(ROUND(AVERAGE(K.Mid.S[[#This Row],[NK 1]:[NK 10]]),0),"")</f>
        <v/>
      </c>
      <c r="Q23" s="11" t="str">
        <f>IF(K.Mid.S[[#This Row],[Rata2 NK]]="","Belum Terukur",IF(K.Mid.S[[#This Row],[Rata2 NK]]&gt;=92,"A",IF(K.Mid.S[[#This Row],[Rata2 NK]]&gt;=83,"B",IF(K.Mid.S[[#This Row],[Rata2 NK]]&gt;=75,"C","D"))))</f>
        <v>Belum Terukur</v>
      </c>
    </row>
    <row r="24" spans="1:17" ht="50.1" customHeight="1" x14ac:dyDescent="0.3">
      <c r="A24" s="69" t="str">
        <f>IF(NSi.TS[[#This Row],[No]]=0,"",NSi.TS[[#This Row],[No]])</f>
        <v/>
      </c>
      <c r="B24" s="70" t="str">
        <f>IF(NSi.TS[[#This Row],[Nama Siswa]]=0,"",NSi.TS[[#This Row],[Nama Siswa]])</f>
        <v/>
      </c>
      <c r="C24" s="69" t="str">
        <f>IF(NSi.TS[[#This Row],[Nomor Induk]]=0,"",NSi.TS[[#This Row],[Nomor Induk]])</f>
        <v/>
      </c>
      <c r="D24" s="69" t="str">
        <f>IF(NSi.TS[[#This Row],[NISN]]=0,"",NSi.TS[[#This Row],[NISN]])</f>
        <v/>
      </c>
      <c r="E24" s="69" t="str">
        <f>IF(NSi.TS[[#This Row],[Jurusan]]=0,"",NSi.TS[[#This Row],[Jurusan]])</f>
        <v/>
      </c>
      <c r="F24" s="15"/>
      <c r="G24" s="15"/>
      <c r="H24" s="15"/>
      <c r="I24" s="15"/>
      <c r="J24" s="15"/>
      <c r="K24" s="15"/>
      <c r="L24" s="15"/>
      <c r="M24" s="15"/>
      <c r="N24" s="15"/>
      <c r="O24" s="15"/>
      <c r="P24" s="20" t="str">
        <f>IFERROR(ROUND(AVERAGE(K.Mid.S[[#This Row],[NK 1]:[NK 10]]),0),"")</f>
        <v/>
      </c>
      <c r="Q24" s="11" t="str">
        <f>IF(K.Mid.S[[#This Row],[Rata2 NK]]="","Belum Terukur",IF(K.Mid.S[[#This Row],[Rata2 NK]]&gt;=92,"A",IF(K.Mid.S[[#This Row],[Rata2 NK]]&gt;=83,"B",IF(K.Mid.S[[#This Row],[Rata2 NK]]&gt;=75,"C","D"))))</f>
        <v>Belum Terukur</v>
      </c>
    </row>
    <row r="25" spans="1:17" ht="50.1" customHeight="1" x14ac:dyDescent="0.3">
      <c r="A25" s="69" t="str">
        <f>IF(NSi.TS[[#This Row],[No]]=0,"",NSi.TS[[#This Row],[No]])</f>
        <v/>
      </c>
      <c r="B25" s="70" t="str">
        <f>IF(NSi.TS[[#This Row],[Nama Siswa]]=0,"",NSi.TS[[#This Row],[Nama Siswa]])</f>
        <v/>
      </c>
      <c r="C25" s="69" t="str">
        <f>IF(NSi.TS[[#This Row],[Nomor Induk]]=0,"",NSi.TS[[#This Row],[Nomor Induk]])</f>
        <v/>
      </c>
      <c r="D25" s="69" t="str">
        <f>IF(NSi.TS[[#This Row],[NISN]]=0,"",NSi.TS[[#This Row],[NISN]])</f>
        <v/>
      </c>
      <c r="E25" s="69" t="str">
        <f>IF(NSi.TS[[#This Row],[Jurusan]]=0,"",NSi.TS[[#This Row],[Jurusan]])</f>
        <v/>
      </c>
      <c r="F25" s="15"/>
      <c r="G25" s="15"/>
      <c r="H25" s="15"/>
      <c r="I25" s="15"/>
      <c r="J25" s="15"/>
      <c r="K25" s="15"/>
      <c r="L25" s="15"/>
      <c r="M25" s="15"/>
      <c r="N25" s="15"/>
      <c r="O25" s="15"/>
      <c r="P25" s="20" t="str">
        <f>IFERROR(ROUND(AVERAGE(K.Mid.S[[#This Row],[NK 1]:[NK 10]]),0),"")</f>
        <v/>
      </c>
      <c r="Q25" s="11" t="str">
        <f>IF(K.Mid.S[[#This Row],[Rata2 NK]]="","Belum Terukur",IF(K.Mid.S[[#This Row],[Rata2 NK]]&gt;=92,"A",IF(K.Mid.S[[#This Row],[Rata2 NK]]&gt;=83,"B",IF(K.Mid.S[[#This Row],[Rata2 NK]]&gt;=75,"C","D"))))</f>
        <v>Belum Terukur</v>
      </c>
    </row>
    <row r="26" spans="1:17" ht="50.1" customHeight="1" x14ac:dyDescent="0.3">
      <c r="A26" s="69" t="str">
        <f>IF(NSi.TS[[#This Row],[No]]=0,"",NSi.TS[[#This Row],[No]])</f>
        <v/>
      </c>
      <c r="B26" s="70" t="str">
        <f>IF(NSi.TS[[#This Row],[Nama Siswa]]=0,"",NSi.TS[[#This Row],[Nama Siswa]])</f>
        <v/>
      </c>
      <c r="C26" s="69" t="str">
        <f>IF(NSi.TS[[#This Row],[Nomor Induk]]=0,"",NSi.TS[[#This Row],[Nomor Induk]])</f>
        <v/>
      </c>
      <c r="D26" s="69" t="str">
        <f>IF(NSi.TS[[#This Row],[NISN]]=0,"",NSi.TS[[#This Row],[NISN]])</f>
        <v/>
      </c>
      <c r="E26" s="69" t="str">
        <f>IF(NSi.TS[[#This Row],[Jurusan]]=0,"",NSi.TS[[#This Row],[Jurusan]])</f>
        <v/>
      </c>
      <c r="F26" s="15"/>
      <c r="G26" s="15"/>
      <c r="H26" s="15"/>
      <c r="I26" s="15"/>
      <c r="J26" s="15"/>
      <c r="K26" s="15"/>
      <c r="L26" s="15"/>
      <c r="M26" s="15"/>
      <c r="N26" s="15"/>
      <c r="O26" s="15"/>
      <c r="P26" s="20" t="str">
        <f>IFERROR(ROUND(AVERAGE(K.Mid.S[[#This Row],[NK 1]:[NK 10]]),0),"")</f>
        <v/>
      </c>
      <c r="Q26" s="11" t="str">
        <f>IF(K.Mid.S[[#This Row],[Rata2 NK]]="","Belum Terukur",IF(K.Mid.S[[#This Row],[Rata2 NK]]&gt;=92,"A",IF(K.Mid.S[[#This Row],[Rata2 NK]]&gt;=83,"B",IF(K.Mid.S[[#This Row],[Rata2 NK]]&gt;=75,"C","D"))))</f>
        <v>Belum Terukur</v>
      </c>
    </row>
    <row r="27" spans="1:17" ht="50.1" customHeight="1" x14ac:dyDescent="0.3">
      <c r="A27" s="69" t="str">
        <f>IF(NSi.TS[[#This Row],[No]]=0,"",NSi.TS[[#This Row],[No]])</f>
        <v/>
      </c>
      <c r="B27" s="70" t="str">
        <f>IF(NSi.TS[[#This Row],[Nama Siswa]]=0,"",NSi.TS[[#This Row],[Nama Siswa]])</f>
        <v/>
      </c>
      <c r="C27" s="69" t="str">
        <f>IF(NSi.TS[[#This Row],[Nomor Induk]]=0,"",NSi.TS[[#This Row],[Nomor Induk]])</f>
        <v/>
      </c>
      <c r="D27" s="69" t="str">
        <f>IF(NSi.TS[[#This Row],[NISN]]=0,"",NSi.TS[[#This Row],[NISN]])</f>
        <v/>
      </c>
      <c r="E27" s="69" t="str">
        <f>IF(NSi.TS[[#This Row],[Jurusan]]=0,"",NSi.TS[[#This Row],[Jurusan]])</f>
        <v/>
      </c>
      <c r="F27" s="15"/>
      <c r="G27" s="15"/>
      <c r="H27" s="15"/>
      <c r="I27" s="15"/>
      <c r="J27" s="15"/>
      <c r="K27" s="15"/>
      <c r="L27" s="15"/>
      <c r="M27" s="15"/>
      <c r="N27" s="15"/>
      <c r="O27" s="15"/>
      <c r="P27" s="20" t="str">
        <f>IFERROR(ROUND(AVERAGE(K.Mid.S[[#This Row],[NK 1]:[NK 10]]),0),"")</f>
        <v/>
      </c>
      <c r="Q27" s="11" t="str">
        <f>IF(K.Mid.S[[#This Row],[Rata2 NK]]="","Belum Terukur",IF(K.Mid.S[[#This Row],[Rata2 NK]]&gt;=92,"A",IF(K.Mid.S[[#This Row],[Rata2 NK]]&gt;=83,"B",IF(K.Mid.S[[#This Row],[Rata2 NK]]&gt;=75,"C","D"))))</f>
        <v>Belum Terukur</v>
      </c>
    </row>
  </sheetData>
  <sheetProtection selectLockedCells="1"/>
  <mergeCells count="2">
    <mergeCell ref="F1:O1"/>
    <mergeCell ref="P1:Q1"/>
  </mergeCells>
  <phoneticPr fontId="5" type="noConversion"/>
  <conditionalFormatting sqref="A3:E27">
    <cfRule type="notContainsBlanks" dxfId="234" priority="1">
      <formula>LEN(TRIM(A3))&gt;0</formula>
    </cfRule>
  </conditionalFormatting>
  <conditionalFormatting sqref="F3:P27">
    <cfRule type="iconSet" priority="12">
      <iconSet>
        <cfvo type="percent" val="0"/>
        <cfvo type="num" val="50"/>
        <cfvo type="num" val="70"/>
      </iconSet>
    </cfRule>
  </conditionalFormatting>
  <dataValidations count="1">
    <dataValidation allowBlank="1" showInputMessage="1" showErrorMessage="1" prompt="Rata-Rata Nilai Tengah Semester untuk Nilai Keterampilan" sqref="P3:P27" xr:uid="{3071E602-D479-4E86-989E-3F081E27AB48}"/>
  </dataValidations>
  <pageMargins left="0.7" right="0.7" top="0.75" bottom="0.75" header="0.3" footer="0.3"/>
  <pageSetup orientation="portrait" horizontalDpi="360" verticalDpi="36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2AD3F-D37A-4D79-ACA0-EDD2BB332AE8}">
  <sheetPr>
    <tabColor theme="9" tint="0.39997558519241921"/>
  </sheetPr>
  <dimension ref="A1:DT27"/>
  <sheetViews>
    <sheetView showGridLines="0" zoomScale="70" zoomScaleNormal="70" workbookViewId="0">
      <selection activeCell="DV4" sqref="DV4"/>
    </sheetView>
  </sheetViews>
  <sheetFormatPr defaultColWidth="9.109375" defaultRowHeight="14.4" x14ac:dyDescent="0.3"/>
  <cols>
    <col min="1" max="1" width="9.109375" style="23"/>
    <col min="2" max="2" width="50.6640625" style="23" customWidth="1"/>
    <col min="3" max="5" width="20.6640625" style="23" customWidth="1"/>
    <col min="6" max="6" width="11" style="23" bestFit="1" customWidth="1"/>
    <col min="7" max="8" width="11" style="23" customWidth="1"/>
    <col min="9" max="9" width="9.6640625" style="23" bestFit="1" customWidth="1"/>
    <col min="10" max="10" width="8.88671875" style="23" bestFit="1" customWidth="1"/>
    <col min="11" max="11" width="10.109375" style="23" bestFit="1" customWidth="1"/>
    <col min="12" max="12" width="10.5546875" style="23" bestFit="1" customWidth="1"/>
    <col min="13" max="13" width="12.109375" style="23" bestFit="1" customWidth="1"/>
    <col min="14" max="14" width="9.6640625" style="23" bestFit="1" customWidth="1"/>
    <col min="15" max="15" width="8.88671875" style="23" bestFit="1" customWidth="1"/>
    <col min="16" max="16" width="10.109375" style="23" bestFit="1" customWidth="1"/>
    <col min="17" max="17" width="10.5546875" style="23" bestFit="1" customWidth="1"/>
    <col min="18" max="18" width="12.109375" style="23" bestFit="1" customWidth="1"/>
    <col min="19" max="19" width="9.6640625" style="23" bestFit="1" customWidth="1"/>
    <col min="20" max="20" width="8.88671875" style="23" bestFit="1" customWidth="1"/>
    <col min="21" max="21" width="10.109375" style="23" bestFit="1" customWidth="1"/>
    <col min="22" max="22" width="10.5546875" style="23" bestFit="1" customWidth="1"/>
    <col min="23" max="23" width="12.109375" style="23" bestFit="1" customWidth="1"/>
    <col min="24" max="24" width="9.6640625" style="23" bestFit="1" customWidth="1"/>
    <col min="25" max="25" width="8.88671875" style="23" bestFit="1" customWidth="1"/>
    <col min="26" max="26" width="10.109375" style="23" bestFit="1" customWidth="1"/>
    <col min="27" max="27" width="10.5546875" style="23" bestFit="1" customWidth="1"/>
    <col min="28" max="28" width="12.109375" style="23" bestFit="1" customWidth="1"/>
    <col min="29" max="29" width="9.6640625" style="23" bestFit="1" customWidth="1"/>
    <col min="30" max="30" width="8.88671875" style="23" bestFit="1" customWidth="1"/>
    <col min="31" max="31" width="10.109375" style="23" bestFit="1" customWidth="1"/>
    <col min="32" max="32" width="10.5546875" style="23" bestFit="1" customWidth="1"/>
    <col min="33" max="33" width="12.109375" style="23" bestFit="1" customWidth="1"/>
    <col min="34" max="34" width="9.6640625" style="23" bestFit="1" customWidth="1"/>
    <col min="35" max="35" width="8.88671875" style="23" bestFit="1" customWidth="1"/>
    <col min="36" max="36" width="10.109375" style="23" bestFit="1" customWidth="1"/>
    <col min="37" max="37" width="10.5546875" style="23" bestFit="1" customWidth="1"/>
    <col min="38" max="38" width="12.109375" style="23" bestFit="1" customWidth="1"/>
    <col min="39" max="39" width="9.6640625" style="23" bestFit="1" customWidth="1"/>
    <col min="40" max="40" width="8.88671875" style="23" bestFit="1" customWidth="1"/>
    <col min="41" max="41" width="10.109375" style="23" bestFit="1" customWidth="1"/>
    <col min="42" max="42" width="10.5546875" style="23" bestFit="1" customWidth="1"/>
    <col min="43" max="43" width="12.109375" style="23" bestFit="1" customWidth="1"/>
    <col min="44" max="44" width="9.6640625" style="23" bestFit="1" customWidth="1"/>
    <col min="45" max="45" width="8.88671875" style="23" bestFit="1" customWidth="1"/>
    <col min="46" max="46" width="10.109375" style="23" bestFit="1" customWidth="1"/>
    <col min="47" max="47" width="10.5546875" style="23" bestFit="1" customWidth="1"/>
    <col min="48" max="48" width="12.109375" style="23" bestFit="1" customWidth="1"/>
    <col min="49" max="49" width="9.6640625" style="23" bestFit="1" customWidth="1"/>
    <col min="50" max="50" width="8.88671875" style="23" bestFit="1" customWidth="1"/>
    <col min="51" max="51" width="10.109375" style="23" bestFit="1" customWidth="1"/>
    <col min="52" max="52" width="10.5546875" style="23" bestFit="1" customWidth="1"/>
    <col min="53" max="53" width="12.109375" style="23" bestFit="1" customWidth="1"/>
    <col min="54" max="54" width="9.109375" style="23"/>
    <col min="55" max="55" width="12.33203125" style="23" bestFit="1" customWidth="1"/>
    <col min="56" max="63" width="12.33203125" style="23" customWidth="1"/>
    <col min="64" max="64" width="9.109375" style="23"/>
    <col min="65" max="74" width="0" style="23" hidden="1" customWidth="1"/>
    <col min="75" max="75" width="16.5546875" style="23" hidden="1" customWidth="1"/>
    <col min="76" max="76" width="18.33203125" style="23" hidden="1" customWidth="1"/>
    <col min="77" max="77" width="12.88671875" style="23" hidden="1" customWidth="1"/>
    <col min="78" max="81" width="0" style="23" hidden="1" customWidth="1"/>
    <col min="82" max="82" width="9.33203125" style="23" hidden="1" customWidth="1"/>
    <col min="83" max="86" width="0" style="23" hidden="1" customWidth="1"/>
    <col min="87" max="87" width="9.33203125" style="23" hidden="1" customWidth="1"/>
    <col min="88" max="91" width="0" style="23" hidden="1" customWidth="1"/>
    <col min="92" max="92" width="9.33203125" style="23" hidden="1" customWidth="1"/>
    <col min="93" max="96" width="0" style="23" hidden="1" customWidth="1"/>
    <col min="97" max="97" width="9.33203125" style="23" hidden="1" customWidth="1"/>
    <col min="98" max="101" width="0" style="23" hidden="1" customWidth="1"/>
    <col min="102" max="102" width="9.33203125" style="23" hidden="1" customWidth="1"/>
    <col min="103" max="103" width="10.5546875" style="23" hidden="1" customWidth="1"/>
    <col min="104" max="104" width="9.6640625" style="23" hidden="1" customWidth="1"/>
    <col min="105" max="105" width="10.88671875" style="23" hidden="1" customWidth="1"/>
    <col min="106" max="106" width="11" style="23" hidden="1" customWidth="1"/>
    <col min="107" max="107" width="12.5546875" style="23" hidden="1" customWidth="1"/>
    <col min="108" max="111" width="0" style="23" hidden="1" customWidth="1"/>
    <col min="112" max="112" width="9.33203125" style="23" hidden="1" customWidth="1"/>
    <col min="113" max="116" width="0" style="23" hidden="1" customWidth="1"/>
    <col min="117" max="117" width="9.33203125" style="23" hidden="1" customWidth="1"/>
    <col min="118" max="121" width="0" style="23" hidden="1" customWidth="1"/>
    <col min="122" max="122" width="9.33203125" style="23" hidden="1" customWidth="1"/>
    <col min="123" max="123" width="0" style="23" hidden="1" customWidth="1"/>
    <col min="124" max="124" width="78" style="23" customWidth="1"/>
    <col min="125" max="125" width="11.33203125" style="23" bestFit="1" customWidth="1"/>
    <col min="126" max="126" width="13.33203125" style="23" bestFit="1" customWidth="1"/>
    <col min="127" max="16384" width="9.109375" style="23"/>
  </cols>
  <sheetData>
    <row r="1" spans="1:124" x14ac:dyDescent="0.3">
      <c r="A1" s="98" t="str">
        <f>IF('NS (Mid.S)'!A1:F1=0,"",'NS (Mid.S)'!A1:F1)</f>
        <v/>
      </c>
      <c r="B1" s="98"/>
      <c r="C1" s="98"/>
      <c r="D1" s="98"/>
      <c r="E1" s="98"/>
      <c r="F1" s="98"/>
      <c r="G1" s="98"/>
      <c r="H1" s="99"/>
      <c r="I1" s="71" t="s">
        <v>19</v>
      </c>
      <c r="J1" s="93"/>
      <c r="K1" s="93"/>
      <c r="L1" s="93"/>
      <c r="M1" s="93"/>
      <c r="N1" s="71" t="s">
        <v>20</v>
      </c>
      <c r="O1" s="93"/>
      <c r="P1" s="93"/>
      <c r="Q1" s="93"/>
      <c r="R1" s="93"/>
      <c r="S1" s="71" t="s">
        <v>21</v>
      </c>
      <c r="T1" s="93"/>
      <c r="U1" s="93"/>
      <c r="V1" s="93"/>
      <c r="W1" s="93"/>
      <c r="X1" s="71" t="s">
        <v>22</v>
      </c>
      <c r="Y1" s="93"/>
      <c r="Z1" s="93"/>
      <c r="AA1" s="93"/>
      <c r="AB1" s="93"/>
      <c r="AC1" s="71" t="s">
        <v>23</v>
      </c>
      <c r="AD1" s="93"/>
      <c r="AE1" s="93"/>
      <c r="AF1" s="93"/>
      <c r="AG1" s="93"/>
      <c r="AH1" s="71" t="s">
        <v>24</v>
      </c>
      <c r="AI1" s="93"/>
      <c r="AJ1" s="93"/>
      <c r="AK1" s="93"/>
      <c r="AL1" s="93"/>
      <c r="AM1" s="71" t="s">
        <v>25</v>
      </c>
      <c r="AN1" s="93"/>
      <c r="AO1" s="93"/>
      <c r="AP1" s="93"/>
      <c r="AQ1" s="93"/>
      <c r="AR1" s="71" t="s">
        <v>26</v>
      </c>
      <c r="AS1" s="93"/>
      <c r="AT1" s="93"/>
      <c r="AU1" s="93"/>
      <c r="AV1" s="93"/>
      <c r="AW1" s="71" t="s">
        <v>27</v>
      </c>
      <c r="AX1" s="93"/>
      <c r="AY1" s="93"/>
      <c r="AZ1" s="93"/>
      <c r="BA1" s="93"/>
      <c r="BC1" s="31" t="s">
        <v>28</v>
      </c>
      <c r="BM1" s="31" t="s">
        <v>29</v>
      </c>
      <c r="BW1" s="23" t="s">
        <v>30</v>
      </c>
      <c r="DT1" s="31" t="s">
        <v>138</v>
      </c>
    </row>
    <row r="2" spans="1:124" x14ac:dyDescent="0.3">
      <c r="A2" s="26" t="s">
        <v>31</v>
      </c>
      <c r="B2" s="27" t="s">
        <v>32</v>
      </c>
      <c r="C2" s="27" t="s">
        <v>33</v>
      </c>
      <c r="D2" s="27" t="s">
        <v>34</v>
      </c>
      <c r="E2" s="81" t="s">
        <v>35</v>
      </c>
      <c r="F2" s="40" t="s">
        <v>36</v>
      </c>
      <c r="G2" s="40" t="s">
        <v>139</v>
      </c>
      <c r="H2" s="40" t="s">
        <v>140</v>
      </c>
      <c r="I2" s="28" t="s">
        <v>37</v>
      </c>
      <c r="J2" s="29" t="s">
        <v>38</v>
      </c>
      <c r="K2" s="29" t="s">
        <v>39</v>
      </c>
      <c r="L2" s="29" t="s">
        <v>40</v>
      </c>
      <c r="M2" s="29" t="s">
        <v>41</v>
      </c>
      <c r="N2" s="28" t="s">
        <v>42</v>
      </c>
      <c r="O2" s="29" t="s">
        <v>43</v>
      </c>
      <c r="P2" s="29" t="s">
        <v>44</v>
      </c>
      <c r="Q2" s="29" t="s">
        <v>45</v>
      </c>
      <c r="R2" s="29" t="s">
        <v>46</v>
      </c>
      <c r="S2" s="28" t="s">
        <v>47</v>
      </c>
      <c r="T2" s="29" t="s">
        <v>48</v>
      </c>
      <c r="U2" s="29" t="s">
        <v>49</v>
      </c>
      <c r="V2" s="29" t="s">
        <v>50</v>
      </c>
      <c r="W2" s="29" t="s">
        <v>51</v>
      </c>
      <c r="X2" s="28" t="s">
        <v>52</v>
      </c>
      <c r="Y2" s="29" t="s">
        <v>53</v>
      </c>
      <c r="Z2" s="29" t="s">
        <v>54</v>
      </c>
      <c r="AA2" s="29" t="s">
        <v>55</v>
      </c>
      <c r="AB2" s="29" t="s">
        <v>56</v>
      </c>
      <c r="AC2" s="28" t="s">
        <v>57</v>
      </c>
      <c r="AD2" s="29" t="s">
        <v>58</v>
      </c>
      <c r="AE2" s="29" t="s">
        <v>59</v>
      </c>
      <c r="AF2" s="29" t="s">
        <v>60</v>
      </c>
      <c r="AG2" s="29" t="s">
        <v>61</v>
      </c>
      <c r="AH2" s="28" t="s">
        <v>62</v>
      </c>
      <c r="AI2" s="29" t="s">
        <v>63</v>
      </c>
      <c r="AJ2" s="29" t="s">
        <v>64</v>
      </c>
      <c r="AK2" s="29" t="s">
        <v>65</v>
      </c>
      <c r="AL2" s="29" t="s">
        <v>66</v>
      </c>
      <c r="AM2" s="28" t="s">
        <v>67</v>
      </c>
      <c r="AN2" s="29" t="s">
        <v>68</v>
      </c>
      <c r="AO2" s="29" t="s">
        <v>69</v>
      </c>
      <c r="AP2" s="29" t="s">
        <v>70</v>
      </c>
      <c r="AQ2" s="29" t="s">
        <v>71</v>
      </c>
      <c r="AR2" s="28" t="s">
        <v>72</v>
      </c>
      <c r="AS2" s="29" t="s">
        <v>73</v>
      </c>
      <c r="AT2" s="29" t="s">
        <v>74</v>
      </c>
      <c r="AU2" s="29" t="s">
        <v>75</v>
      </c>
      <c r="AV2" s="29" t="s">
        <v>76</v>
      </c>
      <c r="AW2" s="28" t="s">
        <v>77</v>
      </c>
      <c r="AX2" s="29" t="s">
        <v>78</v>
      </c>
      <c r="AY2" s="29" t="s">
        <v>79</v>
      </c>
      <c r="AZ2" s="29" t="s">
        <v>80</v>
      </c>
      <c r="BA2" s="30" t="s">
        <v>81</v>
      </c>
      <c r="BC2" s="1" t="s">
        <v>82</v>
      </c>
      <c r="BD2" s="2" t="s">
        <v>83</v>
      </c>
      <c r="BE2" s="2" t="s">
        <v>84</v>
      </c>
      <c r="BF2" s="2" t="s">
        <v>85</v>
      </c>
      <c r="BG2" s="2" t="s">
        <v>86</v>
      </c>
      <c r="BH2" s="2" t="s">
        <v>87</v>
      </c>
      <c r="BI2" s="2" t="s">
        <v>88</v>
      </c>
      <c r="BJ2" s="2" t="s">
        <v>89</v>
      </c>
      <c r="BK2" s="36" t="s">
        <v>90</v>
      </c>
      <c r="BM2" s="32" t="s">
        <v>91</v>
      </c>
      <c r="BN2" s="33" t="s">
        <v>92</v>
      </c>
      <c r="BO2" s="33" t="s">
        <v>93</v>
      </c>
      <c r="BP2" s="33" t="s">
        <v>94</v>
      </c>
      <c r="BQ2" s="33" t="s">
        <v>95</v>
      </c>
      <c r="BR2" s="33" t="s">
        <v>96</v>
      </c>
      <c r="BS2" s="33" t="s">
        <v>97</v>
      </c>
      <c r="BT2" s="33" t="s">
        <v>98</v>
      </c>
      <c r="BU2" s="34" t="s">
        <v>99</v>
      </c>
      <c r="BW2" s="32" t="s">
        <v>100</v>
      </c>
      <c r="BX2" s="34" t="s">
        <v>101</v>
      </c>
      <c r="BY2" s="3"/>
      <c r="BZ2" s="72" t="s">
        <v>37</v>
      </c>
      <c r="CA2" s="29" t="s">
        <v>38</v>
      </c>
      <c r="CB2" s="29" t="s">
        <v>39</v>
      </c>
      <c r="CC2" s="29" t="s">
        <v>40</v>
      </c>
      <c r="CD2" s="29" t="s">
        <v>41</v>
      </c>
      <c r="CE2" s="28" t="s">
        <v>42</v>
      </c>
      <c r="CF2" s="29" t="s">
        <v>43</v>
      </c>
      <c r="CG2" s="29" t="s">
        <v>44</v>
      </c>
      <c r="CH2" s="29" t="s">
        <v>45</v>
      </c>
      <c r="CI2" s="29" t="s">
        <v>46</v>
      </c>
      <c r="CJ2" s="28" t="s">
        <v>47</v>
      </c>
      <c r="CK2" s="29" t="s">
        <v>48</v>
      </c>
      <c r="CL2" s="29" t="s">
        <v>49</v>
      </c>
      <c r="CM2" s="29" t="s">
        <v>50</v>
      </c>
      <c r="CN2" s="29" t="s">
        <v>51</v>
      </c>
      <c r="CO2" s="28" t="s">
        <v>52</v>
      </c>
      <c r="CP2" s="29" t="s">
        <v>53</v>
      </c>
      <c r="CQ2" s="29" t="s">
        <v>54</v>
      </c>
      <c r="CR2" s="29" t="s">
        <v>55</v>
      </c>
      <c r="CS2" s="29" t="s">
        <v>56</v>
      </c>
      <c r="CT2" s="28" t="s">
        <v>57</v>
      </c>
      <c r="CU2" s="29" t="s">
        <v>58</v>
      </c>
      <c r="CV2" s="29" t="s">
        <v>59</v>
      </c>
      <c r="CW2" s="29" t="s">
        <v>60</v>
      </c>
      <c r="CX2" s="29" t="s">
        <v>61</v>
      </c>
      <c r="CY2" s="28" t="s">
        <v>62</v>
      </c>
      <c r="CZ2" s="29" t="s">
        <v>63</v>
      </c>
      <c r="DA2" s="29" t="s">
        <v>64</v>
      </c>
      <c r="DB2" s="29" t="s">
        <v>65</v>
      </c>
      <c r="DC2" s="29" t="s">
        <v>66</v>
      </c>
      <c r="DD2" s="28" t="s">
        <v>67</v>
      </c>
      <c r="DE2" s="29" t="s">
        <v>68</v>
      </c>
      <c r="DF2" s="29" t="s">
        <v>69</v>
      </c>
      <c r="DG2" s="29" t="s">
        <v>70</v>
      </c>
      <c r="DH2" s="29" t="s">
        <v>71</v>
      </c>
      <c r="DI2" s="28" t="s">
        <v>72</v>
      </c>
      <c r="DJ2" s="29" t="s">
        <v>73</v>
      </c>
      <c r="DK2" s="29" t="s">
        <v>74</v>
      </c>
      <c r="DL2" s="29" t="s">
        <v>75</v>
      </c>
      <c r="DM2" s="29" t="s">
        <v>76</v>
      </c>
      <c r="DN2" s="28" t="s">
        <v>77</v>
      </c>
      <c r="DO2" s="29" t="s">
        <v>78</v>
      </c>
      <c r="DP2" s="29" t="s">
        <v>79</v>
      </c>
      <c r="DQ2" s="29" t="s">
        <v>80</v>
      </c>
      <c r="DR2" s="30" t="s">
        <v>81</v>
      </c>
      <c r="DT2" s="62" t="s">
        <v>141</v>
      </c>
    </row>
    <row r="3" spans="1:124" ht="50.1" customHeight="1" x14ac:dyDescent="0.3">
      <c r="A3" s="63">
        <f>IF(NSi.TS[[#This Row],[No]]=0,"",NSi.TS[[#This Row],[No]])</f>
        <v>1</v>
      </c>
      <c r="B3" s="64" t="str">
        <f>IF(NSi.TS[[#This Row],[Nama Siswa]]=0,"",NSi.TS[[#This Row],[Nama Siswa]])</f>
        <v/>
      </c>
      <c r="C3" s="65" t="str">
        <f>IF(NSi.TS[[#This Row],[Nomor Induk]]=0,"",NSi.TS[[#This Row],[Nomor Induk]])</f>
        <v/>
      </c>
      <c r="D3" s="65" t="str">
        <f>IF(NSi.TS[[#This Row],[NISN]]=0,"",NSi.TS[[#This Row],[NISN]])</f>
        <v/>
      </c>
      <c r="E3" s="65" t="str">
        <f>IF(NSi.TS[[#This Row],[Jurusan]]=0,"",NSi.TS[[#This Row],[Jurusan]])</f>
        <v/>
      </c>
      <c r="F3" s="39" t="str">
        <f>NSi.TS[[#This Row],[Nsi.TS]]</f>
        <v/>
      </c>
      <c r="G3" s="39" t="str">
        <f>IFERROR(ROUND(AVERAGE(CSCR.S[#This Row]),0),"")</f>
        <v/>
      </c>
      <c r="H3" s="39" t="str">
        <f>IFERROR(ROUND(AVERAGE(NSi.SE[[#This Row],[Nsi.TS]:[NS.iS]]),0),"")</f>
        <v/>
      </c>
      <c r="I3" s="41" t="s">
        <v>102</v>
      </c>
      <c r="J3" s="45" t="s">
        <v>102</v>
      </c>
      <c r="K3" s="45" t="s">
        <v>102</v>
      </c>
      <c r="L3" s="45" t="s">
        <v>102</v>
      </c>
      <c r="M3" s="45" t="s">
        <v>102</v>
      </c>
      <c r="N3" s="41" t="s">
        <v>102</v>
      </c>
      <c r="O3" s="45" t="s">
        <v>102</v>
      </c>
      <c r="P3" s="45" t="s">
        <v>102</v>
      </c>
      <c r="Q3" s="45" t="s">
        <v>102</v>
      </c>
      <c r="R3" s="45" t="s">
        <v>102</v>
      </c>
      <c r="S3" s="41" t="s">
        <v>102</v>
      </c>
      <c r="T3" s="45" t="s">
        <v>102</v>
      </c>
      <c r="U3" s="45" t="s">
        <v>102</v>
      </c>
      <c r="V3" s="45" t="s">
        <v>102</v>
      </c>
      <c r="W3" s="45" t="s">
        <v>102</v>
      </c>
      <c r="X3" s="41" t="s">
        <v>102</v>
      </c>
      <c r="Y3" s="45" t="s">
        <v>102</v>
      </c>
      <c r="Z3" s="45" t="s">
        <v>102</v>
      </c>
      <c r="AA3" s="45" t="s">
        <v>102</v>
      </c>
      <c r="AB3" s="45" t="s">
        <v>102</v>
      </c>
      <c r="AC3" s="41" t="s">
        <v>102</v>
      </c>
      <c r="AD3" s="45" t="s">
        <v>102</v>
      </c>
      <c r="AE3" s="45" t="s">
        <v>102</v>
      </c>
      <c r="AF3" s="45" t="s">
        <v>102</v>
      </c>
      <c r="AG3" s="45" t="s">
        <v>102</v>
      </c>
      <c r="AH3" s="41" t="s">
        <v>102</v>
      </c>
      <c r="AI3" s="45" t="s">
        <v>102</v>
      </c>
      <c r="AJ3" s="45" t="s">
        <v>102</v>
      </c>
      <c r="AK3" s="45" t="s">
        <v>102</v>
      </c>
      <c r="AL3" s="45" t="s">
        <v>102</v>
      </c>
      <c r="AM3" s="41" t="s">
        <v>102</v>
      </c>
      <c r="AN3" s="45" t="s">
        <v>102</v>
      </c>
      <c r="AO3" s="45" t="s">
        <v>102</v>
      </c>
      <c r="AP3" s="45" t="s">
        <v>102</v>
      </c>
      <c r="AQ3" s="45" t="s">
        <v>102</v>
      </c>
      <c r="AR3" s="41" t="s">
        <v>102</v>
      </c>
      <c r="AS3" s="45" t="s">
        <v>102</v>
      </c>
      <c r="AT3" s="45" t="s">
        <v>102</v>
      </c>
      <c r="AU3" s="45" t="s">
        <v>102</v>
      </c>
      <c r="AV3" s="45" t="s">
        <v>102</v>
      </c>
      <c r="AW3" s="41" t="s">
        <v>102</v>
      </c>
      <c r="AX3" s="45" t="s">
        <v>102</v>
      </c>
      <c r="AY3" s="45" t="s">
        <v>102</v>
      </c>
      <c r="AZ3" s="45" t="s">
        <v>102</v>
      </c>
      <c r="BA3" s="45" t="s">
        <v>102</v>
      </c>
      <c r="BC3" s="37" t="str">
        <f>CONCATENATE(NSi.SE[[#This Row],[KU.1]],(IF(A.LoE.S[[#This Row],[LE.1]]="-","-",IF(A.LoE.S[[#This Row],[LE.1]]&gt;=90,1,IF(A.LoE.S[[#This Row],[LE.1]]&gt;=80,2,IF(A.LoE.S[[#This Row],[LE.1]]&gt;=70,3,IF(A.LoE.S[[#This Row],[LE.1]]&gt;=1,4,5)))))))</f>
        <v>--</v>
      </c>
      <c r="BD3" s="37" t="str">
        <f>CONCATENATE(NSi.SE[[#This Row],[KU.2]],(IF(A.LoE.S[[#This Row],[LE.2]]="-","-",IF(A.LoE.S[[#This Row],[LE.2]]&gt;=90,1,IF(A.LoE.S[[#This Row],[LE.2]]&gt;=80,2,IF(A.LoE.S[[#This Row],[LE.2]]&gt;=70,3,IF(A.LoE.S[[#This Row],[LE.2]]&gt;=1,4,5)))))))</f>
        <v>--</v>
      </c>
      <c r="BE3" s="37" t="str">
        <f>CONCATENATE(NSi.SE[[#This Row],[KU.3]],(IF(A.LoE.S[[#This Row],[LE.3]]="-","-",IF(A.LoE.S[[#This Row],[LE.3]]&gt;=90,1,IF(A.LoE.S[[#This Row],[LE.3]]&gt;=80,2,IF(A.LoE.S[[#This Row],[LE.3]]&gt;=70,3,IF(A.LoE.S[[#This Row],[LE.3]]&gt;=1,4,5)))))))</f>
        <v>--</v>
      </c>
      <c r="BF3" s="37" t="str">
        <f>CONCATENATE(NSi.SE[[#This Row],[KU.4]],(IF(A.LoE.S[[#This Row],[LE.4]]="-","-",IF(A.LoE.S[[#This Row],[LE.4]]&gt;=90,1,IF(A.LoE.S[[#This Row],[LE.4]]&gt;=80,2,IF(A.LoE.S[[#This Row],[LE.4]]&gt;=70,3,IF(A.LoE.S[[#This Row],[LE.4]]&gt;=1,4,5)))))))</f>
        <v>--</v>
      </c>
      <c r="BG3" s="37" t="str">
        <f>CONCATENATE(NSi.SE[[#This Row],[KU.5]],(IF(A.LoE.S[[#This Row],[LE.5]]="-","-",IF(A.LoE.S[[#This Row],[LE.5]]&gt;=90,1,IF(A.LoE.S[[#This Row],[LE.5]]&gt;=80,2,IF(A.LoE.S[[#This Row],[LE.5]]&gt;=70,3,IF(A.LoE.S[[#This Row],[LE.5]]&gt;=1,4,5)))))))</f>
        <v>--</v>
      </c>
      <c r="BH3" s="37" t="str">
        <f>CONCATENATE(NSi.SE[[#This Row],[KU.6]],(IF(A.LoE.S[[#This Row],[LE.6]]="-","-",IF(A.LoE.S[[#This Row],[LE.6]]&gt;=90,1,IF(A.LoE.S[[#This Row],[LE.6]]&gt;=80,2,IF(A.LoE.S[[#This Row],[LE.6]]&gt;=70,3,IF(A.LoE.S[[#This Row],[LE.6]]&gt;=1,4,5)))))))</f>
        <v>--</v>
      </c>
      <c r="BI3" s="37" t="str">
        <f>CONCATENATE(NSi.SE[[#This Row],[KU.7]],(IF(A.LoE.S[[#This Row],[LE.7]]="-","-",IF(A.LoE.S[[#This Row],[LE.7]]&gt;=90,1,IF(A.LoE.S[[#This Row],[LE.7]]&gt;=80,2,IF(A.LoE.S[[#This Row],[LE.7]]&gt;=70,3,IF(A.LoE.S[[#This Row],[LE.7]]&gt;=1,4,5)))))))</f>
        <v>--</v>
      </c>
      <c r="BJ3" s="37" t="str">
        <f>CONCATENATE(NSi.SE[[#This Row],[KU.8]],(IF(A.LoE.S[[#This Row],[LE.8]]="-","-",IF(A.LoE.S[[#This Row],[LE.8]]&gt;=90,1,IF(A.LoE.S[[#This Row],[LE.8]]&gt;=80,2,IF(A.LoE.S[[#This Row],[LE.8]]&gt;=70,3,IF(A.LoE.S[[#This Row],[LE.8]]&gt;=1,4,5)))))))</f>
        <v>--</v>
      </c>
      <c r="BK3" s="37" t="str">
        <f>CONCATENATE(NSi.SE[[#This Row],[KU.9]],(IF(A.LoE.S[[#This Row],[LE.9]]="-","-",IF(A.LoE.S[[#This Row],[LE.9]]&gt;=90,1,IF(A.LoE.S[[#This Row],[LE.9]]&gt;=80,2,IF(A.LoE.S[[#This Row],[LE.9]]&gt;=70,3,IF(A.LoE.S[[#This Row],[LE.9]]&gt;=1,4,5)))))))</f>
        <v>--</v>
      </c>
      <c r="BM3" s="35" t="str">
        <f>IFERROR(ROUND(AVERAGE(Con.Sk.S[[#This Row],[TJ.1]:[Pro-A.1]]),0),"-")</f>
        <v>-</v>
      </c>
      <c r="BN3" s="24" t="str">
        <f>IFERROR(ROUND(AVERAGE(Con.Sk.S[[#This Row],[TJ.2]:[Pro-A.2]]),0),"-")</f>
        <v>-</v>
      </c>
      <c r="BO3" s="24" t="str">
        <f>IFERROR(ROUND(AVERAGE(Con.Sk.S[[#This Row],[TJ.3]:[Pro-A.3]]),0),"-")</f>
        <v>-</v>
      </c>
      <c r="BP3" s="24" t="str">
        <f>IFERROR(ROUND(AVERAGE(Con.Sk.S[[#This Row],[TJ.4]:[Pro-A.4]]),0),"-")</f>
        <v>-</v>
      </c>
      <c r="BQ3" s="24" t="str">
        <f>IFERROR(ROUND(AVERAGE(Con.Sk.S[[#This Row],[TJ.5]:[Pro-A.5]]),0),"-")</f>
        <v>-</v>
      </c>
      <c r="BR3" s="24" t="str">
        <f>IFERROR(ROUND(AVERAGE(Con.Sk.S[[#This Row],[TJ.6]:[Pro-A.6]]),0),"-")</f>
        <v>-</v>
      </c>
      <c r="BS3" s="24" t="str">
        <f>IFERROR(ROUND(AVERAGE(Con.Sk.S[[#This Row],[TJ.7]:[Pro-A.7]]),0),"-")</f>
        <v>-</v>
      </c>
      <c r="BT3" s="24" t="str">
        <f>IFERROR(ROUND(AVERAGE(Con.Sk.S[[#This Row],[TJ.8]:[Pro-A.8]]),0),"-")</f>
        <v>-</v>
      </c>
      <c r="BU3" s="25" t="str">
        <f>IFERROR(ROUND(AVERAGE(Con.Sk.S[[#This Row],[TJ.9]:[Pro-A.9]]),0),"-")</f>
        <v>-</v>
      </c>
      <c r="BW3" s="47" t="str">
        <f>IFERROR(ROUND(AVERAGE(Con.Sk.S[[#This Row],[KU.1]],Con.Sk.S[[#This Row],[KU.2]],Con.Sk.S[[#This Row],[KU.3]],Con.Sk.S[[#This Row],[KU.4]],Con.Sk.S[[#This Row],[KU.5]],Con.Sk.S[[#This Row],[KU.6]],Con.Sk.S[[#This Row],[KU.7]],Con.Sk.S[[#This Row],[KU.8]],Con.Sk.S[[#This Row],[KU.9]]),0),"")</f>
        <v/>
      </c>
      <c r="BX3" s="48" t="str">
        <f>IFERROR(ROUND(AVERAGE(Con.Sk.S[[#This Row],[TJ.1]:[Pro-A.1]],Con.Sk.S[[#This Row],[TJ.2]:[Pro-A.2]],Con.Sk.S[[#This Row],[TJ.3]:[Pro-A.3]],Con.Sk.S[[#This Row],[TJ.4]:[Pro-A.4]],Con.Sk.S[[#This Row],[TJ.5]:[Pro-A.5]],Con.Sk.S[[#This Row],[TJ.6]:[Pro-A.6]],Con.Sk.S[[#This Row],[TJ.7]:[Pro-A.7]],Con.Sk.S[[#This Row],[TJ.8]:[Pro-A.8]],Con.Sk.S[[#This Row],[TJ.9]:[Pro-A.9]]),0),"")</f>
        <v/>
      </c>
      <c r="BY3" s="3"/>
      <c r="BZ3" s="73" t="str">
        <f>IF(NSi.SE[[#This Row],[KU.1]]="A",100,IF(NSi.SE[[#This Row],[KU.1]]="B",89,IF(NSi.SE[[#This Row],[KU.1]]="C",79,IF(NSi.SE[[#This Row],[KU.1]]="D",69,IF(NSi.SE[[#This Row],[KU.1]]="E",0,"-")))))</f>
        <v>-</v>
      </c>
      <c r="CA3" s="73" t="str">
        <f>IF(NSi.SE[[#This Row],[TJ.1]]=1,100,IF(NSi.SE[[#This Row],[TJ.1]]=2,89,IF(NSi.SE[[#This Row],[TJ.1]]=3,79,IF(NSi.SE[[#This Row],[TJ.1]]=4,69,IF(NSi.SE[[#This Row],[TJ.1]]=5,0,"-")))))</f>
        <v>-</v>
      </c>
      <c r="CB3" s="73" t="str">
        <f>IF(NSi.SE[[#This Row],[Ker.1]]=1,100,IF(NSi.SE[[#This Row],[Ker.1]]=2,89,IF(NSi.SE[[#This Row],[Ker.1]]=3,79,IF(NSi.SE[[#This Row],[Ker.1]]=4,69,IF(NSi.SE[[#This Row],[Ker.1]]=5,0,"-")))))</f>
        <v>-</v>
      </c>
      <c r="CC3" s="73" t="str">
        <f>IF(NSi.SE[[#This Row],[Ped.1]]=1,100,IF(NSi.SE[[#This Row],[Ped.1]]=2,89,IF(NSi.SE[[#This Row],[Ped.1]]=3,79,IF(NSi.SE[[#This Row],[Ped.1]]=4,69,IF(NSi.SE[[#This Row],[Ped.1]]=5,0,"-")))))</f>
        <v>-</v>
      </c>
      <c r="CD3" s="73" t="str">
        <f>IF(NSi.SE[[#This Row],[Pro-A.1]]=1,100,IF(NSi.SE[[#This Row],[Pro-A.1]]=2,89,IF(NSi.SE[[#This Row],[Pro-A.1]]=3,79,IF(NSi.SE[[#This Row],[Pro-A.1]]=4,69,IF(NSi.SE[[#This Row],[Pro-A.1]]=5,0,"-")))))</f>
        <v>-</v>
      </c>
      <c r="CE3" s="73" t="str">
        <f>IF(NSi.SE[[#This Row],[KU.2]]="A",100,IF(NSi.SE[[#This Row],[KU.2]]="B",89,IF(NSi.SE[[#This Row],[KU.2]]="C",79,IF(NSi.SE[[#This Row],[KU.2]]="D",69,IF(NSi.SE[[#This Row],[KU.2]]="E",0,"-")))))</f>
        <v>-</v>
      </c>
      <c r="CF3" s="73" t="str">
        <f>IF(NSi.SE[[#This Row],[TJ.2]]=1,100,IF(NSi.SE[[#This Row],[TJ.2]]=2,89,IF(NSi.SE[[#This Row],[TJ.2]]=3,79,IF(NSi.SE[[#This Row],[TJ.2]]=4,69,IF(NSi.SE[[#This Row],[TJ.2]]=5,0,"-")))))</f>
        <v>-</v>
      </c>
      <c r="CG3" s="73" t="str">
        <f>IF(NSi.SE[[#This Row],[Ker.2]]=1,100,IF(NSi.SE[[#This Row],[Ker.2]]=2,89,IF(NSi.SE[[#This Row],[Ker.2]]=3,79,IF(NSi.SE[[#This Row],[Ker.2]]=4,69,IF(NSi.SE[[#This Row],[Ker.2]]=5,0,"-")))))</f>
        <v>-</v>
      </c>
      <c r="CH3" s="73" t="str">
        <f>IF(NSi.SE[[#This Row],[Ped.2]]=1,100,IF(NSi.SE[[#This Row],[Ped.2]]=2,89,IF(NSi.SE[[#This Row],[Ped.2]]=3,79,IF(NSi.SE[[#This Row],[Ped.2]]=4,69,IF(NSi.SE[[#This Row],[Ped.2]]=5,0,"-")))))</f>
        <v>-</v>
      </c>
      <c r="CI3" s="73" t="str">
        <f>IF(NSi.SE[[#This Row],[Pro-A.2]]=1,100,IF(NSi.SE[[#This Row],[Pro-A.2]]=2,89,IF(NSi.SE[[#This Row],[Pro-A.2]]=3,79,IF(NSi.SE[[#This Row],[Pro-A.2]]=4,69,IF(NSi.SE[[#This Row],[Pro-A.2]]=5,0,"-")))))</f>
        <v>-</v>
      </c>
      <c r="CJ3" s="73" t="str">
        <f>IF(NSi.SE[[#This Row],[KU.3]]="A",100,IF(NSi.SE[[#This Row],[KU.3]]="B",89,IF(NSi.SE[[#This Row],[KU.3]]="C",79,IF(NSi.SE[[#This Row],[KU.3]]="D",69,IF(NSi.SE[[#This Row],[KU.3]]="E",0,"-")))))</f>
        <v>-</v>
      </c>
      <c r="CK3" s="73" t="str">
        <f>IF(NSi.SE[[#This Row],[TJ.3]]=1,100,IF(NSi.SE[[#This Row],[TJ.3]]=2,89,IF(NSi.SE[[#This Row],[TJ.3]]=3,79,IF(NSi.SE[[#This Row],[TJ.3]]=4,69,IF(NSi.SE[[#This Row],[TJ.3]]=5,0,"-")))))</f>
        <v>-</v>
      </c>
      <c r="CL3" s="73" t="str">
        <f>IF(NSi.SE[[#This Row],[Ker.3]]=1,100,IF(NSi.SE[[#This Row],[Ker.3]]=2,89,IF(NSi.SE[[#This Row],[Ker.3]]=3,79,IF(NSi.SE[[#This Row],[Ker.3]]=4,69,IF(NSi.SE[[#This Row],[Ker.3]]=5,0,"-")))))</f>
        <v>-</v>
      </c>
      <c r="CM3" s="73" t="str">
        <f>IF(NSi.SE[[#This Row],[Ped.3]]=1,100,IF(NSi.SE[[#This Row],[Ped.3]]=2,89,IF(NSi.SE[[#This Row],[Ped.3]]=3,79,IF(NSi.SE[[#This Row],[Ped.3]]=4,69,IF(NSi.SE[[#This Row],[Ped.3]]=5,0,"-")))))</f>
        <v>-</v>
      </c>
      <c r="CN3" s="73" t="str">
        <f>IF(NSi.SE[[#This Row],[Pro-A.3]]=1,100,IF(NSi.SE[[#This Row],[Pro-A.3]]=2,89,IF(NSi.SE[[#This Row],[Pro-A.3]]=3,79,IF(NSi.SE[[#This Row],[Pro-A.3]]=4,69,IF(NSi.SE[[#This Row],[Pro-A.3]]=5,0,"-")))))</f>
        <v>-</v>
      </c>
      <c r="CO3" s="73" t="str">
        <f>IF(NSi.SE[[#This Row],[KU.4]]="A",100,IF(NSi.SE[[#This Row],[KU.4]]="B",89,IF(NSi.SE[[#This Row],[KU.4]]="C",79,IF(NSi.SE[[#This Row],[KU.4]]="D",69,IF(NSi.SE[[#This Row],[KU.4]]="E",0,"-")))))</f>
        <v>-</v>
      </c>
      <c r="CP3" s="73" t="str">
        <f>IF(NSi.SE[[#This Row],[TJ.4]]=1,100,IF(NSi.SE[[#This Row],[TJ.4]]=2,89,IF(NSi.SE[[#This Row],[TJ.4]]=3,79,IF(NSi.SE[[#This Row],[TJ.4]]=4,69,IF(NSi.SE[[#This Row],[TJ.4]]=5,0,"-")))))</f>
        <v>-</v>
      </c>
      <c r="CQ3" s="73" t="str">
        <f>IF(NSi.SE[[#This Row],[Ker.4]]=1,100,IF(NSi.SE[[#This Row],[Ker.4]]=2,89,IF(NSi.SE[[#This Row],[Ker.4]]=3,79,IF(NSi.SE[[#This Row],[Ker.4]]=4,69,IF(NSi.SE[[#This Row],[Ker.4]]=5,0,"-")))))</f>
        <v>-</v>
      </c>
      <c r="CR3" s="73" t="str">
        <f>IF(NSi.SE[[#This Row],[Ped.4]]=1,100,IF(NSi.SE[[#This Row],[Ped.4]]=2,89,IF(NSi.SE[[#This Row],[Ped.4]]=3,79,IF(NSi.SE[[#This Row],[Ped.4]]=4,69,IF(NSi.SE[[#This Row],[Ped.4]]=5,0,"-")))))</f>
        <v>-</v>
      </c>
      <c r="CS3" s="73" t="str">
        <f>IF(NSi.SE[[#This Row],[Pro-A.4]]=1,100,IF(NSi.SE[[#This Row],[Pro-A.4]]=2,89,IF(NSi.SE[[#This Row],[Pro-A.4]]=3,79,IF(NSi.SE[[#This Row],[Pro-A.4]]=4,69,IF(NSi.SE[[#This Row],[Pro-A.4]]=5,0,"-")))))</f>
        <v>-</v>
      </c>
      <c r="CT3" s="73" t="str">
        <f>IF(NSi.SE[[#This Row],[KU.5]]="A",100,IF(NSi.SE[[#This Row],[KU.5]]="B",89,IF(NSi.SE[[#This Row],[KU.5]]="C",79,IF(NSi.SE[[#This Row],[KU.5]]="D",69,IF(NSi.SE[[#This Row],[KU.5]]="E",0,"-")))))</f>
        <v>-</v>
      </c>
      <c r="CU3" s="73" t="str">
        <f>IF(NSi.SE[[#This Row],[TJ.5]]=1,100,IF(NSi.SE[[#This Row],[TJ.5]]=2,89,IF(NSi.SE[[#This Row],[TJ.5]]=3,79,IF(NSi.SE[[#This Row],[TJ.5]]=4,69,IF(NSi.SE[[#This Row],[TJ.5]]=5,0,"-")))))</f>
        <v>-</v>
      </c>
      <c r="CV3" s="73" t="str">
        <f>IF(NSi.SE[[#This Row],[Ker.5]]=1,100,IF(NSi.SE[[#This Row],[Ker.5]]=2,89,IF(NSi.SE[[#This Row],[Ker.5]]=3,79,IF(NSi.SE[[#This Row],[Ker.5]]=4,69,IF(NSi.SE[[#This Row],[Ker.5]]=5,0,"-")))))</f>
        <v>-</v>
      </c>
      <c r="CW3" s="73" t="str">
        <f>IF(NSi.SE[[#This Row],[Ped.5]]=1,100,IF(NSi.SE[[#This Row],[Ped.5]]=2,89,IF(NSi.SE[[#This Row],[Ped.5]]=3,79,IF(NSi.SE[[#This Row],[Ped.5]]=4,69,IF(NSi.SE[[#This Row],[Ped.5]]=5,0,"-")))))</f>
        <v>-</v>
      </c>
      <c r="CX3" s="73" t="str">
        <f>IF(NSi.SE[[#This Row],[Pro-A.5]]=1,100,IF(NSi.SE[[#This Row],[Pro-A.5]]=2,89,IF(NSi.SE[[#This Row],[Pro-A.5]]=3,79,IF(NSi.SE[[#This Row],[Pro-A.5]]=4,69,IF(NSi.SE[[#This Row],[Pro-A.5]]=5,0,"-")))))</f>
        <v>-</v>
      </c>
      <c r="CY3" s="73" t="str">
        <f>IF(NSi.SE[[#This Row],[KU.6]]="A",100,IF(NSi.SE[[#This Row],[KU.6]]="B",89,IF(NSi.SE[[#This Row],[KU.6]]="C",79,IF(NSi.SE[[#This Row],[KU.6]]="D",69,IF(NSi.SE[[#This Row],[KU.6]]="E",0,"-")))))</f>
        <v>-</v>
      </c>
      <c r="CZ3" s="73" t="str">
        <f>IF(NSi.SE[[#This Row],[TJ.6]]=1,100,IF(NSi.SE[[#This Row],[TJ.6]]=2,89,IF(NSi.SE[[#This Row],[TJ.6]]=3,79,IF(NSi.SE[[#This Row],[TJ.6]]=4,69,IF(NSi.SE[[#This Row],[TJ.6]]=5,0,"-")))))</f>
        <v>-</v>
      </c>
      <c r="DA3" s="73" t="str">
        <f>IF(NSi.SE[[#This Row],[Ker.6]]=1,100,IF(NSi.SE[[#This Row],[Ker.6]]=2,89,IF(NSi.SE[[#This Row],[Ker.6]]=3,79,IF(NSi.SE[[#This Row],[Ker.6]]=4,69,IF(NSi.SE[[#This Row],[Ker.6]]=5,0,"-")))))</f>
        <v>-</v>
      </c>
      <c r="DB3" s="73" t="str">
        <f>IF(NSi.SE[[#This Row],[Ped.6]]=1,100,IF(NSi.SE[[#This Row],[Ped.6]]=2,89,IF(NSi.SE[[#This Row],[Ped.6]]=3,79,IF(NSi.SE[[#This Row],[Ped.6]]=4,69,IF(NSi.SE[[#This Row],[Ped.6]]=5,0,"-")))))</f>
        <v>-</v>
      </c>
      <c r="DC3" s="73" t="str">
        <f>IF(NSi.SE[[#This Row],[Pro-A.6]]=1,100,IF(NSi.SE[[#This Row],[Pro-A.6]]=2,89,IF(NSi.SE[[#This Row],[Pro-A.6]]=3,79,IF(NSi.SE[[#This Row],[Pro-A.6]]=4,69,IF(NSi.SE[[#This Row],[Pro-A.6]]=5,0,"-")))))</f>
        <v>-</v>
      </c>
      <c r="DD3" s="73" t="str">
        <f>IF(NSi.SE[[#This Row],[KU.7]]="A",100,IF(NSi.SE[[#This Row],[KU.7]]="B",89,IF(NSi.SE[[#This Row],[KU.7]]="C",79,IF(NSi.SE[[#This Row],[KU.7]]="D",69,IF(NSi.SE[[#This Row],[KU.7]]="E",0,"-")))))</f>
        <v>-</v>
      </c>
      <c r="DE3" s="73" t="str">
        <f>IF(NSi.SE[[#This Row],[TJ.7]]=1,100,IF(NSi.SE[[#This Row],[TJ.7]]=2,89,IF(NSi.SE[[#This Row],[TJ.7]]=3,79,IF(NSi.SE[[#This Row],[TJ.7]]=4,69,IF(NSi.SE[[#This Row],[TJ.7]]=5,0,"-")))))</f>
        <v>-</v>
      </c>
      <c r="DF3" s="73" t="str">
        <f>IF(NSi.SE[[#This Row],[Ker.7]]=1,100,IF(NSi.SE[[#This Row],[Ker.7]]=2,89,IF(NSi.SE[[#This Row],[Ker.7]]=3,79,IF(NSi.SE[[#This Row],[Ker.7]]=4,69,IF(NSi.SE[[#This Row],[Ker.7]]=5,0,"-")))))</f>
        <v>-</v>
      </c>
      <c r="DG3" s="73" t="str">
        <f>IF(NSi.SE[[#This Row],[Ped.7]]=1,100,IF(NSi.SE[[#This Row],[Ped.7]]=2,89,IF(NSi.SE[[#This Row],[Ped.7]]=3,79,IF(NSi.SE[[#This Row],[Ped.7]]=4,69,IF(NSi.SE[[#This Row],[Ped.7]]=5,0,"-")))))</f>
        <v>-</v>
      </c>
      <c r="DH3" s="73" t="str">
        <f>IF(NSi.SE[[#This Row],[Pro-A.7]]=1,100,IF(NSi.SE[[#This Row],[Pro-A.7]]=2,89,IF(NSi.SE[[#This Row],[Pro-A.7]]=3,79,IF(NSi.SE[[#This Row],[Pro-A.7]]=4,69,IF(NSi.SE[[#This Row],[Pro-A.7]]=5,0,"-")))))</f>
        <v>-</v>
      </c>
      <c r="DI3" s="73" t="str">
        <f>IF(NSi.SE[[#This Row],[KU.8]]="A",100,IF(NSi.SE[[#This Row],[KU.8]]="B",89,IF(NSi.SE[[#This Row],[KU.8]]="C",79,IF(NSi.SE[[#This Row],[KU.8]]="D",69,IF(NSi.SE[[#This Row],[KU.8]]="E",0,"-")))))</f>
        <v>-</v>
      </c>
      <c r="DJ3" s="73" t="str">
        <f>IF(NSi.SE[[#This Row],[TJ.8]]=1,100,IF(NSi.SE[[#This Row],[TJ.8]]=2,89,IF(NSi.SE[[#This Row],[TJ.8]]=3,79,IF(NSi.SE[[#This Row],[TJ.8]]=4,69,IF(NSi.SE[[#This Row],[TJ.8]]=5,0,"-")))))</f>
        <v>-</v>
      </c>
      <c r="DK3" s="73" t="str">
        <f>IF(NSi.SE[[#This Row],[Ker.8]]=1,100,IF(NSi.SE[[#This Row],[Ker.8]]=2,89,IF(NSi.SE[[#This Row],[Ker.8]]=3,79,IF(NSi.SE[[#This Row],[Ker.8]]=4,69,IF(NSi.SE[[#This Row],[Ker.8]]=5,0,"-")))))</f>
        <v>-</v>
      </c>
      <c r="DL3" s="73" t="str">
        <f>IF(NSi.SE[[#This Row],[Ped.8]]=1,100,IF(NSi.SE[[#This Row],[Ped.8]]=2,89,IF(NSi.SE[[#This Row],[Ped.8]]=3,79,IF(NSi.SE[[#This Row],[Ped.8]]=4,69,IF(NSi.SE[[#This Row],[Ped.8]]=5,0,"-")))))</f>
        <v>-</v>
      </c>
      <c r="DM3" s="73" t="str">
        <f>IF(NSi.SE[[#This Row],[Pro-A.8]]=1,100,IF(NSi.SE[[#This Row],[Pro-A.8]]=2,89,IF(NSi.SE[[#This Row],[Pro-A.8]]=3,79,IF(NSi.SE[[#This Row],[Pro-A.8]]=4,69,IF(NSi.SE[[#This Row],[Pro-A.8]]=5,0,"-")))))</f>
        <v>-</v>
      </c>
      <c r="DN3" s="73" t="str">
        <f>IF(NSi.SE[[#This Row],[KU.9]]="A",100,IF(NSi.SE[[#This Row],[KU.9]]="B",89,IF(NSi.SE[[#This Row],[KU.9]]="C",79,IF(NSi.SE[[#This Row],[KU.9]]="D",69,IF(NSi.SE[[#This Row],[KU.9]]="E",0,"-")))))</f>
        <v>-</v>
      </c>
      <c r="DO3" s="73" t="str">
        <f>IF(NSi.SE[[#This Row],[TJ.9]]=1,100,IF(NSi.SE[[#This Row],[TJ.9]]=2,89,IF(NSi.SE[[#This Row],[TJ.9]]=3,79,IF(NSi.SE[[#This Row],[TJ.9]]=4,69,IF(NSi.SE[[#This Row],[TJ.9]]=5,0,"-")))))</f>
        <v>-</v>
      </c>
      <c r="DP3" s="73" t="str">
        <f>IF(NSi.SE[[#This Row],[Ker.9]]=1,100,IF(NSi.SE[[#This Row],[Ker.9]]=2,89,IF(NSi.SE[[#This Row],[Ker.9]]=3,79,IF(NSi.SE[[#This Row],[Ker.9]]=4,69,IF(NSi.SE[[#This Row],[Ker.9]]=5,0,"-")))))</f>
        <v>-</v>
      </c>
      <c r="DQ3" s="73" t="str">
        <f>IF(NSi.SE[[#This Row],[Ped.9]]=1,100,IF(NSi.SE[[#This Row],[Ped.9]]=2,89,IF(NSi.SE[[#This Row],[Ped.9]]=3,79,IF(NSi.SE[[#This Row],[Ped.9]]=4,69,IF(NSi.SE[[#This Row],[Ped.9]]=5,0,"-")))))</f>
        <v>-</v>
      </c>
      <c r="DR3" s="73" t="str">
        <f>IF(NSi.SE[[#This Row],[Pro-A.9]]=1,100,IF(NSi.SE[[#This Row],[Pro-A.9]]=2,89,IF(NSi.SE[[#This Row],[Pro-A.9]]=3,79,IF(NSi.SE[[#This Row],[Pro-A.9]]=4,69,IF(NSi.SE[[#This Row],[Pro-A.9]]=5,0,"-")))))</f>
        <v>-</v>
      </c>
      <c r="DT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4" spans="1:124" ht="50.1" customHeight="1" x14ac:dyDescent="0.3">
      <c r="A4" s="66">
        <f>IF(NSi.TS[[#This Row],[No]]=0,"",NSi.TS[[#This Row],[No]])</f>
        <v>2</v>
      </c>
      <c r="B4" s="67" t="str">
        <f>IF(NSi.TS[[#This Row],[Nama Siswa]]=0,"",NSi.TS[[#This Row],[Nama Siswa]])</f>
        <v/>
      </c>
      <c r="C4" s="68" t="str">
        <f>IF(NSi.TS[[#This Row],[Nomor Induk]]=0,"",NSi.TS[[#This Row],[Nomor Induk]])</f>
        <v/>
      </c>
      <c r="D4" s="68" t="str">
        <f>IF(NSi.TS[[#This Row],[NISN]]=0,"",NSi.TS[[#This Row],[NISN]])</f>
        <v/>
      </c>
      <c r="E4" s="68" t="str">
        <f>IF(NSi.TS[[#This Row],[Jurusan]]=0,"",NSi.TS[[#This Row],[Jurusan]])</f>
        <v/>
      </c>
      <c r="F4" s="39" t="str">
        <f>NSi.TS[[#This Row],[Nsi.TS]]</f>
        <v/>
      </c>
      <c r="G4" s="39" t="str">
        <f>IFERROR(ROUND(AVERAGE(CSCR.S[#This Row]),0),"")</f>
        <v/>
      </c>
      <c r="H4" s="39" t="str">
        <f>IFERROR(ROUND(AVERAGE(NSi.SE[[#This Row],[Nsi.TS]:[NS.iS]]),0),"")</f>
        <v/>
      </c>
      <c r="I4" s="41" t="s">
        <v>102</v>
      </c>
      <c r="J4" s="45" t="s">
        <v>102</v>
      </c>
      <c r="K4" s="45" t="s">
        <v>102</v>
      </c>
      <c r="L4" s="45" t="s">
        <v>102</v>
      </c>
      <c r="M4" s="45" t="s">
        <v>102</v>
      </c>
      <c r="N4" s="41" t="s">
        <v>102</v>
      </c>
      <c r="O4" s="45" t="s">
        <v>102</v>
      </c>
      <c r="P4" s="45" t="s">
        <v>102</v>
      </c>
      <c r="Q4" s="45" t="s">
        <v>102</v>
      </c>
      <c r="R4" s="45" t="s">
        <v>102</v>
      </c>
      <c r="S4" s="41" t="s">
        <v>102</v>
      </c>
      <c r="T4" s="45" t="s">
        <v>102</v>
      </c>
      <c r="U4" s="45" t="s">
        <v>102</v>
      </c>
      <c r="V4" s="45" t="s">
        <v>102</v>
      </c>
      <c r="W4" s="45" t="s">
        <v>102</v>
      </c>
      <c r="X4" s="41" t="s">
        <v>102</v>
      </c>
      <c r="Y4" s="45" t="s">
        <v>102</v>
      </c>
      <c r="Z4" s="45" t="s">
        <v>102</v>
      </c>
      <c r="AA4" s="45" t="s">
        <v>102</v>
      </c>
      <c r="AB4" s="45" t="s">
        <v>102</v>
      </c>
      <c r="AC4" s="41" t="s">
        <v>102</v>
      </c>
      <c r="AD4" s="45" t="s">
        <v>102</v>
      </c>
      <c r="AE4" s="45" t="s">
        <v>102</v>
      </c>
      <c r="AF4" s="45" t="s">
        <v>102</v>
      </c>
      <c r="AG4" s="45" t="s">
        <v>102</v>
      </c>
      <c r="AH4" s="41" t="s">
        <v>102</v>
      </c>
      <c r="AI4" s="45" t="s">
        <v>102</v>
      </c>
      <c r="AJ4" s="45" t="s">
        <v>102</v>
      </c>
      <c r="AK4" s="45" t="s">
        <v>102</v>
      </c>
      <c r="AL4" s="45" t="s">
        <v>102</v>
      </c>
      <c r="AM4" s="41" t="s">
        <v>102</v>
      </c>
      <c r="AN4" s="45" t="s">
        <v>102</v>
      </c>
      <c r="AO4" s="45" t="s">
        <v>102</v>
      </c>
      <c r="AP4" s="45" t="s">
        <v>102</v>
      </c>
      <c r="AQ4" s="45" t="s">
        <v>102</v>
      </c>
      <c r="AR4" s="41" t="s">
        <v>102</v>
      </c>
      <c r="AS4" s="45" t="s">
        <v>102</v>
      </c>
      <c r="AT4" s="45" t="s">
        <v>102</v>
      </c>
      <c r="AU4" s="45" t="s">
        <v>102</v>
      </c>
      <c r="AV4" s="45" t="s">
        <v>102</v>
      </c>
      <c r="AW4" s="41" t="s">
        <v>102</v>
      </c>
      <c r="AX4" s="45" t="s">
        <v>102</v>
      </c>
      <c r="AY4" s="45" t="s">
        <v>102</v>
      </c>
      <c r="AZ4" s="45" t="s">
        <v>102</v>
      </c>
      <c r="BA4" s="45" t="s">
        <v>102</v>
      </c>
      <c r="BC4" s="10" t="str">
        <f>CONCATENATE(NSi.SE[[#This Row],[KU.1]],(IF(A.LoE.S[[#This Row],[LE.1]]="-","-",IF(A.LoE.S[[#This Row],[LE.1]]&gt;=90,1,IF(A.LoE.S[[#This Row],[LE.1]]&gt;=80,2,IF(A.LoE.S[[#This Row],[LE.1]]&gt;=70,3,IF(A.LoE.S[[#This Row],[LE.1]]&gt;=1,4,5)))))))</f>
        <v>--</v>
      </c>
      <c r="BD4" s="46" t="str">
        <f>CONCATENATE(NSi.SE[[#This Row],[KU.2]],(IF(A.LoE.S[[#This Row],[LE.2]]="-","-",IF(A.LoE.S[[#This Row],[LE.2]]&gt;=90,1,IF(A.LoE.S[[#This Row],[LE.2]]&gt;=80,2,IF(A.LoE.S[[#This Row],[LE.2]]&gt;=70,3,IF(A.LoE.S[[#This Row],[LE.2]]&gt;=1,4,5)))))))</f>
        <v>--</v>
      </c>
      <c r="BE4" s="46" t="str">
        <f>CONCATENATE(NSi.SE[[#This Row],[KU.3]],(IF(A.LoE.S[[#This Row],[LE.3]]="-","-",IF(A.LoE.S[[#This Row],[LE.3]]&gt;=90,1,IF(A.LoE.S[[#This Row],[LE.3]]&gt;=80,2,IF(A.LoE.S[[#This Row],[LE.3]]&gt;=70,3,IF(A.LoE.S[[#This Row],[LE.3]]&gt;=1,4,5)))))))</f>
        <v>--</v>
      </c>
      <c r="BF4" s="46" t="str">
        <f>CONCATENATE(NSi.SE[[#This Row],[KU.4]],(IF(A.LoE.S[[#This Row],[LE.4]]="-","-",IF(A.LoE.S[[#This Row],[LE.4]]&gt;=90,1,IF(A.LoE.S[[#This Row],[LE.4]]&gt;=80,2,IF(A.LoE.S[[#This Row],[LE.4]]&gt;=70,3,IF(A.LoE.S[[#This Row],[LE.4]]&gt;=1,4,5)))))))</f>
        <v>--</v>
      </c>
      <c r="BG4" s="46" t="str">
        <f>CONCATENATE(NSi.SE[[#This Row],[KU.5]],(IF(A.LoE.S[[#This Row],[LE.5]]="-","-",IF(A.LoE.S[[#This Row],[LE.5]]&gt;=90,1,IF(A.LoE.S[[#This Row],[LE.5]]&gt;=80,2,IF(A.LoE.S[[#This Row],[LE.5]]&gt;=70,3,IF(A.LoE.S[[#This Row],[LE.5]]&gt;=1,4,5)))))))</f>
        <v>--</v>
      </c>
      <c r="BH4" s="46" t="str">
        <f>CONCATENATE(NSi.SE[[#This Row],[KU.6]],(IF(A.LoE.S[[#This Row],[LE.6]]="-","-",IF(A.LoE.S[[#This Row],[LE.6]]&gt;=90,1,IF(A.LoE.S[[#This Row],[LE.6]]&gt;=80,2,IF(A.LoE.S[[#This Row],[LE.6]]&gt;=70,3,IF(A.LoE.S[[#This Row],[LE.6]]&gt;=1,4,5)))))))</f>
        <v>--</v>
      </c>
      <c r="BI4" s="46" t="str">
        <f>CONCATENATE(NSi.SE[[#This Row],[KU.7]],(IF(A.LoE.S[[#This Row],[LE.7]]="-","-",IF(A.LoE.S[[#This Row],[LE.7]]&gt;=90,1,IF(A.LoE.S[[#This Row],[LE.7]]&gt;=80,2,IF(A.LoE.S[[#This Row],[LE.7]]&gt;=70,3,IF(A.LoE.S[[#This Row],[LE.7]]&gt;=1,4,5)))))))</f>
        <v>--</v>
      </c>
      <c r="BJ4" s="46" t="str">
        <f>CONCATENATE(NSi.SE[[#This Row],[KU.8]],(IF(A.LoE.S[[#This Row],[LE.8]]="-","-",IF(A.LoE.S[[#This Row],[LE.8]]&gt;=90,1,IF(A.LoE.S[[#This Row],[LE.8]]&gt;=80,2,IF(A.LoE.S[[#This Row],[LE.8]]&gt;=70,3,IF(A.LoE.S[[#This Row],[LE.8]]&gt;=1,4,5)))))))</f>
        <v>--</v>
      </c>
      <c r="BK4" s="38" t="str">
        <f>CONCATENATE(NSi.SE[[#This Row],[KU.9]],(IF(A.LoE.S[[#This Row],[LE.9]]="-","-",IF(A.LoE.S[[#This Row],[LE.9]]&gt;=90,1,IF(A.LoE.S[[#This Row],[LE.9]]&gt;=80,2,IF(A.LoE.S[[#This Row],[LE.9]]&gt;=70,3,IF(A.LoE.S[[#This Row],[LE.9]]&gt;=1,4,5)))))))</f>
        <v>--</v>
      </c>
      <c r="BM4" s="35" t="str">
        <f>IFERROR(ROUND(AVERAGE(Con.Sk.S[[#This Row],[TJ.1]:[Pro-A.1]]),0),"-")</f>
        <v>-</v>
      </c>
      <c r="BN4" s="24" t="str">
        <f>IFERROR(ROUND(AVERAGE(Con.Sk.S[[#This Row],[TJ.2]:[Pro-A.2]]),0),"-")</f>
        <v>-</v>
      </c>
      <c r="BO4" s="24" t="str">
        <f>IFERROR(ROUND(AVERAGE(Con.Sk.S[[#This Row],[TJ.3]:[Pro-A.3]]),0),"-")</f>
        <v>-</v>
      </c>
      <c r="BP4" s="24" t="str">
        <f>IFERROR(ROUND(AVERAGE(Con.Sk.S[[#This Row],[TJ.4]:[Pro-A.4]]),0),"-")</f>
        <v>-</v>
      </c>
      <c r="BQ4" s="24" t="str">
        <f>IFERROR(ROUND(AVERAGE(Con.Sk.S[[#This Row],[TJ.5]:[Pro-A.5]]),0),"-")</f>
        <v>-</v>
      </c>
      <c r="BR4" s="24" t="str">
        <f>IFERROR(ROUND(AVERAGE(Con.Sk.S[[#This Row],[TJ.6]:[Pro-A.6]]),0),"-")</f>
        <v>-</v>
      </c>
      <c r="BS4" s="24" t="str">
        <f>IFERROR(ROUND(AVERAGE(Con.Sk.S[[#This Row],[TJ.7]:[Pro-A.7]]),0),"-")</f>
        <v>-</v>
      </c>
      <c r="BT4" s="24" t="str">
        <f>IFERROR(ROUND(AVERAGE(Con.Sk.S[[#This Row],[TJ.8]:[Pro-A.8]]),0),"-")</f>
        <v>-</v>
      </c>
      <c r="BU4" s="25" t="str">
        <f>IFERROR(ROUND(AVERAGE(Con.Sk.S[[#This Row],[TJ.9]:[Pro-A.9]]),0),"-")</f>
        <v>-</v>
      </c>
      <c r="BW4" s="47" t="str">
        <f>IFERROR(ROUND(AVERAGE(Con.Sk.S[[#This Row],[KU.1]],Con.Sk.S[[#This Row],[KU.2]],Con.Sk.S[[#This Row],[KU.3]],Con.Sk.S[[#This Row],[KU.4]],Con.Sk.S[[#This Row],[KU.5]],Con.Sk.S[[#This Row],[KU.6]],Con.Sk.S[[#This Row],[KU.7]],Con.Sk.S[[#This Row],[KU.8]],Con.Sk.S[[#This Row],[KU.9]]),0),"")</f>
        <v/>
      </c>
      <c r="BX4" s="48" t="str">
        <f>IFERROR(ROUND(AVERAGE(Con.Sk.S[[#This Row],[TJ.1]:[Pro-A.1]],Con.Sk.S[[#This Row],[TJ.2]:[Pro-A.2]],Con.Sk.S[[#This Row],[TJ.3]:[Pro-A.3]],Con.Sk.S[[#This Row],[TJ.4]:[Pro-A.4]],Con.Sk.S[[#This Row],[TJ.5]:[Pro-A.5]],Con.Sk.S[[#This Row],[TJ.6]:[Pro-A.6]],Con.Sk.S[[#This Row],[TJ.7]:[Pro-A.7]],Con.Sk.S[[#This Row],[TJ.8]:[Pro-A.8]],Con.Sk.S[[#This Row],[TJ.9]:[Pro-A.9]]),0),"")</f>
        <v/>
      </c>
      <c r="BY4" s="3"/>
      <c r="BZ4" s="73" t="str">
        <f>IF(NSi.SE[[#This Row],[KU.1]]="A",100,IF(NSi.SE[[#This Row],[KU.1]]="B",89,IF(NSi.SE[[#This Row],[KU.1]]="C",79,IF(NSi.SE[[#This Row],[KU.1]]="D",69,IF(NSi.SE[[#This Row],[KU.1]]="E",0,"-")))))</f>
        <v>-</v>
      </c>
      <c r="CA4" s="73" t="str">
        <f>IF(NSi.SE[[#This Row],[TJ.1]]=1,100,IF(NSi.SE[[#This Row],[TJ.1]]=2,89,IF(NSi.SE[[#This Row],[TJ.1]]=3,79,IF(NSi.SE[[#This Row],[TJ.1]]=4,69,IF(NSi.SE[[#This Row],[TJ.1]]=5,0,"-")))))</f>
        <v>-</v>
      </c>
      <c r="CB4" s="73" t="str">
        <f>IF(NSi.SE[[#This Row],[Ker.1]]=1,100,IF(NSi.SE[[#This Row],[Ker.1]]=2,89,IF(NSi.SE[[#This Row],[Ker.1]]=3,79,IF(NSi.SE[[#This Row],[Ker.1]]=4,69,IF(NSi.SE[[#This Row],[Ker.1]]=5,0,"-")))))</f>
        <v>-</v>
      </c>
      <c r="CC4" s="73" t="str">
        <f>IF(NSi.SE[[#This Row],[Ped.1]]=1,100,IF(NSi.SE[[#This Row],[Ped.1]]=2,89,IF(NSi.SE[[#This Row],[Ped.1]]=3,79,IF(NSi.SE[[#This Row],[Ped.1]]=4,69,IF(NSi.SE[[#This Row],[Ped.1]]=5,0,"-")))))</f>
        <v>-</v>
      </c>
      <c r="CD4" s="73" t="str">
        <f>IF(NSi.SE[[#This Row],[Pro-A.1]]=1,100,IF(NSi.SE[[#This Row],[Pro-A.1]]=2,89,IF(NSi.SE[[#This Row],[Pro-A.1]]=3,79,IF(NSi.SE[[#This Row],[Pro-A.1]]=4,69,IF(NSi.SE[[#This Row],[Pro-A.1]]=5,0,"-")))))</f>
        <v>-</v>
      </c>
      <c r="CE4" s="73" t="str">
        <f>IF(NSi.SE[[#This Row],[KU.2]]="A",100,IF(NSi.SE[[#This Row],[KU.2]]="B",89,IF(NSi.SE[[#This Row],[KU.2]]="C",79,IF(NSi.SE[[#This Row],[KU.2]]="D",69,IF(NSi.SE[[#This Row],[KU.2]]="E",0,"-")))))</f>
        <v>-</v>
      </c>
      <c r="CF4" s="73" t="str">
        <f>IF(NSi.SE[[#This Row],[TJ.2]]=1,100,IF(NSi.SE[[#This Row],[TJ.2]]=2,89,IF(NSi.SE[[#This Row],[TJ.2]]=3,79,IF(NSi.SE[[#This Row],[TJ.2]]=4,69,IF(NSi.SE[[#This Row],[TJ.2]]=5,0,"-")))))</f>
        <v>-</v>
      </c>
      <c r="CG4" s="73" t="str">
        <f>IF(NSi.SE[[#This Row],[Ker.2]]=1,100,IF(NSi.SE[[#This Row],[Ker.2]]=2,89,IF(NSi.SE[[#This Row],[Ker.2]]=3,79,IF(NSi.SE[[#This Row],[Ker.2]]=4,69,IF(NSi.SE[[#This Row],[Ker.2]]=5,0,"-")))))</f>
        <v>-</v>
      </c>
      <c r="CH4" s="73" t="str">
        <f>IF(NSi.SE[[#This Row],[Ped.2]]=1,100,IF(NSi.SE[[#This Row],[Ped.2]]=2,89,IF(NSi.SE[[#This Row],[Ped.2]]=3,79,IF(NSi.SE[[#This Row],[Ped.2]]=4,69,IF(NSi.SE[[#This Row],[Ped.2]]=5,0,"-")))))</f>
        <v>-</v>
      </c>
      <c r="CI4" s="73" t="str">
        <f>IF(NSi.SE[[#This Row],[Pro-A.2]]=1,100,IF(NSi.SE[[#This Row],[Pro-A.2]]=2,89,IF(NSi.SE[[#This Row],[Pro-A.2]]=3,79,IF(NSi.SE[[#This Row],[Pro-A.2]]=4,69,IF(NSi.SE[[#This Row],[Pro-A.2]]=5,0,"-")))))</f>
        <v>-</v>
      </c>
      <c r="CJ4" s="74" t="str">
        <f>IF(NSi.SE[[#This Row],[KU.3]]="A",100,IF(NSi.SE[[#This Row],[KU.3]]="B",89,IF(NSi.SE[[#This Row],[KU.3]]="C",79,IF(NSi.SE[[#This Row],[KU.3]]="D",69,IF(NSi.SE[[#This Row],[KU.3]]="E",0,"-")))))</f>
        <v>-</v>
      </c>
      <c r="CK4" s="73" t="str">
        <f>IF(NSi.SE[[#This Row],[TJ.3]]=1,100,IF(NSi.SE[[#This Row],[TJ.3]]=2,89,IF(NSi.SE[[#This Row],[TJ.3]]=3,79,IF(NSi.SE[[#This Row],[TJ.3]]=4,69,IF(NSi.SE[[#This Row],[TJ.3]]=5,0,"-")))))</f>
        <v>-</v>
      </c>
      <c r="CL4" s="73" t="str">
        <f>IF(NSi.SE[[#This Row],[Ker.3]]=1,100,IF(NSi.SE[[#This Row],[Ker.3]]=2,89,IF(NSi.SE[[#This Row],[Ker.3]]=3,79,IF(NSi.SE[[#This Row],[Ker.3]]=4,69,IF(NSi.SE[[#This Row],[Ker.3]]=5,0,"-")))))</f>
        <v>-</v>
      </c>
      <c r="CM4" s="73" t="str">
        <f>IF(NSi.SE[[#This Row],[Ped.3]]=1,100,IF(NSi.SE[[#This Row],[Ped.3]]=2,89,IF(NSi.SE[[#This Row],[Ped.3]]=3,79,IF(NSi.SE[[#This Row],[Ped.3]]=4,69,IF(NSi.SE[[#This Row],[Ped.3]]=5,0,"-")))))</f>
        <v>-</v>
      </c>
      <c r="CN4" s="73" t="str">
        <f>IF(NSi.SE[[#This Row],[Pro-A.3]]=1,100,IF(NSi.SE[[#This Row],[Pro-A.3]]=2,89,IF(NSi.SE[[#This Row],[Pro-A.3]]=3,79,IF(NSi.SE[[#This Row],[Pro-A.3]]=4,69,IF(NSi.SE[[#This Row],[Pro-A.3]]=5,0,"-")))))</f>
        <v>-</v>
      </c>
      <c r="CO4" s="74" t="str">
        <f>IF(NSi.SE[[#This Row],[KU.4]]="A",100,IF(NSi.SE[[#This Row],[KU.4]]="B",89,IF(NSi.SE[[#This Row],[KU.4]]="C",79,IF(NSi.SE[[#This Row],[KU.4]]="D",69,IF(NSi.SE[[#This Row],[KU.4]]="E",0,"-")))))</f>
        <v>-</v>
      </c>
      <c r="CP4" s="73" t="str">
        <f>IF(NSi.SE[[#This Row],[TJ.4]]=1,100,IF(NSi.SE[[#This Row],[TJ.4]]=2,89,IF(NSi.SE[[#This Row],[TJ.4]]=3,79,IF(NSi.SE[[#This Row],[TJ.4]]=4,69,IF(NSi.SE[[#This Row],[TJ.4]]=5,0,"-")))))</f>
        <v>-</v>
      </c>
      <c r="CQ4" s="73" t="str">
        <f>IF(NSi.SE[[#This Row],[Ker.4]]=1,100,IF(NSi.SE[[#This Row],[Ker.4]]=2,89,IF(NSi.SE[[#This Row],[Ker.4]]=3,79,IF(NSi.SE[[#This Row],[Ker.4]]=4,69,IF(NSi.SE[[#This Row],[Ker.4]]=5,0,"-")))))</f>
        <v>-</v>
      </c>
      <c r="CR4" s="73" t="str">
        <f>IF(NSi.SE[[#This Row],[Ped.4]]=1,100,IF(NSi.SE[[#This Row],[Ped.4]]=2,89,IF(NSi.SE[[#This Row],[Ped.4]]=3,79,IF(NSi.SE[[#This Row],[Ped.4]]=4,69,IF(NSi.SE[[#This Row],[Ped.4]]=5,0,"-")))))</f>
        <v>-</v>
      </c>
      <c r="CS4" s="73" t="str">
        <f>IF(NSi.SE[[#This Row],[Pro-A.4]]=1,100,IF(NSi.SE[[#This Row],[Pro-A.4]]=2,89,IF(NSi.SE[[#This Row],[Pro-A.4]]=3,79,IF(NSi.SE[[#This Row],[Pro-A.4]]=4,69,IF(NSi.SE[[#This Row],[Pro-A.4]]=5,0,"-")))))</f>
        <v>-</v>
      </c>
      <c r="CT4" s="74" t="str">
        <f>IF(NSi.SE[[#This Row],[KU.5]]="A",100,IF(NSi.SE[[#This Row],[KU.5]]="B",89,IF(NSi.SE[[#This Row],[KU.5]]="C",79,IF(NSi.SE[[#This Row],[KU.5]]="D",69,IF(NSi.SE[[#This Row],[KU.5]]="E",0,"-")))))</f>
        <v>-</v>
      </c>
      <c r="CU4" s="73" t="str">
        <f>IF(NSi.SE[[#This Row],[TJ.5]]=1,100,IF(NSi.SE[[#This Row],[TJ.5]]=2,89,IF(NSi.SE[[#This Row],[TJ.5]]=3,79,IF(NSi.SE[[#This Row],[TJ.5]]=4,69,IF(NSi.SE[[#This Row],[TJ.5]]=5,0,"-")))))</f>
        <v>-</v>
      </c>
      <c r="CV4" s="73" t="str">
        <f>IF(NSi.SE[[#This Row],[Ker.5]]=1,100,IF(NSi.SE[[#This Row],[Ker.5]]=2,89,IF(NSi.SE[[#This Row],[Ker.5]]=3,79,IF(NSi.SE[[#This Row],[Ker.5]]=4,69,IF(NSi.SE[[#This Row],[Ker.5]]=5,0,"-")))))</f>
        <v>-</v>
      </c>
      <c r="CW4" s="73" t="str">
        <f>IF(NSi.SE[[#This Row],[Ped.5]]=1,100,IF(NSi.SE[[#This Row],[Ped.5]]=2,89,IF(NSi.SE[[#This Row],[Ped.5]]=3,79,IF(NSi.SE[[#This Row],[Ped.5]]=4,69,IF(NSi.SE[[#This Row],[Ped.5]]=5,0,"-")))))</f>
        <v>-</v>
      </c>
      <c r="CX4" s="73" t="str">
        <f>IF(NSi.SE[[#This Row],[Pro-A.5]]=1,100,IF(NSi.SE[[#This Row],[Pro-A.5]]=2,89,IF(NSi.SE[[#This Row],[Pro-A.5]]=3,79,IF(NSi.SE[[#This Row],[Pro-A.5]]=4,69,IF(NSi.SE[[#This Row],[Pro-A.5]]=5,0,"-")))))</f>
        <v>-</v>
      </c>
      <c r="CY4" s="74" t="str">
        <f>IF(NSi.SE[[#This Row],[KU.6]]="A",100,IF(NSi.SE[[#This Row],[KU.6]]="B",89,IF(NSi.SE[[#This Row],[KU.6]]="C",79,IF(NSi.SE[[#This Row],[KU.6]]="D",69,IF(NSi.SE[[#This Row],[KU.6]]="E",0,"-")))))</f>
        <v>-</v>
      </c>
      <c r="CZ4" s="73" t="str">
        <f>IF(NSi.SE[[#This Row],[TJ.6]]=1,100,IF(NSi.SE[[#This Row],[TJ.6]]=2,89,IF(NSi.SE[[#This Row],[TJ.6]]=3,79,IF(NSi.SE[[#This Row],[TJ.6]]=4,69,IF(NSi.SE[[#This Row],[TJ.6]]=5,0,"-")))))</f>
        <v>-</v>
      </c>
      <c r="DA4" s="73" t="str">
        <f>IF(NSi.SE[[#This Row],[Ker.6]]=1,100,IF(NSi.SE[[#This Row],[Ker.6]]=2,89,IF(NSi.SE[[#This Row],[Ker.6]]=3,79,IF(NSi.SE[[#This Row],[Ker.6]]=4,69,IF(NSi.SE[[#This Row],[Ker.6]]=5,0,"-")))))</f>
        <v>-</v>
      </c>
      <c r="DB4" s="73" t="str">
        <f>IF(NSi.SE[[#This Row],[Ped.6]]=1,100,IF(NSi.SE[[#This Row],[Ped.6]]=2,89,IF(NSi.SE[[#This Row],[Ped.6]]=3,79,IF(NSi.SE[[#This Row],[Ped.6]]=4,69,IF(NSi.SE[[#This Row],[Ped.6]]=5,0,"-")))))</f>
        <v>-</v>
      </c>
      <c r="DC4" s="73" t="str">
        <f>IF(NSi.SE[[#This Row],[Pro-A.6]]=1,100,IF(NSi.SE[[#This Row],[Pro-A.6]]=2,89,IF(NSi.SE[[#This Row],[Pro-A.6]]=3,79,IF(NSi.SE[[#This Row],[Pro-A.6]]=4,69,IF(NSi.SE[[#This Row],[Pro-A.6]]=5,0,"-")))))</f>
        <v>-</v>
      </c>
      <c r="DD4" s="74" t="str">
        <f>IF(NSi.SE[[#This Row],[KU.7]]="A",100,IF(NSi.SE[[#This Row],[KU.7]]="B",89,IF(NSi.SE[[#This Row],[KU.7]]="C",79,IF(NSi.SE[[#This Row],[KU.7]]="D",69,IF(NSi.SE[[#This Row],[KU.7]]="E",0,"-")))))</f>
        <v>-</v>
      </c>
      <c r="DE4" s="73" t="str">
        <f>IF(NSi.SE[[#This Row],[TJ.7]]=1,100,IF(NSi.SE[[#This Row],[TJ.7]]=2,89,IF(NSi.SE[[#This Row],[TJ.7]]=3,79,IF(NSi.SE[[#This Row],[TJ.7]]=4,69,IF(NSi.SE[[#This Row],[TJ.7]]=5,0,"-")))))</f>
        <v>-</v>
      </c>
      <c r="DF4" s="73" t="str">
        <f>IF(NSi.SE[[#This Row],[Ker.7]]=1,100,IF(NSi.SE[[#This Row],[Ker.7]]=2,89,IF(NSi.SE[[#This Row],[Ker.7]]=3,79,IF(NSi.SE[[#This Row],[Ker.7]]=4,69,IF(NSi.SE[[#This Row],[Ker.7]]=5,0,"-")))))</f>
        <v>-</v>
      </c>
      <c r="DG4" s="73" t="str">
        <f>IF(NSi.SE[[#This Row],[Ped.7]]=1,100,IF(NSi.SE[[#This Row],[Ped.7]]=2,89,IF(NSi.SE[[#This Row],[Ped.7]]=3,79,IF(NSi.SE[[#This Row],[Ped.7]]=4,69,IF(NSi.SE[[#This Row],[Ped.7]]=5,0,"-")))))</f>
        <v>-</v>
      </c>
      <c r="DH4" s="73" t="str">
        <f>IF(NSi.SE[[#This Row],[Pro-A.7]]=1,100,IF(NSi.SE[[#This Row],[Pro-A.7]]=2,89,IF(NSi.SE[[#This Row],[Pro-A.7]]=3,79,IF(NSi.SE[[#This Row],[Pro-A.7]]=4,69,IF(NSi.SE[[#This Row],[Pro-A.7]]=5,0,"-")))))</f>
        <v>-</v>
      </c>
      <c r="DI4" s="74" t="str">
        <f>IF(NSi.SE[[#This Row],[KU.8]]="A",100,IF(NSi.SE[[#This Row],[KU.8]]="B",89,IF(NSi.SE[[#This Row],[KU.8]]="C",79,IF(NSi.SE[[#This Row],[KU.8]]="D",69,IF(NSi.SE[[#This Row],[KU.8]]="E",0,"-")))))</f>
        <v>-</v>
      </c>
      <c r="DJ4" s="73" t="str">
        <f>IF(NSi.SE[[#This Row],[TJ.8]]=1,100,IF(NSi.SE[[#This Row],[TJ.8]]=2,89,IF(NSi.SE[[#This Row],[TJ.8]]=3,79,IF(NSi.SE[[#This Row],[TJ.8]]=4,69,IF(NSi.SE[[#This Row],[TJ.8]]=5,0,"-")))))</f>
        <v>-</v>
      </c>
      <c r="DK4" s="73" t="str">
        <f>IF(NSi.SE[[#This Row],[Ker.8]]=1,100,IF(NSi.SE[[#This Row],[Ker.8]]=2,89,IF(NSi.SE[[#This Row],[Ker.8]]=3,79,IF(NSi.SE[[#This Row],[Ker.8]]=4,69,IF(NSi.SE[[#This Row],[Ker.8]]=5,0,"-")))))</f>
        <v>-</v>
      </c>
      <c r="DL4" s="73" t="str">
        <f>IF(NSi.SE[[#This Row],[Ped.8]]=1,100,IF(NSi.SE[[#This Row],[Ped.8]]=2,89,IF(NSi.SE[[#This Row],[Ped.8]]=3,79,IF(NSi.SE[[#This Row],[Ped.8]]=4,69,IF(NSi.SE[[#This Row],[Ped.8]]=5,0,"-")))))</f>
        <v>-</v>
      </c>
      <c r="DM4" s="73" t="str">
        <f>IF(NSi.SE[[#This Row],[Pro-A.8]]=1,100,IF(NSi.SE[[#This Row],[Pro-A.8]]=2,89,IF(NSi.SE[[#This Row],[Pro-A.8]]=3,79,IF(NSi.SE[[#This Row],[Pro-A.8]]=4,69,IF(NSi.SE[[#This Row],[Pro-A.8]]=5,0,"-")))))</f>
        <v>-</v>
      </c>
      <c r="DN4" s="74" t="str">
        <f>IF(NSi.SE[[#This Row],[KU.9]]="A",100,IF(NSi.SE[[#This Row],[KU.9]]="B",89,IF(NSi.SE[[#This Row],[KU.9]]="C",79,IF(NSi.SE[[#This Row],[KU.9]]="D",69,IF(NSi.SE[[#This Row],[KU.9]]="E",0,"-")))))</f>
        <v>-</v>
      </c>
      <c r="DO4" s="73" t="str">
        <f>IF(NSi.SE[[#This Row],[TJ.9]]=1,100,IF(NSi.SE[[#This Row],[TJ.9]]=2,89,IF(NSi.SE[[#This Row],[TJ.9]]=3,79,IF(NSi.SE[[#This Row],[TJ.9]]=4,69,IF(NSi.SE[[#This Row],[TJ.9]]=5,0,"-")))))</f>
        <v>-</v>
      </c>
      <c r="DP4" s="73" t="str">
        <f>IF(NSi.SE[[#This Row],[Ker.9]]=1,100,IF(NSi.SE[[#This Row],[Ker.9]]=2,89,IF(NSi.SE[[#This Row],[Ker.9]]=3,79,IF(NSi.SE[[#This Row],[Ker.9]]=4,69,IF(NSi.SE[[#This Row],[Ker.9]]=5,0,"-")))))</f>
        <v>-</v>
      </c>
      <c r="DQ4" s="73" t="str">
        <f>IF(NSi.SE[[#This Row],[Ped.9]]=1,100,IF(NSi.SE[[#This Row],[Ped.9]]=2,89,IF(NSi.SE[[#This Row],[Ped.9]]=3,79,IF(NSi.SE[[#This Row],[Ped.9]]=4,69,IF(NSi.SE[[#This Row],[Ped.9]]=5,0,"-")))))</f>
        <v>-</v>
      </c>
      <c r="DR4" s="73" t="str">
        <f>IF(NSi.SE[[#This Row],[Pro-A.9]]=1,100,IF(NSi.SE[[#This Row],[Pro-A.9]]=2,89,IF(NSi.SE[[#This Row],[Pro-A.9]]=3,79,IF(NSi.SE[[#This Row],[Pro-A.9]]=4,69,IF(NSi.SE[[#This Row],[Pro-A.9]]=5,0,"-")))))</f>
        <v>-</v>
      </c>
      <c r="DT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5" spans="1:124" ht="50.1" customHeight="1" x14ac:dyDescent="0.3">
      <c r="A5" s="66">
        <f>IF(NSi.TS[[#This Row],[No]]=0,"",NSi.TS[[#This Row],[No]])</f>
        <v>3</v>
      </c>
      <c r="B5" s="67" t="str">
        <f>IF(NSi.TS[[#This Row],[Nama Siswa]]=0,"",NSi.TS[[#This Row],[Nama Siswa]])</f>
        <v/>
      </c>
      <c r="C5" s="68" t="str">
        <f>IF(NSi.TS[[#This Row],[Nomor Induk]]=0,"",NSi.TS[[#This Row],[Nomor Induk]])</f>
        <v/>
      </c>
      <c r="D5" s="68" t="str">
        <f>IF(NSi.TS[[#This Row],[NISN]]=0,"",NSi.TS[[#This Row],[NISN]])</f>
        <v/>
      </c>
      <c r="E5" s="68" t="str">
        <f>IF(NSi.TS[[#This Row],[Jurusan]]=0,"",NSi.TS[[#This Row],[Jurusan]])</f>
        <v/>
      </c>
      <c r="F5" s="39" t="str">
        <f>NSi.TS[[#This Row],[Nsi.TS]]</f>
        <v/>
      </c>
      <c r="G5" s="39" t="str">
        <f>IFERROR(ROUND(AVERAGE(CSCR.S[#This Row]),0),"")</f>
        <v/>
      </c>
      <c r="H5" s="39" t="str">
        <f>IFERROR(ROUND(AVERAGE(NSi.SE[[#This Row],[Nsi.TS]:[NS.iS]]),0),"")</f>
        <v/>
      </c>
      <c r="I5" s="41" t="s">
        <v>102</v>
      </c>
      <c r="J5" s="45" t="s">
        <v>102</v>
      </c>
      <c r="K5" s="45" t="s">
        <v>102</v>
      </c>
      <c r="L5" s="45" t="s">
        <v>102</v>
      </c>
      <c r="M5" s="45" t="s">
        <v>102</v>
      </c>
      <c r="N5" s="41" t="s">
        <v>102</v>
      </c>
      <c r="O5" s="45" t="s">
        <v>102</v>
      </c>
      <c r="P5" s="45" t="s">
        <v>102</v>
      </c>
      <c r="Q5" s="45" t="s">
        <v>102</v>
      </c>
      <c r="R5" s="45" t="s">
        <v>102</v>
      </c>
      <c r="S5" s="41" t="s">
        <v>102</v>
      </c>
      <c r="T5" s="45" t="s">
        <v>102</v>
      </c>
      <c r="U5" s="45" t="s">
        <v>102</v>
      </c>
      <c r="V5" s="45" t="s">
        <v>102</v>
      </c>
      <c r="W5" s="45" t="s">
        <v>102</v>
      </c>
      <c r="X5" s="41" t="s">
        <v>102</v>
      </c>
      <c r="Y5" s="45" t="s">
        <v>102</v>
      </c>
      <c r="Z5" s="45" t="s">
        <v>102</v>
      </c>
      <c r="AA5" s="45" t="s">
        <v>102</v>
      </c>
      <c r="AB5" s="45" t="s">
        <v>102</v>
      </c>
      <c r="AC5" s="41" t="s">
        <v>102</v>
      </c>
      <c r="AD5" s="45" t="s">
        <v>102</v>
      </c>
      <c r="AE5" s="45" t="s">
        <v>102</v>
      </c>
      <c r="AF5" s="45" t="s">
        <v>102</v>
      </c>
      <c r="AG5" s="45" t="s">
        <v>102</v>
      </c>
      <c r="AH5" s="41" t="s">
        <v>102</v>
      </c>
      <c r="AI5" s="45" t="s">
        <v>102</v>
      </c>
      <c r="AJ5" s="45" t="s">
        <v>102</v>
      </c>
      <c r="AK5" s="45" t="s">
        <v>102</v>
      </c>
      <c r="AL5" s="45" t="s">
        <v>102</v>
      </c>
      <c r="AM5" s="41" t="s">
        <v>102</v>
      </c>
      <c r="AN5" s="45" t="s">
        <v>102</v>
      </c>
      <c r="AO5" s="45" t="s">
        <v>102</v>
      </c>
      <c r="AP5" s="45" t="s">
        <v>102</v>
      </c>
      <c r="AQ5" s="45" t="s">
        <v>102</v>
      </c>
      <c r="AR5" s="41" t="s">
        <v>102</v>
      </c>
      <c r="AS5" s="45" t="s">
        <v>102</v>
      </c>
      <c r="AT5" s="45" t="s">
        <v>102</v>
      </c>
      <c r="AU5" s="45" t="s">
        <v>102</v>
      </c>
      <c r="AV5" s="45" t="s">
        <v>102</v>
      </c>
      <c r="AW5" s="41" t="s">
        <v>102</v>
      </c>
      <c r="AX5" s="45" t="s">
        <v>102</v>
      </c>
      <c r="AY5" s="45" t="s">
        <v>102</v>
      </c>
      <c r="AZ5" s="45" t="s">
        <v>102</v>
      </c>
      <c r="BA5" s="45" t="s">
        <v>102</v>
      </c>
      <c r="BC5" s="10" t="str">
        <f>CONCATENATE(NSi.SE[[#This Row],[KU.1]],(IF(A.LoE.S[[#This Row],[LE.1]]="-","-",IF(A.LoE.S[[#This Row],[LE.1]]&gt;=90,1,IF(A.LoE.S[[#This Row],[LE.1]]&gt;=80,2,IF(A.LoE.S[[#This Row],[LE.1]]&gt;=70,3,IF(A.LoE.S[[#This Row],[LE.1]]&gt;=1,4,5)))))))</f>
        <v>--</v>
      </c>
      <c r="BD5" s="46" t="str">
        <f>CONCATENATE(NSi.SE[[#This Row],[KU.2]],(IF(A.LoE.S[[#This Row],[LE.2]]="-","-",IF(A.LoE.S[[#This Row],[LE.2]]&gt;=90,1,IF(A.LoE.S[[#This Row],[LE.2]]&gt;=80,2,IF(A.LoE.S[[#This Row],[LE.2]]&gt;=70,3,IF(A.LoE.S[[#This Row],[LE.2]]&gt;=1,4,5)))))))</f>
        <v>--</v>
      </c>
      <c r="BE5" s="46" t="str">
        <f>CONCATENATE(NSi.SE[[#This Row],[KU.3]],(IF(A.LoE.S[[#This Row],[LE.3]]="-","-",IF(A.LoE.S[[#This Row],[LE.3]]&gt;=90,1,IF(A.LoE.S[[#This Row],[LE.3]]&gt;=80,2,IF(A.LoE.S[[#This Row],[LE.3]]&gt;=70,3,IF(A.LoE.S[[#This Row],[LE.3]]&gt;=1,4,5)))))))</f>
        <v>--</v>
      </c>
      <c r="BF5" s="46" t="str">
        <f>CONCATENATE(NSi.SE[[#This Row],[KU.4]],(IF(A.LoE.S[[#This Row],[LE.4]]="-","-",IF(A.LoE.S[[#This Row],[LE.4]]&gt;=90,1,IF(A.LoE.S[[#This Row],[LE.4]]&gt;=80,2,IF(A.LoE.S[[#This Row],[LE.4]]&gt;=70,3,IF(A.LoE.S[[#This Row],[LE.4]]&gt;=1,4,5)))))))</f>
        <v>--</v>
      </c>
      <c r="BG5" s="46" t="str">
        <f>CONCATENATE(NSi.SE[[#This Row],[KU.5]],(IF(A.LoE.S[[#This Row],[LE.5]]="-","-",IF(A.LoE.S[[#This Row],[LE.5]]&gt;=90,1,IF(A.LoE.S[[#This Row],[LE.5]]&gt;=80,2,IF(A.LoE.S[[#This Row],[LE.5]]&gt;=70,3,IF(A.LoE.S[[#This Row],[LE.5]]&gt;=1,4,5)))))))</f>
        <v>--</v>
      </c>
      <c r="BH5" s="46" t="str">
        <f>CONCATENATE(NSi.SE[[#This Row],[KU.6]],(IF(A.LoE.S[[#This Row],[LE.6]]="-","-",IF(A.LoE.S[[#This Row],[LE.6]]&gt;=90,1,IF(A.LoE.S[[#This Row],[LE.6]]&gt;=80,2,IF(A.LoE.S[[#This Row],[LE.6]]&gt;=70,3,IF(A.LoE.S[[#This Row],[LE.6]]&gt;=1,4,5)))))))</f>
        <v>--</v>
      </c>
      <c r="BI5" s="46" t="str">
        <f>CONCATENATE(NSi.SE[[#This Row],[KU.7]],(IF(A.LoE.S[[#This Row],[LE.7]]="-","-",IF(A.LoE.S[[#This Row],[LE.7]]&gt;=90,1,IF(A.LoE.S[[#This Row],[LE.7]]&gt;=80,2,IF(A.LoE.S[[#This Row],[LE.7]]&gt;=70,3,IF(A.LoE.S[[#This Row],[LE.7]]&gt;=1,4,5)))))))</f>
        <v>--</v>
      </c>
      <c r="BJ5" s="46" t="str">
        <f>CONCATENATE(NSi.SE[[#This Row],[KU.8]],(IF(A.LoE.S[[#This Row],[LE.8]]="-","-",IF(A.LoE.S[[#This Row],[LE.8]]&gt;=90,1,IF(A.LoE.S[[#This Row],[LE.8]]&gt;=80,2,IF(A.LoE.S[[#This Row],[LE.8]]&gt;=70,3,IF(A.LoE.S[[#This Row],[LE.8]]&gt;=1,4,5)))))))</f>
        <v>--</v>
      </c>
      <c r="BK5" s="38" t="str">
        <f>CONCATENATE(NSi.SE[[#This Row],[KU.9]],(IF(A.LoE.S[[#This Row],[LE.9]]="-","-",IF(A.LoE.S[[#This Row],[LE.9]]&gt;=90,1,IF(A.LoE.S[[#This Row],[LE.9]]&gt;=80,2,IF(A.LoE.S[[#This Row],[LE.9]]&gt;=70,3,IF(A.LoE.S[[#This Row],[LE.9]]&gt;=1,4,5)))))))</f>
        <v>--</v>
      </c>
      <c r="BM5" s="35" t="str">
        <f>IFERROR(ROUND(AVERAGE(Con.Sk.S[[#This Row],[TJ.1]:[Pro-A.1]]),0),"-")</f>
        <v>-</v>
      </c>
      <c r="BN5" s="24" t="str">
        <f>IFERROR(ROUND(AVERAGE(Con.Sk.S[[#This Row],[TJ.2]:[Pro-A.2]]),0),"-")</f>
        <v>-</v>
      </c>
      <c r="BO5" s="24" t="str">
        <f>IFERROR(ROUND(AVERAGE(Con.Sk.S[[#This Row],[TJ.3]:[Pro-A.3]]),0),"-")</f>
        <v>-</v>
      </c>
      <c r="BP5" s="24" t="str">
        <f>IFERROR(ROUND(AVERAGE(Con.Sk.S[[#This Row],[TJ.4]:[Pro-A.4]]),0),"-")</f>
        <v>-</v>
      </c>
      <c r="BQ5" s="24" t="str">
        <f>IFERROR(ROUND(AVERAGE(Con.Sk.S[[#This Row],[TJ.5]:[Pro-A.5]]),0),"-")</f>
        <v>-</v>
      </c>
      <c r="BR5" s="24" t="str">
        <f>IFERROR(ROUND(AVERAGE(Con.Sk.S[[#This Row],[TJ.6]:[Pro-A.6]]),0),"-")</f>
        <v>-</v>
      </c>
      <c r="BS5" s="24" t="str">
        <f>IFERROR(ROUND(AVERAGE(Con.Sk.S[[#This Row],[TJ.7]:[Pro-A.7]]),0),"-")</f>
        <v>-</v>
      </c>
      <c r="BT5" s="24" t="str">
        <f>IFERROR(ROUND(AVERAGE(Con.Sk.S[[#This Row],[TJ.8]:[Pro-A.8]]),0),"-")</f>
        <v>-</v>
      </c>
      <c r="BU5" s="25" t="str">
        <f>IFERROR(ROUND(AVERAGE(Con.Sk.S[[#This Row],[TJ.9]:[Pro-A.9]]),0),"-")</f>
        <v>-</v>
      </c>
      <c r="BW5" s="47" t="str">
        <f>IFERROR(ROUND(AVERAGE(Con.Sk.S[[#This Row],[KU.1]],Con.Sk.S[[#This Row],[KU.2]],Con.Sk.S[[#This Row],[KU.3]],Con.Sk.S[[#This Row],[KU.4]],Con.Sk.S[[#This Row],[KU.5]],Con.Sk.S[[#This Row],[KU.6]],Con.Sk.S[[#This Row],[KU.7]],Con.Sk.S[[#This Row],[KU.8]],Con.Sk.S[[#This Row],[KU.9]]),0),"")</f>
        <v/>
      </c>
      <c r="BX5" s="48" t="str">
        <f>IFERROR(ROUND(AVERAGE(Con.Sk.S[[#This Row],[TJ.1]:[Pro-A.1]],Con.Sk.S[[#This Row],[TJ.2]:[Pro-A.2]],Con.Sk.S[[#This Row],[TJ.3]:[Pro-A.3]],Con.Sk.S[[#This Row],[TJ.4]:[Pro-A.4]],Con.Sk.S[[#This Row],[TJ.5]:[Pro-A.5]],Con.Sk.S[[#This Row],[TJ.6]:[Pro-A.6]],Con.Sk.S[[#This Row],[TJ.7]:[Pro-A.7]],Con.Sk.S[[#This Row],[TJ.8]:[Pro-A.8]],Con.Sk.S[[#This Row],[TJ.9]:[Pro-A.9]]),0),"")</f>
        <v/>
      </c>
      <c r="BY5" s="3"/>
      <c r="BZ5" s="73" t="str">
        <f>IF(NSi.SE[[#This Row],[KU.1]]="A",100,IF(NSi.SE[[#This Row],[KU.1]]="B",89,IF(NSi.SE[[#This Row],[KU.1]]="C",79,IF(NSi.SE[[#This Row],[KU.1]]="D",69,IF(NSi.SE[[#This Row],[KU.1]]="E",0,"-")))))</f>
        <v>-</v>
      </c>
      <c r="CA5" s="73" t="str">
        <f>IF(NSi.SE[[#This Row],[TJ.1]]=1,100,IF(NSi.SE[[#This Row],[TJ.1]]=2,89,IF(NSi.SE[[#This Row],[TJ.1]]=3,79,IF(NSi.SE[[#This Row],[TJ.1]]=4,69,IF(NSi.SE[[#This Row],[TJ.1]]=5,0,"-")))))</f>
        <v>-</v>
      </c>
      <c r="CB5" s="73" t="str">
        <f>IF(NSi.SE[[#This Row],[Ker.1]]=1,100,IF(NSi.SE[[#This Row],[Ker.1]]=2,89,IF(NSi.SE[[#This Row],[Ker.1]]=3,79,IF(NSi.SE[[#This Row],[Ker.1]]=4,69,IF(NSi.SE[[#This Row],[Ker.1]]=5,0,"-")))))</f>
        <v>-</v>
      </c>
      <c r="CC5" s="73" t="str">
        <f>IF(NSi.SE[[#This Row],[Ped.1]]=1,100,IF(NSi.SE[[#This Row],[Ped.1]]=2,89,IF(NSi.SE[[#This Row],[Ped.1]]=3,79,IF(NSi.SE[[#This Row],[Ped.1]]=4,69,IF(NSi.SE[[#This Row],[Ped.1]]=5,0,"-")))))</f>
        <v>-</v>
      </c>
      <c r="CD5" s="73" t="str">
        <f>IF(NSi.SE[[#This Row],[Pro-A.1]]=1,100,IF(NSi.SE[[#This Row],[Pro-A.1]]=2,89,IF(NSi.SE[[#This Row],[Pro-A.1]]=3,79,IF(NSi.SE[[#This Row],[Pro-A.1]]=4,69,IF(NSi.SE[[#This Row],[Pro-A.1]]=5,0,"-")))))</f>
        <v>-</v>
      </c>
      <c r="CE5" s="73" t="str">
        <f>IF(NSi.SE[[#This Row],[KU.2]]="A",100,IF(NSi.SE[[#This Row],[KU.2]]="B",89,IF(NSi.SE[[#This Row],[KU.2]]="C",79,IF(NSi.SE[[#This Row],[KU.2]]="D",69,IF(NSi.SE[[#This Row],[KU.2]]="E",0,"-")))))</f>
        <v>-</v>
      </c>
      <c r="CF5" s="73" t="str">
        <f>IF(NSi.SE[[#This Row],[TJ.2]]=1,100,IF(NSi.SE[[#This Row],[TJ.2]]=2,89,IF(NSi.SE[[#This Row],[TJ.2]]=3,79,IF(NSi.SE[[#This Row],[TJ.2]]=4,69,IF(NSi.SE[[#This Row],[TJ.2]]=5,0,"-")))))</f>
        <v>-</v>
      </c>
      <c r="CG5" s="73" t="str">
        <f>IF(NSi.SE[[#This Row],[Ker.2]]=1,100,IF(NSi.SE[[#This Row],[Ker.2]]=2,89,IF(NSi.SE[[#This Row],[Ker.2]]=3,79,IF(NSi.SE[[#This Row],[Ker.2]]=4,69,IF(NSi.SE[[#This Row],[Ker.2]]=5,0,"-")))))</f>
        <v>-</v>
      </c>
      <c r="CH5" s="73" t="str">
        <f>IF(NSi.SE[[#This Row],[Ped.2]]=1,100,IF(NSi.SE[[#This Row],[Ped.2]]=2,89,IF(NSi.SE[[#This Row],[Ped.2]]=3,79,IF(NSi.SE[[#This Row],[Ped.2]]=4,69,IF(NSi.SE[[#This Row],[Ped.2]]=5,0,"-")))))</f>
        <v>-</v>
      </c>
      <c r="CI5" s="73" t="str">
        <f>IF(NSi.SE[[#This Row],[Pro-A.2]]=1,100,IF(NSi.SE[[#This Row],[Pro-A.2]]=2,89,IF(NSi.SE[[#This Row],[Pro-A.2]]=3,79,IF(NSi.SE[[#This Row],[Pro-A.2]]=4,69,IF(NSi.SE[[#This Row],[Pro-A.2]]=5,0,"-")))))</f>
        <v>-</v>
      </c>
      <c r="CJ5" s="74" t="str">
        <f>IF(NSi.SE[[#This Row],[KU.3]]="A",100,IF(NSi.SE[[#This Row],[KU.3]]="B",89,IF(NSi.SE[[#This Row],[KU.3]]="C",79,IF(NSi.SE[[#This Row],[KU.3]]="D",69,IF(NSi.SE[[#This Row],[KU.3]]="E",0,"-")))))</f>
        <v>-</v>
      </c>
      <c r="CK5" s="73" t="str">
        <f>IF(NSi.SE[[#This Row],[TJ.3]]=1,100,IF(NSi.SE[[#This Row],[TJ.3]]=2,89,IF(NSi.SE[[#This Row],[TJ.3]]=3,79,IF(NSi.SE[[#This Row],[TJ.3]]=4,69,IF(NSi.SE[[#This Row],[TJ.3]]=5,0,"-")))))</f>
        <v>-</v>
      </c>
      <c r="CL5" s="73" t="str">
        <f>IF(NSi.SE[[#This Row],[Ker.3]]=1,100,IF(NSi.SE[[#This Row],[Ker.3]]=2,89,IF(NSi.SE[[#This Row],[Ker.3]]=3,79,IF(NSi.SE[[#This Row],[Ker.3]]=4,69,IF(NSi.SE[[#This Row],[Ker.3]]=5,0,"-")))))</f>
        <v>-</v>
      </c>
      <c r="CM5" s="73" t="str">
        <f>IF(NSi.SE[[#This Row],[Ped.3]]=1,100,IF(NSi.SE[[#This Row],[Ped.3]]=2,89,IF(NSi.SE[[#This Row],[Ped.3]]=3,79,IF(NSi.SE[[#This Row],[Ped.3]]=4,69,IF(NSi.SE[[#This Row],[Ped.3]]=5,0,"-")))))</f>
        <v>-</v>
      </c>
      <c r="CN5" s="73" t="str">
        <f>IF(NSi.SE[[#This Row],[Pro-A.3]]=1,100,IF(NSi.SE[[#This Row],[Pro-A.3]]=2,89,IF(NSi.SE[[#This Row],[Pro-A.3]]=3,79,IF(NSi.SE[[#This Row],[Pro-A.3]]=4,69,IF(NSi.SE[[#This Row],[Pro-A.3]]=5,0,"-")))))</f>
        <v>-</v>
      </c>
      <c r="CO5" s="74" t="str">
        <f>IF(NSi.SE[[#This Row],[KU.4]]="A",100,IF(NSi.SE[[#This Row],[KU.4]]="B",89,IF(NSi.SE[[#This Row],[KU.4]]="C",79,IF(NSi.SE[[#This Row],[KU.4]]="D",69,IF(NSi.SE[[#This Row],[KU.4]]="E",0,"-")))))</f>
        <v>-</v>
      </c>
      <c r="CP5" s="73" t="str">
        <f>IF(NSi.SE[[#This Row],[TJ.4]]=1,100,IF(NSi.SE[[#This Row],[TJ.4]]=2,89,IF(NSi.SE[[#This Row],[TJ.4]]=3,79,IF(NSi.SE[[#This Row],[TJ.4]]=4,69,IF(NSi.SE[[#This Row],[TJ.4]]=5,0,"-")))))</f>
        <v>-</v>
      </c>
      <c r="CQ5" s="73" t="str">
        <f>IF(NSi.SE[[#This Row],[Ker.4]]=1,100,IF(NSi.SE[[#This Row],[Ker.4]]=2,89,IF(NSi.SE[[#This Row],[Ker.4]]=3,79,IF(NSi.SE[[#This Row],[Ker.4]]=4,69,IF(NSi.SE[[#This Row],[Ker.4]]=5,0,"-")))))</f>
        <v>-</v>
      </c>
      <c r="CR5" s="73" t="str">
        <f>IF(NSi.SE[[#This Row],[Ped.4]]=1,100,IF(NSi.SE[[#This Row],[Ped.4]]=2,89,IF(NSi.SE[[#This Row],[Ped.4]]=3,79,IF(NSi.SE[[#This Row],[Ped.4]]=4,69,IF(NSi.SE[[#This Row],[Ped.4]]=5,0,"-")))))</f>
        <v>-</v>
      </c>
      <c r="CS5" s="73" t="str">
        <f>IF(NSi.SE[[#This Row],[Pro-A.4]]=1,100,IF(NSi.SE[[#This Row],[Pro-A.4]]=2,89,IF(NSi.SE[[#This Row],[Pro-A.4]]=3,79,IF(NSi.SE[[#This Row],[Pro-A.4]]=4,69,IF(NSi.SE[[#This Row],[Pro-A.4]]=5,0,"-")))))</f>
        <v>-</v>
      </c>
      <c r="CT5" s="74" t="str">
        <f>IF(NSi.SE[[#This Row],[KU.5]]="A",100,IF(NSi.SE[[#This Row],[KU.5]]="B",89,IF(NSi.SE[[#This Row],[KU.5]]="C",79,IF(NSi.SE[[#This Row],[KU.5]]="D",69,IF(NSi.SE[[#This Row],[KU.5]]="E",0,"-")))))</f>
        <v>-</v>
      </c>
      <c r="CU5" s="73" t="str">
        <f>IF(NSi.SE[[#This Row],[TJ.5]]=1,100,IF(NSi.SE[[#This Row],[TJ.5]]=2,89,IF(NSi.SE[[#This Row],[TJ.5]]=3,79,IF(NSi.SE[[#This Row],[TJ.5]]=4,69,IF(NSi.SE[[#This Row],[TJ.5]]=5,0,"-")))))</f>
        <v>-</v>
      </c>
      <c r="CV5" s="73" t="str">
        <f>IF(NSi.SE[[#This Row],[Ker.5]]=1,100,IF(NSi.SE[[#This Row],[Ker.5]]=2,89,IF(NSi.SE[[#This Row],[Ker.5]]=3,79,IF(NSi.SE[[#This Row],[Ker.5]]=4,69,IF(NSi.SE[[#This Row],[Ker.5]]=5,0,"-")))))</f>
        <v>-</v>
      </c>
      <c r="CW5" s="73" t="str">
        <f>IF(NSi.SE[[#This Row],[Ped.5]]=1,100,IF(NSi.SE[[#This Row],[Ped.5]]=2,89,IF(NSi.SE[[#This Row],[Ped.5]]=3,79,IF(NSi.SE[[#This Row],[Ped.5]]=4,69,IF(NSi.SE[[#This Row],[Ped.5]]=5,0,"-")))))</f>
        <v>-</v>
      </c>
      <c r="CX5" s="73" t="str">
        <f>IF(NSi.SE[[#This Row],[Pro-A.5]]=1,100,IF(NSi.SE[[#This Row],[Pro-A.5]]=2,89,IF(NSi.SE[[#This Row],[Pro-A.5]]=3,79,IF(NSi.SE[[#This Row],[Pro-A.5]]=4,69,IF(NSi.SE[[#This Row],[Pro-A.5]]=5,0,"-")))))</f>
        <v>-</v>
      </c>
      <c r="CY5" s="74" t="str">
        <f>IF(NSi.SE[[#This Row],[KU.6]]="A",100,IF(NSi.SE[[#This Row],[KU.6]]="B",89,IF(NSi.SE[[#This Row],[KU.6]]="C",79,IF(NSi.SE[[#This Row],[KU.6]]="D",69,IF(NSi.SE[[#This Row],[KU.6]]="E",0,"-")))))</f>
        <v>-</v>
      </c>
      <c r="CZ5" s="73" t="str">
        <f>IF(NSi.SE[[#This Row],[TJ.6]]=1,100,IF(NSi.SE[[#This Row],[TJ.6]]=2,89,IF(NSi.SE[[#This Row],[TJ.6]]=3,79,IF(NSi.SE[[#This Row],[TJ.6]]=4,69,IF(NSi.SE[[#This Row],[TJ.6]]=5,0,"-")))))</f>
        <v>-</v>
      </c>
      <c r="DA5" s="73" t="str">
        <f>IF(NSi.SE[[#This Row],[Ker.6]]=1,100,IF(NSi.SE[[#This Row],[Ker.6]]=2,89,IF(NSi.SE[[#This Row],[Ker.6]]=3,79,IF(NSi.SE[[#This Row],[Ker.6]]=4,69,IF(NSi.SE[[#This Row],[Ker.6]]=5,0,"-")))))</f>
        <v>-</v>
      </c>
      <c r="DB5" s="73" t="str">
        <f>IF(NSi.SE[[#This Row],[Ped.6]]=1,100,IF(NSi.SE[[#This Row],[Ped.6]]=2,89,IF(NSi.SE[[#This Row],[Ped.6]]=3,79,IF(NSi.SE[[#This Row],[Ped.6]]=4,69,IF(NSi.SE[[#This Row],[Ped.6]]=5,0,"-")))))</f>
        <v>-</v>
      </c>
      <c r="DC5" s="73" t="str">
        <f>IF(NSi.SE[[#This Row],[Pro-A.6]]=1,100,IF(NSi.SE[[#This Row],[Pro-A.6]]=2,89,IF(NSi.SE[[#This Row],[Pro-A.6]]=3,79,IF(NSi.SE[[#This Row],[Pro-A.6]]=4,69,IF(NSi.SE[[#This Row],[Pro-A.6]]=5,0,"-")))))</f>
        <v>-</v>
      </c>
      <c r="DD5" s="74" t="str">
        <f>IF(NSi.SE[[#This Row],[KU.7]]="A",100,IF(NSi.SE[[#This Row],[KU.7]]="B",89,IF(NSi.SE[[#This Row],[KU.7]]="C",79,IF(NSi.SE[[#This Row],[KU.7]]="D",69,IF(NSi.SE[[#This Row],[KU.7]]="E",0,"-")))))</f>
        <v>-</v>
      </c>
      <c r="DE5" s="73" t="str">
        <f>IF(NSi.SE[[#This Row],[TJ.7]]=1,100,IF(NSi.SE[[#This Row],[TJ.7]]=2,89,IF(NSi.SE[[#This Row],[TJ.7]]=3,79,IF(NSi.SE[[#This Row],[TJ.7]]=4,69,IF(NSi.SE[[#This Row],[TJ.7]]=5,0,"-")))))</f>
        <v>-</v>
      </c>
      <c r="DF5" s="73" t="str">
        <f>IF(NSi.SE[[#This Row],[Ker.7]]=1,100,IF(NSi.SE[[#This Row],[Ker.7]]=2,89,IF(NSi.SE[[#This Row],[Ker.7]]=3,79,IF(NSi.SE[[#This Row],[Ker.7]]=4,69,IF(NSi.SE[[#This Row],[Ker.7]]=5,0,"-")))))</f>
        <v>-</v>
      </c>
      <c r="DG5" s="73" t="str">
        <f>IF(NSi.SE[[#This Row],[Ped.7]]=1,100,IF(NSi.SE[[#This Row],[Ped.7]]=2,89,IF(NSi.SE[[#This Row],[Ped.7]]=3,79,IF(NSi.SE[[#This Row],[Ped.7]]=4,69,IF(NSi.SE[[#This Row],[Ped.7]]=5,0,"-")))))</f>
        <v>-</v>
      </c>
      <c r="DH5" s="73" t="str">
        <f>IF(NSi.SE[[#This Row],[Pro-A.7]]=1,100,IF(NSi.SE[[#This Row],[Pro-A.7]]=2,89,IF(NSi.SE[[#This Row],[Pro-A.7]]=3,79,IF(NSi.SE[[#This Row],[Pro-A.7]]=4,69,IF(NSi.SE[[#This Row],[Pro-A.7]]=5,0,"-")))))</f>
        <v>-</v>
      </c>
      <c r="DI5" s="74" t="str">
        <f>IF(NSi.SE[[#This Row],[KU.8]]="A",100,IF(NSi.SE[[#This Row],[KU.8]]="B",89,IF(NSi.SE[[#This Row],[KU.8]]="C",79,IF(NSi.SE[[#This Row],[KU.8]]="D",69,IF(NSi.SE[[#This Row],[KU.8]]="E",0,"-")))))</f>
        <v>-</v>
      </c>
      <c r="DJ5" s="73" t="str">
        <f>IF(NSi.SE[[#This Row],[TJ.8]]=1,100,IF(NSi.SE[[#This Row],[TJ.8]]=2,89,IF(NSi.SE[[#This Row],[TJ.8]]=3,79,IF(NSi.SE[[#This Row],[TJ.8]]=4,69,IF(NSi.SE[[#This Row],[TJ.8]]=5,0,"-")))))</f>
        <v>-</v>
      </c>
      <c r="DK5" s="73" t="str">
        <f>IF(NSi.SE[[#This Row],[Ker.8]]=1,100,IF(NSi.SE[[#This Row],[Ker.8]]=2,89,IF(NSi.SE[[#This Row],[Ker.8]]=3,79,IF(NSi.SE[[#This Row],[Ker.8]]=4,69,IF(NSi.SE[[#This Row],[Ker.8]]=5,0,"-")))))</f>
        <v>-</v>
      </c>
      <c r="DL5" s="73" t="str">
        <f>IF(NSi.SE[[#This Row],[Ped.8]]=1,100,IF(NSi.SE[[#This Row],[Ped.8]]=2,89,IF(NSi.SE[[#This Row],[Ped.8]]=3,79,IF(NSi.SE[[#This Row],[Ped.8]]=4,69,IF(NSi.SE[[#This Row],[Ped.8]]=5,0,"-")))))</f>
        <v>-</v>
      </c>
      <c r="DM5" s="73" t="str">
        <f>IF(NSi.SE[[#This Row],[Pro-A.8]]=1,100,IF(NSi.SE[[#This Row],[Pro-A.8]]=2,89,IF(NSi.SE[[#This Row],[Pro-A.8]]=3,79,IF(NSi.SE[[#This Row],[Pro-A.8]]=4,69,IF(NSi.SE[[#This Row],[Pro-A.8]]=5,0,"-")))))</f>
        <v>-</v>
      </c>
      <c r="DN5" s="74" t="str">
        <f>IF(NSi.SE[[#This Row],[KU.9]]="A",100,IF(NSi.SE[[#This Row],[KU.9]]="B",89,IF(NSi.SE[[#This Row],[KU.9]]="C",79,IF(NSi.SE[[#This Row],[KU.9]]="D",69,IF(NSi.SE[[#This Row],[KU.9]]="E",0,"-")))))</f>
        <v>-</v>
      </c>
      <c r="DO5" s="73" t="str">
        <f>IF(NSi.SE[[#This Row],[TJ.9]]=1,100,IF(NSi.SE[[#This Row],[TJ.9]]=2,89,IF(NSi.SE[[#This Row],[TJ.9]]=3,79,IF(NSi.SE[[#This Row],[TJ.9]]=4,69,IF(NSi.SE[[#This Row],[TJ.9]]=5,0,"-")))))</f>
        <v>-</v>
      </c>
      <c r="DP5" s="73" t="str">
        <f>IF(NSi.SE[[#This Row],[Ker.9]]=1,100,IF(NSi.SE[[#This Row],[Ker.9]]=2,89,IF(NSi.SE[[#This Row],[Ker.9]]=3,79,IF(NSi.SE[[#This Row],[Ker.9]]=4,69,IF(NSi.SE[[#This Row],[Ker.9]]=5,0,"-")))))</f>
        <v>-</v>
      </c>
      <c r="DQ5" s="73" t="str">
        <f>IF(NSi.SE[[#This Row],[Ped.9]]=1,100,IF(NSi.SE[[#This Row],[Ped.9]]=2,89,IF(NSi.SE[[#This Row],[Ped.9]]=3,79,IF(NSi.SE[[#This Row],[Ped.9]]=4,69,IF(NSi.SE[[#This Row],[Ped.9]]=5,0,"-")))))</f>
        <v>-</v>
      </c>
      <c r="DR5" s="73" t="str">
        <f>IF(NSi.SE[[#This Row],[Pro-A.9]]=1,100,IF(NSi.SE[[#This Row],[Pro-A.9]]=2,89,IF(NSi.SE[[#This Row],[Pro-A.9]]=3,79,IF(NSi.SE[[#This Row],[Pro-A.9]]=4,69,IF(NSi.SE[[#This Row],[Pro-A.9]]=5,0,"-")))))</f>
        <v>-</v>
      </c>
      <c r="DT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6" spans="1:124" ht="50.1" customHeight="1" x14ac:dyDescent="0.3">
      <c r="A6" s="66">
        <f>IF(NSi.TS[[#This Row],[No]]=0,"",NSi.TS[[#This Row],[No]])</f>
        <v>4</v>
      </c>
      <c r="B6" s="67" t="str">
        <f>IF(NSi.TS[[#This Row],[Nama Siswa]]=0,"",NSi.TS[[#This Row],[Nama Siswa]])</f>
        <v/>
      </c>
      <c r="C6" s="68" t="str">
        <f>IF(NSi.TS[[#This Row],[Nomor Induk]]=0,"",NSi.TS[[#This Row],[Nomor Induk]])</f>
        <v/>
      </c>
      <c r="D6" s="68" t="str">
        <f>IF(NSi.TS[[#This Row],[NISN]]=0,"",NSi.TS[[#This Row],[NISN]])</f>
        <v/>
      </c>
      <c r="E6" s="68" t="str">
        <f>IF(NSi.TS[[#This Row],[Jurusan]]=0,"",NSi.TS[[#This Row],[Jurusan]])</f>
        <v/>
      </c>
      <c r="F6" s="39" t="str">
        <f>NSi.TS[[#This Row],[Nsi.TS]]</f>
        <v/>
      </c>
      <c r="G6" s="39" t="str">
        <f>IFERROR(ROUND(AVERAGE(CSCR.S[#This Row]),0),"")</f>
        <v/>
      </c>
      <c r="H6" s="39" t="str">
        <f>IFERROR(ROUND(AVERAGE(NSi.SE[[#This Row],[Nsi.TS]:[NS.iS]]),0),"")</f>
        <v/>
      </c>
      <c r="I6" s="41" t="s">
        <v>102</v>
      </c>
      <c r="J6" s="45" t="s">
        <v>102</v>
      </c>
      <c r="K6" s="45" t="s">
        <v>102</v>
      </c>
      <c r="L6" s="45" t="s">
        <v>102</v>
      </c>
      <c r="M6" s="45" t="s">
        <v>102</v>
      </c>
      <c r="N6" s="41" t="s">
        <v>102</v>
      </c>
      <c r="O6" s="45" t="s">
        <v>102</v>
      </c>
      <c r="P6" s="45" t="s">
        <v>102</v>
      </c>
      <c r="Q6" s="45" t="s">
        <v>102</v>
      </c>
      <c r="R6" s="45" t="s">
        <v>102</v>
      </c>
      <c r="S6" s="41" t="s">
        <v>102</v>
      </c>
      <c r="T6" s="45" t="s">
        <v>102</v>
      </c>
      <c r="U6" s="45" t="s">
        <v>102</v>
      </c>
      <c r="V6" s="45" t="s">
        <v>102</v>
      </c>
      <c r="W6" s="45" t="s">
        <v>102</v>
      </c>
      <c r="X6" s="41" t="s">
        <v>102</v>
      </c>
      <c r="Y6" s="45" t="s">
        <v>102</v>
      </c>
      <c r="Z6" s="45" t="s">
        <v>102</v>
      </c>
      <c r="AA6" s="45" t="s">
        <v>102</v>
      </c>
      <c r="AB6" s="45" t="s">
        <v>102</v>
      </c>
      <c r="AC6" s="41" t="s">
        <v>102</v>
      </c>
      <c r="AD6" s="45" t="s">
        <v>102</v>
      </c>
      <c r="AE6" s="45" t="s">
        <v>102</v>
      </c>
      <c r="AF6" s="45" t="s">
        <v>102</v>
      </c>
      <c r="AG6" s="45" t="s">
        <v>102</v>
      </c>
      <c r="AH6" s="41" t="s">
        <v>102</v>
      </c>
      <c r="AI6" s="45" t="s">
        <v>102</v>
      </c>
      <c r="AJ6" s="45" t="s">
        <v>102</v>
      </c>
      <c r="AK6" s="45" t="s">
        <v>102</v>
      </c>
      <c r="AL6" s="45" t="s">
        <v>102</v>
      </c>
      <c r="AM6" s="41" t="s">
        <v>102</v>
      </c>
      <c r="AN6" s="45" t="s">
        <v>102</v>
      </c>
      <c r="AO6" s="45" t="s">
        <v>102</v>
      </c>
      <c r="AP6" s="45" t="s">
        <v>102</v>
      </c>
      <c r="AQ6" s="45" t="s">
        <v>102</v>
      </c>
      <c r="AR6" s="41" t="s">
        <v>102</v>
      </c>
      <c r="AS6" s="45" t="s">
        <v>102</v>
      </c>
      <c r="AT6" s="45" t="s">
        <v>102</v>
      </c>
      <c r="AU6" s="45" t="s">
        <v>102</v>
      </c>
      <c r="AV6" s="45" t="s">
        <v>102</v>
      </c>
      <c r="AW6" s="41" t="s">
        <v>102</v>
      </c>
      <c r="AX6" s="45" t="s">
        <v>102</v>
      </c>
      <c r="AY6" s="45" t="s">
        <v>102</v>
      </c>
      <c r="AZ6" s="45" t="s">
        <v>102</v>
      </c>
      <c r="BA6" s="45" t="s">
        <v>102</v>
      </c>
      <c r="BC6" s="10" t="str">
        <f>CONCATENATE(NSi.SE[[#This Row],[KU.1]],(IF(A.LoE.S[[#This Row],[LE.1]]="-","-",IF(A.LoE.S[[#This Row],[LE.1]]&gt;=90,1,IF(A.LoE.S[[#This Row],[LE.1]]&gt;=80,2,IF(A.LoE.S[[#This Row],[LE.1]]&gt;=70,3,IF(A.LoE.S[[#This Row],[LE.1]]&gt;=1,4,5)))))))</f>
        <v>--</v>
      </c>
      <c r="BD6" s="46" t="str">
        <f>CONCATENATE(NSi.SE[[#This Row],[KU.2]],(IF(A.LoE.S[[#This Row],[LE.2]]="-","-",IF(A.LoE.S[[#This Row],[LE.2]]&gt;=90,1,IF(A.LoE.S[[#This Row],[LE.2]]&gt;=80,2,IF(A.LoE.S[[#This Row],[LE.2]]&gt;=70,3,IF(A.LoE.S[[#This Row],[LE.2]]&gt;=1,4,5)))))))</f>
        <v>--</v>
      </c>
      <c r="BE6" s="46" t="str">
        <f>CONCATENATE(NSi.SE[[#This Row],[KU.3]],(IF(A.LoE.S[[#This Row],[LE.3]]="-","-",IF(A.LoE.S[[#This Row],[LE.3]]&gt;=90,1,IF(A.LoE.S[[#This Row],[LE.3]]&gt;=80,2,IF(A.LoE.S[[#This Row],[LE.3]]&gt;=70,3,IF(A.LoE.S[[#This Row],[LE.3]]&gt;=1,4,5)))))))</f>
        <v>--</v>
      </c>
      <c r="BF6" s="46" t="str">
        <f>CONCATENATE(NSi.SE[[#This Row],[KU.4]],(IF(A.LoE.S[[#This Row],[LE.4]]="-","-",IF(A.LoE.S[[#This Row],[LE.4]]&gt;=90,1,IF(A.LoE.S[[#This Row],[LE.4]]&gt;=80,2,IF(A.LoE.S[[#This Row],[LE.4]]&gt;=70,3,IF(A.LoE.S[[#This Row],[LE.4]]&gt;=1,4,5)))))))</f>
        <v>--</v>
      </c>
      <c r="BG6" s="46" t="str">
        <f>CONCATENATE(NSi.SE[[#This Row],[KU.5]],(IF(A.LoE.S[[#This Row],[LE.5]]="-","-",IF(A.LoE.S[[#This Row],[LE.5]]&gt;=90,1,IF(A.LoE.S[[#This Row],[LE.5]]&gt;=80,2,IF(A.LoE.S[[#This Row],[LE.5]]&gt;=70,3,IF(A.LoE.S[[#This Row],[LE.5]]&gt;=1,4,5)))))))</f>
        <v>--</v>
      </c>
      <c r="BH6" s="46" t="str">
        <f>CONCATENATE(NSi.SE[[#This Row],[KU.6]],(IF(A.LoE.S[[#This Row],[LE.6]]="-","-",IF(A.LoE.S[[#This Row],[LE.6]]&gt;=90,1,IF(A.LoE.S[[#This Row],[LE.6]]&gt;=80,2,IF(A.LoE.S[[#This Row],[LE.6]]&gt;=70,3,IF(A.LoE.S[[#This Row],[LE.6]]&gt;=1,4,5)))))))</f>
        <v>--</v>
      </c>
      <c r="BI6" s="46" t="str">
        <f>CONCATENATE(NSi.SE[[#This Row],[KU.7]],(IF(A.LoE.S[[#This Row],[LE.7]]="-","-",IF(A.LoE.S[[#This Row],[LE.7]]&gt;=90,1,IF(A.LoE.S[[#This Row],[LE.7]]&gt;=80,2,IF(A.LoE.S[[#This Row],[LE.7]]&gt;=70,3,IF(A.LoE.S[[#This Row],[LE.7]]&gt;=1,4,5)))))))</f>
        <v>--</v>
      </c>
      <c r="BJ6" s="46" t="str">
        <f>CONCATENATE(NSi.SE[[#This Row],[KU.8]],(IF(A.LoE.S[[#This Row],[LE.8]]="-","-",IF(A.LoE.S[[#This Row],[LE.8]]&gt;=90,1,IF(A.LoE.S[[#This Row],[LE.8]]&gt;=80,2,IF(A.LoE.S[[#This Row],[LE.8]]&gt;=70,3,IF(A.LoE.S[[#This Row],[LE.8]]&gt;=1,4,5)))))))</f>
        <v>--</v>
      </c>
      <c r="BK6" s="38" t="str">
        <f>CONCATENATE(NSi.SE[[#This Row],[KU.9]],(IF(A.LoE.S[[#This Row],[LE.9]]="-","-",IF(A.LoE.S[[#This Row],[LE.9]]&gt;=90,1,IF(A.LoE.S[[#This Row],[LE.9]]&gt;=80,2,IF(A.LoE.S[[#This Row],[LE.9]]&gt;=70,3,IF(A.LoE.S[[#This Row],[LE.9]]&gt;=1,4,5)))))))</f>
        <v>--</v>
      </c>
      <c r="BM6" s="35" t="str">
        <f>IFERROR(ROUND(AVERAGE(Con.Sk.S[[#This Row],[TJ.1]:[Pro-A.1]]),0),"-")</f>
        <v>-</v>
      </c>
      <c r="BN6" s="24" t="str">
        <f>IFERROR(ROUND(AVERAGE(Con.Sk.S[[#This Row],[TJ.2]:[Pro-A.2]]),0),"-")</f>
        <v>-</v>
      </c>
      <c r="BO6" s="24" t="str">
        <f>IFERROR(ROUND(AVERAGE(Con.Sk.S[[#This Row],[TJ.3]:[Pro-A.3]]),0),"-")</f>
        <v>-</v>
      </c>
      <c r="BP6" s="24" t="str">
        <f>IFERROR(ROUND(AVERAGE(Con.Sk.S[[#This Row],[TJ.4]:[Pro-A.4]]),0),"-")</f>
        <v>-</v>
      </c>
      <c r="BQ6" s="24" t="str">
        <f>IFERROR(ROUND(AVERAGE(Con.Sk.S[[#This Row],[TJ.5]:[Pro-A.5]]),0),"-")</f>
        <v>-</v>
      </c>
      <c r="BR6" s="24" t="str">
        <f>IFERROR(ROUND(AVERAGE(Con.Sk.S[[#This Row],[TJ.6]:[Pro-A.6]]),0),"-")</f>
        <v>-</v>
      </c>
      <c r="BS6" s="24" t="str">
        <f>IFERROR(ROUND(AVERAGE(Con.Sk.S[[#This Row],[TJ.7]:[Pro-A.7]]),0),"-")</f>
        <v>-</v>
      </c>
      <c r="BT6" s="24" t="str">
        <f>IFERROR(ROUND(AVERAGE(Con.Sk.S[[#This Row],[TJ.8]:[Pro-A.8]]),0),"-")</f>
        <v>-</v>
      </c>
      <c r="BU6" s="25" t="str">
        <f>IFERROR(ROUND(AVERAGE(Con.Sk.S[[#This Row],[TJ.9]:[Pro-A.9]]),0),"-")</f>
        <v>-</v>
      </c>
      <c r="BW6" s="47" t="str">
        <f>IFERROR(ROUND(AVERAGE(Con.Sk.S[[#This Row],[KU.1]],Con.Sk.S[[#This Row],[KU.2]],Con.Sk.S[[#This Row],[KU.3]],Con.Sk.S[[#This Row],[KU.4]],Con.Sk.S[[#This Row],[KU.5]],Con.Sk.S[[#This Row],[KU.6]],Con.Sk.S[[#This Row],[KU.7]],Con.Sk.S[[#This Row],[KU.8]],Con.Sk.S[[#This Row],[KU.9]]),0),"")</f>
        <v/>
      </c>
      <c r="BX6" s="48" t="str">
        <f>IFERROR(ROUND(AVERAGE(Con.Sk.S[[#This Row],[TJ.1]:[Pro-A.1]],Con.Sk.S[[#This Row],[TJ.2]:[Pro-A.2]],Con.Sk.S[[#This Row],[TJ.3]:[Pro-A.3]],Con.Sk.S[[#This Row],[TJ.4]:[Pro-A.4]],Con.Sk.S[[#This Row],[TJ.5]:[Pro-A.5]],Con.Sk.S[[#This Row],[TJ.6]:[Pro-A.6]],Con.Sk.S[[#This Row],[TJ.7]:[Pro-A.7]],Con.Sk.S[[#This Row],[TJ.8]:[Pro-A.8]],Con.Sk.S[[#This Row],[TJ.9]:[Pro-A.9]]),0),"")</f>
        <v/>
      </c>
      <c r="BY6" s="3"/>
      <c r="BZ6" s="73" t="str">
        <f>IF(NSi.SE[[#This Row],[KU.1]]="A",100,IF(NSi.SE[[#This Row],[KU.1]]="B",89,IF(NSi.SE[[#This Row],[KU.1]]="C",79,IF(NSi.SE[[#This Row],[KU.1]]="D",69,IF(NSi.SE[[#This Row],[KU.1]]="E",0,"-")))))</f>
        <v>-</v>
      </c>
      <c r="CA6" s="73" t="str">
        <f>IF(NSi.SE[[#This Row],[TJ.1]]=1,100,IF(NSi.SE[[#This Row],[TJ.1]]=2,89,IF(NSi.SE[[#This Row],[TJ.1]]=3,79,IF(NSi.SE[[#This Row],[TJ.1]]=4,69,IF(NSi.SE[[#This Row],[TJ.1]]=5,0,"-")))))</f>
        <v>-</v>
      </c>
      <c r="CB6" s="73" t="str">
        <f>IF(NSi.SE[[#This Row],[Ker.1]]=1,100,IF(NSi.SE[[#This Row],[Ker.1]]=2,89,IF(NSi.SE[[#This Row],[Ker.1]]=3,79,IF(NSi.SE[[#This Row],[Ker.1]]=4,69,IF(NSi.SE[[#This Row],[Ker.1]]=5,0,"-")))))</f>
        <v>-</v>
      </c>
      <c r="CC6" s="73" t="str">
        <f>IF(NSi.SE[[#This Row],[Ped.1]]=1,100,IF(NSi.SE[[#This Row],[Ped.1]]=2,89,IF(NSi.SE[[#This Row],[Ped.1]]=3,79,IF(NSi.SE[[#This Row],[Ped.1]]=4,69,IF(NSi.SE[[#This Row],[Ped.1]]=5,0,"-")))))</f>
        <v>-</v>
      </c>
      <c r="CD6" s="73" t="str">
        <f>IF(NSi.SE[[#This Row],[Pro-A.1]]=1,100,IF(NSi.SE[[#This Row],[Pro-A.1]]=2,89,IF(NSi.SE[[#This Row],[Pro-A.1]]=3,79,IF(NSi.SE[[#This Row],[Pro-A.1]]=4,69,IF(NSi.SE[[#This Row],[Pro-A.1]]=5,0,"-")))))</f>
        <v>-</v>
      </c>
      <c r="CE6" s="73" t="str">
        <f>IF(NSi.SE[[#This Row],[KU.2]]="A",100,IF(NSi.SE[[#This Row],[KU.2]]="B",89,IF(NSi.SE[[#This Row],[KU.2]]="C",79,IF(NSi.SE[[#This Row],[KU.2]]="D",69,IF(NSi.SE[[#This Row],[KU.2]]="E",0,"-")))))</f>
        <v>-</v>
      </c>
      <c r="CF6" s="73" t="str">
        <f>IF(NSi.SE[[#This Row],[TJ.2]]=1,100,IF(NSi.SE[[#This Row],[TJ.2]]=2,89,IF(NSi.SE[[#This Row],[TJ.2]]=3,79,IF(NSi.SE[[#This Row],[TJ.2]]=4,69,IF(NSi.SE[[#This Row],[TJ.2]]=5,0,"-")))))</f>
        <v>-</v>
      </c>
      <c r="CG6" s="73" t="str">
        <f>IF(NSi.SE[[#This Row],[Ker.2]]=1,100,IF(NSi.SE[[#This Row],[Ker.2]]=2,89,IF(NSi.SE[[#This Row],[Ker.2]]=3,79,IF(NSi.SE[[#This Row],[Ker.2]]=4,69,IF(NSi.SE[[#This Row],[Ker.2]]=5,0,"-")))))</f>
        <v>-</v>
      </c>
      <c r="CH6" s="73" t="str">
        <f>IF(NSi.SE[[#This Row],[Ped.2]]=1,100,IF(NSi.SE[[#This Row],[Ped.2]]=2,89,IF(NSi.SE[[#This Row],[Ped.2]]=3,79,IF(NSi.SE[[#This Row],[Ped.2]]=4,69,IF(NSi.SE[[#This Row],[Ped.2]]=5,0,"-")))))</f>
        <v>-</v>
      </c>
      <c r="CI6" s="73" t="str">
        <f>IF(NSi.SE[[#This Row],[Pro-A.2]]=1,100,IF(NSi.SE[[#This Row],[Pro-A.2]]=2,89,IF(NSi.SE[[#This Row],[Pro-A.2]]=3,79,IF(NSi.SE[[#This Row],[Pro-A.2]]=4,69,IF(NSi.SE[[#This Row],[Pro-A.2]]=5,0,"-")))))</f>
        <v>-</v>
      </c>
      <c r="CJ6" s="74" t="str">
        <f>IF(NSi.SE[[#This Row],[KU.3]]="A",100,IF(NSi.SE[[#This Row],[KU.3]]="B",89,IF(NSi.SE[[#This Row],[KU.3]]="C",79,IF(NSi.SE[[#This Row],[KU.3]]="D",69,IF(NSi.SE[[#This Row],[KU.3]]="E",0,"-")))))</f>
        <v>-</v>
      </c>
      <c r="CK6" s="73" t="str">
        <f>IF(NSi.SE[[#This Row],[TJ.3]]=1,100,IF(NSi.SE[[#This Row],[TJ.3]]=2,89,IF(NSi.SE[[#This Row],[TJ.3]]=3,79,IF(NSi.SE[[#This Row],[TJ.3]]=4,69,IF(NSi.SE[[#This Row],[TJ.3]]=5,0,"-")))))</f>
        <v>-</v>
      </c>
      <c r="CL6" s="73" t="str">
        <f>IF(NSi.SE[[#This Row],[Ker.3]]=1,100,IF(NSi.SE[[#This Row],[Ker.3]]=2,89,IF(NSi.SE[[#This Row],[Ker.3]]=3,79,IF(NSi.SE[[#This Row],[Ker.3]]=4,69,IF(NSi.SE[[#This Row],[Ker.3]]=5,0,"-")))))</f>
        <v>-</v>
      </c>
      <c r="CM6" s="73" t="str">
        <f>IF(NSi.SE[[#This Row],[Ped.3]]=1,100,IF(NSi.SE[[#This Row],[Ped.3]]=2,89,IF(NSi.SE[[#This Row],[Ped.3]]=3,79,IF(NSi.SE[[#This Row],[Ped.3]]=4,69,IF(NSi.SE[[#This Row],[Ped.3]]=5,0,"-")))))</f>
        <v>-</v>
      </c>
      <c r="CN6" s="73" t="str">
        <f>IF(NSi.SE[[#This Row],[Pro-A.3]]=1,100,IF(NSi.SE[[#This Row],[Pro-A.3]]=2,89,IF(NSi.SE[[#This Row],[Pro-A.3]]=3,79,IF(NSi.SE[[#This Row],[Pro-A.3]]=4,69,IF(NSi.SE[[#This Row],[Pro-A.3]]=5,0,"-")))))</f>
        <v>-</v>
      </c>
      <c r="CO6" s="74" t="str">
        <f>IF(NSi.SE[[#This Row],[KU.4]]="A",100,IF(NSi.SE[[#This Row],[KU.4]]="B",89,IF(NSi.SE[[#This Row],[KU.4]]="C",79,IF(NSi.SE[[#This Row],[KU.4]]="D",69,IF(NSi.SE[[#This Row],[KU.4]]="E",0,"-")))))</f>
        <v>-</v>
      </c>
      <c r="CP6" s="73" t="str">
        <f>IF(NSi.SE[[#This Row],[TJ.4]]=1,100,IF(NSi.SE[[#This Row],[TJ.4]]=2,89,IF(NSi.SE[[#This Row],[TJ.4]]=3,79,IF(NSi.SE[[#This Row],[TJ.4]]=4,69,IF(NSi.SE[[#This Row],[TJ.4]]=5,0,"-")))))</f>
        <v>-</v>
      </c>
      <c r="CQ6" s="73" t="str">
        <f>IF(NSi.SE[[#This Row],[Ker.4]]=1,100,IF(NSi.SE[[#This Row],[Ker.4]]=2,89,IF(NSi.SE[[#This Row],[Ker.4]]=3,79,IF(NSi.SE[[#This Row],[Ker.4]]=4,69,IF(NSi.SE[[#This Row],[Ker.4]]=5,0,"-")))))</f>
        <v>-</v>
      </c>
      <c r="CR6" s="73" t="str">
        <f>IF(NSi.SE[[#This Row],[Ped.4]]=1,100,IF(NSi.SE[[#This Row],[Ped.4]]=2,89,IF(NSi.SE[[#This Row],[Ped.4]]=3,79,IF(NSi.SE[[#This Row],[Ped.4]]=4,69,IF(NSi.SE[[#This Row],[Ped.4]]=5,0,"-")))))</f>
        <v>-</v>
      </c>
      <c r="CS6" s="73" t="str">
        <f>IF(NSi.SE[[#This Row],[Pro-A.4]]=1,100,IF(NSi.SE[[#This Row],[Pro-A.4]]=2,89,IF(NSi.SE[[#This Row],[Pro-A.4]]=3,79,IF(NSi.SE[[#This Row],[Pro-A.4]]=4,69,IF(NSi.SE[[#This Row],[Pro-A.4]]=5,0,"-")))))</f>
        <v>-</v>
      </c>
      <c r="CT6" s="74" t="str">
        <f>IF(NSi.SE[[#This Row],[KU.5]]="A",100,IF(NSi.SE[[#This Row],[KU.5]]="B",89,IF(NSi.SE[[#This Row],[KU.5]]="C",79,IF(NSi.SE[[#This Row],[KU.5]]="D",69,IF(NSi.SE[[#This Row],[KU.5]]="E",0,"-")))))</f>
        <v>-</v>
      </c>
      <c r="CU6" s="73" t="str">
        <f>IF(NSi.SE[[#This Row],[TJ.5]]=1,100,IF(NSi.SE[[#This Row],[TJ.5]]=2,89,IF(NSi.SE[[#This Row],[TJ.5]]=3,79,IF(NSi.SE[[#This Row],[TJ.5]]=4,69,IF(NSi.SE[[#This Row],[TJ.5]]=5,0,"-")))))</f>
        <v>-</v>
      </c>
      <c r="CV6" s="73" t="str">
        <f>IF(NSi.SE[[#This Row],[Ker.5]]=1,100,IF(NSi.SE[[#This Row],[Ker.5]]=2,89,IF(NSi.SE[[#This Row],[Ker.5]]=3,79,IF(NSi.SE[[#This Row],[Ker.5]]=4,69,IF(NSi.SE[[#This Row],[Ker.5]]=5,0,"-")))))</f>
        <v>-</v>
      </c>
      <c r="CW6" s="73" t="str">
        <f>IF(NSi.SE[[#This Row],[Ped.5]]=1,100,IF(NSi.SE[[#This Row],[Ped.5]]=2,89,IF(NSi.SE[[#This Row],[Ped.5]]=3,79,IF(NSi.SE[[#This Row],[Ped.5]]=4,69,IF(NSi.SE[[#This Row],[Ped.5]]=5,0,"-")))))</f>
        <v>-</v>
      </c>
      <c r="CX6" s="73" t="str">
        <f>IF(NSi.SE[[#This Row],[Pro-A.5]]=1,100,IF(NSi.SE[[#This Row],[Pro-A.5]]=2,89,IF(NSi.SE[[#This Row],[Pro-A.5]]=3,79,IF(NSi.SE[[#This Row],[Pro-A.5]]=4,69,IF(NSi.SE[[#This Row],[Pro-A.5]]=5,0,"-")))))</f>
        <v>-</v>
      </c>
      <c r="CY6" s="74" t="str">
        <f>IF(NSi.SE[[#This Row],[KU.6]]="A",100,IF(NSi.SE[[#This Row],[KU.6]]="B",89,IF(NSi.SE[[#This Row],[KU.6]]="C",79,IF(NSi.SE[[#This Row],[KU.6]]="D",69,IF(NSi.SE[[#This Row],[KU.6]]="E",0,"-")))))</f>
        <v>-</v>
      </c>
      <c r="CZ6" s="73" t="str">
        <f>IF(NSi.SE[[#This Row],[TJ.6]]=1,100,IF(NSi.SE[[#This Row],[TJ.6]]=2,89,IF(NSi.SE[[#This Row],[TJ.6]]=3,79,IF(NSi.SE[[#This Row],[TJ.6]]=4,69,IF(NSi.SE[[#This Row],[TJ.6]]=5,0,"-")))))</f>
        <v>-</v>
      </c>
      <c r="DA6" s="73" t="str">
        <f>IF(NSi.SE[[#This Row],[Ker.6]]=1,100,IF(NSi.SE[[#This Row],[Ker.6]]=2,89,IF(NSi.SE[[#This Row],[Ker.6]]=3,79,IF(NSi.SE[[#This Row],[Ker.6]]=4,69,IF(NSi.SE[[#This Row],[Ker.6]]=5,0,"-")))))</f>
        <v>-</v>
      </c>
      <c r="DB6" s="73" t="str">
        <f>IF(NSi.SE[[#This Row],[Ped.6]]=1,100,IF(NSi.SE[[#This Row],[Ped.6]]=2,89,IF(NSi.SE[[#This Row],[Ped.6]]=3,79,IF(NSi.SE[[#This Row],[Ped.6]]=4,69,IF(NSi.SE[[#This Row],[Ped.6]]=5,0,"-")))))</f>
        <v>-</v>
      </c>
      <c r="DC6" s="73" t="str">
        <f>IF(NSi.SE[[#This Row],[Pro-A.6]]=1,100,IF(NSi.SE[[#This Row],[Pro-A.6]]=2,89,IF(NSi.SE[[#This Row],[Pro-A.6]]=3,79,IF(NSi.SE[[#This Row],[Pro-A.6]]=4,69,IF(NSi.SE[[#This Row],[Pro-A.6]]=5,0,"-")))))</f>
        <v>-</v>
      </c>
      <c r="DD6" s="74" t="str">
        <f>IF(NSi.SE[[#This Row],[KU.7]]="A",100,IF(NSi.SE[[#This Row],[KU.7]]="B",89,IF(NSi.SE[[#This Row],[KU.7]]="C",79,IF(NSi.SE[[#This Row],[KU.7]]="D",69,IF(NSi.SE[[#This Row],[KU.7]]="E",0,"-")))))</f>
        <v>-</v>
      </c>
      <c r="DE6" s="73" t="str">
        <f>IF(NSi.SE[[#This Row],[TJ.7]]=1,100,IF(NSi.SE[[#This Row],[TJ.7]]=2,89,IF(NSi.SE[[#This Row],[TJ.7]]=3,79,IF(NSi.SE[[#This Row],[TJ.7]]=4,69,IF(NSi.SE[[#This Row],[TJ.7]]=5,0,"-")))))</f>
        <v>-</v>
      </c>
      <c r="DF6" s="73" t="str">
        <f>IF(NSi.SE[[#This Row],[Ker.7]]=1,100,IF(NSi.SE[[#This Row],[Ker.7]]=2,89,IF(NSi.SE[[#This Row],[Ker.7]]=3,79,IF(NSi.SE[[#This Row],[Ker.7]]=4,69,IF(NSi.SE[[#This Row],[Ker.7]]=5,0,"-")))))</f>
        <v>-</v>
      </c>
      <c r="DG6" s="73" t="str">
        <f>IF(NSi.SE[[#This Row],[Ped.7]]=1,100,IF(NSi.SE[[#This Row],[Ped.7]]=2,89,IF(NSi.SE[[#This Row],[Ped.7]]=3,79,IF(NSi.SE[[#This Row],[Ped.7]]=4,69,IF(NSi.SE[[#This Row],[Ped.7]]=5,0,"-")))))</f>
        <v>-</v>
      </c>
      <c r="DH6" s="73" t="str">
        <f>IF(NSi.SE[[#This Row],[Pro-A.7]]=1,100,IF(NSi.SE[[#This Row],[Pro-A.7]]=2,89,IF(NSi.SE[[#This Row],[Pro-A.7]]=3,79,IF(NSi.SE[[#This Row],[Pro-A.7]]=4,69,IF(NSi.SE[[#This Row],[Pro-A.7]]=5,0,"-")))))</f>
        <v>-</v>
      </c>
      <c r="DI6" s="74" t="str">
        <f>IF(NSi.SE[[#This Row],[KU.8]]="A",100,IF(NSi.SE[[#This Row],[KU.8]]="B",89,IF(NSi.SE[[#This Row],[KU.8]]="C",79,IF(NSi.SE[[#This Row],[KU.8]]="D",69,IF(NSi.SE[[#This Row],[KU.8]]="E",0,"-")))))</f>
        <v>-</v>
      </c>
      <c r="DJ6" s="73" t="str">
        <f>IF(NSi.SE[[#This Row],[TJ.8]]=1,100,IF(NSi.SE[[#This Row],[TJ.8]]=2,89,IF(NSi.SE[[#This Row],[TJ.8]]=3,79,IF(NSi.SE[[#This Row],[TJ.8]]=4,69,IF(NSi.SE[[#This Row],[TJ.8]]=5,0,"-")))))</f>
        <v>-</v>
      </c>
      <c r="DK6" s="73" t="str">
        <f>IF(NSi.SE[[#This Row],[Ker.8]]=1,100,IF(NSi.SE[[#This Row],[Ker.8]]=2,89,IF(NSi.SE[[#This Row],[Ker.8]]=3,79,IF(NSi.SE[[#This Row],[Ker.8]]=4,69,IF(NSi.SE[[#This Row],[Ker.8]]=5,0,"-")))))</f>
        <v>-</v>
      </c>
      <c r="DL6" s="73" t="str">
        <f>IF(NSi.SE[[#This Row],[Ped.8]]=1,100,IF(NSi.SE[[#This Row],[Ped.8]]=2,89,IF(NSi.SE[[#This Row],[Ped.8]]=3,79,IF(NSi.SE[[#This Row],[Ped.8]]=4,69,IF(NSi.SE[[#This Row],[Ped.8]]=5,0,"-")))))</f>
        <v>-</v>
      </c>
      <c r="DM6" s="73" t="str">
        <f>IF(NSi.SE[[#This Row],[Pro-A.8]]=1,100,IF(NSi.SE[[#This Row],[Pro-A.8]]=2,89,IF(NSi.SE[[#This Row],[Pro-A.8]]=3,79,IF(NSi.SE[[#This Row],[Pro-A.8]]=4,69,IF(NSi.SE[[#This Row],[Pro-A.8]]=5,0,"-")))))</f>
        <v>-</v>
      </c>
      <c r="DN6" s="74" t="str">
        <f>IF(NSi.SE[[#This Row],[KU.9]]="A",100,IF(NSi.SE[[#This Row],[KU.9]]="B",89,IF(NSi.SE[[#This Row],[KU.9]]="C",79,IF(NSi.SE[[#This Row],[KU.9]]="D",69,IF(NSi.SE[[#This Row],[KU.9]]="E",0,"-")))))</f>
        <v>-</v>
      </c>
      <c r="DO6" s="73" t="str">
        <f>IF(NSi.SE[[#This Row],[TJ.9]]=1,100,IF(NSi.SE[[#This Row],[TJ.9]]=2,89,IF(NSi.SE[[#This Row],[TJ.9]]=3,79,IF(NSi.SE[[#This Row],[TJ.9]]=4,69,IF(NSi.SE[[#This Row],[TJ.9]]=5,0,"-")))))</f>
        <v>-</v>
      </c>
      <c r="DP6" s="73" t="str">
        <f>IF(NSi.SE[[#This Row],[Ker.9]]=1,100,IF(NSi.SE[[#This Row],[Ker.9]]=2,89,IF(NSi.SE[[#This Row],[Ker.9]]=3,79,IF(NSi.SE[[#This Row],[Ker.9]]=4,69,IF(NSi.SE[[#This Row],[Ker.9]]=5,0,"-")))))</f>
        <v>-</v>
      </c>
      <c r="DQ6" s="73" t="str">
        <f>IF(NSi.SE[[#This Row],[Ped.9]]=1,100,IF(NSi.SE[[#This Row],[Ped.9]]=2,89,IF(NSi.SE[[#This Row],[Ped.9]]=3,79,IF(NSi.SE[[#This Row],[Ped.9]]=4,69,IF(NSi.SE[[#This Row],[Ped.9]]=5,0,"-")))))</f>
        <v>-</v>
      </c>
      <c r="DR6" s="73" t="str">
        <f>IF(NSi.SE[[#This Row],[Pro-A.9]]=1,100,IF(NSi.SE[[#This Row],[Pro-A.9]]=2,89,IF(NSi.SE[[#This Row],[Pro-A.9]]=3,79,IF(NSi.SE[[#This Row],[Pro-A.9]]=4,69,IF(NSi.SE[[#This Row],[Pro-A.9]]=5,0,"-")))))</f>
        <v>-</v>
      </c>
      <c r="DT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7" spans="1:124" ht="50.1" customHeight="1" x14ac:dyDescent="0.3">
      <c r="A7" s="66">
        <f>IF(NSi.TS[[#This Row],[No]]=0,"",NSi.TS[[#This Row],[No]])</f>
        <v>5</v>
      </c>
      <c r="B7" s="67" t="str">
        <f>IF(NSi.TS[[#This Row],[Nama Siswa]]=0,"",NSi.TS[[#This Row],[Nama Siswa]])</f>
        <v/>
      </c>
      <c r="C7" s="68" t="str">
        <f>IF(NSi.TS[[#This Row],[Nomor Induk]]=0,"",NSi.TS[[#This Row],[Nomor Induk]])</f>
        <v/>
      </c>
      <c r="D7" s="68" t="str">
        <f>IF(NSi.TS[[#This Row],[NISN]]=0,"",NSi.TS[[#This Row],[NISN]])</f>
        <v/>
      </c>
      <c r="E7" s="68" t="str">
        <f>IF(NSi.TS[[#This Row],[Jurusan]]=0,"",NSi.TS[[#This Row],[Jurusan]])</f>
        <v/>
      </c>
      <c r="F7" s="39" t="str">
        <f>NSi.TS[[#This Row],[Nsi.TS]]</f>
        <v/>
      </c>
      <c r="G7" s="39" t="str">
        <f>IFERROR(ROUND(AVERAGE(CSCR.S[#This Row]),0),"")</f>
        <v/>
      </c>
      <c r="H7" s="39" t="str">
        <f>IFERROR(ROUND(AVERAGE(NSi.SE[[#This Row],[Nsi.TS]:[NS.iS]]),0),"")</f>
        <v/>
      </c>
      <c r="I7" s="41" t="s">
        <v>102</v>
      </c>
      <c r="J7" s="45" t="s">
        <v>102</v>
      </c>
      <c r="K7" s="45" t="s">
        <v>102</v>
      </c>
      <c r="L7" s="45" t="s">
        <v>102</v>
      </c>
      <c r="M7" s="45" t="s">
        <v>102</v>
      </c>
      <c r="N7" s="41" t="s">
        <v>102</v>
      </c>
      <c r="O7" s="45" t="s">
        <v>102</v>
      </c>
      <c r="P7" s="45" t="s">
        <v>102</v>
      </c>
      <c r="Q7" s="45" t="s">
        <v>102</v>
      </c>
      <c r="R7" s="45" t="s">
        <v>102</v>
      </c>
      <c r="S7" s="41" t="s">
        <v>102</v>
      </c>
      <c r="T7" s="45" t="s">
        <v>102</v>
      </c>
      <c r="U7" s="45" t="s">
        <v>102</v>
      </c>
      <c r="V7" s="45" t="s">
        <v>102</v>
      </c>
      <c r="W7" s="45" t="s">
        <v>102</v>
      </c>
      <c r="X7" s="41" t="s">
        <v>102</v>
      </c>
      <c r="Y7" s="45" t="s">
        <v>102</v>
      </c>
      <c r="Z7" s="45" t="s">
        <v>102</v>
      </c>
      <c r="AA7" s="45" t="s">
        <v>102</v>
      </c>
      <c r="AB7" s="45" t="s">
        <v>102</v>
      </c>
      <c r="AC7" s="41" t="s">
        <v>102</v>
      </c>
      <c r="AD7" s="45" t="s">
        <v>102</v>
      </c>
      <c r="AE7" s="45" t="s">
        <v>102</v>
      </c>
      <c r="AF7" s="45" t="s">
        <v>102</v>
      </c>
      <c r="AG7" s="45" t="s">
        <v>102</v>
      </c>
      <c r="AH7" s="41" t="s">
        <v>102</v>
      </c>
      <c r="AI7" s="45" t="s">
        <v>102</v>
      </c>
      <c r="AJ7" s="45" t="s">
        <v>102</v>
      </c>
      <c r="AK7" s="45" t="s">
        <v>102</v>
      </c>
      <c r="AL7" s="45" t="s">
        <v>102</v>
      </c>
      <c r="AM7" s="41" t="s">
        <v>102</v>
      </c>
      <c r="AN7" s="45" t="s">
        <v>102</v>
      </c>
      <c r="AO7" s="45" t="s">
        <v>102</v>
      </c>
      <c r="AP7" s="45" t="s">
        <v>102</v>
      </c>
      <c r="AQ7" s="45" t="s">
        <v>102</v>
      </c>
      <c r="AR7" s="41" t="s">
        <v>102</v>
      </c>
      <c r="AS7" s="45" t="s">
        <v>102</v>
      </c>
      <c r="AT7" s="45" t="s">
        <v>102</v>
      </c>
      <c r="AU7" s="45" t="s">
        <v>102</v>
      </c>
      <c r="AV7" s="45" t="s">
        <v>102</v>
      </c>
      <c r="AW7" s="41" t="s">
        <v>102</v>
      </c>
      <c r="AX7" s="45" t="s">
        <v>102</v>
      </c>
      <c r="AY7" s="45" t="s">
        <v>102</v>
      </c>
      <c r="AZ7" s="45" t="s">
        <v>102</v>
      </c>
      <c r="BA7" s="45" t="s">
        <v>102</v>
      </c>
      <c r="BC7" s="10" t="str">
        <f>CONCATENATE(NSi.SE[[#This Row],[KU.1]],(IF(A.LoE.S[[#This Row],[LE.1]]="-","-",IF(A.LoE.S[[#This Row],[LE.1]]&gt;=90,1,IF(A.LoE.S[[#This Row],[LE.1]]&gt;=80,2,IF(A.LoE.S[[#This Row],[LE.1]]&gt;=70,3,IF(A.LoE.S[[#This Row],[LE.1]]&gt;=1,4,5)))))))</f>
        <v>--</v>
      </c>
      <c r="BD7" s="46" t="str">
        <f>CONCATENATE(NSi.SE[[#This Row],[KU.2]],(IF(A.LoE.S[[#This Row],[LE.2]]="-","-",IF(A.LoE.S[[#This Row],[LE.2]]&gt;=90,1,IF(A.LoE.S[[#This Row],[LE.2]]&gt;=80,2,IF(A.LoE.S[[#This Row],[LE.2]]&gt;=70,3,IF(A.LoE.S[[#This Row],[LE.2]]&gt;=1,4,5)))))))</f>
        <v>--</v>
      </c>
      <c r="BE7" s="46" t="str">
        <f>CONCATENATE(NSi.SE[[#This Row],[KU.3]],(IF(A.LoE.S[[#This Row],[LE.3]]="-","-",IF(A.LoE.S[[#This Row],[LE.3]]&gt;=90,1,IF(A.LoE.S[[#This Row],[LE.3]]&gt;=80,2,IF(A.LoE.S[[#This Row],[LE.3]]&gt;=70,3,IF(A.LoE.S[[#This Row],[LE.3]]&gt;=1,4,5)))))))</f>
        <v>--</v>
      </c>
      <c r="BF7" s="46" t="str">
        <f>CONCATENATE(NSi.SE[[#This Row],[KU.4]],(IF(A.LoE.S[[#This Row],[LE.4]]="-","-",IF(A.LoE.S[[#This Row],[LE.4]]&gt;=90,1,IF(A.LoE.S[[#This Row],[LE.4]]&gt;=80,2,IF(A.LoE.S[[#This Row],[LE.4]]&gt;=70,3,IF(A.LoE.S[[#This Row],[LE.4]]&gt;=1,4,5)))))))</f>
        <v>--</v>
      </c>
      <c r="BG7" s="46" t="str">
        <f>CONCATENATE(NSi.SE[[#This Row],[KU.5]],(IF(A.LoE.S[[#This Row],[LE.5]]="-","-",IF(A.LoE.S[[#This Row],[LE.5]]&gt;=90,1,IF(A.LoE.S[[#This Row],[LE.5]]&gt;=80,2,IF(A.LoE.S[[#This Row],[LE.5]]&gt;=70,3,IF(A.LoE.S[[#This Row],[LE.5]]&gt;=1,4,5)))))))</f>
        <v>--</v>
      </c>
      <c r="BH7" s="46" t="str">
        <f>CONCATENATE(NSi.SE[[#This Row],[KU.6]],(IF(A.LoE.S[[#This Row],[LE.6]]="-","-",IF(A.LoE.S[[#This Row],[LE.6]]&gt;=90,1,IF(A.LoE.S[[#This Row],[LE.6]]&gt;=80,2,IF(A.LoE.S[[#This Row],[LE.6]]&gt;=70,3,IF(A.LoE.S[[#This Row],[LE.6]]&gt;=1,4,5)))))))</f>
        <v>--</v>
      </c>
      <c r="BI7" s="46" t="str">
        <f>CONCATENATE(NSi.SE[[#This Row],[KU.7]],(IF(A.LoE.S[[#This Row],[LE.7]]="-","-",IF(A.LoE.S[[#This Row],[LE.7]]&gt;=90,1,IF(A.LoE.S[[#This Row],[LE.7]]&gt;=80,2,IF(A.LoE.S[[#This Row],[LE.7]]&gt;=70,3,IF(A.LoE.S[[#This Row],[LE.7]]&gt;=1,4,5)))))))</f>
        <v>--</v>
      </c>
      <c r="BJ7" s="46" t="str">
        <f>CONCATENATE(NSi.SE[[#This Row],[KU.8]],(IF(A.LoE.S[[#This Row],[LE.8]]="-","-",IF(A.LoE.S[[#This Row],[LE.8]]&gt;=90,1,IF(A.LoE.S[[#This Row],[LE.8]]&gt;=80,2,IF(A.LoE.S[[#This Row],[LE.8]]&gt;=70,3,IF(A.LoE.S[[#This Row],[LE.8]]&gt;=1,4,5)))))))</f>
        <v>--</v>
      </c>
      <c r="BK7" s="38" t="str">
        <f>CONCATENATE(NSi.SE[[#This Row],[KU.9]],(IF(A.LoE.S[[#This Row],[LE.9]]="-","-",IF(A.LoE.S[[#This Row],[LE.9]]&gt;=90,1,IF(A.LoE.S[[#This Row],[LE.9]]&gt;=80,2,IF(A.LoE.S[[#This Row],[LE.9]]&gt;=70,3,IF(A.LoE.S[[#This Row],[LE.9]]&gt;=1,4,5)))))))</f>
        <v>--</v>
      </c>
      <c r="BM7" s="35" t="str">
        <f>IFERROR(ROUND(AVERAGE(Con.Sk.S[[#This Row],[TJ.1]:[Pro-A.1]]),0),"-")</f>
        <v>-</v>
      </c>
      <c r="BN7" s="24" t="str">
        <f>IFERROR(ROUND(AVERAGE(Con.Sk.S[[#This Row],[TJ.2]:[Pro-A.2]]),0),"-")</f>
        <v>-</v>
      </c>
      <c r="BO7" s="24" t="str">
        <f>IFERROR(ROUND(AVERAGE(Con.Sk.S[[#This Row],[TJ.3]:[Pro-A.3]]),0),"-")</f>
        <v>-</v>
      </c>
      <c r="BP7" s="24" t="str">
        <f>IFERROR(ROUND(AVERAGE(Con.Sk.S[[#This Row],[TJ.4]:[Pro-A.4]]),0),"-")</f>
        <v>-</v>
      </c>
      <c r="BQ7" s="24" t="str">
        <f>IFERROR(ROUND(AVERAGE(Con.Sk.S[[#This Row],[TJ.5]:[Pro-A.5]]),0),"-")</f>
        <v>-</v>
      </c>
      <c r="BR7" s="24" t="str">
        <f>IFERROR(ROUND(AVERAGE(Con.Sk.S[[#This Row],[TJ.6]:[Pro-A.6]]),0),"-")</f>
        <v>-</v>
      </c>
      <c r="BS7" s="24" t="str">
        <f>IFERROR(ROUND(AVERAGE(Con.Sk.S[[#This Row],[TJ.7]:[Pro-A.7]]),0),"-")</f>
        <v>-</v>
      </c>
      <c r="BT7" s="24" t="str">
        <f>IFERROR(ROUND(AVERAGE(Con.Sk.S[[#This Row],[TJ.8]:[Pro-A.8]]),0),"-")</f>
        <v>-</v>
      </c>
      <c r="BU7" s="25" t="str">
        <f>IFERROR(ROUND(AVERAGE(Con.Sk.S[[#This Row],[TJ.9]:[Pro-A.9]]),0),"-")</f>
        <v>-</v>
      </c>
      <c r="BW7" s="47" t="str">
        <f>IFERROR(ROUND(AVERAGE(Con.Sk.S[[#This Row],[KU.1]],Con.Sk.S[[#This Row],[KU.2]],Con.Sk.S[[#This Row],[KU.3]],Con.Sk.S[[#This Row],[KU.4]],Con.Sk.S[[#This Row],[KU.5]],Con.Sk.S[[#This Row],[KU.6]],Con.Sk.S[[#This Row],[KU.7]],Con.Sk.S[[#This Row],[KU.8]],Con.Sk.S[[#This Row],[KU.9]]),0),"")</f>
        <v/>
      </c>
      <c r="BX7" s="48" t="str">
        <f>IFERROR(ROUND(AVERAGE(Con.Sk.S[[#This Row],[TJ.1]:[Pro-A.1]],Con.Sk.S[[#This Row],[TJ.2]:[Pro-A.2]],Con.Sk.S[[#This Row],[TJ.3]:[Pro-A.3]],Con.Sk.S[[#This Row],[TJ.4]:[Pro-A.4]],Con.Sk.S[[#This Row],[TJ.5]:[Pro-A.5]],Con.Sk.S[[#This Row],[TJ.6]:[Pro-A.6]],Con.Sk.S[[#This Row],[TJ.7]:[Pro-A.7]],Con.Sk.S[[#This Row],[TJ.8]:[Pro-A.8]],Con.Sk.S[[#This Row],[TJ.9]:[Pro-A.9]]),0),"")</f>
        <v/>
      </c>
      <c r="BY7" s="3"/>
      <c r="BZ7" s="73" t="str">
        <f>IF(NSi.SE[[#This Row],[KU.1]]="A",100,IF(NSi.SE[[#This Row],[KU.1]]="B",89,IF(NSi.SE[[#This Row],[KU.1]]="C",79,IF(NSi.SE[[#This Row],[KU.1]]="D",69,IF(NSi.SE[[#This Row],[KU.1]]="E",0,"-")))))</f>
        <v>-</v>
      </c>
      <c r="CA7" s="73" t="str">
        <f>IF(NSi.SE[[#This Row],[TJ.1]]=1,100,IF(NSi.SE[[#This Row],[TJ.1]]=2,89,IF(NSi.SE[[#This Row],[TJ.1]]=3,79,IF(NSi.SE[[#This Row],[TJ.1]]=4,69,IF(NSi.SE[[#This Row],[TJ.1]]=5,0,"-")))))</f>
        <v>-</v>
      </c>
      <c r="CB7" s="73" t="str">
        <f>IF(NSi.SE[[#This Row],[Ker.1]]=1,100,IF(NSi.SE[[#This Row],[Ker.1]]=2,89,IF(NSi.SE[[#This Row],[Ker.1]]=3,79,IF(NSi.SE[[#This Row],[Ker.1]]=4,69,IF(NSi.SE[[#This Row],[Ker.1]]=5,0,"-")))))</f>
        <v>-</v>
      </c>
      <c r="CC7" s="73" t="str">
        <f>IF(NSi.SE[[#This Row],[Ped.1]]=1,100,IF(NSi.SE[[#This Row],[Ped.1]]=2,89,IF(NSi.SE[[#This Row],[Ped.1]]=3,79,IF(NSi.SE[[#This Row],[Ped.1]]=4,69,IF(NSi.SE[[#This Row],[Ped.1]]=5,0,"-")))))</f>
        <v>-</v>
      </c>
      <c r="CD7" s="73" t="str">
        <f>IF(NSi.SE[[#This Row],[Pro-A.1]]=1,100,IF(NSi.SE[[#This Row],[Pro-A.1]]=2,89,IF(NSi.SE[[#This Row],[Pro-A.1]]=3,79,IF(NSi.SE[[#This Row],[Pro-A.1]]=4,69,IF(NSi.SE[[#This Row],[Pro-A.1]]=5,0,"-")))))</f>
        <v>-</v>
      </c>
      <c r="CE7" s="73" t="str">
        <f>IF(NSi.SE[[#This Row],[KU.2]]="A",100,IF(NSi.SE[[#This Row],[KU.2]]="B",89,IF(NSi.SE[[#This Row],[KU.2]]="C",79,IF(NSi.SE[[#This Row],[KU.2]]="D",69,IF(NSi.SE[[#This Row],[KU.2]]="E",0,"-")))))</f>
        <v>-</v>
      </c>
      <c r="CF7" s="73" t="str">
        <f>IF(NSi.SE[[#This Row],[TJ.2]]=1,100,IF(NSi.SE[[#This Row],[TJ.2]]=2,89,IF(NSi.SE[[#This Row],[TJ.2]]=3,79,IF(NSi.SE[[#This Row],[TJ.2]]=4,69,IF(NSi.SE[[#This Row],[TJ.2]]=5,0,"-")))))</f>
        <v>-</v>
      </c>
      <c r="CG7" s="73" t="str">
        <f>IF(NSi.SE[[#This Row],[Ker.2]]=1,100,IF(NSi.SE[[#This Row],[Ker.2]]=2,89,IF(NSi.SE[[#This Row],[Ker.2]]=3,79,IF(NSi.SE[[#This Row],[Ker.2]]=4,69,IF(NSi.SE[[#This Row],[Ker.2]]=5,0,"-")))))</f>
        <v>-</v>
      </c>
      <c r="CH7" s="73" t="str">
        <f>IF(NSi.SE[[#This Row],[Ped.2]]=1,100,IF(NSi.SE[[#This Row],[Ped.2]]=2,89,IF(NSi.SE[[#This Row],[Ped.2]]=3,79,IF(NSi.SE[[#This Row],[Ped.2]]=4,69,IF(NSi.SE[[#This Row],[Ped.2]]=5,0,"-")))))</f>
        <v>-</v>
      </c>
      <c r="CI7" s="73" t="str">
        <f>IF(NSi.SE[[#This Row],[Pro-A.2]]=1,100,IF(NSi.SE[[#This Row],[Pro-A.2]]=2,89,IF(NSi.SE[[#This Row],[Pro-A.2]]=3,79,IF(NSi.SE[[#This Row],[Pro-A.2]]=4,69,IF(NSi.SE[[#This Row],[Pro-A.2]]=5,0,"-")))))</f>
        <v>-</v>
      </c>
      <c r="CJ7" s="74" t="str">
        <f>IF(NSi.SE[[#This Row],[KU.3]]="A",100,IF(NSi.SE[[#This Row],[KU.3]]="B",89,IF(NSi.SE[[#This Row],[KU.3]]="C",79,IF(NSi.SE[[#This Row],[KU.3]]="D",69,IF(NSi.SE[[#This Row],[KU.3]]="E",0,"-")))))</f>
        <v>-</v>
      </c>
      <c r="CK7" s="73" t="str">
        <f>IF(NSi.SE[[#This Row],[TJ.3]]=1,100,IF(NSi.SE[[#This Row],[TJ.3]]=2,89,IF(NSi.SE[[#This Row],[TJ.3]]=3,79,IF(NSi.SE[[#This Row],[TJ.3]]=4,69,IF(NSi.SE[[#This Row],[TJ.3]]=5,0,"-")))))</f>
        <v>-</v>
      </c>
      <c r="CL7" s="73" t="str">
        <f>IF(NSi.SE[[#This Row],[Ker.3]]=1,100,IF(NSi.SE[[#This Row],[Ker.3]]=2,89,IF(NSi.SE[[#This Row],[Ker.3]]=3,79,IF(NSi.SE[[#This Row],[Ker.3]]=4,69,IF(NSi.SE[[#This Row],[Ker.3]]=5,0,"-")))))</f>
        <v>-</v>
      </c>
      <c r="CM7" s="73" t="str">
        <f>IF(NSi.SE[[#This Row],[Ped.3]]=1,100,IF(NSi.SE[[#This Row],[Ped.3]]=2,89,IF(NSi.SE[[#This Row],[Ped.3]]=3,79,IF(NSi.SE[[#This Row],[Ped.3]]=4,69,IF(NSi.SE[[#This Row],[Ped.3]]=5,0,"-")))))</f>
        <v>-</v>
      </c>
      <c r="CN7" s="73" t="str">
        <f>IF(NSi.SE[[#This Row],[Pro-A.3]]=1,100,IF(NSi.SE[[#This Row],[Pro-A.3]]=2,89,IF(NSi.SE[[#This Row],[Pro-A.3]]=3,79,IF(NSi.SE[[#This Row],[Pro-A.3]]=4,69,IF(NSi.SE[[#This Row],[Pro-A.3]]=5,0,"-")))))</f>
        <v>-</v>
      </c>
      <c r="CO7" s="74" t="str">
        <f>IF(NSi.SE[[#This Row],[KU.4]]="A",100,IF(NSi.SE[[#This Row],[KU.4]]="B",89,IF(NSi.SE[[#This Row],[KU.4]]="C",79,IF(NSi.SE[[#This Row],[KU.4]]="D",69,IF(NSi.SE[[#This Row],[KU.4]]="E",0,"-")))))</f>
        <v>-</v>
      </c>
      <c r="CP7" s="73" t="str">
        <f>IF(NSi.SE[[#This Row],[TJ.4]]=1,100,IF(NSi.SE[[#This Row],[TJ.4]]=2,89,IF(NSi.SE[[#This Row],[TJ.4]]=3,79,IF(NSi.SE[[#This Row],[TJ.4]]=4,69,IF(NSi.SE[[#This Row],[TJ.4]]=5,0,"-")))))</f>
        <v>-</v>
      </c>
      <c r="CQ7" s="73" t="str">
        <f>IF(NSi.SE[[#This Row],[Ker.4]]=1,100,IF(NSi.SE[[#This Row],[Ker.4]]=2,89,IF(NSi.SE[[#This Row],[Ker.4]]=3,79,IF(NSi.SE[[#This Row],[Ker.4]]=4,69,IF(NSi.SE[[#This Row],[Ker.4]]=5,0,"-")))))</f>
        <v>-</v>
      </c>
      <c r="CR7" s="73" t="str">
        <f>IF(NSi.SE[[#This Row],[Ped.4]]=1,100,IF(NSi.SE[[#This Row],[Ped.4]]=2,89,IF(NSi.SE[[#This Row],[Ped.4]]=3,79,IF(NSi.SE[[#This Row],[Ped.4]]=4,69,IF(NSi.SE[[#This Row],[Ped.4]]=5,0,"-")))))</f>
        <v>-</v>
      </c>
      <c r="CS7" s="73" t="str">
        <f>IF(NSi.SE[[#This Row],[Pro-A.4]]=1,100,IF(NSi.SE[[#This Row],[Pro-A.4]]=2,89,IF(NSi.SE[[#This Row],[Pro-A.4]]=3,79,IF(NSi.SE[[#This Row],[Pro-A.4]]=4,69,IF(NSi.SE[[#This Row],[Pro-A.4]]=5,0,"-")))))</f>
        <v>-</v>
      </c>
      <c r="CT7" s="74" t="str">
        <f>IF(NSi.SE[[#This Row],[KU.5]]="A",100,IF(NSi.SE[[#This Row],[KU.5]]="B",89,IF(NSi.SE[[#This Row],[KU.5]]="C",79,IF(NSi.SE[[#This Row],[KU.5]]="D",69,IF(NSi.SE[[#This Row],[KU.5]]="E",0,"-")))))</f>
        <v>-</v>
      </c>
      <c r="CU7" s="73" t="str">
        <f>IF(NSi.SE[[#This Row],[TJ.5]]=1,100,IF(NSi.SE[[#This Row],[TJ.5]]=2,89,IF(NSi.SE[[#This Row],[TJ.5]]=3,79,IF(NSi.SE[[#This Row],[TJ.5]]=4,69,IF(NSi.SE[[#This Row],[TJ.5]]=5,0,"-")))))</f>
        <v>-</v>
      </c>
      <c r="CV7" s="73" t="str">
        <f>IF(NSi.SE[[#This Row],[Ker.5]]=1,100,IF(NSi.SE[[#This Row],[Ker.5]]=2,89,IF(NSi.SE[[#This Row],[Ker.5]]=3,79,IF(NSi.SE[[#This Row],[Ker.5]]=4,69,IF(NSi.SE[[#This Row],[Ker.5]]=5,0,"-")))))</f>
        <v>-</v>
      </c>
      <c r="CW7" s="73" t="str">
        <f>IF(NSi.SE[[#This Row],[Ped.5]]=1,100,IF(NSi.SE[[#This Row],[Ped.5]]=2,89,IF(NSi.SE[[#This Row],[Ped.5]]=3,79,IF(NSi.SE[[#This Row],[Ped.5]]=4,69,IF(NSi.SE[[#This Row],[Ped.5]]=5,0,"-")))))</f>
        <v>-</v>
      </c>
      <c r="CX7" s="73" t="str">
        <f>IF(NSi.SE[[#This Row],[Pro-A.5]]=1,100,IF(NSi.SE[[#This Row],[Pro-A.5]]=2,89,IF(NSi.SE[[#This Row],[Pro-A.5]]=3,79,IF(NSi.SE[[#This Row],[Pro-A.5]]=4,69,IF(NSi.SE[[#This Row],[Pro-A.5]]=5,0,"-")))))</f>
        <v>-</v>
      </c>
      <c r="CY7" s="74" t="str">
        <f>IF(NSi.SE[[#This Row],[KU.6]]="A",100,IF(NSi.SE[[#This Row],[KU.6]]="B",89,IF(NSi.SE[[#This Row],[KU.6]]="C",79,IF(NSi.SE[[#This Row],[KU.6]]="D",69,IF(NSi.SE[[#This Row],[KU.6]]="E",0,"-")))))</f>
        <v>-</v>
      </c>
      <c r="CZ7" s="73" t="str">
        <f>IF(NSi.SE[[#This Row],[TJ.6]]=1,100,IF(NSi.SE[[#This Row],[TJ.6]]=2,89,IF(NSi.SE[[#This Row],[TJ.6]]=3,79,IF(NSi.SE[[#This Row],[TJ.6]]=4,69,IF(NSi.SE[[#This Row],[TJ.6]]=5,0,"-")))))</f>
        <v>-</v>
      </c>
      <c r="DA7" s="73" t="str">
        <f>IF(NSi.SE[[#This Row],[Ker.6]]=1,100,IF(NSi.SE[[#This Row],[Ker.6]]=2,89,IF(NSi.SE[[#This Row],[Ker.6]]=3,79,IF(NSi.SE[[#This Row],[Ker.6]]=4,69,IF(NSi.SE[[#This Row],[Ker.6]]=5,0,"-")))))</f>
        <v>-</v>
      </c>
      <c r="DB7" s="73" t="str">
        <f>IF(NSi.SE[[#This Row],[Ped.6]]=1,100,IF(NSi.SE[[#This Row],[Ped.6]]=2,89,IF(NSi.SE[[#This Row],[Ped.6]]=3,79,IF(NSi.SE[[#This Row],[Ped.6]]=4,69,IF(NSi.SE[[#This Row],[Ped.6]]=5,0,"-")))))</f>
        <v>-</v>
      </c>
      <c r="DC7" s="73" t="str">
        <f>IF(NSi.SE[[#This Row],[Pro-A.6]]=1,100,IF(NSi.SE[[#This Row],[Pro-A.6]]=2,89,IF(NSi.SE[[#This Row],[Pro-A.6]]=3,79,IF(NSi.SE[[#This Row],[Pro-A.6]]=4,69,IF(NSi.SE[[#This Row],[Pro-A.6]]=5,0,"-")))))</f>
        <v>-</v>
      </c>
      <c r="DD7" s="74" t="str">
        <f>IF(NSi.SE[[#This Row],[KU.7]]="A",100,IF(NSi.SE[[#This Row],[KU.7]]="B",89,IF(NSi.SE[[#This Row],[KU.7]]="C",79,IF(NSi.SE[[#This Row],[KU.7]]="D",69,IF(NSi.SE[[#This Row],[KU.7]]="E",0,"-")))))</f>
        <v>-</v>
      </c>
      <c r="DE7" s="73" t="str">
        <f>IF(NSi.SE[[#This Row],[TJ.7]]=1,100,IF(NSi.SE[[#This Row],[TJ.7]]=2,89,IF(NSi.SE[[#This Row],[TJ.7]]=3,79,IF(NSi.SE[[#This Row],[TJ.7]]=4,69,IF(NSi.SE[[#This Row],[TJ.7]]=5,0,"-")))))</f>
        <v>-</v>
      </c>
      <c r="DF7" s="73" t="str">
        <f>IF(NSi.SE[[#This Row],[Ker.7]]=1,100,IF(NSi.SE[[#This Row],[Ker.7]]=2,89,IF(NSi.SE[[#This Row],[Ker.7]]=3,79,IF(NSi.SE[[#This Row],[Ker.7]]=4,69,IF(NSi.SE[[#This Row],[Ker.7]]=5,0,"-")))))</f>
        <v>-</v>
      </c>
      <c r="DG7" s="73" t="str">
        <f>IF(NSi.SE[[#This Row],[Ped.7]]=1,100,IF(NSi.SE[[#This Row],[Ped.7]]=2,89,IF(NSi.SE[[#This Row],[Ped.7]]=3,79,IF(NSi.SE[[#This Row],[Ped.7]]=4,69,IF(NSi.SE[[#This Row],[Ped.7]]=5,0,"-")))))</f>
        <v>-</v>
      </c>
      <c r="DH7" s="73" t="str">
        <f>IF(NSi.SE[[#This Row],[Pro-A.7]]=1,100,IF(NSi.SE[[#This Row],[Pro-A.7]]=2,89,IF(NSi.SE[[#This Row],[Pro-A.7]]=3,79,IF(NSi.SE[[#This Row],[Pro-A.7]]=4,69,IF(NSi.SE[[#This Row],[Pro-A.7]]=5,0,"-")))))</f>
        <v>-</v>
      </c>
      <c r="DI7" s="74" t="str">
        <f>IF(NSi.SE[[#This Row],[KU.8]]="A",100,IF(NSi.SE[[#This Row],[KU.8]]="B",89,IF(NSi.SE[[#This Row],[KU.8]]="C",79,IF(NSi.SE[[#This Row],[KU.8]]="D",69,IF(NSi.SE[[#This Row],[KU.8]]="E",0,"-")))))</f>
        <v>-</v>
      </c>
      <c r="DJ7" s="73" t="str">
        <f>IF(NSi.SE[[#This Row],[TJ.8]]=1,100,IF(NSi.SE[[#This Row],[TJ.8]]=2,89,IF(NSi.SE[[#This Row],[TJ.8]]=3,79,IF(NSi.SE[[#This Row],[TJ.8]]=4,69,IF(NSi.SE[[#This Row],[TJ.8]]=5,0,"-")))))</f>
        <v>-</v>
      </c>
      <c r="DK7" s="73" t="str">
        <f>IF(NSi.SE[[#This Row],[Ker.8]]=1,100,IF(NSi.SE[[#This Row],[Ker.8]]=2,89,IF(NSi.SE[[#This Row],[Ker.8]]=3,79,IF(NSi.SE[[#This Row],[Ker.8]]=4,69,IF(NSi.SE[[#This Row],[Ker.8]]=5,0,"-")))))</f>
        <v>-</v>
      </c>
      <c r="DL7" s="73" t="str">
        <f>IF(NSi.SE[[#This Row],[Ped.8]]=1,100,IF(NSi.SE[[#This Row],[Ped.8]]=2,89,IF(NSi.SE[[#This Row],[Ped.8]]=3,79,IF(NSi.SE[[#This Row],[Ped.8]]=4,69,IF(NSi.SE[[#This Row],[Ped.8]]=5,0,"-")))))</f>
        <v>-</v>
      </c>
      <c r="DM7" s="73" t="str">
        <f>IF(NSi.SE[[#This Row],[Pro-A.8]]=1,100,IF(NSi.SE[[#This Row],[Pro-A.8]]=2,89,IF(NSi.SE[[#This Row],[Pro-A.8]]=3,79,IF(NSi.SE[[#This Row],[Pro-A.8]]=4,69,IF(NSi.SE[[#This Row],[Pro-A.8]]=5,0,"-")))))</f>
        <v>-</v>
      </c>
      <c r="DN7" s="74" t="str">
        <f>IF(NSi.SE[[#This Row],[KU.9]]="A",100,IF(NSi.SE[[#This Row],[KU.9]]="B",89,IF(NSi.SE[[#This Row],[KU.9]]="C",79,IF(NSi.SE[[#This Row],[KU.9]]="D",69,IF(NSi.SE[[#This Row],[KU.9]]="E",0,"-")))))</f>
        <v>-</v>
      </c>
      <c r="DO7" s="73" t="str">
        <f>IF(NSi.SE[[#This Row],[TJ.9]]=1,100,IF(NSi.SE[[#This Row],[TJ.9]]=2,89,IF(NSi.SE[[#This Row],[TJ.9]]=3,79,IF(NSi.SE[[#This Row],[TJ.9]]=4,69,IF(NSi.SE[[#This Row],[TJ.9]]=5,0,"-")))))</f>
        <v>-</v>
      </c>
      <c r="DP7" s="73" t="str">
        <f>IF(NSi.SE[[#This Row],[Ker.9]]=1,100,IF(NSi.SE[[#This Row],[Ker.9]]=2,89,IF(NSi.SE[[#This Row],[Ker.9]]=3,79,IF(NSi.SE[[#This Row],[Ker.9]]=4,69,IF(NSi.SE[[#This Row],[Ker.9]]=5,0,"-")))))</f>
        <v>-</v>
      </c>
      <c r="DQ7" s="73" t="str">
        <f>IF(NSi.SE[[#This Row],[Ped.9]]=1,100,IF(NSi.SE[[#This Row],[Ped.9]]=2,89,IF(NSi.SE[[#This Row],[Ped.9]]=3,79,IF(NSi.SE[[#This Row],[Ped.9]]=4,69,IF(NSi.SE[[#This Row],[Ped.9]]=5,0,"-")))))</f>
        <v>-</v>
      </c>
      <c r="DR7" s="73" t="str">
        <f>IF(NSi.SE[[#This Row],[Pro-A.9]]=1,100,IF(NSi.SE[[#This Row],[Pro-A.9]]=2,89,IF(NSi.SE[[#This Row],[Pro-A.9]]=3,79,IF(NSi.SE[[#This Row],[Pro-A.9]]=4,69,IF(NSi.SE[[#This Row],[Pro-A.9]]=5,0,"-")))))</f>
        <v>-</v>
      </c>
      <c r="DT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8" spans="1:124" ht="50.1" customHeight="1" x14ac:dyDescent="0.3">
      <c r="A8" s="66">
        <f>IF(NSi.TS[[#This Row],[No]]=0,"",NSi.TS[[#This Row],[No]])</f>
        <v>6</v>
      </c>
      <c r="B8" s="67" t="str">
        <f>IF(NSi.TS[[#This Row],[Nama Siswa]]=0,"",NSi.TS[[#This Row],[Nama Siswa]])</f>
        <v/>
      </c>
      <c r="C8" s="68" t="str">
        <f>IF(NSi.TS[[#This Row],[Nomor Induk]]=0,"",NSi.TS[[#This Row],[Nomor Induk]])</f>
        <v/>
      </c>
      <c r="D8" s="68" t="str">
        <f>IF(NSi.TS[[#This Row],[NISN]]=0,"",NSi.TS[[#This Row],[NISN]])</f>
        <v/>
      </c>
      <c r="E8" s="68" t="str">
        <f>IF(NSi.TS[[#This Row],[Jurusan]]=0,"",NSi.TS[[#This Row],[Jurusan]])</f>
        <v/>
      </c>
      <c r="F8" s="39" t="str">
        <f>NSi.TS[[#This Row],[Nsi.TS]]</f>
        <v/>
      </c>
      <c r="G8" s="39" t="str">
        <f>IFERROR(ROUND(AVERAGE(CSCR.S[#This Row]),0),"")</f>
        <v/>
      </c>
      <c r="H8" s="39" t="str">
        <f>IFERROR(ROUND(AVERAGE(NSi.SE[[#This Row],[Nsi.TS]:[NS.iS]]),0),"")</f>
        <v/>
      </c>
      <c r="I8" s="41" t="s">
        <v>102</v>
      </c>
      <c r="J8" s="45" t="s">
        <v>102</v>
      </c>
      <c r="K8" s="45" t="s">
        <v>102</v>
      </c>
      <c r="L8" s="45" t="s">
        <v>102</v>
      </c>
      <c r="M8" s="45" t="s">
        <v>102</v>
      </c>
      <c r="N8" s="41" t="s">
        <v>102</v>
      </c>
      <c r="O8" s="45" t="s">
        <v>102</v>
      </c>
      <c r="P8" s="45" t="s">
        <v>102</v>
      </c>
      <c r="Q8" s="45" t="s">
        <v>102</v>
      </c>
      <c r="R8" s="45" t="s">
        <v>102</v>
      </c>
      <c r="S8" s="41" t="s">
        <v>102</v>
      </c>
      <c r="T8" s="45" t="s">
        <v>102</v>
      </c>
      <c r="U8" s="45" t="s">
        <v>102</v>
      </c>
      <c r="V8" s="45" t="s">
        <v>102</v>
      </c>
      <c r="W8" s="45" t="s">
        <v>102</v>
      </c>
      <c r="X8" s="41" t="s">
        <v>102</v>
      </c>
      <c r="Y8" s="45" t="s">
        <v>102</v>
      </c>
      <c r="Z8" s="45" t="s">
        <v>102</v>
      </c>
      <c r="AA8" s="45" t="s">
        <v>102</v>
      </c>
      <c r="AB8" s="45" t="s">
        <v>102</v>
      </c>
      <c r="AC8" s="41" t="s">
        <v>102</v>
      </c>
      <c r="AD8" s="45" t="s">
        <v>102</v>
      </c>
      <c r="AE8" s="45" t="s">
        <v>102</v>
      </c>
      <c r="AF8" s="45" t="s">
        <v>102</v>
      </c>
      <c r="AG8" s="45" t="s">
        <v>102</v>
      </c>
      <c r="AH8" s="41" t="s">
        <v>102</v>
      </c>
      <c r="AI8" s="45" t="s">
        <v>102</v>
      </c>
      <c r="AJ8" s="45" t="s">
        <v>102</v>
      </c>
      <c r="AK8" s="45" t="s">
        <v>102</v>
      </c>
      <c r="AL8" s="45" t="s">
        <v>102</v>
      </c>
      <c r="AM8" s="41" t="s">
        <v>102</v>
      </c>
      <c r="AN8" s="45" t="s">
        <v>102</v>
      </c>
      <c r="AO8" s="45" t="s">
        <v>102</v>
      </c>
      <c r="AP8" s="45" t="s">
        <v>102</v>
      </c>
      <c r="AQ8" s="45" t="s">
        <v>102</v>
      </c>
      <c r="AR8" s="41" t="s">
        <v>102</v>
      </c>
      <c r="AS8" s="45" t="s">
        <v>102</v>
      </c>
      <c r="AT8" s="45" t="s">
        <v>102</v>
      </c>
      <c r="AU8" s="45" t="s">
        <v>102</v>
      </c>
      <c r="AV8" s="45" t="s">
        <v>102</v>
      </c>
      <c r="AW8" s="41" t="s">
        <v>102</v>
      </c>
      <c r="AX8" s="45" t="s">
        <v>102</v>
      </c>
      <c r="AY8" s="45" t="s">
        <v>102</v>
      </c>
      <c r="AZ8" s="45" t="s">
        <v>102</v>
      </c>
      <c r="BA8" s="45" t="s">
        <v>102</v>
      </c>
      <c r="BC8" s="10" t="str">
        <f>CONCATENATE(NSi.SE[[#This Row],[KU.1]],(IF(A.LoE.S[[#This Row],[LE.1]]="-","-",IF(A.LoE.S[[#This Row],[LE.1]]&gt;=90,1,IF(A.LoE.S[[#This Row],[LE.1]]&gt;=80,2,IF(A.LoE.S[[#This Row],[LE.1]]&gt;=70,3,IF(A.LoE.S[[#This Row],[LE.1]]&gt;=1,4,5)))))))</f>
        <v>--</v>
      </c>
      <c r="BD8" s="46" t="str">
        <f>CONCATENATE(NSi.SE[[#This Row],[KU.2]],(IF(A.LoE.S[[#This Row],[LE.2]]="-","-",IF(A.LoE.S[[#This Row],[LE.2]]&gt;=90,1,IF(A.LoE.S[[#This Row],[LE.2]]&gt;=80,2,IF(A.LoE.S[[#This Row],[LE.2]]&gt;=70,3,IF(A.LoE.S[[#This Row],[LE.2]]&gt;=1,4,5)))))))</f>
        <v>--</v>
      </c>
      <c r="BE8" s="46" t="str">
        <f>CONCATENATE(NSi.SE[[#This Row],[KU.3]],(IF(A.LoE.S[[#This Row],[LE.3]]="-","-",IF(A.LoE.S[[#This Row],[LE.3]]&gt;=90,1,IF(A.LoE.S[[#This Row],[LE.3]]&gt;=80,2,IF(A.LoE.S[[#This Row],[LE.3]]&gt;=70,3,IF(A.LoE.S[[#This Row],[LE.3]]&gt;=1,4,5)))))))</f>
        <v>--</v>
      </c>
      <c r="BF8" s="46" t="str">
        <f>CONCATENATE(NSi.SE[[#This Row],[KU.4]],(IF(A.LoE.S[[#This Row],[LE.4]]="-","-",IF(A.LoE.S[[#This Row],[LE.4]]&gt;=90,1,IF(A.LoE.S[[#This Row],[LE.4]]&gt;=80,2,IF(A.LoE.S[[#This Row],[LE.4]]&gt;=70,3,IF(A.LoE.S[[#This Row],[LE.4]]&gt;=1,4,5)))))))</f>
        <v>--</v>
      </c>
      <c r="BG8" s="46" t="str">
        <f>CONCATENATE(NSi.SE[[#This Row],[KU.5]],(IF(A.LoE.S[[#This Row],[LE.5]]="-","-",IF(A.LoE.S[[#This Row],[LE.5]]&gt;=90,1,IF(A.LoE.S[[#This Row],[LE.5]]&gt;=80,2,IF(A.LoE.S[[#This Row],[LE.5]]&gt;=70,3,IF(A.LoE.S[[#This Row],[LE.5]]&gt;=1,4,5)))))))</f>
        <v>--</v>
      </c>
      <c r="BH8" s="46" t="str">
        <f>CONCATENATE(NSi.SE[[#This Row],[KU.6]],(IF(A.LoE.S[[#This Row],[LE.6]]="-","-",IF(A.LoE.S[[#This Row],[LE.6]]&gt;=90,1,IF(A.LoE.S[[#This Row],[LE.6]]&gt;=80,2,IF(A.LoE.S[[#This Row],[LE.6]]&gt;=70,3,IF(A.LoE.S[[#This Row],[LE.6]]&gt;=1,4,5)))))))</f>
        <v>--</v>
      </c>
      <c r="BI8" s="46" t="str">
        <f>CONCATENATE(NSi.SE[[#This Row],[KU.7]],(IF(A.LoE.S[[#This Row],[LE.7]]="-","-",IF(A.LoE.S[[#This Row],[LE.7]]&gt;=90,1,IF(A.LoE.S[[#This Row],[LE.7]]&gt;=80,2,IF(A.LoE.S[[#This Row],[LE.7]]&gt;=70,3,IF(A.LoE.S[[#This Row],[LE.7]]&gt;=1,4,5)))))))</f>
        <v>--</v>
      </c>
      <c r="BJ8" s="46" t="str">
        <f>CONCATENATE(NSi.SE[[#This Row],[KU.8]],(IF(A.LoE.S[[#This Row],[LE.8]]="-","-",IF(A.LoE.S[[#This Row],[LE.8]]&gt;=90,1,IF(A.LoE.S[[#This Row],[LE.8]]&gt;=80,2,IF(A.LoE.S[[#This Row],[LE.8]]&gt;=70,3,IF(A.LoE.S[[#This Row],[LE.8]]&gt;=1,4,5)))))))</f>
        <v>--</v>
      </c>
      <c r="BK8" s="38" t="str">
        <f>CONCATENATE(NSi.SE[[#This Row],[KU.9]],(IF(A.LoE.S[[#This Row],[LE.9]]="-","-",IF(A.LoE.S[[#This Row],[LE.9]]&gt;=90,1,IF(A.LoE.S[[#This Row],[LE.9]]&gt;=80,2,IF(A.LoE.S[[#This Row],[LE.9]]&gt;=70,3,IF(A.LoE.S[[#This Row],[LE.9]]&gt;=1,4,5)))))))</f>
        <v>--</v>
      </c>
      <c r="BM8" s="35" t="str">
        <f>IFERROR(ROUND(AVERAGE(Con.Sk.S[[#This Row],[TJ.1]:[Pro-A.1]]),0),"-")</f>
        <v>-</v>
      </c>
      <c r="BN8" s="24" t="str">
        <f>IFERROR(ROUND(AVERAGE(Con.Sk.S[[#This Row],[TJ.2]:[Pro-A.2]]),0),"-")</f>
        <v>-</v>
      </c>
      <c r="BO8" s="24" t="str">
        <f>IFERROR(ROUND(AVERAGE(Con.Sk.S[[#This Row],[TJ.3]:[Pro-A.3]]),0),"-")</f>
        <v>-</v>
      </c>
      <c r="BP8" s="24" t="str">
        <f>IFERROR(ROUND(AVERAGE(Con.Sk.S[[#This Row],[TJ.4]:[Pro-A.4]]),0),"-")</f>
        <v>-</v>
      </c>
      <c r="BQ8" s="24" t="str">
        <f>IFERROR(ROUND(AVERAGE(Con.Sk.S[[#This Row],[TJ.5]:[Pro-A.5]]),0),"-")</f>
        <v>-</v>
      </c>
      <c r="BR8" s="24" t="str">
        <f>IFERROR(ROUND(AVERAGE(Con.Sk.S[[#This Row],[TJ.6]:[Pro-A.6]]),0),"-")</f>
        <v>-</v>
      </c>
      <c r="BS8" s="24" t="str">
        <f>IFERROR(ROUND(AVERAGE(Con.Sk.S[[#This Row],[TJ.7]:[Pro-A.7]]),0),"-")</f>
        <v>-</v>
      </c>
      <c r="BT8" s="24" t="str">
        <f>IFERROR(ROUND(AVERAGE(Con.Sk.S[[#This Row],[TJ.8]:[Pro-A.8]]),0),"-")</f>
        <v>-</v>
      </c>
      <c r="BU8" s="25" t="str">
        <f>IFERROR(ROUND(AVERAGE(Con.Sk.S[[#This Row],[TJ.9]:[Pro-A.9]]),0),"-")</f>
        <v>-</v>
      </c>
      <c r="BW8" s="47" t="str">
        <f>IFERROR(ROUND(AVERAGE(Con.Sk.S[[#This Row],[KU.1]],Con.Sk.S[[#This Row],[KU.2]],Con.Sk.S[[#This Row],[KU.3]],Con.Sk.S[[#This Row],[KU.4]],Con.Sk.S[[#This Row],[KU.5]],Con.Sk.S[[#This Row],[KU.6]],Con.Sk.S[[#This Row],[KU.7]],Con.Sk.S[[#This Row],[KU.8]],Con.Sk.S[[#This Row],[KU.9]]),0),"")</f>
        <v/>
      </c>
      <c r="BX8" s="48" t="str">
        <f>IFERROR(ROUND(AVERAGE(Con.Sk.S[[#This Row],[TJ.1]:[Pro-A.1]],Con.Sk.S[[#This Row],[TJ.2]:[Pro-A.2]],Con.Sk.S[[#This Row],[TJ.3]:[Pro-A.3]],Con.Sk.S[[#This Row],[TJ.4]:[Pro-A.4]],Con.Sk.S[[#This Row],[TJ.5]:[Pro-A.5]],Con.Sk.S[[#This Row],[TJ.6]:[Pro-A.6]],Con.Sk.S[[#This Row],[TJ.7]:[Pro-A.7]],Con.Sk.S[[#This Row],[TJ.8]:[Pro-A.8]],Con.Sk.S[[#This Row],[TJ.9]:[Pro-A.9]]),0),"")</f>
        <v/>
      </c>
      <c r="BY8" s="3"/>
      <c r="BZ8" s="73" t="str">
        <f>IF(NSi.SE[[#This Row],[KU.1]]="A",100,IF(NSi.SE[[#This Row],[KU.1]]="B",89,IF(NSi.SE[[#This Row],[KU.1]]="C",79,IF(NSi.SE[[#This Row],[KU.1]]="D",69,IF(NSi.SE[[#This Row],[KU.1]]="E",0,"-")))))</f>
        <v>-</v>
      </c>
      <c r="CA8" s="73" t="str">
        <f>IF(NSi.SE[[#This Row],[TJ.1]]=1,100,IF(NSi.SE[[#This Row],[TJ.1]]=2,89,IF(NSi.SE[[#This Row],[TJ.1]]=3,79,IF(NSi.SE[[#This Row],[TJ.1]]=4,69,IF(NSi.SE[[#This Row],[TJ.1]]=5,0,"-")))))</f>
        <v>-</v>
      </c>
      <c r="CB8" s="73" t="str">
        <f>IF(NSi.SE[[#This Row],[Ker.1]]=1,100,IF(NSi.SE[[#This Row],[Ker.1]]=2,89,IF(NSi.SE[[#This Row],[Ker.1]]=3,79,IF(NSi.SE[[#This Row],[Ker.1]]=4,69,IF(NSi.SE[[#This Row],[Ker.1]]=5,0,"-")))))</f>
        <v>-</v>
      </c>
      <c r="CC8" s="73" t="str">
        <f>IF(NSi.SE[[#This Row],[Ped.1]]=1,100,IF(NSi.SE[[#This Row],[Ped.1]]=2,89,IF(NSi.SE[[#This Row],[Ped.1]]=3,79,IF(NSi.SE[[#This Row],[Ped.1]]=4,69,IF(NSi.SE[[#This Row],[Ped.1]]=5,0,"-")))))</f>
        <v>-</v>
      </c>
      <c r="CD8" s="73" t="str">
        <f>IF(NSi.SE[[#This Row],[Pro-A.1]]=1,100,IF(NSi.SE[[#This Row],[Pro-A.1]]=2,89,IF(NSi.SE[[#This Row],[Pro-A.1]]=3,79,IF(NSi.SE[[#This Row],[Pro-A.1]]=4,69,IF(NSi.SE[[#This Row],[Pro-A.1]]=5,0,"-")))))</f>
        <v>-</v>
      </c>
      <c r="CE8" s="73" t="str">
        <f>IF(NSi.SE[[#This Row],[KU.2]]="A",100,IF(NSi.SE[[#This Row],[KU.2]]="B",89,IF(NSi.SE[[#This Row],[KU.2]]="C",79,IF(NSi.SE[[#This Row],[KU.2]]="D",69,IF(NSi.SE[[#This Row],[KU.2]]="E",0,"-")))))</f>
        <v>-</v>
      </c>
      <c r="CF8" s="73" t="str">
        <f>IF(NSi.SE[[#This Row],[TJ.2]]=1,100,IF(NSi.SE[[#This Row],[TJ.2]]=2,89,IF(NSi.SE[[#This Row],[TJ.2]]=3,79,IF(NSi.SE[[#This Row],[TJ.2]]=4,69,IF(NSi.SE[[#This Row],[TJ.2]]=5,0,"-")))))</f>
        <v>-</v>
      </c>
      <c r="CG8" s="73" t="str">
        <f>IF(NSi.SE[[#This Row],[Ker.2]]=1,100,IF(NSi.SE[[#This Row],[Ker.2]]=2,89,IF(NSi.SE[[#This Row],[Ker.2]]=3,79,IF(NSi.SE[[#This Row],[Ker.2]]=4,69,IF(NSi.SE[[#This Row],[Ker.2]]=5,0,"-")))))</f>
        <v>-</v>
      </c>
      <c r="CH8" s="73" t="str">
        <f>IF(NSi.SE[[#This Row],[Ped.2]]=1,100,IF(NSi.SE[[#This Row],[Ped.2]]=2,89,IF(NSi.SE[[#This Row],[Ped.2]]=3,79,IF(NSi.SE[[#This Row],[Ped.2]]=4,69,IF(NSi.SE[[#This Row],[Ped.2]]=5,0,"-")))))</f>
        <v>-</v>
      </c>
      <c r="CI8" s="73" t="str">
        <f>IF(NSi.SE[[#This Row],[Pro-A.2]]=1,100,IF(NSi.SE[[#This Row],[Pro-A.2]]=2,89,IF(NSi.SE[[#This Row],[Pro-A.2]]=3,79,IF(NSi.SE[[#This Row],[Pro-A.2]]=4,69,IF(NSi.SE[[#This Row],[Pro-A.2]]=5,0,"-")))))</f>
        <v>-</v>
      </c>
      <c r="CJ8" s="74" t="str">
        <f>IF(NSi.SE[[#This Row],[KU.3]]="A",100,IF(NSi.SE[[#This Row],[KU.3]]="B",89,IF(NSi.SE[[#This Row],[KU.3]]="C",79,IF(NSi.SE[[#This Row],[KU.3]]="D",69,IF(NSi.SE[[#This Row],[KU.3]]="E",0,"-")))))</f>
        <v>-</v>
      </c>
      <c r="CK8" s="73" t="str">
        <f>IF(NSi.SE[[#This Row],[TJ.3]]=1,100,IF(NSi.SE[[#This Row],[TJ.3]]=2,89,IF(NSi.SE[[#This Row],[TJ.3]]=3,79,IF(NSi.SE[[#This Row],[TJ.3]]=4,69,IF(NSi.SE[[#This Row],[TJ.3]]=5,0,"-")))))</f>
        <v>-</v>
      </c>
      <c r="CL8" s="73" t="str">
        <f>IF(NSi.SE[[#This Row],[Ker.3]]=1,100,IF(NSi.SE[[#This Row],[Ker.3]]=2,89,IF(NSi.SE[[#This Row],[Ker.3]]=3,79,IF(NSi.SE[[#This Row],[Ker.3]]=4,69,IF(NSi.SE[[#This Row],[Ker.3]]=5,0,"-")))))</f>
        <v>-</v>
      </c>
      <c r="CM8" s="73" t="str">
        <f>IF(NSi.SE[[#This Row],[Ped.3]]=1,100,IF(NSi.SE[[#This Row],[Ped.3]]=2,89,IF(NSi.SE[[#This Row],[Ped.3]]=3,79,IF(NSi.SE[[#This Row],[Ped.3]]=4,69,IF(NSi.SE[[#This Row],[Ped.3]]=5,0,"-")))))</f>
        <v>-</v>
      </c>
      <c r="CN8" s="73" t="str">
        <f>IF(NSi.SE[[#This Row],[Pro-A.3]]=1,100,IF(NSi.SE[[#This Row],[Pro-A.3]]=2,89,IF(NSi.SE[[#This Row],[Pro-A.3]]=3,79,IF(NSi.SE[[#This Row],[Pro-A.3]]=4,69,IF(NSi.SE[[#This Row],[Pro-A.3]]=5,0,"-")))))</f>
        <v>-</v>
      </c>
      <c r="CO8" s="74" t="str">
        <f>IF(NSi.SE[[#This Row],[KU.4]]="A",100,IF(NSi.SE[[#This Row],[KU.4]]="B",89,IF(NSi.SE[[#This Row],[KU.4]]="C",79,IF(NSi.SE[[#This Row],[KU.4]]="D",69,IF(NSi.SE[[#This Row],[KU.4]]="E",0,"-")))))</f>
        <v>-</v>
      </c>
      <c r="CP8" s="73" t="str">
        <f>IF(NSi.SE[[#This Row],[TJ.4]]=1,100,IF(NSi.SE[[#This Row],[TJ.4]]=2,89,IF(NSi.SE[[#This Row],[TJ.4]]=3,79,IF(NSi.SE[[#This Row],[TJ.4]]=4,69,IF(NSi.SE[[#This Row],[TJ.4]]=5,0,"-")))))</f>
        <v>-</v>
      </c>
      <c r="CQ8" s="73" t="str">
        <f>IF(NSi.SE[[#This Row],[Ker.4]]=1,100,IF(NSi.SE[[#This Row],[Ker.4]]=2,89,IF(NSi.SE[[#This Row],[Ker.4]]=3,79,IF(NSi.SE[[#This Row],[Ker.4]]=4,69,IF(NSi.SE[[#This Row],[Ker.4]]=5,0,"-")))))</f>
        <v>-</v>
      </c>
      <c r="CR8" s="73" t="str">
        <f>IF(NSi.SE[[#This Row],[Ped.4]]=1,100,IF(NSi.SE[[#This Row],[Ped.4]]=2,89,IF(NSi.SE[[#This Row],[Ped.4]]=3,79,IF(NSi.SE[[#This Row],[Ped.4]]=4,69,IF(NSi.SE[[#This Row],[Ped.4]]=5,0,"-")))))</f>
        <v>-</v>
      </c>
      <c r="CS8" s="73" t="str">
        <f>IF(NSi.SE[[#This Row],[Pro-A.4]]=1,100,IF(NSi.SE[[#This Row],[Pro-A.4]]=2,89,IF(NSi.SE[[#This Row],[Pro-A.4]]=3,79,IF(NSi.SE[[#This Row],[Pro-A.4]]=4,69,IF(NSi.SE[[#This Row],[Pro-A.4]]=5,0,"-")))))</f>
        <v>-</v>
      </c>
      <c r="CT8" s="74" t="str">
        <f>IF(NSi.SE[[#This Row],[KU.5]]="A",100,IF(NSi.SE[[#This Row],[KU.5]]="B",89,IF(NSi.SE[[#This Row],[KU.5]]="C",79,IF(NSi.SE[[#This Row],[KU.5]]="D",69,IF(NSi.SE[[#This Row],[KU.5]]="E",0,"-")))))</f>
        <v>-</v>
      </c>
      <c r="CU8" s="73" t="str">
        <f>IF(NSi.SE[[#This Row],[TJ.5]]=1,100,IF(NSi.SE[[#This Row],[TJ.5]]=2,89,IF(NSi.SE[[#This Row],[TJ.5]]=3,79,IF(NSi.SE[[#This Row],[TJ.5]]=4,69,IF(NSi.SE[[#This Row],[TJ.5]]=5,0,"-")))))</f>
        <v>-</v>
      </c>
      <c r="CV8" s="73" t="str">
        <f>IF(NSi.SE[[#This Row],[Ker.5]]=1,100,IF(NSi.SE[[#This Row],[Ker.5]]=2,89,IF(NSi.SE[[#This Row],[Ker.5]]=3,79,IF(NSi.SE[[#This Row],[Ker.5]]=4,69,IF(NSi.SE[[#This Row],[Ker.5]]=5,0,"-")))))</f>
        <v>-</v>
      </c>
      <c r="CW8" s="73" t="str">
        <f>IF(NSi.SE[[#This Row],[Ped.5]]=1,100,IF(NSi.SE[[#This Row],[Ped.5]]=2,89,IF(NSi.SE[[#This Row],[Ped.5]]=3,79,IF(NSi.SE[[#This Row],[Ped.5]]=4,69,IF(NSi.SE[[#This Row],[Ped.5]]=5,0,"-")))))</f>
        <v>-</v>
      </c>
      <c r="CX8" s="73" t="str">
        <f>IF(NSi.SE[[#This Row],[Pro-A.5]]=1,100,IF(NSi.SE[[#This Row],[Pro-A.5]]=2,89,IF(NSi.SE[[#This Row],[Pro-A.5]]=3,79,IF(NSi.SE[[#This Row],[Pro-A.5]]=4,69,IF(NSi.SE[[#This Row],[Pro-A.5]]=5,0,"-")))))</f>
        <v>-</v>
      </c>
      <c r="CY8" s="74" t="str">
        <f>IF(NSi.SE[[#This Row],[KU.6]]="A",100,IF(NSi.SE[[#This Row],[KU.6]]="B",89,IF(NSi.SE[[#This Row],[KU.6]]="C",79,IF(NSi.SE[[#This Row],[KU.6]]="D",69,IF(NSi.SE[[#This Row],[KU.6]]="E",0,"-")))))</f>
        <v>-</v>
      </c>
      <c r="CZ8" s="73" t="str">
        <f>IF(NSi.SE[[#This Row],[TJ.6]]=1,100,IF(NSi.SE[[#This Row],[TJ.6]]=2,89,IF(NSi.SE[[#This Row],[TJ.6]]=3,79,IF(NSi.SE[[#This Row],[TJ.6]]=4,69,IF(NSi.SE[[#This Row],[TJ.6]]=5,0,"-")))))</f>
        <v>-</v>
      </c>
      <c r="DA8" s="73" t="str">
        <f>IF(NSi.SE[[#This Row],[Ker.6]]=1,100,IF(NSi.SE[[#This Row],[Ker.6]]=2,89,IF(NSi.SE[[#This Row],[Ker.6]]=3,79,IF(NSi.SE[[#This Row],[Ker.6]]=4,69,IF(NSi.SE[[#This Row],[Ker.6]]=5,0,"-")))))</f>
        <v>-</v>
      </c>
      <c r="DB8" s="73" t="str">
        <f>IF(NSi.SE[[#This Row],[Ped.6]]=1,100,IF(NSi.SE[[#This Row],[Ped.6]]=2,89,IF(NSi.SE[[#This Row],[Ped.6]]=3,79,IF(NSi.SE[[#This Row],[Ped.6]]=4,69,IF(NSi.SE[[#This Row],[Ped.6]]=5,0,"-")))))</f>
        <v>-</v>
      </c>
      <c r="DC8" s="73" t="str">
        <f>IF(NSi.SE[[#This Row],[Pro-A.6]]=1,100,IF(NSi.SE[[#This Row],[Pro-A.6]]=2,89,IF(NSi.SE[[#This Row],[Pro-A.6]]=3,79,IF(NSi.SE[[#This Row],[Pro-A.6]]=4,69,IF(NSi.SE[[#This Row],[Pro-A.6]]=5,0,"-")))))</f>
        <v>-</v>
      </c>
      <c r="DD8" s="74" t="str">
        <f>IF(NSi.SE[[#This Row],[KU.7]]="A",100,IF(NSi.SE[[#This Row],[KU.7]]="B",89,IF(NSi.SE[[#This Row],[KU.7]]="C",79,IF(NSi.SE[[#This Row],[KU.7]]="D",69,IF(NSi.SE[[#This Row],[KU.7]]="E",0,"-")))))</f>
        <v>-</v>
      </c>
      <c r="DE8" s="73" t="str">
        <f>IF(NSi.SE[[#This Row],[TJ.7]]=1,100,IF(NSi.SE[[#This Row],[TJ.7]]=2,89,IF(NSi.SE[[#This Row],[TJ.7]]=3,79,IF(NSi.SE[[#This Row],[TJ.7]]=4,69,IF(NSi.SE[[#This Row],[TJ.7]]=5,0,"-")))))</f>
        <v>-</v>
      </c>
      <c r="DF8" s="73" t="str">
        <f>IF(NSi.SE[[#This Row],[Ker.7]]=1,100,IF(NSi.SE[[#This Row],[Ker.7]]=2,89,IF(NSi.SE[[#This Row],[Ker.7]]=3,79,IF(NSi.SE[[#This Row],[Ker.7]]=4,69,IF(NSi.SE[[#This Row],[Ker.7]]=5,0,"-")))))</f>
        <v>-</v>
      </c>
      <c r="DG8" s="73" t="str">
        <f>IF(NSi.SE[[#This Row],[Ped.7]]=1,100,IF(NSi.SE[[#This Row],[Ped.7]]=2,89,IF(NSi.SE[[#This Row],[Ped.7]]=3,79,IF(NSi.SE[[#This Row],[Ped.7]]=4,69,IF(NSi.SE[[#This Row],[Ped.7]]=5,0,"-")))))</f>
        <v>-</v>
      </c>
      <c r="DH8" s="73" t="str">
        <f>IF(NSi.SE[[#This Row],[Pro-A.7]]=1,100,IF(NSi.SE[[#This Row],[Pro-A.7]]=2,89,IF(NSi.SE[[#This Row],[Pro-A.7]]=3,79,IF(NSi.SE[[#This Row],[Pro-A.7]]=4,69,IF(NSi.SE[[#This Row],[Pro-A.7]]=5,0,"-")))))</f>
        <v>-</v>
      </c>
      <c r="DI8" s="74" t="str">
        <f>IF(NSi.SE[[#This Row],[KU.8]]="A",100,IF(NSi.SE[[#This Row],[KU.8]]="B",89,IF(NSi.SE[[#This Row],[KU.8]]="C",79,IF(NSi.SE[[#This Row],[KU.8]]="D",69,IF(NSi.SE[[#This Row],[KU.8]]="E",0,"-")))))</f>
        <v>-</v>
      </c>
      <c r="DJ8" s="73" t="str">
        <f>IF(NSi.SE[[#This Row],[TJ.8]]=1,100,IF(NSi.SE[[#This Row],[TJ.8]]=2,89,IF(NSi.SE[[#This Row],[TJ.8]]=3,79,IF(NSi.SE[[#This Row],[TJ.8]]=4,69,IF(NSi.SE[[#This Row],[TJ.8]]=5,0,"-")))))</f>
        <v>-</v>
      </c>
      <c r="DK8" s="73" t="str">
        <f>IF(NSi.SE[[#This Row],[Ker.8]]=1,100,IF(NSi.SE[[#This Row],[Ker.8]]=2,89,IF(NSi.SE[[#This Row],[Ker.8]]=3,79,IF(NSi.SE[[#This Row],[Ker.8]]=4,69,IF(NSi.SE[[#This Row],[Ker.8]]=5,0,"-")))))</f>
        <v>-</v>
      </c>
      <c r="DL8" s="73" t="str">
        <f>IF(NSi.SE[[#This Row],[Ped.8]]=1,100,IF(NSi.SE[[#This Row],[Ped.8]]=2,89,IF(NSi.SE[[#This Row],[Ped.8]]=3,79,IF(NSi.SE[[#This Row],[Ped.8]]=4,69,IF(NSi.SE[[#This Row],[Ped.8]]=5,0,"-")))))</f>
        <v>-</v>
      </c>
      <c r="DM8" s="73" t="str">
        <f>IF(NSi.SE[[#This Row],[Pro-A.8]]=1,100,IF(NSi.SE[[#This Row],[Pro-A.8]]=2,89,IF(NSi.SE[[#This Row],[Pro-A.8]]=3,79,IF(NSi.SE[[#This Row],[Pro-A.8]]=4,69,IF(NSi.SE[[#This Row],[Pro-A.8]]=5,0,"-")))))</f>
        <v>-</v>
      </c>
      <c r="DN8" s="74" t="str">
        <f>IF(NSi.SE[[#This Row],[KU.9]]="A",100,IF(NSi.SE[[#This Row],[KU.9]]="B",89,IF(NSi.SE[[#This Row],[KU.9]]="C",79,IF(NSi.SE[[#This Row],[KU.9]]="D",69,IF(NSi.SE[[#This Row],[KU.9]]="E",0,"-")))))</f>
        <v>-</v>
      </c>
      <c r="DO8" s="73" t="str">
        <f>IF(NSi.SE[[#This Row],[TJ.9]]=1,100,IF(NSi.SE[[#This Row],[TJ.9]]=2,89,IF(NSi.SE[[#This Row],[TJ.9]]=3,79,IF(NSi.SE[[#This Row],[TJ.9]]=4,69,IF(NSi.SE[[#This Row],[TJ.9]]=5,0,"-")))))</f>
        <v>-</v>
      </c>
      <c r="DP8" s="73" t="str">
        <f>IF(NSi.SE[[#This Row],[Ker.9]]=1,100,IF(NSi.SE[[#This Row],[Ker.9]]=2,89,IF(NSi.SE[[#This Row],[Ker.9]]=3,79,IF(NSi.SE[[#This Row],[Ker.9]]=4,69,IF(NSi.SE[[#This Row],[Ker.9]]=5,0,"-")))))</f>
        <v>-</v>
      </c>
      <c r="DQ8" s="73" t="str">
        <f>IF(NSi.SE[[#This Row],[Ped.9]]=1,100,IF(NSi.SE[[#This Row],[Ped.9]]=2,89,IF(NSi.SE[[#This Row],[Ped.9]]=3,79,IF(NSi.SE[[#This Row],[Ped.9]]=4,69,IF(NSi.SE[[#This Row],[Ped.9]]=5,0,"-")))))</f>
        <v>-</v>
      </c>
      <c r="DR8" s="73" t="str">
        <f>IF(NSi.SE[[#This Row],[Pro-A.9]]=1,100,IF(NSi.SE[[#This Row],[Pro-A.9]]=2,89,IF(NSi.SE[[#This Row],[Pro-A.9]]=3,79,IF(NSi.SE[[#This Row],[Pro-A.9]]=4,69,IF(NSi.SE[[#This Row],[Pro-A.9]]=5,0,"-")))))</f>
        <v>-</v>
      </c>
      <c r="DT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9" spans="1:124" ht="50.1" customHeight="1" x14ac:dyDescent="0.3">
      <c r="A9" s="66">
        <f>IF(NSi.TS[[#This Row],[No]]=0,"",NSi.TS[[#This Row],[No]])</f>
        <v>7</v>
      </c>
      <c r="B9" s="67" t="str">
        <f>IF(NSi.TS[[#This Row],[Nama Siswa]]=0,"",NSi.TS[[#This Row],[Nama Siswa]])</f>
        <v/>
      </c>
      <c r="C9" s="68" t="str">
        <f>IF(NSi.TS[[#This Row],[Nomor Induk]]=0,"",NSi.TS[[#This Row],[Nomor Induk]])</f>
        <v/>
      </c>
      <c r="D9" s="68" t="str">
        <f>IF(NSi.TS[[#This Row],[NISN]]=0,"",NSi.TS[[#This Row],[NISN]])</f>
        <v/>
      </c>
      <c r="E9" s="68" t="str">
        <f>IF(NSi.TS[[#This Row],[Jurusan]]=0,"",NSi.TS[[#This Row],[Jurusan]])</f>
        <v/>
      </c>
      <c r="F9" s="39" t="str">
        <f>NSi.TS[[#This Row],[Nsi.TS]]</f>
        <v/>
      </c>
      <c r="G9" s="39" t="str">
        <f>IFERROR(ROUND(AVERAGE(CSCR.S[#This Row]),0),"")</f>
        <v/>
      </c>
      <c r="H9" s="39" t="str">
        <f>IFERROR(ROUND(AVERAGE(NSi.SE[[#This Row],[Nsi.TS]:[NS.iS]]),0),"")</f>
        <v/>
      </c>
      <c r="I9" s="41" t="s">
        <v>102</v>
      </c>
      <c r="J9" s="45" t="s">
        <v>102</v>
      </c>
      <c r="K9" s="45" t="s">
        <v>102</v>
      </c>
      <c r="L9" s="45" t="s">
        <v>102</v>
      </c>
      <c r="M9" s="45" t="s">
        <v>102</v>
      </c>
      <c r="N9" s="41" t="s">
        <v>102</v>
      </c>
      <c r="O9" s="45" t="s">
        <v>102</v>
      </c>
      <c r="P9" s="45" t="s">
        <v>102</v>
      </c>
      <c r="Q9" s="45" t="s">
        <v>102</v>
      </c>
      <c r="R9" s="45" t="s">
        <v>102</v>
      </c>
      <c r="S9" s="41" t="s">
        <v>102</v>
      </c>
      <c r="T9" s="45" t="s">
        <v>102</v>
      </c>
      <c r="U9" s="45" t="s">
        <v>102</v>
      </c>
      <c r="V9" s="45" t="s">
        <v>102</v>
      </c>
      <c r="W9" s="45" t="s">
        <v>102</v>
      </c>
      <c r="X9" s="41" t="s">
        <v>102</v>
      </c>
      <c r="Y9" s="45" t="s">
        <v>102</v>
      </c>
      <c r="Z9" s="45" t="s">
        <v>102</v>
      </c>
      <c r="AA9" s="45" t="s">
        <v>102</v>
      </c>
      <c r="AB9" s="45" t="s">
        <v>102</v>
      </c>
      <c r="AC9" s="41" t="s">
        <v>102</v>
      </c>
      <c r="AD9" s="45" t="s">
        <v>102</v>
      </c>
      <c r="AE9" s="45" t="s">
        <v>102</v>
      </c>
      <c r="AF9" s="45" t="s">
        <v>102</v>
      </c>
      <c r="AG9" s="45" t="s">
        <v>102</v>
      </c>
      <c r="AH9" s="41" t="s">
        <v>102</v>
      </c>
      <c r="AI9" s="45" t="s">
        <v>102</v>
      </c>
      <c r="AJ9" s="45" t="s">
        <v>102</v>
      </c>
      <c r="AK9" s="45" t="s">
        <v>102</v>
      </c>
      <c r="AL9" s="45" t="s">
        <v>102</v>
      </c>
      <c r="AM9" s="41" t="s">
        <v>102</v>
      </c>
      <c r="AN9" s="45" t="s">
        <v>102</v>
      </c>
      <c r="AO9" s="45" t="s">
        <v>102</v>
      </c>
      <c r="AP9" s="45" t="s">
        <v>102</v>
      </c>
      <c r="AQ9" s="45" t="s">
        <v>102</v>
      </c>
      <c r="AR9" s="41" t="s">
        <v>102</v>
      </c>
      <c r="AS9" s="45" t="s">
        <v>102</v>
      </c>
      <c r="AT9" s="45" t="s">
        <v>102</v>
      </c>
      <c r="AU9" s="45" t="s">
        <v>102</v>
      </c>
      <c r="AV9" s="45" t="s">
        <v>102</v>
      </c>
      <c r="AW9" s="41" t="s">
        <v>102</v>
      </c>
      <c r="AX9" s="45" t="s">
        <v>102</v>
      </c>
      <c r="AY9" s="45" t="s">
        <v>102</v>
      </c>
      <c r="AZ9" s="45" t="s">
        <v>102</v>
      </c>
      <c r="BA9" s="45" t="s">
        <v>102</v>
      </c>
      <c r="BC9" s="10" t="str">
        <f>CONCATENATE(NSi.SE[[#This Row],[KU.1]],(IF(A.LoE.S[[#This Row],[LE.1]]="-","-",IF(A.LoE.S[[#This Row],[LE.1]]&gt;=90,1,IF(A.LoE.S[[#This Row],[LE.1]]&gt;=80,2,IF(A.LoE.S[[#This Row],[LE.1]]&gt;=70,3,IF(A.LoE.S[[#This Row],[LE.1]]&gt;=1,4,5)))))))</f>
        <v>--</v>
      </c>
      <c r="BD9" s="46" t="str">
        <f>CONCATENATE(NSi.SE[[#This Row],[KU.2]],(IF(A.LoE.S[[#This Row],[LE.2]]="-","-",IF(A.LoE.S[[#This Row],[LE.2]]&gt;=90,1,IF(A.LoE.S[[#This Row],[LE.2]]&gt;=80,2,IF(A.LoE.S[[#This Row],[LE.2]]&gt;=70,3,IF(A.LoE.S[[#This Row],[LE.2]]&gt;=1,4,5)))))))</f>
        <v>--</v>
      </c>
      <c r="BE9" s="46" t="str">
        <f>CONCATENATE(NSi.SE[[#This Row],[KU.3]],(IF(A.LoE.S[[#This Row],[LE.3]]="-","-",IF(A.LoE.S[[#This Row],[LE.3]]&gt;=90,1,IF(A.LoE.S[[#This Row],[LE.3]]&gt;=80,2,IF(A.LoE.S[[#This Row],[LE.3]]&gt;=70,3,IF(A.LoE.S[[#This Row],[LE.3]]&gt;=1,4,5)))))))</f>
        <v>--</v>
      </c>
      <c r="BF9" s="46" t="str">
        <f>CONCATENATE(NSi.SE[[#This Row],[KU.4]],(IF(A.LoE.S[[#This Row],[LE.4]]="-","-",IF(A.LoE.S[[#This Row],[LE.4]]&gt;=90,1,IF(A.LoE.S[[#This Row],[LE.4]]&gt;=80,2,IF(A.LoE.S[[#This Row],[LE.4]]&gt;=70,3,IF(A.LoE.S[[#This Row],[LE.4]]&gt;=1,4,5)))))))</f>
        <v>--</v>
      </c>
      <c r="BG9" s="46" t="str">
        <f>CONCATENATE(NSi.SE[[#This Row],[KU.5]],(IF(A.LoE.S[[#This Row],[LE.5]]="-","-",IF(A.LoE.S[[#This Row],[LE.5]]&gt;=90,1,IF(A.LoE.S[[#This Row],[LE.5]]&gt;=80,2,IF(A.LoE.S[[#This Row],[LE.5]]&gt;=70,3,IF(A.LoE.S[[#This Row],[LE.5]]&gt;=1,4,5)))))))</f>
        <v>--</v>
      </c>
      <c r="BH9" s="46" t="str">
        <f>CONCATENATE(NSi.SE[[#This Row],[KU.6]],(IF(A.LoE.S[[#This Row],[LE.6]]="-","-",IF(A.LoE.S[[#This Row],[LE.6]]&gt;=90,1,IF(A.LoE.S[[#This Row],[LE.6]]&gt;=80,2,IF(A.LoE.S[[#This Row],[LE.6]]&gt;=70,3,IF(A.LoE.S[[#This Row],[LE.6]]&gt;=1,4,5)))))))</f>
        <v>--</v>
      </c>
      <c r="BI9" s="46" t="str">
        <f>CONCATENATE(NSi.SE[[#This Row],[KU.7]],(IF(A.LoE.S[[#This Row],[LE.7]]="-","-",IF(A.LoE.S[[#This Row],[LE.7]]&gt;=90,1,IF(A.LoE.S[[#This Row],[LE.7]]&gt;=80,2,IF(A.LoE.S[[#This Row],[LE.7]]&gt;=70,3,IF(A.LoE.S[[#This Row],[LE.7]]&gt;=1,4,5)))))))</f>
        <v>--</v>
      </c>
      <c r="BJ9" s="46" t="str">
        <f>CONCATENATE(NSi.SE[[#This Row],[KU.8]],(IF(A.LoE.S[[#This Row],[LE.8]]="-","-",IF(A.LoE.S[[#This Row],[LE.8]]&gt;=90,1,IF(A.LoE.S[[#This Row],[LE.8]]&gt;=80,2,IF(A.LoE.S[[#This Row],[LE.8]]&gt;=70,3,IF(A.LoE.S[[#This Row],[LE.8]]&gt;=1,4,5)))))))</f>
        <v>--</v>
      </c>
      <c r="BK9" s="38" t="str">
        <f>CONCATENATE(NSi.SE[[#This Row],[KU.9]],(IF(A.LoE.S[[#This Row],[LE.9]]="-","-",IF(A.LoE.S[[#This Row],[LE.9]]&gt;=90,1,IF(A.LoE.S[[#This Row],[LE.9]]&gt;=80,2,IF(A.LoE.S[[#This Row],[LE.9]]&gt;=70,3,IF(A.LoE.S[[#This Row],[LE.9]]&gt;=1,4,5)))))))</f>
        <v>--</v>
      </c>
      <c r="BM9" s="35" t="str">
        <f>IFERROR(ROUND(AVERAGE(Con.Sk.S[[#This Row],[TJ.1]:[Pro-A.1]]),0),"-")</f>
        <v>-</v>
      </c>
      <c r="BN9" s="24" t="str">
        <f>IFERROR(ROUND(AVERAGE(Con.Sk.S[[#This Row],[TJ.2]:[Pro-A.2]]),0),"-")</f>
        <v>-</v>
      </c>
      <c r="BO9" s="24" t="str">
        <f>IFERROR(ROUND(AVERAGE(Con.Sk.S[[#This Row],[TJ.3]:[Pro-A.3]]),0),"-")</f>
        <v>-</v>
      </c>
      <c r="BP9" s="24" t="str">
        <f>IFERROR(ROUND(AVERAGE(Con.Sk.S[[#This Row],[TJ.4]:[Pro-A.4]]),0),"-")</f>
        <v>-</v>
      </c>
      <c r="BQ9" s="24" t="str">
        <f>IFERROR(ROUND(AVERAGE(Con.Sk.S[[#This Row],[TJ.5]:[Pro-A.5]]),0),"-")</f>
        <v>-</v>
      </c>
      <c r="BR9" s="24" t="str">
        <f>IFERROR(ROUND(AVERAGE(Con.Sk.S[[#This Row],[TJ.6]:[Pro-A.6]]),0),"-")</f>
        <v>-</v>
      </c>
      <c r="BS9" s="24" t="str">
        <f>IFERROR(ROUND(AVERAGE(Con.Sk.S[[#This Row],[TJ.7]:[Pro-A.7]]),0),"-")</f>
        <v>-</v>
      </c>
      <c r="BT9" s="24" t="str">
        <f>IFERROR(ROUND(AVERAGE(Con.Sk.S[[#This Row],[TJ.8]:[Pro-A.8]]),0),"-")</f>
        <v>-</v>
      </c>
      <c r="BU9" s="25" t="str">
        <f>IFERROR(ROUND(AVERAGE(Con.Sk.S[[#This Row],[TJ.9]:[Pro-A.9]]),0),"-")</f>
        <v>-</v>
      </c>
      <c r="BW9" s="47" t="str">
        <f>IFERROR(ROUND(AVERAGE(Con.Sk.S[[#This Row],[KU.1]],Con.Sk.S[[#This Row],[KU.2]],Con.Sk.S[[#This Row],[KU.3]],Con.Sk.S[[#This Row],[KU.4]],Con.Sk.S[[#This Row],[KU.5]],Con.Sk.S[[#This Row],[KU.6]],Con.Sk.S[[#This Row],[KU.7]],Con.Sk.S[[#This Row],[KU.8]],Con.Sk.S[[#This Row],[KU.9]]),0),"")</f>
        <v/>
      </c>
      <c r="BX9" s="48" t="str">
        <f>IFERROR(ROUND(AVERAGE(Con.Sk.S[[#This Row],[TJ.1]:[Pro-A.1]],Con.Sk.S[[#This Row],[TJ.2]:[Pro-A.2]],Con.Sk.S[[#This Row],[TJ.3]:[Pro-A.3]],Con.Sk.S[[#This Row],[TJ.4]:[Pro-A.4]],Con.Sk.S[[#This Row],[TJ.5]:[Pro-A.5]],Con.Sk.S[[#This Row],[TJ.6]:[Pro-A.6]],Con.Sk.S[[#This Row],[TJ.7]:[Pro-A.7]],Con.Sk.S[[#This Row],[TJ.8]:[Pro-A.8]],Con.Sk.S[[#This Row],[TJ.9]:[Pro-A.9]]),0),"")</f>
        <v/>
      </c>
      <c r="BY9" s="3"/>
      <c r="BZ9" s="73" t="str">
        <f>IF(NSi.SE[[#This Row],[KU.1]]="A",100,IF(NSi.SE[[#This Row],[KU.1]]="B",89,IF(NSi.SE[[#This Row],[KU.1]]="C",79,IF(NSi.SE[[#This Row],[KU.1]]="D",69,IF(NSi.SE[[#This Row],[KU.1]]="E",0,"-")))))</f>
        <v>-</v>
      </c>
      <c r="CA9" s="73" t="str">
        <f>IF(NSi.SE[[#This Row],[TJ.1]]=1,100,IF(NSi.SE[[#This Row],[TJ.1]]=2,89,IF(NSi.SE[[#This Row],[TJ.1]]=3,79,IF(NSi.SE[[#This Row],[TJ.1]]=4,69,IF(NSi.SE[[#This Row],[TJ.1]]=5,0,"-")))))</f>
        <v>-</v>
      </c>
      <c r="CB9" s="73" t="str">
        <f>IF(NSi.SE[[#This Row],[Ker.1]]=1,100,IF(NSi.SE[[#This Row],[Ker.1]]=2,89,IF(NSi.SE[[#This Row],[Ker.1]]=3,79,IF(NSi.SE[[#This Row],[Ker.1]]=4,69,IF(NSi.SE[[#This Row],[Ker.1]]=5,0,"-")))))</f>
        <v>-</v>
      </c>
      <c r="CC9" s="73" t="str">
        <f>IF(NSi.SE[[#This Row],[Ped.1]]=1,100,IF(NSi.SE[[#This Row],[Ped.1]]=2,89,IF(NSi.SE[[#This Row],[Ped.1]]=3,79,IF(NSi.SE[[#This Row],[Ped.1]]=4,69,IF(NSi.SE[[#This Row],[Ped.1]]=5,0,"-")))))</f>
        <v>-</v>
      </c>
      <c r="CD9" s="73" t="str">
        <f>IF(NSi.SE[[#This Row],[Pro-A.1]]=1,100,IF(NSi.SE[[#This Row],[Pro-A.1]]=2,89,IF(NSi.SE[[#This Row],[Pro-A.1]]=3,79,IF(NSi.SE[[#This Row],[Pro-A.1]]=4,69,IF(NSi.SE[[#This Row],[Pro-A.1]]=5,0,"-")))))</f>
        <v>-</v>
      </c>
      <c r="CE9" s="73" t="str">
        <f>IF(NSi.SE[[#This Row],[KU.2]]="A",100,IF(NSi.SE[[#This Row],[KU.2]]="B",89,IF(NSi.SE[[#This Row],[KU.2]]="C",79,IF(NSi.SE[[#This Row],[KU.2]]="D",69,IF(NSi.SE[[#This Row],[KU.2]]="E",0,"-")))))</f>
        <v>-</v>
      </c>
      <c r="CF9" s="73" t="str">
        <f>IF(NSi.SE[[#This Row],[TJ.2]]=1,100,IF(NSi.SE[[#This Row],[TJ.2]]=2,89,IF(NSi.SE[[#This Row],[TJ.2]]=3,79,IF(NSi.SE[[#This Row],[TJ.2]]=4,69,IF(NSi.SE[[#This Row],[TJ.2]]=5,0,"-")))))</f>
        <v>-</v>
      </c>
      <c r="CG9" s="73" t="str">
        <f>IF(NSi.SE[[#This Row],[Ker.2]]=1,100,IF(NSi.SE[[#This Row],[Ker.2]]=2,89,IF(NSi.SE[[#This Row],[Ker.2]]=3,79,IF(NSi.SE[[#This Row],[Ker.2]]=4,69,IF(NSi.SE[[#This Row],[Ker.2]]=5,0,"-")))))</f>
        <v>-</v>
      </c>
      <c r="CH9" s="73" t="str">
        <f>IF(NSi.SE[[#This Row],[Ped.2]]=1,100,IF(NSi.SE[[#This Row],[Ped.2]]=2,89,IF(NSi.SE[[#This Row],[Ped.2]]=3,79,IF(NSi.SE[[#This Row],[Ped.2]]=4,69,IF(NSi.SE[[#This Row],[Ped.2]]=5,0,"-")))))</f>
        <v>-</v>
      </c>
      <c r="CI9" s="73" t="str">
        <f>IF(NSi.SE[[#This Row],[Pro-A.2]]=1,100,IF(NSi.SE[[#This Row],[Pro-A.2]]=2,89,IF(NSi.SE[[#This Row],[Pro-A.2]]=3,79,IF(NSi.SE[[#This Row],[Pro-A.2]]=4,69,IF(NSi.SE[[#This Row],[Pro-A.2]]=5,0,"-")))))</f>
        <v>-</v>
      </c>
      <c r="CJ9" s="74" t="str">
        <f>IF(NSi.SE[[#This Row],[KU.3]]="A",100,IF(NSi.SE[[#This Row],[KU.3]]="B",89,IF(NSi.SE[[#This Row],[KU.3]]="C",79,IF(NSi.SE[[#This Row],[KU.3]]="D",69,IF(NSi.SE[[#This Row],[KU.3]]="E",0,"-")))))</f>
        <v>-</v>
      </c>
      <c r="CK9" s="73" t="str">
        <f>IF(NSi.SE[[#This Row],[TJ.3]]=1,100,IF(NSi.SE[[#This Row],[TJ.3]]=2,89,IF(NSi.SE[[#This Row],[TJ.3]]=3,79,IF(NSi.SE[[#This Row],[TJ.3]]=4,69,IF(NSi.SE[[#This Row],[TJ.3]]=5,0,"-")))))</f>
        <v>-</v>
      </c>
      <c r="CL9" s="73" t="str">
        <f>IF(NSi.SE[[#This Row],[Ker.3]]=1,100,IF(NSi.SE[[#This Row],[Ker.3]]=2,89,IF(NSi.SE[[#This Row],[Ker.3]]=3,79,IF(NSi.SE[[#This Row],[Ker.3]]=4,69,IF(NSi.SE[[#This Row],[Ker.3]]=5,0,"-")))))</f>
        <v>-</v>
      </c>
      <c r="CM9" s="73" t="str">
        <f>IF(NSi.SE[[#This Row],[Ped.3]]=1,100,IF(NSi.SE[[#This Row],[Ped.3]]=2,89,IF(NSi.SE[[#This Row],[Ped.3]]=3,79,IF(NSi.SE[[#This Row],[Ped.3]]=4,69,IF(NSi.SE[[#This Row],[Ped.3]]=5,0,"-")))))</f>
        <v>-</v>
      </c>
      <c r="CN9" s="73" t="str">
        <f>IF(NSi.SE[[#This Row],[Pro-A.3]]=1,100,IF(NSi.SE[[#This Row],[Pro-A.3]]=2,89,IF(NSi.SE[[#This Row],[Pro-A.3]]=3,79,IF(NSi.SE[[#This Row],[Pro-A.3]]=4,69,IF(NSi.SE[[#This Row],[Pro-A.3]]=5,0,"-")))))</f>
        <v>-</v>
      </c>
      <c r="CO9" s="74" t="str">
        <f>IF(NSi.SE[[#This Row],[KU.4]]="A",100,IF(NSi.SE[[#This Row],[KU.4]]="B",89,IF(NSi.SE[[#This Row],[KU.4]]="C",79,IF(NSi.SE[[#This Row],[KU.4]]="D",69,IF(NSi.SE[[#This Row],[KU.4]]="E",0,"-")))))</f>
        <v>-</v>
      </c>
      <c r="CP9" s="73" t="str">
        <f>IF(NSi.SE[[#This Row],[TJ.4]]=1,100,IF(NSi.SE[[#This Row],[TJ.4]]=2,89,IF(NSi.SE[[#This Row],[TJ.4]]=3,79,IF(NSi.SE[[#This Row],[TJ.4]]=4,69,IF(NSi.SE[[#This Row],[TJ.4]]=5,0,"-")))))</f>
        <v>-</v>
      </c>
      <c r="CQ9" s="73" t="str">
        <f>IF(NSi.SE[[#This Row],[Ker.4]]=1,100,IF(NSi.SE[[#This Row],[Ker.4]]=2,89,IF(NSi.SE[[#This Row],[Ker.4]]=3,79,IF(NSi.SE[[#This Row],[Ker.4]]=4,69,IF(NSi.SE[[#This Row],[Ker.4]]=5,0,"-")))))</f>
        <v>-</v>
      </c>
      <c r="CR9" s="73" t="str">
        <f>IF(NSi.SE[[#This Row],[Ped.4]]=1,100,IF(NSi.SE[[#This Row],[Ped.4]]=2,89,IF(NSi.SE[[#This Row],[Ped.4]]=3,79,IF(NSi.SE[[#This Row],[Ped.4]]=4,69,IF(NSi.SE[[#This Row],[Ped.4]]=5,0,"-")))))</f>
        <v>-</v>
      </c>
      <c r="CS9" s="73" t="str">
        <f>IF(NSi.SE[[#This Row],[Pro-A.4]]=1,100,IF(NSi.SE[[#This Row],[Pro-A.4]]=2,89,IF(NSi.SE[[#This Row],[Pro-A.4]]=3,79,IF(NSi.SE[[#This Row],[Pro-A.4]]=4,69,IF(NSi.SE[[#This Row],[Pro-A.4]]=5,0,"-")))))</f>
        <v>-</v>
      </c>
      <c r="CT9" s="74" t="str">
        <f>IF(NSi.SE[[#This Row],[KU.5]]="A",100,IF(NSi.SE[[#This Row],[KU.5]]="B",89,IF(NSi.SE[[#This Row],[KU.5]]="C",79,IF(NSi.SE[[#This Row],[KU.5]]="D",69,IF(NSi.SE[[#This Row],[KU.5]]="E",0,"-")))))</f>
        <v>-</v>
      </c>
      <c r="CU9" s="73" t="str">
        <f>IF(NSi.SE[[#This Row],[TJ.5]]=1,100,IF(NSi.SE[[#This Row],[TJ.5]]=2,89,IF(NSi.SE[[#This Row],[TJ.5]]=3,79,IF(NSi.SE[[#This Row],[TJ.5]]=4,69,IF(NSi.SE[[#This Row],[TJ.5]]=5,0,"-")))))</f>
        <v>-</v>
      </c>
      <c r="CV9" s="73" t="str">
        <f>IF(NSi.SE[[#This Row],[Ker.5]]=1,100,IF(NSi.SE[[#This Row],[Ker.5]]=2,89,IF(NSi.SE[[#This Row],[Ker.5]]=3,79,IF(NSi.SE[[#This Row],[Ker.5]]=4,69,IF(NSi.SE[[#This Row],[Ker.5]]=5,0,"-")))))</f>
        <v>-</v>
      </c>
      <c r="CW9" s="73" t="str">
        <f>IF(NSi.SE[[#This Row],[Ped.5]]=1,100,IF(NSi.SE[[#This Row],[Ped.5]]=2,89,IF(NSi.SE[[#This Row],[Ped.5]]=3,79,IF(NSi.SE[[#This Row],[Ped.5]]=4,69,IF(NSi.SE[[#This Row],[Ped.5]]=5,0,"-")))))</f>
        <v>-</v>
      </c>
      <c r="CX9" s="73" t="str">
        <f>IF(NSi.SE[[#This Row],[Pro-A.5]]=1,100,IF(NSi.SE[[#This Row],[Pro-A.5]]=2,89,IF(NSi.SE[[#This Row],[Pro-A.5]]=3,79,IF(NSi.SE[[#This Row],[Pro-A.5]]=4,69,IF(NSi.SE[[#This Row],[Pro-A.5]]=5,0,"-")))))</f>
        <v>-</v>
      </c>
      <c r="CY9" s="74" t="str">
        <f>IF(NSi.SE[[#This Row],[KU.6]]="A",100,IF(NSi.SE[[#This Row],[KU.6]]="B",89,IF(NSi.SE[[#This Row],[KU.6]]="C",79,IF(NSi.SE[[#This Row],[KU.6]]="D",69,IF(NSi.SE[[#This Row],[KU.6]]="E",0,"-")))))</f>
        <v>-</v>
      </c>
      <c r="CZ9" s="73" t="str">
        <f>IF(NSi.SE[[#This Row],[TJ.6]]=1,100,IF(NSi.SE[[#This Row],[TJ.6]]=2,89,IF(NSi.SE[[#This Row],[TJ.6]]=3,79,IF(NSi.SE[[#This Row],[TJ.6]]=4,69,IF(NSi.SE[[#This Row],[TJ.6]]=5,0,"-")))))</f>
        <v>-</v>
      </c>
      <c r="DA9" s="73" t="str">
        <f>IF(NSi.SE[[#This Row],[Ker.6]]=1,100,IF(NSi.SE[[#This Row],[Ker.6]]=2,89,IF(NSi.SE[[#This Row],[Ker.6]]=3,79,IF(NSi.SE[[#This Row],[Ker.6]]=4,69,IF(NSi.SE[[#This Row],[Ker.6]]=5,0,"-")))))</f>
        <v>-</v>
      </c>
      <c r="DB9" s="73" t="str">
        <f>IF(NSi.SE[[#This Row],[Ped.6]]=1,100,IF(NSi.SE[[#This Row],[Ped.6]]=2,89,IF(NSi.SE[[#This Row],[Ped.6]]=3,79,IF(NSi.SE[[#This Row],[Ped.6]]=4,69,IF(NSi.SE[[#This Row],[Ped.6]]=5,0,"-")))))</f>
        <v>-</v>
      </c>
      <c r="DC9" s="73" t="str">
        <f>IF(NSi.SE[[#This Row],[Pro-A.6]]=1,100,IF(NSi.SE[[#This Row],[Pro-A.6]]=2,89,IF(NSi.SE[[#This Row],[Pro-A.6]]=3,79,IF(NSi.SE[[#This Row],[Pro-A.6]]=4,69,IF(NSi.SE[[#This Row],[Pro-A.6]]=5,0,"-")))))</f>
        <v>-</v>
      </c>
      <c r="DD9" s="74" t="str">
        <f>IF(NSi.SE[[#This Row],[KU.7]]="A",100,IF(NSi.SE[[#This Row],[KU.7]]="B",89,IF(NSi.SE[[#This Row],[KU.7]]="C",79,IF(NSi.SE[[#This Row],[KU.7]]="D",69,IF(NSi.SE[[#This Row],[KU.7]]="E",0,"-")))))</f>
        <v>-</v>
      </c>
      <c r="DE9" s="73" t="str">
        <f>IF(NSi.SE[[#This Row],[TJ.7]]=1,100,IF(NSi.SE[[#This Row],[TJ.7]]=2,89,IF(NSi.SE[[#This Row],[TJ.7]]=3,79,IF(NSi.SE[[#This Row],[TJ.7]]=4,69,IF(NSi.SE[[#This Row],[TJ.7]]=5,0,"-")))))</f>
        <v>-</v>
      </c>
      <c r="DF9" s="73" t="str">
        <f>IF(NSi.SE[[#This Row],[Ker.7]]=1,100,IF(NSi.SE[[#This Row],[Ker.7]]=2,89,IF(NSi.SE[[#This Row],[Ker.7]]=3,79,IF(NSi.SE[[#This Row],[Ker.7]]=4,69,IF(NSi.SE[[#This Row],[Ker.7]]=5,0,"-")))))</f>
        <v>-</v>
      </c>
      <c r="DG9" s="73" t="str">
        <f>IF(NSi.SE[[#This Row],[Ped.7]]=1,100,IF(NSi.SE[[#This Row],[Ped.7]]=2,89,IF(NSi.SE[[#This Row],[Ped.7]]=3,79,IF(NSi.SE[[#This Row],[Ped.7]]=4,69,IF(NSi.SE[[#This Row],[Ped.7]]=5,0,"-")))))</f>
        <v>-</v>
      </c>
      <c r="DH9" s="73" t="str">
        <f>IF(NSi.SE[[#This Row],[Pro-A.7]]=1,100,IF(NSi.SE[[#This Row],[Pro-A.7]]=2,89,IF(NSi.SE[[#This Row],[Pro-A.7]]=3,79,IF(NSi.SE[[#This Row],[Pro-A.7]]=4,69,IF(NSi.SE[[#This Row],[Pro-A.7]]=5,0,"-")))))</f>
        <v>-</v>
      </c>
      <c r="DI9" s="74" t="str">
        <f>IF(NSi.SE[[#This Row],[KU.8]]="A",100,IF(NSi.SE[[#This Row],[KU.8]]="B",89,IF(NSi.SE[[#This Row],[KU.8]]="C",79,IF(NSi.SE[[#This Row],[KU.8]]="D",69,IF(NSi.SE[[#This Row],[KU.8]]="E",0,"-")))))</f>
        <v>-</v>
      </c>
      <c r="DJ9" s="73" t="str">
        <f>IF(NSi.SE[[#This Row],[TJ.8]]=1,100,IF(NSi.SE[[#This Row],[TJ.8]]=2,89,IF(NSi.SE[[#This Row],[TJ.8]]=3,79,IF(NSi.SE[[#This Row],[TJ.8]]=4,69,IF(NSi.SE[[#This Row],[TJ.8]]=5,0,"-")))))</f>
        <v>-</v>
      </c>
      <c r="DK9" s="73" t="str">
        <f>IF(NSi.SE[[#This Row],[Ker.8]]=1,100,IF(NSi.SE[[#This Row],[Ker.8]]=2,89,IF(NSi.SE[[#This Row],[Ker.8]]=3,79,IF(NSi.SE[[#This Row],[Ker.8]]=4,69,IF(NSi.SE[[#This Row],[Ker.8]]=5,0,"-")))))</f>
        <v>-</v>
      </c>
      <c r="DL9" s="73" t="str">
        <f>IF(NSi.SE[[#This Row],[Ped.8]]=1,100,IF(NSi.SE[[#This Row],[Ped.8]]=2,89,IF(NSi.SE[[#This Row],[Ped.8]]=3,79,IF(NSi.SE[[#This Row],[Ped.8]]=4,69,IF(NSi.SE[[#This Row],[Ped.8]]=5,0,"-")))))</f>
        <v>-</v>
      </c>
      <c r="DM9" s="73" t="str">
        <f>IF(NSi.SE[[#This Row],[Pro-A.8]]=1,100,IF(NSi.SE[[#This Row],[Pro-A.8]]=2,89,IF(NSi.SE[[#This Row],[Pro-A.8]]=3,79,IF(NSi.SE[[#This Row],[Pro-A.8]]=4,69,IF(NSi.SE[[#This Row],[Pro-A.8]]=5,0,"-")))))</f>
        <v>-</v>
      </c>
      <c r="DN9" s="74" t="str">
        <f>IF(NSi.SE[[#This Row],[KU.9]]="A",100,IF(NSi.SE[[#This Row],[KU.9]]="B",89,IF(NSi.SE[[#This Row],[KU.9]]="C",79,IF(NSi.SE[[#This Row],[KU.9]]="D",69,IF(NSi.SE[[#This Row],[KU.9]]="E",0,"-")))))</f>
        <v>-</v>
      </c>
      <c r="DO9" s="73" t="str">
        <f>IF(NSi.SE[[#This Row],[TJ.9]]=1,100,IF(NSi.SE[[#This Row],[TJ.9]]=2,89,IF(NSi.SE[[#This Row],[TJ.9]]=3,79,IF(NSi.SE[[#This Row],[TJ.9]]=4,69,IF(NSi.SE[[#This Row],[TJ.9]]=5,0,"-")))))</f>
        <v>-</v>
      </c>
      <c r="DP9" s="73" t="str">
        <f>IF(NSi.SE[[#This Row],[Ker.9]]=1,100,IF(NSi.SE[[#This Row],[Ker.9]]=2,89,IF(NSi.SE[[#This Row],[Ker.9]]=3,79,IF(NSi.SE[[#This Row],[Ker.9]]=4,69,IF(NSi.SE[[#This Row],[Ker.9]]=5,0,"-")))))</f>
        <v>-</v>
      </c>
      <c r="DQ9" s="73" t="str">
        <f>IF(NSi.SE[[#This Row],[Ped.9]]=1,100,IF(NSi.SE[[#This Row],[Ped.9]]=2,89,IF(NSi.SE[[#This Row],[Ped.9]]=3,79,IF(NSi.SE[[#This Row],[Ped.9]]=4,69,IF(NSi.SE[[#This Row],[Ped.9]]=5,0,"-")))))</f>
        <v>-</v>
      </c>
      <c r="DR9" s="73" t="str">
        <f>IF(NSi.SE[[#This Row],[Pro-A.9]]=1,100,IF(NSi.SE[[#This Row],[Pro-A.9]]=2,89,IF(NSi.SE[[#This Row],[Pro-A.9]]=3,79,IF(NSi.SE[[#This Row],[Pro-A.9]]=4,69,IF(NSi.SE[[#This Row],[Pro-A.9]]=5,0,"-")))))</f>
        <v>-</v>
      </c>
      <c r="DT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0" spans="1:124" ht="50.1" customHeight="1" x14ac:dyDescent="0.3">
      <c r="A10" s="66">
        <f>IF(NSi.TS[[#This Row],[No]]=0,"",NSi.TS[[#This Row],[No]])</f>
        <v>8</v>
      </c>
      <c r="B10" s="67" t="str">
        <f>IF(NSi.TS[[#This Row],[Nama Siswa]]=0,"",NSi.TS[[#This Row],[Nama Siswa]])</f>
        <v/>
      </c>
      <c r="C10" s="68" t="str">
        <f>IF(NSi.TS[[#This Row],[Nomor Induk]]=0,"",NSi.TS[[#This Row],[Nomor Induk]])</f>
        <v/>
      </c>
      <c r="D10" s="68" t="str">
        <f>IF(NSi.TS[[#This Row],[NISN]]=0,"",NSi.TS[[#This Row],[NISN]])</f>
        <v/>
      </c>
      <c r="E10" s="68" t="str">
        <f>IF(NSi.TS[[#This Row],[Jurusan]]=0,"",NSi.TS[[#This Row],[Jurusan]])</f>
        <v/>
      </c>
      <c r="F10" s="39" t="str">
        <f>NSi.TS[[#This Row],[Nsi.TS]]</f>
        <v/>
      </c>
      <c r="G10" s="39" t="str">
        <f>IFERROR(ROUND(AVERAGE(CSCR.S[#This Row]),0),"")</f>
        <v/>
      </c>
      <c r="H10" s="39" t="str">
        <f>IFERROR(ROUND(AVERAGE(NSi.SE[[#This Row],[Nsi.TS]:[NS.iS]]),0),"")</f>
        <v/>
      </c>
      <c r="I10" s="41" t="s">
        <v>102</v>
      </c>
      <c r="J10" s="45" t="s">
        <v>102</v>
      </c>
      <c r="K10" s="45" t="s">
        <v>102</v>
      </c>
      <c r="L10" s="45" t="s">
        <v>102</v>
      </c>
      <c r="M10" s="45" t="s">
        <v>102</v>
      </c>
      <c r="N10" s="41" t="s">
        <v>102</v>
      </c>
      <c r="O10" s="45" t="s">
        <v>102</v>
      </c>
      <c r="P10" s="45" t="s">
        <v>102</v>
      </c>
      <c r="Q10" s="45" t="s">
        <v>102</v>
      </c>
      <c r="R10" s="45" t="s">
        <v>102</v>
      </c>
      <c r="S10" s="41" t="s">
        <v>102</v>
      </c>
      <c r="T10" s="45" t="s">
        <v>102</v>
      </c>
      <c r="U10" s="45" t="s">
        <v>102</v>
      </c>
      <c r="V10" s="45" t="s">
        <v>102</v>
      </c>
      <c r="W10" s="45" t="s">
        <v>102</v>
      </c>
      <c r="X10" s="41" t="s">
        <v>102</v>
      </c>
      <c r="Y10" s="45" t="s">
        <v>102</v>
      </c>
      <c r="Z10" s="45" t="s">
        <v>102</v>
      </c>
      <c r="AA10" s="45" t="s">
        <v>102</v>
      </c>
      <c r="AB10" s="45" t="s">
        <v>102</v>
      </c>
      <c r="AC10" s="41" t="s">
        <v>102</v>
      </c>
      <c r="AD10" s="45" t="s">
        <v>102</v>
      </c>
      <c r="AE10" s="45" t="s">
        <v>102</v>
      </c>
      <c r="AF10" s="45" t="s">
        <v>102</v>
      </c>
      <c r="AG10" s="45" t="s">
        <v>102</v>
      </c>
      <c r="AH10" s="41" t="s">
        <v>102</v>
      </c>
      <c r="AI10" s="45" t="s">
        <v>102</v>
      </c>
      <c r="AJ10" s="45" t="s">
        <v>102</v>
      </c>
      <c r="AK10" s="45" t="s">
        <v>102</v>
      </c>
      <c r="AL10" s="45" t="s">
        <v>102</v>
      </c>
      <c r="AM10" s="41" t="s">
        <v>102</v>
      </c>
      <c r="AN10" s="45" t="s">
        <v>102</v>
      </c>
      <c r="AO10" s="45" t="s">
        <v>102</v>
      </c>
      <c r="AP10" s="45" t="s">
        <v>102</v>
      </c>
      <c r="AQ10" s="45" t="s">
        <v>102</v>
      </c>
      <c r="AR10" s="41" t="s">
        <v>102</v>
      </c>
      <c r="AS10" s="45" t="s">
        <v>102</v>
      </c>
      <c r="AT10" s="45" t="s">
        <v>102</v>
      </c>
      <c r="AU10" s="45" t="s">
        <v>102</v>
      </c>
      <c r="AV10" s="45" t="s">
        <v>102</v>
      </c>
      <c r="AW10" s="41" t="s">
        <v>102</v>
      </c>
      <c r="AX10" s="45" t="s">
        <v>102</v>
      </c>
      <c r="AY10" s="45" t="s">
        <v>102</v>
      </c>
      <c r="AZ10" s="45" t="s">
        <v>102</v>
      </c>
      <c r="BA10" s="45" t="s">
        <v>102</v>
      </c>
      <c r="BC10" s="10" t="str">
        <f>CONCATENATE(NSi.SE[[#This Row],[KU.1]],(IF(A.LoE.S[[#This Row],[LE.1]]="-","-",IF(A.LoE.S[[#This Row],[LE.1]]&gt;=90,1,IF(A.LoE.S[[#This Row],[LE.1]]&gt;=80,2,IF(A.LoE.S[[#This Row],[LE.1]]&gt;=70,3,IF(A.LoE.S[[#This Row],[LE.1]]&gt;=1,4,5)))))))</f>
        <v>--</v>
      </c>
      <c r="BD10" s="46" t="str">
        <f>CONCATENATE(NSi.SE[[#This Row],[KU.2]],(IF(A.LoE.S[[#This Row],[LE.2]]="-","-",IF(A.LoE.S[[#This Row],[LE.2]]&gt;=90,1,IF(A.LoE.S[[#This Row],[LE.2]]&gt;=80,2,IF(A.LoE.S[[#This Row],[LE.2]]&gt;=70,3,IF(A.LoE.S[[#This Row],[LE.2]]&gt;=1,4,5)))))))</f>
        <v>--</v>
      </c>
      <c r="BE10" s="46" t="str">
        <f>CONCATENATE(NSi.SE[[#This Row],[KU.3]],(IF(A.LoE.S[[#This Row],[LE.3]]="-","-",IF(A.LoE.S[[#This Row],[LE.3]]&gt;=90,1,IF(A.LoE.S[[#This Row],[LE.3]]&gt;=80,2,IF(A.LoE.S[[#This Row],[LE.3]]&gt;=70,3,IF(A.LoE.S[[#This Row],[LE.3]]&gt;=1,4,5)))))))</f>
        <v>--</v>
      </c>
      <c r="BF10" s="46" t="str">
        <f>CONCATENATE(NSi.SE[[#This Row],[KU.4]],(IF(A.LoE.S[[#This Row],[LE.4]]="-","-",IF(A.LoE.S[[#This Row],[LE.4]]&gt;=90,1,IF(A.LoE.S[[#This Row],[LE.4]]&gt;=80,2,IF(A.LoE.S[[#This Row],[LE.4]]&gt;=70,3,IF(A.LoE.S[[#This Row],[LE.4]]&gt;=1,4,5)))))))</f>
        <v>--</v>
      </c>
      <c r="BG10" s="46" t="str">
        <f>CONCATENATE(NSi.SE[[#This Row],[KU.5]],(IF(A.LoE.S[[#This Row],[LE.5]]="-","-",IF(A.LoE.S[[#This Row],[LE.5]]&gt;=90,1,IF(A.LoE.S[[#This Row],[LE.5]]&gt;=80,2,IF(A.LoE.S[[#This Row],[LE.5]]&gt;=70,3,IF(A.LoE.S[[#This Row],[LE.5]]&gt;=1,4,5)))))))</f>
        <v>--</v>
      </c>
      <c r="BH10" s="46" t="str">
        <f>CONCATENATE(NSi.SE[[#This Row],[KU.6]],(IF(A.LoE.S[[#This Row],[LE.6]]="-","-",IF(A.LoE.S[[#This Row],[LE.6]]&gt;=90,1,IF(A.LoE.S[[#This Row],[LE.6]]&gt;=80,2,IF(A.LoE.S[[#This Row],[LE.6]]&gt;=70,3,IF(A.LoE.S[[#This Row],[LE.6]]&gt;=1,4,5)))))))</f>
        <v>--</v>
      </c>
      <c r="BI10" s="46" t="str">
        <f>CONCATENATE(NSi.SE[[#This Row],[KU.7]],(IF(A.LoE.S[[#This Row],[LE.7]]="-","-",IF(A.LoE.S[[#This Row],[LE.7]]&gt;=90,1,IF(A.LoE.S[[#This Row],[LE.7]]&gt;=80,2,IF(A.LoE.S[[#This Row],[LE.7]]&gt;=70,3,IF(A.LoE.S[[#This Row],[LE.7]]&gt;=1,4,5)))))))</f>
        <v>--</v>
      </c>
      <c r="BJ10" s="46" t="str">
        <f>CONCATENATE(NSi.SE[[#This Row],[KU.8]],(IF(A.LoE.S[[#This Row],[LE.8]]="-","-",IF(A.LoE.S[[#This Row],[LE.8]]&gt;=90,1,IF(A.LoE.S[[#This Row],[LE.8]]&gt;=80,2,IF(A.LoE.S[[#This Row],[LE.8]]&gt;=70,3,IF(A.LoE.S[[#This Row],[LE.8]]&gt;=1,4,5)))))))</f>
        <v>--</v>
      </c>
      <c r="BK10" s="38" t="str">
        <f>CONCATENATE(NSi.SE[[#This Row],[KU.9]],(IF(A.LoE.S[[#This Row],[LE.9]]="-","-",IF(A.LoE.S[[#This Row],[LE.9]]&gt;=90,1,IF(A.LoE.S[[#This Row],[LE.9]]&gt;=80,2,IF(A.LoE.S[[#This Row],[LE.9]]&gt;=70,3,IF(A.LoE.S[[#This Row],[LE.9]]&gt;=1,4,5)))))))</f>
        <v>--</v>
      </c>
      <c r="BM10" s="35" t="str">
        <f>IFERROR(ROUND(AVERAGE(Con.Sk.S[[#This Row],[TJ.1]:[Pro-A.1]]),0),"-")</f>
        <v>-</v>
      </c>
      <c r="BN10" s="24" t="str">
        <f>IFERROR(ROUND(AVERAGE(Con.Sk.S[[#This Row],[TJ.2]:[Pro-A.2]]),0),"-")</f>
        <v>-</v>
      </c>
      <c r="BO10" s="24" t="str">
        <f>IFERROR(ROUND(AVERAGE(Con.Sk.S[[#This Row],[TJ.3]:[Pro-A.3]]),0),"-")</f>
        <v>-</v>
      </c>
      <c r="BP10" s="24" t="str">
        <f>IFERROR(ROUND(AVERAGE(Con.Sk.S[[#This Row],[TJ.4]:[Pro-A.4]]),0),"-")</f>
        <v>-</v>
      </c>
      <c r="BQ10" s="24" t="str">
        <f>IFERROR(ROUND(AVERAGE(Con.Sk.S[[#This Row],[TJ.5]:[Pro-A.5]]),0),"-")</f>
        <v>-</v>
      </c>
      <c r="BR10" s="24" t="str">
        <f>IFERROR(ROUND(AVERAGE(Con.Sk.S[[#This Row],[TJ.6]:[Pro-A.6]]),0),"-")</f>
        <v>-</v>
      </c>
      <c r="BS10" s="24" t="str">
        <f>IFERROR(ROUND(AVERAGE(Con.Sk.S[[#This Row],[TJ.7]:[Pro-A.7]]),0),"-")</f>
        <v>-</v>
      </c>
      <c r="BT10" s="24" t="str">
        <f>IFERROR(ROUND(AVERAGE(Con.Sk.S[[#This Row],[TJ.8]:[Pro-A.8]]),0),"-")</f>
        <v>-</v>
      </c>
      <c r="BU10" s="25" t="str">
        <f>IFERROR(ROUND(AVERAGE(Con.Sk.S[[#This Row],[TJ.9]:[Pro-A.9]]),0),"-")</f>
        <v>-</v>
      </c>
      <c r="BW10" s="47" t="str">
        <f>IFERROR(ROUND(AVERAGE(Con.Sk.S[[#This Row],[KU.1]],Con.Sk.S[[#This Row],[KU.2]],Con.Sk.S[[#This Row],[KU.3]],Con.Sk.S[[#This Row],[KU.4]],Con.Sk.S[[#This Row],[KU.5]],Con.Sk.S[[#This Row],[KU.6]],Con.Sk.S[[#This Row],[KU.7]],Con.Sk.S[[#This Row],[KU.8]],Con.Sk.S[[#This Row],[KU.9]]),0),"")</f>
        <v/>
      </c>
      <c r="BX10" s="48" t="str">
        <f>IFERROR(ROUND(AVERAGE(Con.Sk.S[[#This Row],[TJ.1]:[Pro-A.1]],Con.Sk.S[[#This Row],[TJ.2]:[Pro-A.2]],Con.Sk.S[[#This Row],[TJ.3]:[Pro-A.3]],Con.Sk.S[[#This Row],[TJ.4]:[Pro-A.4]],Con.Sk.S[[#This Row],[TJ.5]:[Pro-A.5]],Con.Sk.S[[#This Row],[TJ.6]:[Pro-A.6]],Con.Sk.S[[#This Row],[TJ.7]:[Pro-A.7]],Con.Sk.S[[#This Row],[TJ.8]:[Pro-A.8]],Con.Sk.S[[#This Row],[TJ.9]:[Pro-A.9]]),0),"")</f>
        <v/>
      </c>
      <c r="BY10" s="3"/>
      <c r="BZ10" s="73" t="str">
        <f>IF(NSi.SE[[#This Row],[KU.1]]="A",100,IF(NSi.SE[[#This Row],[KU.1]]="B",89,IF(NSi.SE[[#This Row],[KU.1]]="C",79,IF(NSi.SE[[#This Row],[KU.1]]="D",69,IF(NSi.SE[[#This Row],[KU.1]]="E",0,"-")))))</f>
        <v>-</v>
      </c>
      <c r="CA10" s="73" t="str">
        <f>IF(NSi.SE[[#This Row],[TJ.1]]=1,100,IF(NSi.SE[[#This Row],[TJ.1]]=2,89,IF(NSi.SE[[#This Row],[TJ.1]]=3,79,IF(NSi.SE[[#This Row],[TJ.1]]=4,69,IF(NSi.SE[[#This Row],[TJ.1]]=5,0,"-")))))</f>
        <v>-</v>
      </c>
      <c r="CB10" s="73" t="str">
        <f>IF(NSi.SE[[#This Row],[Ker.1]]=1,100,IF(NSi.SE[[#This Row],[Ker.1]]=2,89,IF(NSi.SE[[#This Row],[Ker.1]]=3,79,IF(NSi.SE[[#This Row],[Ker.1]]=4,69,IF(NSi.SE[[#This Row],[Ker.1]]=5,0,"-")))))</f>
        <v>-</v>
      </c>
      <c r="CC10" s="73" t="str">
        <f>IF(NSi.SE[[#This Row],[Ped.1]]=1,100,IF(NSi.SE[[#This Row],[Ped.1]]=2,89,IF(NSi.SE[[#This Row],[Ped.1]]=3,79,IF(NSi.SE[[#This Row],[Ped.1]]=4,69,IF(NSi.SE[[#This Row],[Ped.1]]=5,0,"-")))))</f>
        <v>-</v>
      </c>
      <c r="CD10" s="73" t="str">
        <f>IF(NSi.SE[[#This Row],[Pro-A.1]]=1,100,IF(NSi.SE[[#This Row],[Pro-A.1]]=2,89,IF(NSi.SE[[#This Row],[Pro-A.1]]=3,79,IF(NSi.SE[[#This Row],[Pro-A.1]]=4,69,IF(NSi.SE[[#This Row],[Pro-A.1]]=5,0,"-")))))</f>
        <v>-</v>
      </c>
      <c r="CE10" s="73" t="str">
        <f>IF(NSi.SE[[#This Row],[KU.2]]="A",100,IF(NSi.SE[[#This Row],[KU.2]]="B",89,IF(NSi.SE[[#This Row],[KU.2]]="C",79,IF(NSi.SE[[#This Row],[KU.2]]="D",69,IF(NSi.SE[[#This Row],[KU.2]]="E",0,"-")))))</f>
        <v>-</v>
      </c>
      <c r="CF10" s="73" t="str">
        <f>IF(NSi.SE[[#This Row],[TJ.2]]=1,100,IF(NSi.SE[[#This Row],[TJ.2]]=2,89,IF(NSi.SE[[#This Row],[TJ.2]]=3,79,IF(NSi.SE[[#This Row],[TJ.2]]=4,69,IF(NSi.SE[[#This Row],[TJ.2]]=5,0,"-")))))</f>
        <v>-</v>
      </c>
      <c r="CG10" s="73" t="str">
        <f>IF(NSi.SE[[#This Row],[Ker.2]]=1,100,IF(NSi.SE[[#This Row],[Ker.2]]=2,89,IF(NSi.SE[[#This Row],[Ker.2]]=3,79,IF(NSi.SE[[#This Row],[Ker.2]]=4,69,IF(NSi.SE[[#This Row],[Ker.2]]=5,0,"-")))))</f>
        <v>-</v>
      </c>
      <c r="CH10" s="73" t="str">
        <f>IF(NSi.SE[[#This Row],[Ped.2]]=1,100,IF(NSi.SE[[#This Row],[Ped.2]]=2,89,IF(NSi.SE[[#This Row],[Ped.2]]=3,79,IF(NSi.SE[[#This Row],[Ped.2]]=4,69,IF(NSi.SE[[#This Row],[Ped.2]]=5,0,"-")))))</f>
        <v>-</v>
      </c>
      <c r="CI10" s="73" t="str">
        <f>IF(NSi.SE[[#This Row],[Pro-A.2]]=1,100,IF(NSi.SE[[#This Row],[Pro-A.2]]=2,89,IF(NSi.SE[[#This Row],[Pro-A.2]]=3,79,IF(NSi.SE[[#This Row],[Pro-A.2]]=4,69,IF(NSi.SE[[#This Row],[Pro-A.2]]=5,0,"-")))))</f>
        <v>-</v>
      </c>
      <c r="CJ10" s="74" t="str">
        <f>IF(NSi.SE[[#This Row],[KU.3]]="A",100,IF(NSi.SE[[#This Row],[KU.3]]="B",89,IF(NSi.SE[[#This Row],[KU.3]]="C",79,IF(NSi.SE[[#This Row],[KU.3]]="D",69,IF(NSi.SE[[#This Row],[KU.3]]="E",0,"-")))))</f>
        <v>-</v>
      </c>
      <c r="CK10" s="73" t="str">
        <f>IF(NSi.SE[[#This Row],[TJ.3]]=1,100,IF(NSi.SE[[#This Row],[TJ.3]]=2,89,IF(NSi.SE[[#This Row],[TJ.3]]=3,79,IF(NSi.SE[[#This Row],[TJ.3]]=4,69,IF(NSi.SE[[#This Row],[TJ.3]]=5,0,"-")))))</f>
        <v>-</v>
      </c>
      <c r="CL10" s="73" t="str">
        <f>IF(NSi.SE[[#This Row],[Ker.3]]=1,100,IF(NSi.SE[[#This Row],[Ker.3]]=2,89,IF(NSi.SE[[#This Row],[Ker.3]]=3,79,IF(NSi.SE[[#This Row],[Ker.3]]=4,69,IF(NSi.SE[[#This Row],[Ker.3]]=5,0,"-")))))</f>
        <v>-</v>
      </c>
      <c r="CM10" s="73" t="str">
        <f>IF(NSi.SE[[#This Row],[Ped.3]]=1,100,IF(NSi.SE[[#This Row],[Ped.3]]=2,89,IF(NSi.SE[[#This Row],[Ped.3]]=3,79,IF(NSi.SE[[#This Row],[Ped.3]]=4,69,IF(NSi.SE[[#This Row],[Ped.3]]=5,0,"-")))))</f>
        <v>-</v>
      </c>
      <c r="CN10" s="73" t="str">
        <f>IF(NSi.SE[[#This Row],[Pro-A.3]]=1,100,IF(NSi.SE[[#This Row],[Pro-A.3]]=2,89,IF(NSi.SE[[#This Row],[Pro-A.3]]=3,79,IF(NSi.SE[[#This Row],[Pro-A.3]]=4,69,IF(NSi.SE[[#This Row],[Pro-A.3]]=5,0,"-")))))</f>
        <v>-</v>
      </c>
      <c r="CO10" s="74" t="str">
        <f>IF(NSi.SE[[#This Row],[KU.4]]="A",100,IF(NSi.SE[[#This Row],[KU.4]]="B",89,IF(NSi.SE[[#This Row],[KU.4]]="C",79,IF(NSi.SE[[#This Row],[KU.4]]="D",69,IF(NSi.SE[[#This Row],[KU.4]]="E",0,"-")))))</f>
        <v>-</v>
      </c>
      <c r="CP10" s="73" t="str">
        <f>IF(NSi.SE[[#This Row],[TJ.4]]=1,100,IF(NSi.SE[[#This Row],[TJ.4]]=2,89,IF(NSi.SE[[#This Row],[TJ.4]]=3,79,IF(NSi.SE[[#This Row],[TJ.4]]=4,69,IF(NSi.SE[[#This Row],[TJ.4]]=5,0,"-")))))</f>
        <v>-</v>
      </c>
      <c r="CQ10" s="73" t="str">
        <f>IF(NSi.SE[[#This Row],[Ker.4]]=1,100,IF(NSi.SE[[#This Row],[Ker.4]]=2,89,IF(NSi.SE[[#This Row],[Ker.4]]=3,79,IF(NSi.SE[[#This Row],[Ker.4]]=4,69,IF(NSi.SE[[#This Row],[Ker.4]]=5,0,"-")))))</f>
        <v>-</v>
      </c>
      <c r="CR10" s="73" t="str">
        <f>IF(NSi.SE[[#This Row],[Ped.4]]=1,100,IF(NSi.SE[[#This Row],[Ped.4]]=2,89,IF(NSi.SE[[#This Row],[Ped.4]]=3,79,IF(NSi.SE[[#This Row],[Ped.4]]=4,69,IF(NSi.SE[[#This Row],[Ped.4]]=5,0,"-")))))</f>
        <v>-</v>
      </c>
      <c r="CS10" s="73" t="str">
        <f>IF(NSi.SE[[#This Row],[Pro-A.4]]=1,100,IF(NSi.SE[[#This Row],[Pro-A.4]]=2,89,IF(NSi.SE[[#This Row],[Pro-A.4]]=3,79,IF(NSi.SE[[#This Row],[Pro-A.4]]=4,69,IF(NSi.SE[[#This Row],[Pro-A.4]]=5,0,"-")))))</f>
        <v>-</v>
      </c>
      <c r="CT10" s="74" t="str">
        <f>IF(NSi.SE[[#This Row],[KU.5]]="A",100,IF(NSi.SE[[#This Row],[KU.5]]="B",89,IF(NSi.SE[[#This Row],[KU.5]]="C",79,IF(NSi.SE[[#This Row],[KU.5]]="D",69,IF(NSi.SE[[#This Row],[KU.5]]="E",0,"-")))))</f>
        <v>-</v>
      </c>
      <c r="CU10" s="73" t="str">
        <f>IF(NSi.SE[[#This Row],[TJ.5]]=1,100,IF(NSi.SE[[#This Row],[TJ.5]]=2,89,IF(NSi.SE[[#This Row],[TJ.5]]=3,79,IF(NSi.SE[[#This Row],[TJ.5]]=4,69,IF(NSi.SE[[#This Row],[TJ.5]]=5,0,"-")))))</f>
        <v>-</v>
      </c>
      <c r="CV10" s="73" t="str">
        <f>IF(NSi.SE[[#This Row],[Ker.5]]=1,100,IF(NSi.SE[[#This Row],[Ker.5]]=2,89,IF(NSi.SE[[#This Row],[Ker.5]]=3,79,IF(NSi.SE[[#This Row],[Ker.5]]=4,69,IF(NSi.SE[[#This Row],[Ker.5]]=5,0,"-")))))</f>
        <v>-</v>
      </c>
      <c r="CW10" s="73" t="str">
        <f>IF(NSi.SE[[#This Row],[Ped.5]]=1,100,IF(NSi.SE[[#This Row],[Ped.5]]=2,89,IF(NSi.SE[[#This Row],[Ped.5]]=3,79,IF(NSi.SE[[#This Row],[Ped.5]]=4,69,IF(NSi.SE[[#This Row],[Ped.5]]=5,0,"-")))))</f>
        <v>-</v>
      </c>
      <c r="CX10" s="73" t="str">
        <f>IF(NSi.SE[[#This Row],[Pro-A.5]]=1,100,IF(NSi.SE[[#This Row],[Pro-A.5]]=2,89,IF(NSi.SE[[#This Row],[Pro-A.5]]=3,79,IF(NSi.SE[[#This Row],[Pro-A.5]]=4,69,IF(NSi.SE[[#This Row],[Pro-A.5]]=5,0,"-")))))</f>
        <v>-</v>
      </c>
      <c r="CY10" s="74" t="str">
        <f>IF(NSi.SE[[#This Row],[KU.6]]="A",100,IF(NSi.SE[[#This Row],[KU.6]]="B",89,IF(NSi.SE[[#This Row],[KU.6]]="C",79,IF(NSi.SE[[#This Row],[KU.6]]="D",69,IF(NSi.SE[[#This Row],[KU.6]]="E",0,"-")))))</f>
        <v>-</v>
      </c>
      <c r="CZ10" s="73" t="str">
        <f>IF(NSi.SE[[#This Row],[TJ.6]]=1,100,IF(NSi.SE[[#This Row],[TJ.6]]=2,89,IF(NSi.SE[[#This Row],[TJ.6]]=3,79,IF(NSi.SE[[#This Row],[TJ.6]]=4,69,IF(NSi.SE[[#This Row],[TJ.6]]=5,0,"-")))))</f>
        <v>-</v>
      </c>
      <c r="DA10" s="73" t="str">
        <f>IF(NSi.SE[[#This Row],[Ker.6]]=1,100,IF(NSi.SE[[#This Row],[Ker.6]]=2,89,IF(NSi.SE[[#This Row],[Ker.6]]=3,79,IF(NSi.SE[[#This Row],[Ker.6]]=4,69,IF(NSi.SE[[#This Row],[Ker.6]]=5,0,"-")))))</f>
        <v>-</v>
      </c>
      <c r="DB10" s="73" t="str">
        <f>IF(NSi.SE[[#This Row],[Ped.6]]=1,100,IF(NSi.SE[[#This Row],[Ped.6]]=2,89,IF(NSi.SE[[#This Row],[Ped.6]]=3,79,IF(NSi.SE[[#This Row],[Ped.6]]=4,69,IF(NSi.SE[[#This Row],[Ped.6]]=5,0,"-")))))</f>
        <v>-</v>
      </c>
      <c r="DC10" s="73" t="str">
        <f>IF(NSi.SE[[#This Row],[Pro-A.6]]=1,100,IF(NSi.SE[[#This Row],[Pro-A.6]]=2,89,IF(NSi.SE[[#This Row],[Pro-A.6]]=3,79,IF(NSi.SE[[#This Row],[Pro-A.6]]=4,69,IF(NSi.SE[[#This Row],[Pro-A.6]]=5,0,"-")))))</f>
        <v>-</v>
      </c>
      <c r="DD10" s="74" t="str">
        <f>IF(NSi.SE[[#This Row],[KU.7]]="A",100,IF(NSi.SE[[#This Row],[KU.7]]="B",89,IF(NSi.SE[[#This Row],[KU.7]]="C",79,IF(NSi.SE[[#This Row],[KU.7]]="D",69,IF(NSi.SE[[#This Row],[KU.7]]="E",0,"-")))))</f>
        <v>-</v>
      </c>
      <c r="DE10" s="73" t="str">
        <f>IF(NSi.SE[[#This Row],[TJ.7]]=1,100,IF(NSi.SE[[#This Row],[TJ.7]]=2,89,IF(NSi.SE[[#This Row],[TJ.7]]=3,79,IF(NSi.SE[[#This Row],[TJ.7]]=4,69,IF(NSi.SE[[#This Row],[TJ.7]]=5,0,"-")))))</f>
        <v>-</v>
      </c>
      <c r="DF10" s="73" t="str">
        <f>IF(NSi.SE[[#This Row],[Ker.7]]=1,100,IF(NSi.SE[[#This Row],[Ker.7]]=2,89,IF(NSi.SE[[#This Row],[Ker.7]]=3,79,IF(NSi.SE[[#This Row],[Ker.7]]=4,69,IF(NSi.SE[[#This Row],[Ker.7]]=5,0,"-")))))</f>
        <v>-</v>
      </c>
      <c r="DG10" s="73" t="str">
        <f>IF(NSi.SE[[#This Row],[Ped.7]]=1,100,IF(NSi.SE[[#This Row],[Ped.7]]=2,89,IF(NSi.SE[[#This Row],[Ped.7]]=3,79,IF(NSi.SE[[#This Row],[Ped.7]]=4,69,IF(NSi.SE[[#This Row],[Ped.7]]=5,0,"-")))))</f>
        <v>-</v>
      </c>
      <c r="DH10" s="73" t="str">
        <f>IF(NSi.SE[[#This Row],[Pro-A.7]]=1,100,IF(NSi.SE[[#This Row],[Pro-A.7]]=2,89,IF(NSi.SE[[#This Row],[Pro-A.7]]=3,79,IF(NSi.SE[[#This Row],[Pro-A.7]]=4,69,IF(NSi.SE[[#This Row],[Pro-A.7]]=5,0,"-")))))</f>
        <v>-</v>
      </c>
      <c r="DI10" s="74" t="str">
        <f>IF(NSi.SE[[#This Row],[KU.8]]="A",100,IF(NSi.SE[[#This Row],[KU.8]]="B",89,IF(NSi.SE[[#This Row],[KU.8]]="C",79,IF(NSi.SE[[#This Row],[KU.8]]="D",69,IF(NSi.SE[[#This Row],[KU.8]]="E",0,"-")))))</f>
        <v>-</v>
      </c>
      <c r="DJ10" s="73" t="str">
        <f>IF(NSi.SE[[#This Row],[TJ.8]]=1,100,IF(NSi.SE[[#This Row],[TJ.8]]=2,89,IF(NSi.SE[[#This Row],[TJ.8]]=3,79,IF(NSi.SE[[#This Row],[TJ.8]]=4,69,IF(NSi.SE[[#This Row],[TJ.8]]=5,0,"-")))))</f>
        <v>-</v>
      </c>
      <c r="DK10" s="73" t="str">
        <f>IF(NSi.SE[[#This Row],[Ker.8]]=1,100,IF(NSi.SE[[#This Row],[Ker.8]]=2,89,IF(NSi.SE[[#This Row],[Ker.8]]=3,79,IF(NSi.SE[[#This Row],[Ker.8]]=4,69,IF(NSi.SE[[#This Row],[Ker.8]]=5,0,"-")))))</f>
        <v>-</v>
      </c>
      <c r="DL10" s="73" t="str">
        <f>IF(NSi.SE[[#This Row],[Ped.8]]=1,100,IF(NSi.SE[[#This Row],[Ped.8]]=2,89,IF(NSi.SE[[#This Row],[Ped.8]]=3,79,IF(NSi.SE[[#This Row],[Ped.8]]=4,69,IF(NSi.SE[[#This Row],[Ped.8]]=5,0,"-")))))</f>
        <v>-</v>
      </c>
      <c r="DM10" s="73" t="str">
        <f>IF(NSi.SE[[#This Row],[Pro-A.8]]=1,100,IF(NSi.SE[[#This Row],[Pro-A.8]]=2,89,IF(NSi.SE[[#This Row],[Pro-A.8]]=3,79,IF(NSi.SE[[#This Row],[Pro-A.8]]=4,69,IF(NSi.SE[[#This Row],[Pro-A.8]]=5,0,"-")))))</f>
        <v>-</v>
      </c>
      <c r="DN10" s="74" t="str">
        <f>IF(NSi.SE[[#This Row],[KU.9]]="A",100,IF(NSi.SE[[#This Row],[KU.9]]="B",89,IF(NSi.SE[[#This Row],[KU.9]]="C",79,IF(NSi.SE[[#This Row],[KU.9]]="D",69,IF(NSi.SE[[#This Row],[KU.9]]="E",0,"-")))))</f>
        <v>-</v>
      </c>
      <c r="DO10" s="73" t="str">
        <f>IF(NSi.SE[[#This Row],[TJ.9]]=1,100,IF(NSi.SE[[#This Row],[TJ.9]]=2,89,IF(NSi.SE[[#This Row],[TJ.9]]=3,79,IF(NSi.SE[[#This Row],[TJ.9]]=4,69,IF(NSi.SE[[#This Row],[TJ.9]]=5,0,"-")))))</f>
        <v>-</v>
      </c>
      <c r="DP10" s="73" t="str">
        <f>IF(NSi.SE[[#This Row],[Ker.9]]=1,100,IF(NSi.SE[[#This Row],[Ker.9]]=2,89,IF(NSi.SE[[#This Row],[Ker.9]]=3,79,IF(NSi.SE[[#This Row],[Ker.9]]=4,69,IF(NSi.SE[[#This Row],[Ker.9]]=5,0,"-")))))</f>
        <v>-</v>
      </c>
      <c r="DQ10" s="73" t="str">
        <f>IF(NSi.SE[[#This Row],[Ped.9]]=1,100,IF(NSi.SE[[#This Row],[Ped.9]]=2,89,IF(NSi.SE[[#This Row],[Ped.9]]=3,79,IF(NSi.SE[[#This Row],[Ped.9]]=4,69,IF(NSi.SE[[#This Row],[Ped.9]]=5,0,"-")))))</f>
        <v>-</v>
      </c>
      <c r="DR10" s="73" t="str">
        <f>IF(NSi.SE[[#This Row],[Pro-A.9]]=1,100,IF(NSi.SE[[#This Row],[Pro-A.9]]=2,89,IF(NSi.SE[[#This Row],[Pro-A.9]]=3,79,IF(NSi.SE[[#This Row],[Pro-A.9]]=4,69,IF(NSi.SE[[#This Row],[Pro-A.9]]=5,0,"-")))))</f>
        <v>-</v>
      </c>
      <c r="DT1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1" spans="1:124" ht="50.1" customHeight="1" x14ac:dyDescent="0.3">
      <c r="A11" s="66">
        <f>IF(NSi.TS[[#This Row],[No]]=0,"",NSi.TS[[#This Row],[No]])</f>
        <v>9</v>
      </c>
      <c r="B11" s="67" t="str">
        <f>IF(NSi.TS[[#This Row],[Nama Siswa]]=0,"",NSi.TS[[#This Row],[Nama Siswa]])</f>
        <v/>
      </c>
      <c r="C11" s="68" t="str">
        <f>IF(NSi.TS[[#This Row],[Nomor Induk]]=0,"",NSi.TS[[#This Row],[Nomor Induk]])</f>
        <v/>
      </c>
      <c r="D11" s="68" t="str">
        <f>IF(NSi.TS[[#This Row],[NISN]]=0,"",NSi.TS[[#This Row],[NISN]])</f>
        <v/>
      </c>
      <c r="E11" s="68" t="str">
        <f>IF(NSi.TS[[#This Row],[Jurusan]]=0,"",NSi.TS[[#This Row],[Jurusan]])</f>
        <v/>
      </c>
      <c r="F11" s="39" t="str">
        <f>NSi.TS[[#This Row],[Nsi.TS]]</f>
        <v/>
      </c>
      <c r="G11" s="39" t="str">
        <f>IFERROR(ROUND(AVERAGE(CSCR.S[#This Row]),0),"")</f>
        <v/>
      </c>
      <c r="H11" s="39" t="str">
        <f>IFERROR(ROUND(AVERAGE(NSi.SE[[#This Row],[Nsi.TS]:[NS.iS]]),0),"")</f>
        <v/>
      </c>
      <c r="I11" s="41" t="s">
        <v>102</v>
      </c>
      <c r="J11" s="45" t="s">
        <v>102</v>
      </c>
      <c r="K11" s="45" t="s">
        <v>102</v>
      </c>
      <c r="L11" s="45" t="s">
        <v>102</v>
      </c>
      <c r="M11" s="45" t="s">
        <v>102</v>
      </c>
      <c r="N11" s="41" t="s">
        <v>102</v>
      </c>
      <c r="O11" s="45" t="s">
        <v>102</v>
      </c>
      <c r="P11" s="45" t="s">
        <v>102</v>
      </c>
      <c r="Q11" s="45" t="s">
        <v>102</v>
      </c>
      <c r="R11" s="45" t="s">
        <v>102</v>
      </c>
      <c r="S11" s="41" t="s">
        <v>102</v>
      </c>
      <c r="T11" s="45" t="s">
        <v>102</v>
      </c>
      <c r="U11" s="45" t="s">
        <v>102</v>
      </c>
      <c r="V11" s="45" t="s">
        <v>102</v>
      </c>
      <c r="W11" s="45" t="s">
        <v>102</v>
      </c>
      <c r="X11" s="41" t="s">
        <v>102</v>
      </c>
      <c r="Y11" s="45" t="s">
        <v>102</v>
      </c>
      <c r="Z11" s="45" t="s">
        <v>102</v>
      </c>
      <c r="AA11" s="45" t="s">
        <v>102</v>
      </c>
      <c r="AB11" s="45" t="s">
        <v>102</v>
      </c>
      <c r="AC11" s="41" t="s">
        <v>102</v>
      </c>
      <c r="AD11" s="45" t="s">
        <v>102</v>
      </c>
      <c r="AE11" s="45" t="s">
        <v>102</v>
      </c>
      <c r="AF11" s="45" t="s">
        <v>102</v>
      </c>
      <c r="AG11" s="45" t="s">
        <v>102</v>
      </c>
      <c r="AH11" s="41" t="s">
        <v>102</v>
      </c>
      <c r="AI11" s="45" t="s">
        <v>102</v>
      </c>
      <c r="AJ11" s="45" t="s">
        <v>102</v>
      </c>
      <c r="AK11" s="45" t="s">
        <v>102</v>
      </c>
      <c r="AL11" s="45" t="s">
        <v>102</v>
      </c>
      <c r="AM11" s="41" t="s">
        <v>102</v>
      </c>
      <c r="AN11" s="45" t="s">
        <v>102</v>
      </c>
      <c r="AO11" s="45" t="s">
        <v>102</v>
      </c>
      <c r="AP11" s="45" t="s">
        <v>102</v>
      </c>
      <c r="AQ11" s="45" t="s">
        <v>102</v>
      </c>
      <c r="AR11" s="41" t="s">
        <v>102</v>
      </c>
      <c r="AS11" s="45" t="s">
        <v>102</v>
      </c>
      <c r="AT11" s="45" t="s">
        <v>102</v>
      </c>
      <c r="AU11" s="45" t="s">
        <v>102</v>
      </c>
      <c r="AV11" s="45" t="s">
        <v>102</v>
      </c>
      <c r="AW11" s="41" t="s">
        <v>102</v>
      </c>
      <c r="AX11" s="45" t="s">
        <v>102</v>
      </c>
      <c r="AY11" s="45" t="s">
        <v>102</v>
      </c>
      <c r="AZ11" s="45" t="s">
        <v>102</v>
      </c>
      <c r="BA11" s="45" t="s">
        <v>102</v>
      </c>
      <c r="BC11" s="10" t="str">
        <f>CONCATENATE(NSi.SE[[#This Row],[KU.1]],(IF(A.LoE.S[[#This Row],[LE.1]]="-","-",IF(A.LoE.S[[#This Row],[LE.1]]&gt;=90,1,IF(A.LoE.S[[#This Row],[LE.1]]&gt;=80,2,IF(A.LoE.S[[#This Row],[LE.1]]&gt;=70,3,IF(A.LoE.S[[#This Row],[LE.1]]&gt;=1,4,5)))))))</f>
        <v>--</v>
      </c>
      <c r="BD11" s="46" t="str">
        <f>CONCATENATE(NSi.SE[[#This Row],[KU.2]],(IF(A.LoE.S[[#This Row],[LE.2]]="-","-",IF(A.LoE.S[[#This Row],[LE.2]]&gt;=90,1,IF(A.LoE.S[[#This Row],[LE.2]]&gt;=80,2,IF(A.LoE.S[[#This Row],[LE.2]]&gt;=70,3,IF(A.LoE.S[[#This Row],[LE.2]]&gt;=1,4,5)))))))</f>
        <v>--</v>
      </c>
      <c r="BE11" s="46" t="str">
        <f>CONCATENATE(NSi.SE[[#This Row],[KU.3]],(IF(A.LoE.S[[#This Row],[LE.3]]="-","-",IF(A.LoE.S[[#This Row],[LE.3]]&gt;=90,1,IF(A.LoE.S[[#This Row],[LE.3]]&gt;=80,2,IF(A.LoE.S[[#This Row],[LE.3]]&gt;=70,3,IF(A.LoE.S[[#This Row],[LE.3]]&gt;=1,4,5)))))))</f>
        <v>--</v>
      </c>
      <c r="BF11" s="46" t="str">
        <f>CONCATENATE(NSi.SE[[#This Row],[KU.4]],(IF(A.LoE.S[[#This Row],[LE.4]]="-","-",IF(A.LoE.S[[#This Row],[LE.4]]&gt;=90,1,IF(A.LoE.S[[#This Row],[LE.4]]&gt;=80,2,IF(A.LoE.S[[#This Row],[LE.4]]&gt;=70,3,IF(A.LoE.S[[#This Row],[LE.4]]&gt;=1,4,5)))))))</f>
        <v>--</v>
      </c>
      <c r="BG11" s="46" t="str">
        <f>CONCATENATE(NSi.SE[[#This Row],[KU.5]],(IF(A.LoE.S[[#This Row],[LE.5]]="-","-",IF(A.LoE.S[[#This Row],[LE.5]]&gt;=90,1,IF(A.LoE.S[[#This Row],[LE.5]]&gt;=80,2,IF(A.LoE.S[[#This Row],[LE.5]]&gt;=70,3,IF(A.LoE.S[[#This Row],[LE.5]]&gt;=1,4,5)))))))</f>
        <v>--</v>
      </c>
      <c r="BH11" s="46" t="str">
        <f>CONCATENATE(NSi.SE[[#This Row],[KU.6]],(IF(A.LoE.S[[#This Row],[LE.6]]="-","-",IF(A.LoE.S[[#This Row],[LE.6]]&gt;=90,1,IF(A.LoE.S[[#This Row],[LE.6]]&gt;=80,2,IF(A.LoE.S[[#This Row],[LE.6]]&gt;=70,3,IF(A.LoE.S[[#This Row],[LE.6]]&gt;=1,4,5)))))))</f>
        <v>--</v>
      </c>
      <c r="BI11" s="46" t="str">
        <f>CONCATENATE(NSi.SE[[#This Row],[KU.7]],(IF(A.LoE.S[[#This Row],[LE.7]]="-","-",IF(A.LoE.S[[#This Row],[LE.7]]&gt;=90,1,IF(A.LoE.S[[#This Row],[LE.7]]&gt;=80,2,IF(A.LoE.S[[#This Row],[LE.7]]&gt;=70,3,IF(A.LoE.S[[#This Row],[LE.7]]&gt;=1,4,5)))))))</f>
        <v>--</v>
      </c>
      <c r="BJ11" s="46" t="str">
        <f>CONCATENATE(NSi.SE[[#This Row],[KU.8]],(IF(A.LoE.S[[#This Row],[LE.8]]="-","-",IF(A.LoE.S[[#This Row],[LE.8]]&gt;=90,1,IF(A.LoE.S[[#This Row],[LE.8]]&gt;=80,2,IF(A.LoE.S[[#This Row],[LE.8]]&gt;=70,3,IF(A.LoE.S[[#This Row],[LE.8]]&gt;=1,4,5)))))))</f>
        <v>--</v>
      </c>
      <c r="BK11" s="38" t="str">
        <f>CONCATENATE(NSi.SE[[#This Row],[KU.9]],(IF(A.LoE.S[[#This Row],[LE.9]]="-","-",IF(A.LoE.S[[#This Row],[LE.9]]&gt;=90,1,IF(A.LoE.S[[#This Row],[LE.9]]&gt;=80,2,IF(A.LoE.S[[#This Row],[LE.9]]&gt;=70,3,IF(A.LoE.S[[#This Row],[LE.9]]&gt;=1,4,5)))))))</f>
        <v>--</v>
      </c>
      <c r="BM11" s="35" t="str">
        <f>IFERROR(ROUND(AVERAGE(Con.Sk.S[[#This Row],[TJ.1]:[Pro-A.1]]),0),"-")</f>
        <v>-</v>
      </c>
      <c r="BN11" s="24" t="str">
        <f>IFERROR(ROUND(AVERAGE(Con.Sk.S[[#This Row],[TJ.2]:[Pro-A.2]]),0),"-")</f>
        <v>-</v>
      </c>
      <c r="BO11" s="24" t="str">
        <f>IFERROR(ROUND(AVERAGE(Con.Sk.S[[#This Row],[TJ.3]:[Pro-A.3]]),0),"-")</f>
        <v>-</v>
      </c>
      <c r="BP11" s="24" t="str">
        <f>IFERROR(ROUND(AVERAGE(Con.Sk.S[[#This Row],[TJ.4]:[Pro-A.4]]),0),"-")</f>
        <v>-</v>
      </c>
      <c r="BQ11" s="24" t="str">
        <f>IFERROR(ROUND(AVERAGE(Con.Sk.S[[#This Row],[TJ.5]:[Pro-A.5]]),0),"-")</f>
        <v>-</v>
      </c>
      <c r="BR11" s="24" t="str">
        <f>IFERROR(ROUND(AVERAGE(Con.Sk.S[[#This Row],[TJ.6]:[Pro-A.6]]),0),"-")</f>
        <v>-</v>
      </c>
      <c r="BS11" s="24" t="str">
        <f>IFERROR(ROUND(AVERAGE(Con.Sk.S[[#This Row],[TJ.7]:[Pro-A.7]]),0),"-")</f>
        <v>-</v>
      </c>
      <c r="BT11" s="24" t="str">
        <f>IFERROR(ROUND(AVERAGE(Con.Sk.S[[#This Row],[TJ.8]:[Pro-A.8]]),0),"-")</f>
        <v>-</v>
      </c>
      <c r="BU11" s="25" t="str">
        <f>IFERROR(ROUND(AVERAGE(Con.Sk.S[[#This Row],[TJ.9]:[Pro-A.9]]),0),"-")</f>
        <v>-</v>
      </c>
      <c r="BW11" s="47" t="str">
        <f>IFERROR(ROUND(AVERAGE(Con.Sk.S[[#This Row],[KU.1]],Con.Sk.S[[#This Row],[KU.2]],Con.Sk.S[[#This Row],[KU.3]],Con.Sk.S[[#This Row],[KU.4]],Con.Sk.S[[#This Row],[KU.5]],Con.Sk.S[[#This Row],[KU.6]],Con.Sk.S[[#This Row],[KU.7]],Con.Sk.S[[#This Row],[KU.8]],Con.Sk.S[[#This Row],[KU.9]]),0),"")</f>
        <v/>
      </c>
      <c r="BX11" s="48" t="str">
        <f>IFERROR(ROUND(AVERAGE(Con.Sk.S[[#This Row],[TJ.1]:[Pro-A.1]],Con.Sk.S[[#This Row],[TJ.2]:[Pro-A.2]],Con.Sk.S[[#This Row],[TJ.3]:[Pro-A.3]],Con.Sk.S[[#This Row],[TJ.4]:[Pro-A.4]],Con.Sk.S[[#This Row],[TJ.5]:[Pro-A.5]],Con.Sk.S[[#This Row],[TJ.6]:[Pro-A.6]],Con.Sk.S[[#This Row],[TJ.7]:[Pro-A.7]],Con.Sk.S[[#This Row],[TJ.8]:[Pro-A.8]],Con.Sk.S[[#This Row],[TJ.9]:[Pro-A.9]]),0),"")</f>
        <v/>
      </c>
      <c r="BY11" s="3"/>
      <c r="BZ11" s="73" t="str">
        <f>IF(NSi.SE[[#This Row],[KU.1]]="A",100,IF(NSi.SE[[#This Row],[KU.1]]="B",89,IF(NSi.SE[[#This Row],[KU.1]]="C",79,IF(NSi.SE[[#This Row],[KU.1]]="D",69,IF(NSi.SE[[#This Row],[KU.1]]="E",0,"-")))))</f>
        <v>-</v>
      </c>
      <c r="CA11" s="73" t="str">
        <f>IF(NSi.SE[[#This Row],[TJ.1]]=1,100,IF(NSi.SE[[#This Row],[TJ.1]]=2,89,IF(NSi.SE[[#This Row],[TJ.1]]=3,79,IF(NSi.SE[[#This Row],[TJ.1]]=4,69,IF(NSi.SE[[#This Row],[TJ.1]]=5,0,"-")))))</f>
        <v>-</v>
      </c>
      <c r="CB11" s="73" t="str">
        <f>IF(NSi.SE[[#This Row],[Ker.1]]=1,100,IF(NSi.SE[[#This Row],[Ker.1]]=2,89,IF(NSi.SE[[#This Row],[Ker.1]]=3,79,IF(NSi.SE[[#This Row],[Ker.1]]=4,69,IF(NSi.SE[[#This Row],[Ker.1]]=5,0,"-")))))</f>
        <v>-</v>
      </c>
      <c r="CC11" s="73" t="str">
        <f>IF(NSi.SE[[#This Row],[Ped.1]]=1,100,IF(NSi.SE[[#This Row],[Ped.1]]=2,89,IF(NSi.SE[[#This Row],[Ped.1]]=3,79,IF(NSi.SE[[#This Row],[Ped.1]]=4,69,IF(NSi.SE[[#This Row],[Ped.1]]=5,0,"-")))))</f>
        <v>-</v>
      </c>
      <c r="CD11" s="73" t="str">
        <f>IF(NSi.SE[[#This Row],[Pro-A.1]]=1,100,IF(NSi.SE[[#This Row],[Pro-A.1]]=2,89,IF(NSi.SE[[#This Row],[Pro-A.1]]=3,79,IF(NSi.SE[[#This Row],[Pro-A.1]]=4,69,IF(NSi.SE[[#This Row],[Pro-A.1]]=5,0,"-")))))</f>
        <v>-</v>
      </c>
      <c r="CE11" s="73" t="str">
        <f>IF(NSi.SE[[#This Row],[KU.2]]="A",100,IF(NSi.SE[[#This Row],[KU.2]]="B",89,IF(NSi.SE[[#This Row],[KU.2]]="C",79,IF(NSi.SE[[#This Row],[KU.2]]="D",69,IF(NSi.SE[[#This Row],[KU.2]]="E",0,"-")))))</f>
        <v>-</v>
      </c>
      <c r="CF11" s="73" t="str">
        <f>IF(NSi.SE[[#This Row],[TJ.2]]=1,100,IF(NSi.SE[[#This Row],[TJ.2]]=2,89,IF(NSi.SE[[#This Row],[TJ.2]]=3,79,IF(NSi.SE[[#This Row],[TJ.2]]=4,69,IF(NSi.SE[[#This Row],[TJ.2]]=5,0,"-")))))</f>
        <v>-</v>
      </c>
      <c r="CG11" s="73" t="str">
        <f>IF(NSi.SE[[#This Row],[Ker.2]]=1,100,IF(NSi.SE[[#This Row],[Ker.2]]=2,89,IF(NSi.SE[[#This Row],[Ker.2]]=3,79,IF(NSi.SE[[#This Row],[Ker.2]]=4,69,IF(NSi.SE[[#This Row],[Ker.2]]=5,0,"-")))))</f>
        <v>-</v>
      </c>
      <c r="CH11" s="73" t="str">
        <f>IF(NSi.SE[[#This Row],[Ped.2]]=1,100,IF(NSi.SE[[#This Row],[Ped.2]]=2,89,IF(NSi.SE[[#This Row],[Ped.2]]=3,79,IF(NSi.SE[[#This Row],[Ped.2]]=4,69,IF(NSi.SE[[#This Row],[Ped.2]]=5,0,"-")))))</f>
        <v>-</v>
      </c>
      <c r="CI11" s="73" t="str">
        <f>IF(NSi.SE[[#This Row],[Pro-A.2]]=1,100,IF(NSi.SE[[#This Row],[Pro-A.2]]=2,89,IF(NSi.SE[[#This Row],[Pro-A.2]]=3,79,IF(NSi.SE[[#This Row],[Pro-A.2]]=4,69,IF(NSi.SE[[#This Row],[Pro-A.2]]=5,0,"-")))))</f>
        <v>-</v>
      </c>
      <c r="CJ11" s="74" t="str">
        <f>IF(NSi.SE[[#This Row],[KU.3]]="A",100,IF(NSi.SE[[#This Row],[KU.3]]="B",89,IF(NSi.SE[[#This Row],[KU.3]]="C",79,IF(NSi.SE[[#This Row],[KU.3]]="D",69,IF(NSi.SE[[#This Row],[KU.3]]="E",0,"-")))))</f>
        <v>-</v>
      </c>
      <c r="CK11" s="73" t="str">
        <f>IF(NSi.SE[[#This Row],[TJ.3]]=1,100,IF(NSi.SE[[#This Row],[TJ.3]]=2,89,IF(NSi.SE[[#This Row],[TJ.3]]=3,79,IF(NSi.SE[[#This Row],[TJ.3]]=4,69,IF(NSi.SE[[#This Row],[TJ.3]]=5,0,"-")))))</f>
        <v>-</v>
      </c>
      <c r="CL11" s="73" t="str">
        <f>IF(NSi.SE[[#This Row],[Ker.3]]=1,100,IF(NSi.SE[[#This Row],[Ker.3]]=2,89,IF(NSi.SE[[#This Row],[Ker.3]]=3,79,IF(NSi.SE[[#This Row],[Ker.3]]=4,69,IF(NSi.SE[[#This Row],[Ker.3]]=5,0,"-")))))</f>
        <v>-</v>
      </c>
      <c r="CM11" s="73" t="str">
        <f>IF(NSi.SE[[#This Row],[Ped.3]]=1,100,IF(NSi.SE[[#This Row],[Ped.3]]=2,89,IF(NSi.SE[[#This Row],[Ped.3]]=3,79,IF(NSi.SE[[#This Row],[Ped.3]]=4,69,IF(NSi.SE[[#This Row],[Ped.3]]=5,0,"-")))))</f>
        <v>-</v>
      </c>
      <c r="CN11" s="73" t="str">
        <f>IF(NSi.SE[[#This Row],[Pro-A.3]]=1,100,IF(NSi.SE[[#This Row],[Pro-A.3]]=2,89,IF(NSi.SE[[#This Row],[Pro-A.3]]=3,79,IF(NSi.SE[[#This Row],[Pro-A.3]]=4,69,IF(NSi.SE[[#This Row],[Pro-A.3]]=5,0,"-")))))</f>
        <v>-</v>
      </c>
      <c r="CO11" s="74" t="str">
        <f>IF(NSi.SE[[#This Row],[KU.4]]="A",100,IF(NSi.SE[[#This Row],[KU.4]]="B",89,IF(NSi.SE[[#This Row],[KU.4]]="C",79,IF(NSi.SE[[#This Row],[KU.4]]="D",69,IF(NSi.SE[[#This Row],[KU.4]]="E",0,"-")))))</f>
        <v>-</v>
      </c>
      <c r="CP11" s="73" t="str">
        <f>IF(NSi.SE[[#This Row],[TJ.4]]=1,100,IF(NSi.SE[[#This Row],[TJ.4]]=2,89,IF(NSi.SE[[#This Row],[TJ.4]]=3,79,IF(NSi.SE[[#This Row],[TJ.4]]=4,69,IF(NSi.SE[[#This Row],[TJ.4]]=5,0,"-")))))</f>
        <v>-</v>
      </c>
      <c r="CQ11" s="73" t="str">
        <f>IF(NSi.SE[[#This Row],[Ker.4]]=1,100,IF(NSi.SE[[#This Row],[Ker.4]]=2,89,IF(NSi.SE[[#This Row],[Ker.4]]=3,79,IF(NSi.SE[[#This Row],[Ker.4]]=4,69,IF(NSi.SE[[#This Row],[Ker.4]]=5,0,"-")))))</f>
        <v>-</v>
      </c>
      <c r="CR11" s="73" t="str">
        <f>IF(NSi.SE[[#This Row],[Ped.4]]=1,100,IF(NSi.SE[[#This Row],[Ped.4]]=2,89,IF(NSi.SE[[#This Row],[Ped.4]]=3,79,IF(NSi.SE[[#This Row],[Ped.4]]=4,69,IF(NSi.SE[[#This Row],[Ped.4]]=5,0,"-")))))</f>
        <v>-</v>
      </c>
      <c r="CS11" s="73" t="str">
        <f>IF(NSi.SE[[#This Row],[Pro-A.4]]=1,100,IF(NSi.SE[[#This Row],[Pro-A.4]]=2,89,IF(NSi.SE[[#This Row],[Pro-A.4]]=3,79,IF(NSi.SE[[#This Row],[Pro-A.4]]=4,69,IF(NSi.SE[[#This Row],[Pro-A.4]]=5,0,"-")))))</f>
        <v>-</v>
      </c>
      <c r="CT11" s="74" t="str">
        <f>IF(NSi.SE[[#This Row],[KU.5]]="A",100,IF(NSi.SE[[#This Row],[KU.5]]="B",89,IF(NSi.SE[[#This Row],[KU.5]]="C",79,IF(NSi.SE[[#This Row],[KU.5]]="D",69,IF(NSi.SE[[#This Row],[KU.5]]="E",0,"-")))))</f>
        <v>-</v>
      </c>
      <c r="CU11" s="73" t="str">
        <f>IF(NSi.SE[[#This Row],[TJ.5]]=1,100,IF(NSi.SE[[#This Row],[TJ.5]]=2,89,IF(NSi.SE[[#This Row],[TJ.5]]=3,79,IF(NSi.SE[[#This Row],[TJ.5]]=4,69,IF(NSi.SE[[#This Row],[TJ.5]]=5,0,"-")))))</f>
        <v>-</v>
      </c>
      <c r="CV11" s="73" t="str">
        <f>IF(NSi.SE[[#This Row],[Ker.5]]=1,100,IF(NSi.SE[[#This Row],[Ker.5]]=2,89,IF(NSi.SE[[#This Row],[Ker.5]]=3,79,IF(NSi.SE[[#This Row],[Ker.5]]=4,69,IF(NSi.SE[[#This Row],[Ker.5]]=5,0,"-")))))</f>
        <v>-</v>
      </c>
      <c r="CW11" s="73" t="str">
        <f>IF(NSi.SE[[#This Row],[Ped.5]]=1,100,IF(NSi.SE[[#This Row],[Ped.5]]=2,89,IF(NSi.SE[[#This Row],[Ped.5]]=3,79,IF(NSi.SE[[#This Row],[Ped.5]]=4,69,IF(NSi.SE[[#This Row],[Ped.5]]=5,0,"-")))))</f>
        <v>-</v>
      </c>
      <c r="CX11" s="73" t="str">
        <f>IF(NSi.SE[[#This Row],[Pro-A.5]]=1,100,IF(NSi.SE[[#This Row],[Pro-A.5]]=2,89,IF(NSi.SE[[#This Row],[Pro-A.5]]=3,79,IF(NSi.SE[[#This Row],[Pro-A.5]]=4,69,IF(NSi.SE[[#This Row],[Pro-A.5]]=5,0,"-")))))</f>
        <v>-</v>
      </c>
      <c r="CY11" s="74" t="str">
        <f>IF(NSi.SE[[#This Row],[KU.6]]="A",100,IF(NSi.SE[[#This Row],[KU.6]]="B",89,IF(NSi.SE[[#This Row],[KU.6]]="C",79,IF(NSi.SE[[#This Row],[KU.6]]="D",69,IF(NSi.SE[[#This Row],[KU.6]]="E",0,"-")))))</f>
        <v>-</v>
      </c>
      <c r="CZ11" s="73" t="str">
        <f>IF(NSi.SE[[#This Row],[TJ.6]]=1,100,IF(NSi.SE[[#This Row],[TJ.6]]=2,89,IF(NSi.SE[[#This Row],[TJ.6]]=3,79,IF(NSi.SE[[#This Row],[TJ.6]]=4,69,IF(NSi.SE[[#This Row],[TJ.6]]=5,0,"-")))))</f>
        <v>-</v>
      </c>
      <c r="DA11" s="73" t="str">
        <f>IF(NSi.SE[[#This Row],[Ker.6]]=1,100,IF(NSi.SE[[#This Row],[Ker.6]]=2,89,IF(NSi.SE[[#This Row],[Ker.6]]=3,79,IF(NSi.SE[[#This Row],[Ker.6]]=4,69,IF(NSi.SE[[#This Row],[Ker.6]]=5,0,"-")))))</f>
        <v>-</v>
      </c>
      <c r="DB11" s="73" t="str">
        <f>IF(NSi.SE[[#This Row],[Ped.6]]=1,100,IF(NSi.SE[[#This Row],[Ped.6]]=2,89,IF(NSi.SE[[#This Row],[Ped.6]]=3,79,IF(NSi.SE[[#This Row],[Ped.6]]=4,69,IF(NSi.SE[[#This Row],[Ped.6]]=5,0,"-")))))</f>
        <v>-</v>
      </c>
      <c r="DC11" s="73" t="str">
        <f>IF(NSi.SE[[#This Row],[Pro-A.6]]=1,100,IF(NSi.SE[[#This Row],[Pro-A.6]]=2,89,IF(NSi.SE[[#This Row],[Pro-A.6]]=3,79,IF(NSi.SE[[#This Row],[Pro-A.6]]=4,69,IF(NSi.SE[[#This Row],[Pro-A.6]]=5,0,"-")))))</f>
        <v>-</v>
      </c>
      <c r="DD11" s="74" t="str">
        <f>IF(NSi.SE[[#This Row],[KU.7]]="A",100,IF(NSi.SE[[#This Row],[KU.7]]="B",89,IF(NSi.SE[[#This Row],[KU.7]]="C",79,IF(NSi.SE[[#This Row],[KU.7]]="D",69,IF(NSi.SE[[#This Row],[KU.7]]="E",0,"-")))))</f>
        <v>-</v>
      </c>
      <c r="DE11" s="73" t="str">
        <f>IF(NSi.SE[[#This Row],[TJ.7]]=1,100,IF(NSi.SE[[#This Row],[TJ.7]]=2,89,IF(NSi.SE[[#This Row],[TJ.7]]=3,79,IF(NSi.SE[[#This Row],[TJ.7]]=4,69,IF(NSi.SE[[#This Row],[TJ.7]]=5,0,"-")))))</f>
        <v>-</v>
      </c>
      <c r="DF11" s="73" t="str">
        <f>IF(NSi.SE[[#This Row],[Ker.7]]=1,100,IF(NSi.SE[[#This Row],[Ker.7]]=2,89,IF(NSi.SE[[#This Row],[Ker.7]]=3,79,IF(NSi.SE[[#This Row],[Ker.7]]=4,69,IF(NSi.SE[[#This Row],[Ker.7]]=5,0,"-")))))</f>
        <v>-</v>
      </c>
      <c r="DG11" s="73" t="str">
        <f>IF(NSi.SE[[#This Row],[Ped.7]]=1,100,IF(NSi.SE[[#This Row],[Ped.7]]=2,89,IF(NSi.SE[[#This Row],[Ped.7]]=3,79,IF(NSi.SE[[#This Row],[Ped.7]]=4,69,IF(NSi.SE[[#This Row],[Ped.7]]=5,0,"-")))))</f>
        <v>-</v>
      </c>
      <c r="DH11" s="73" t="str">
        <f>IF(NSi.SE[[#This Row],[Pro-A.7]]=1,100,IF(NSi.SE[[#This Row],[Pro-A.7]]=2,89,IF(NSi.SE[[#This Row],[Pro-A.7]]=3,79,IF(NSi.SE[[#This Row],[Pro-A.7]]=4,69,IF(NSi.SE[[#This Row],[Pro-A.7]]=5,0,"-")))))</f>
        <v>-</v>
      </c>
      <c r="DI11" s="74" t="str">
        <f>IF(NSi.SE[[#This Row],[KU.8]]="A",100,IF(NSi.SE[[#This Row],[KU.8]]="B",89,IF(NSi.SE[[#This Row],[KU.8]]="C",79,IF(NSi.SE[[#This Row],[KU.8]]="D",69,IF(NSi.SE[[#This Row],[KU.8]]="E",0,"-")))))</f>
        <v>-</v>
      </c>
      <c r="DJ11" s="73" t="str">
        <f>IF(NSi.SE[[#This Row],[TJ.8]]=1,100,IF(NSi.SE[[#This Row],[TJ.8]]=2,89,IF(NSi.SE[[#This Row],[TJ.8]]=3,79,IF(NSi.SE[[#This Row],[TJ.8]]=4,69,IF(NSi.SE[[#This Row],[TJ.8]]=5,0,"-")))))</f>
        <v>-</v>
      </c>
      <c r="DK11" s="73" t="str">
        <f>IF(NSi.SE[[#This Row],[Ker.8]]=1,100,IF(NSi.SE[[#This Row],[Ker.8]]=2,89,IF(NSi.SE[[#This Row],[Ker.8]]=3,79,IF(NSi.SE[[#This Row],[Ker.8]]=4,69,IF(NSi.SE[[#This Row],[Ker.8]]=5,0,"-")))))</f>
        <v>-</v>
      </c>
      <c r="DL11" s="73" t="str">
        <f>IF(NSi.SE[[#This Row],[Ped.8]]=1,100,IF(NSi.SE[[#This Row],[Ped.8]]=2,89,IF(NSi.SE[[#This Row],[Ped.8]]=3,79,IF(NSi.SE[[#This Row],[Ped.8]]=4,69,IF(NSi.SE[[#This Row],[Ped.8]]=5,0,"-")))))</f>
        <v>-</v>
      </c>
      <c r="DM11" s="73" t="str">
        <f>IF(NSi.SE[[#This Row],[Pro-A.8]]=1,100,IF(NSi.SE[[#This Row],[Pro-A.8]]=2,89,IF(NSi.SE[[#This Row],[Pro-A.8]]=3,79,IF(NSi.SE[[#This Row],[Pro-A.8]]=4,69,IF(NSi.SE[[#This Row],[Pro-A.8]]=5,0,"-")))))</f>
        <v>-</v>
      </c>
      <c r="DN11" s="74" t="str">
        <f>IF(NSi.SE[[#This Row],[KU.9]]="A",100,IF(NSi.SE[[#This Row],[KU.9]]="B",89,IF(NSi.SE[[#This Row],[KU.9]]="C",79,IF(NSi.SE[[#This Row],[KU.9]]="D",69,IF(NSi.SE[[#This Row],[KU.9]]="E",0,"-")))))</f>
        <v>-</v>
      </c>
      <c r="DO11" s="73" t="str">
        <f>IF(NSi.SE[[#This Row],[TJ.9]]=1,100,IF(NSi.SE[[#This Row],[TJ.9]]=2,89,IF(NSi.SE[[#This Row],[TJ.9]]=3,79,IF(NSi.SE[[#This Row],[TJ.9]]=4,69,IF(NSi.SE[[#This Row],[TJ.9]]=5,0,"-")))))</f>
        <v>-</v>
      </c>
      <c r="DP11" s="73" t="str">
        <f>IF(NSi.SE[[#This Row],[Ker.9]]=1,100,IF(NSi.SE[[#This Row],[Ker.9]]=2,89,IF(NSi.SE[[#This Row],[Ker.9]]=3,79,IF(NSi.SE[[#This Row],[Ker.9]]=4,69,IF(NSi.SE[[#This Row],[Ker.9]]=5,0,"-")))))</f>
        <v>-</v>
      </c>
      <c r="DQ11" s="73" t="str">
        <f>IF(NSi.SE[[#This Row],[Ped.9]]=1,100,IF(NSi.SE[[#This Row],[Ped.9]]=2,89,IF(NSi.SE[[#This Row],[Ped.9]]=3,79,IF(NSi.SE[[#This Row],[Ped.9]]=4,69,IF(NSi.SE[[#This Row],[Ped.9]]=5,0,"-")))))</f>
        <v>-</v>
      </c>
      <c r="DR11" s="73" t="str">
        <f>IF(NSi.SE[[#This Row],[Pro-A.9]]=1,100,IF(NSi.SE[[#This Row],[Pro-A.9]]=2,89,IF(NSi.SE[[#This Row],[Pro-A.9]]=3,79,IF(NSi.SE[[#This Row],[Pro-A.9]]=4,69,IF(NSi.SE[[#This Row],[Pro-A.9]]=5,0,"-")))))</f>
        <v>-</v>
      </c>
      <c r="DT1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2" spans="1:124" ht="50.1" customHeight="1" x14ac:dyDescent="0.3">
      <c r="A12" s="66">
        <f>IF(NSi.TS[[#This Row],[No]]=0,"",NSi.TS[[#This Row],[No]])</f>
        <v>10</v>
      </c>
      <c r="B12" s="67" t="str">
        <f>IF(NSi.TS[[#This Row],[Nama Siswa]]=0,"",NSi.TS[[#This Row],[Nama Siswa]])</f>
        <v/>
      </c>
      <c r="C12" s="68" t="str">
        <f>IF(NSi.TS[[#This Row],[Nomor Induk]]=0,"",NSi.TS[[#This Row],[Nomor Induk]])</f>
        <v/>
      </c>
      <c r="D12" s="68" t="str">
        <f>IF(NSi.TS[[#This Row],[NISN]]=0,"",NSi.TS[[#This Row],[NISN]])</f>
        <v/>
      </c>
      <c r="E12" s="68" t="str">
        <f>IF(NSi.TS[[#This Row],[Jurusan]]=0,"",NSi.TS[[#This Row],[Jurusan]])</f>
        <v/>
      </c>
      <c r="F12" s="39" t="str">
        <f>NSi.TS[[#This Row],[Nsi.TS]]</f>
        <v/>
      </c>
      <c r="G12" s="39" t="str">
        <f>IFERROR(ROUND(AVERAGE(CSCR.S[#This Row]),0),"")</f>
        <v/>
      </c>
      <c r="H12" s="39" t="str">
        <f>IFERROR(ROUND(AVERAGE(NSi.SE[[#This Row],[Nsi.TS]:[NS.iS]]),0),"")</f>
        <v/>
      </c>
      <c r="I12" s="41" t="s">
        <v>102</v>
      </c>
      <c r="J12" s="45" t="s">
        <v>102</v>
      </c>
      <c r="K12" s="45" t="s">
        <v>102</v>
      </c>
      <c r="L12" s="45" t="s">
        <v>102</v>
      </c>
      <c r="M12" s="45" t="s">
        <v>102</v>
      </c>
      <c r="N12" s="41" t="s">
        <v>102</v>
      </c>
      <c r="O12" s="45" t="s">
        <v>102</v>
      </c>
      <c r="P12" s="45" t="s">
        <v>102</v>
      </c>
      <c r="Q12" s="45" t="s">
        <v>102</v>
      </c>
      <c r="R12" s="45" t="s">
        <v>102</v>
      </c>
      <c r="S12" s="41" t="s">
        <v>102</v>
      </c>
      <c r="T12" s="45" t="s">
        <v>102</v>
      </c>
      <c r="U12" s="45" t="s">
        <v>102</v>
      </c>
      <c r="V12" s="45" t="s">
        <v>102</v>
      </c>
      <c r="W12" s="45" t="s">
        <v>102</v>
      </c>
      <c r="X12" s="41" t="s">
        <v>102</v>
      </c>
      <c r="Y12" s="45" t="s">
        <v>102</v>
      </c>
      <c r="Z12" s="45" t="s">
        <v>102</v>
      </c>
      <c r="AA12" s="45" t="s">
        <v>102</v>
      </c>
      <c r="AB12" s="45" t="s">
        <v>102</v>
      </c>
      <c r="AC12" s="41" t="s">
        <v>102</v>
      </c>
      <c r="AD12" s="45" t="s">
        <v>102</v>
      </c>
      <c r="AE12" s="45" t="s">
        <v>102</v>
      </c>
      <c r="AF12" s="45" t="s">
        <v>102</v>
      </c>
      <c r="AG12" s="45" t="s">
        <v>102</v>
      </c>
      <c r="AH12" s="41" t="s">
        <v>102</v>
      </c>
      <c r="AI12" s="45" t="s">
        <v>102</v>
      </c>
      <c r="AJ12" s="45" t="s">
        <v>102</v>
      </c>
      <c r="AK12" s="45" t="s">
        <v>102</v>
      </c>
      <c r="AL12" s="45" t="s">
        <v>102</v>
      </c>
      <c r="AM12" s="41" t="s">
        <v>102</v>
      </c>
      <c r="AN12" s="45" t="s">
        <v>102</v>
      </c>
      <c r="AO12" s="45" t="s">
        <v>102</v>
      </c>
      <c r="AP12" s="45" t="s">
        <v>102</v>
      </c>
      <c r="AQ12" s="45" t="s">
        <v>102</v>
      </c>
      <c r="AR12" s="41" t="s">
        <v>102</v>
      </c>
      <c r="AS12" s="45" t="s">
        <v>102</v>
      </c>
      <c r="AT12" s="45" t="s">
        <v>102</v>
      </c>
      <c r="AU12" s="45" t="s">
        <v>102</v>
      </c>
      <c r="AV12" s="45" t="s">
        <v>102</v>
      </c>
      <c r="AW12" s="41" t="s">
        <v>102</v>
      </c>
      <c r="AX12" s="45" t="s">
        <v>102</v>
      </c>
      <c r="AY12" s="45" t="s">
        <v>102</v>
      </c>
      <c r="AZ12" s="45" t="s">
        <v>102</v>
      </c>
      <c r="BA12" s="45" t="s">
        <v>102</v>
      </c>
      <c r="BC12" s="10" t="str">
        <f>CONCATENATE(NSi.SE[[#This Row],[KU.1]],(IF(A.LoE.S[[#This Row],[LE.1]]="-","-",IF(A.LoE.S[[#This Row],[LE.1]]&gt;=90,1,IF(A.LoE.S[[#This Row],[LE.1]]&gt;=80,2,IF(A.LoE.S[[#This Row],[LE.1]]&gt;=70,3,IF(A.LoE.S[[#This Row],[LE.1]]&gt;=1,4,5)))))))</f>
        <v>--</v>
      </c>
      <c r="BD12" s="46" t="str">
        <f>CONCATENATE(NSi.SE[[#This Row],[KU.2]],(IF(A.LoE.S[[#This Row],[LE.2]]="-","-",IF(A.LoE.S[[#This Row],[LE.2]]&gt;=90,1,IF(A.LoE.S[[#This Row],[LE.2]]&gt;=80,2,IF(A.LoE.S[[#This Row],[LE.2]]&gt;=70,3,IF(A.LoE.S[[#This Row],[LE.2]]&gt;=1,4,5)))))))</f>
        <v>--</v>
      </c>
      <c r="BE12" s="46" t="str">
        <f>CONCATENATE(NSi.SE[[#This Row],[KU.3]],(IF(A.LoE.S[[#This Row],[LE.3]]="-","-",IF(A.LoE.S[[#This Row],[LE.3]]&gt;=90,1,IF(A.LoE.S[[#This Row],[LE.3]]&gt;=80,2,IF(A.LoE.S[[#This Row],[LE.3]]&gt;=70,3,IF(A.LoE.S[[#This Row],[LE.3]]&gt;=1,4,5)))))))</f>
        <v>--</v>
      </c>
      <c r="BF12" s="46" t="str">
        <f>CONCATENATE(NSi.SE[[#This Row],[KU.4]],(IF(A.LoE.S[[#This Row],[LE.4]]="-","-",IF(A.LoE.S[[#This Row],[LE.4]]&gt;=90,1,IF(A.LoE.S[[#This Row],[LE.4]]&gt;=80,2,IF(A.LoE.S[[#This Row],[LE.4]]&gt;=70,3,IF(A.LoE.S[[#This Row],[LE.4]]&gt;=1,4,5)))))))</f>
        <v>--</v>
      </c>
      <c r="BG12" s="46" t="str">
        <f>CONCATENATE(NSi.SE[[#This Row],[KU.5]],(IF(A.LoE.S[[#This Row],[LE.5]]="-","-",IF(A.LoE.S[[#This Row],[LE.5]]&gt;=90,1,IF(A.LoE.S[[#This Row],[LE.5]]&gt;=80,2,IF(A.LoE.S[[#This Row],[LE.5]]&gt;=70,3,IF(A.LoE.S[[#This Row],[LE.5]]&gt;=1,4,5)))))))</f>
        <v>--</v>
      </c>
      <c r="BH12" s="46" t="str">
        <f>CONCATENATE(NSi.SE[[#This Row],[KU.6]],(IF(A.LoE.S[[#This Row],[LE.6]]="-","-",IF(A.LoE.S[[#This Row],[LE.6]]&gt;=90,1,IF(A.LoE.S[[#This Row],[LE.6]]&gt;=80,2,IF(A.LoE.S[[#This Row],[LE.6]]&gt;=70,3,IF(A.LoE.S[[#This Row],[LE.6]]&gt;=1,4,5)))))))</f>
        <v>--</v>
      </c>
      <c r="BI12" s="46" t="str">
        <f>CONCATENATE(NSi.SE[[#This Row],[KU.7]],(IF(A.LoE.S[[#This Row],[LE.7]]="-","-",IF(A.LoE.S[[#This Row],[LE.7]]&gt;=90,1,IF(A.LoE.S[[#This Row],[LE.7]]&gt;=80,2,IF(A.LoE.S[[#This Row],[LE.7]]&gt;=70,3,IF(A.LoE.S[[#This Row],[LE.7]]&gt;=1,4,5)))))))</f>
        <v>--</v>
      </c>
      <c r="BJ12" s="46" t="str">
        <f>CONCATENATE(NSi.SE[[#This Row],[KU.8]],(IF(A.LoE.S[[#This Row],[LE.8]]="-","-",IF(A.LoE.S[[#This Row],[LE.8]]&gt;=90,1,IF(A.LoE.S[[#This Row],[LE.8]]&gt;=80,2,IF(A.LoE.S[[#This Row],[LE.8]]&gt;=70,3,IF(A.LoE.S[[#This Row],[LE.8]]&gt;=1,4,5)))))))</f>
        <v>--</v>
      </c>
      <c r="BK12" s="38" t="str">
        <f>CONCATENATE(NSi.SE[[#This Row],[KU.9]],(IF(A.LoE.S[[#This Row],[LE.9]]="-","-",IF(A.LoE.S[[#This Row],[LE.9]]&gt;=90,1,IF(A.LoE.S[[#This Row],[LE.9]]&gt;=80,2,IF(A.LoE.S[[#This Row],[LE.9]]&gt;=70,3,IF(A.LoE.S[[#This Row],[LE.9]]&gt;=1,4,5)))))))</f>
        <v>--</v>
      </c>
      <c r="BM12" s="35" t="str">
        <f>IFERROR(ROUND(AVERAGE(Con.Sk.S[[#This Row],[TJ.1]:[Pro-A.1]]),0),"-")</f>
        <v>-</v>
      </c>
      <c r="BN12" s="24" t="str">
        <f>IFERROR(ROUND(AVERAGE(Con.Sk.S[[#This Row],[TJ.2]:[Pro-A.2]]),0),"-")</f>
        <v>-</v>
      </c>
      <c r="BO12" s="24" t="str">
        <f>IFERROR(ROUND(AVERAGE(Con.Sk.S[[#This Row],[TJ.3]:[Pro-A.3]]),0),"-")</f>
        <v>-</v>
      </c>
      <c r="BP12" s="24" t="str">
        <f>IFERROR(ROUND(AVERAGE(Con.Sk.S[[#This Row],[TJ.4]:[Pro-A.4]]),0),"-")</f>
        <v>-</v>
      </c>
      <c r="BQ12" s="24" t="str">
        <f>IFERROR(ROUND(AVERAGE(Con.Sk.S[[#This Row],[TJ.5]:[Pro-A.5]]),0),"-")</f>
        <v>-</v>
      </c>
      <c r="BR12" s="24" t="str">
        <f>IFERROR(ROUND(AVERAGE(Con.Sk.S[[#This Row],[TJ.6]:[Pro-A.6]]),0),"-")</f>
        <v>-</v>
      </c>
      <c r="BS12" s="24" t="str">
        <f>IFERROR(ROUND(AVERAGE(Con.Sk.S[[#This Row],[TJ.7]:[Pro-A.7]]),0),"-")</f>
        <v>-</v>
      </c>
      <c r="BT12" s="24" t="str">
        <f>IFERROR(ROUND(AVERAGE(Con.Sk.S[[#This Row],[TJ.8]:[Pro-A.8]]),0),"-")</f>
        <v>-</v>
      </c>
      <c r="BU12" s="25" t="str">
        <f>IFERROR(ROUND(AVERAGE(Con.Sk.S[[#This Row],[TJ.9]:[Pro-A.9]]),0),"-")</f>
        <v>-</v>
      </c>
      <c r="BW12" s="47" t="str">
        <f>IFERROR(ROUND(AVERAGE(Con.Sk.S[[#This Row],[KU.1]],Con.Sk.S[[#This Row],[KU.2]],Con.Sk.S[[#This Row],[KU.3]],Con.Sk.S[[#This Row],[KU.4]],Con.Sk.S[[#This Row],[KU.5]],Con.Sk.S[[#This Row],[KU.6]],Con.Sk.S[[#This Row],[KU.7]],Con.Sk.S[[#This Row],[KU.8]],Con.Sk.S[[#This Row],[KU.9]]),0),"")</f>
        <v/>
      </c>
      <c r="BX12" s="48" t="str">
        <f>IFERROR(ROUND(AVERAGE(Con.Sk.S[[#This Row],[TJ.1]:[Pro-A.1]],Con.Sk.S[[#This Row],[TJ.2]:[Pro-A.2]],Con.Sk.S[[#This Row],[TJ.3]:[Pro-A.3]],Con.Sk.S[[#This Row],[TJ.4]:[Pro-A.4]],Con.Sk.S[[#This Row],[TJ.5]:[Pro-A.5]],Con.Sk.S[[#This Row],[TJ.6]:[Pro-A.6]],Con.Sk.S[[#This Row],[TJ.7]:[Pro-A.7]],Con.Sk.S[[#This Row],[TJ.8]:[Pro-A.8]],Con.Sk.S[[#This Row],[TJ.9]:[Pro-A.9]]),0),"")</f>
        <v/>
      </c>
      <c r="BY12" s="3"/>
      <c r="BZ12" s="73" t="str">
        <f>IF(NSi.SE[[#This Row],[KU.1]]="A",100,IF(NSi.SE[[#This Row],[KU.1]]="B",89,IF(NSi.SE[[#This Row],[KU.1]]="C",79,IF(NSi.SE[[#This Row],[KU.1]]="D",69,IF(NSi.SE[[#This Row],[KU.1]]="E",0,"-")))))</f>
        <v>-</v>
      </c>
      <c r="CA12" s="73" t="str">
        <f>IF(NSi.SE[[#This Row],[TJ.1]]=1,100,IF(NSi.SE[[#This Row],[TJ.1]]=2,89,IF(NSi.SE[[#This Row],[TJ.1]]=3,79,IF(NSi.SE[[#This Row],[TJ.1]]=4,69,IF(NSi.SE[[#This Row],[TJ.1]]=5,0,"-")))))</f>
        <v>-</v>
      </c>
      <c r="CB12" s="73" t="str">
        <f>IF(NSi.SE[[#This Row],[Ker.1]]=1,100,IF(NSi.SE[[#This Row],[Ker.1]]=2,89,IF(NSi.SE[[#This Row],[Ker.1]]=3,79,IF(NSi.SE[[#This Row],[Ker.1]]=4,69,IF(NSi.SE[[#This Row],[Ker.1]]=5,0,"-")))))</f>
        <v>-</v>
      </c>
      <c r="CC12" s="73" t="str">
        <f>IF(NSi.SE[[#This Row],[Ped.1]]=1,100,IF(NSi.SE[[#This Row],[Ped.1]]=2,89,IF(NSi.SE[[#This Row],[Ped.1]]=3,79,IF(NSi.SE[[#This Row],[Ped.1]]=4,69,IF(NSi.SE[[#This Row],[Ped.1]]=5,0,"-")))))</f>
        <v>-</v>
      </c>
      <c r="CD12" s="73" t="str">
        <f>IF(NSi.SE[[#This Row],[Pro-A.1]]=1,100,IF(NSi.SE[[#This Row],[Pro-A.1]]=2,89,IF(NSi.SE[[#This Row],[Pro-A.1]]=3,79,IF(NSi.SE[[#This Row],[Pro-A.1]]=4,69,IF(NSi.SE[[#This Row],[Pro-A.1]]=5,0,"-")))))</f>
        <v>-</v>
      </c>
      <c r="CE12" s="73" t="str">
        <f>IF(NSi.SE[[#This Row],[KU.2]]="A",100,IF(NSi.SE[[#This Row],[KU.2]]="B",89,IF(NSi.SE[[#This Row],[KU.2]]="C",79,IF(NSi.SE[[#This Row],[KU.2]]="D",69,IF(NSi.SE[[#This Row],[KU.2]]="E",0,"-")))))</f>
        <v>-</v>
      </c>
      <c r="CF12" s="73" t="str">
        <f>IF(NSi.SE[[#This Row],[TJ.2]]=1,100,IF(NSi.SE[[#This Row],[TJ.2]]=2,89,IF(NSi.SE[[#This Row],[TJ.2]]=3,79,IF(NSi.SE[[#This Row],[TJ.2]]=4,69,IF(NSi.SE[[#This Row],[TJ.2]]=5,0,"-")))))</f>
        <v>-</v>
      </c>
      <c r="CG12" s="73" t="str">
        <f>IF(NSi.SE[[#This Row],[Ker.2]]=1,100,IF(NSi.SE[[#This Row],[Ker.2]]=2,89,IF(NSi.SE[[#This Row],[Ker.2]]=3,79,IF(NSi.SE[[#This Row],[Ker.2]]=4,69,IF(NSi.SE[[#This Row],[Ker.2]]=5,0,"-")))))</f>
        <v>-</v>
      </c>
      <c r="CH12" s="73" t="str">
        <f>IF(NSi.SE[[#This Row],[Ped.2]]=1,100,IF(NSi.SE[[#This Row],[Ped.2]]=2,89,IF(NSi.SE[[#This Row],[Ped.2]]=3,79,IF(NSi.SE[[#This Row],[Ped.2]]=4,69,IF(NSi.SE[[#This Row],[Ped.2]]=5,0,"-")))))</f>
        <v>-</v>
      </c>
      <c r="CI12" s="73" t="str">
        <f>IF(NSi.SE[[#This Row],[Pro-A.2]]=1,100,IF(NSi.SE[[#This Row],[Pro-A.2]]=2,89,IF(NSi.SE[[#This Row],[Pro-A.2]]=3,79,IF(NSi.SE[[#This Row],[Pro-A.2]]=4,69,IF(NSi.SE[[#This Row],[Pro-A.2]]=5,0,"-")))))</f>
        <v>-</v>
      </c>
      <c r="CJ12" s="74" t="str">
        <f>IF(NSi.SE[[#This Row],[KU.3]]="A",100,IF(NSi.SE[[#This Row],[KU.3]]="B",89,IF(NSi.SE[[#This Row],[KU.3]]="C",79,IF(NSi.SE[[#This Row],[KU.3]]="D",69,IF(NSi.SE[[#This Row],[KU.3]]="E",0,"-")))))</f>
        <v>-</v>
      </c>
      <c r="CK12" s="73" t="str">
        <f>IF(NSi.SE[[#This Row],[TJ.3]]=1,100,IF(NSi.SE[[#This Row],[TJ.3]]=2,89,IF(NSi.SE[[#This Row],[TJ.3]]=3,79,IF(NSi.SE[[#This Row],[TJ.3]]=4,69,IF(NSi.SE[[#This Row],[TJ.3]]=5,0,"-")))))</f>
        <v>-</v>
      </c>
      <c r="CL12" s="73" t="str">
        <f>IF(NSi.SE[[#This Row],[Ker.3]]=1,100,IF(NSi.SE[[#This Row],[Ker.3]]=2,89,IF(NSi.SE[[#This Row],[Ker.3]]=3,79,IF(NSi.SE[[#This Row],[Ker.3]]=4,69,IF(NSi.SE[[#This Row],[Ker.3]]=5,0,"-")))))</f>
        <v>-</v>
      </c>
      <c r="CM12" s="73" t="str">
        <f>IF(NSi.SE[[#This Row],[Ped.3]]=1,100,IF(NSi.SE[[#This Row],[Ped.3]]=2,89,IF(NSi.SE[[#This Row],[Ped.3]]=3,79,IF(NSi.SE[[#This Row],[Ped.3]]=4,69,IF(NSi.SE[[#This Row],[Ped.3]]=5,0,"-")))))</f>
        <v>-</v>
      </c>
      <c r="CN12" s="73" t="str">
        <f>IF(NSi.SE[[#This Row],[Pro-A.3]]=1,100,IF(NSi.SE[[#This Row],[Pro-A.3]]=2,89,IF(NSi.SE[[#This Row],[Pro-A.3]]=3,79,IF(NSi.SE[[#This Row],[Pro-A.3]]=4,69,IF(NSi.SE[[#This Row],[Pro-A.3]]=5,0,"-")))))</f>
        <v>-</v>
      </c>
      <c r="CO12" s="74" t="str">
        <f>IF(NSi.SE[[#This Row],[KU.4]]="A",100,IF(NSi.SE[[#This Row],[KU.4]]="B",89,IF(NSi.SE[[#This Row],[KU.4]]="C",79,IF(NSi.SE[[#This Row],[KU.4]]="D",69,IF(NSi.SE[[#This Row],[KU.4]]="E",0,"-")))))</f>
        <v>-</v>
      </c>
      <c r="CP12" s="73" t="str">
        <f>IF(NSi.SE[[#This Row],[TJ.4]]=1,100,IF(NSi.SE[[#This Row],[TJ.4]]=2,89,IF(NSi.SE[[#This Row],[TJ.4]]=3,79,IF(NSi.SE[[#This Row],[TJ.4]]=4,69,IF(NSi.SE[[#This Row],[TJ.4]]=5,0,"-")))))</f>
        <v>-</v>
      </c>
      <c r="CQ12" s="73" t="str">
        <f>IF(NSi.SE[[#This Row],[Ker.4]]=1,100,IF(NSi.SE[[#This Row],[Ker.4]]=2,89,IF(NSi.SE[[#This Row],[Ker.4]]=3,79,IF(NSi.SE[[#This Row],[Ker.4]]=4,69,IF(NSi.SE[[#This Row],[Ker.4]]=5,0,"-")))))</f>
        <v>-</v>
      </c>
      <c r="CR12" s="73" t="str">
        <f>IF(NSi.SE[[#This Row],[Ped.4]]=1,100,IF(NSi.SE[[#This Row],[Ped.4]]=2,89,IF(NSi.SE[[#This Row],[Ped.4]]=3,79,IF(NSi.SE[[#This Row],[Ped.4]]=4,69,IF(NSi.SE[[#This Row],[Ped.4]]=5,0,"-")))))</f>
        <v>-</v>
      </c>
      <c r="CS12" s="73" t="str">
        <f>IF(NSi.SE[[#This Row],[Pro-A.4]]=1,100,IF(NSi.SE[[#This Row],[Pro-A.4]]=2,89,IF(NSi.SE[[#This Row],[Pro-A.4]]=3,79,IF(NSi.SE[[#This Row],[Pro-A.4]]=4,69,IF(NSi.SE[[#This Row],[Pro-A.4]]=5,0,"-")))))</f>
        <v>-</v>
      </c>
      <c r="CT12" s="74" t="str">
        <f>IF(NSi.SE[[#This Row],[KU.5]]="A",100,IF(NSi.SE[[#This Row],[KU.5]]="B",89,IF(NSi.SE[[#This Row],[KU.5]]="C",79,IF(NSi.SE[[#This Row],[KU.5]]="D",69,IF(NSi.SE[[#This Row],[KU.5]]="E",0,"-")))))</f>
        <v>-</v>
      </c>
      <c r="CU12" s="73" t="str">
        <f>IF(NSi.SE[[#This Row],[TJ.5]]=1,100,IF(NSi.SE[[#This Row],[TJ.5]]=2,89,IF(NSi.SE[[#This Row],[TJ.5]]=3,79,IF(NSi.SE[[#This Row],[TJ.5]]=4,69,IF(NSi.SE[[#This Row],[TJ.5]]=5,0,"-")))))</f>
        <v>-</v>
      </c>
      <c r="CV12" s="73" t="str">
        <f>IF(NSi.SE[[#This Row],[Ker.5]]=1,100,IF(NSi.SE[[#This Row],[Ker.5]]=2,89,IF(NSi.SE[[#This Row],[Ker.5]]=3,79,IF(NSi.SE[[#This Row],[Ker.5]]=4,69,IF(NSi.SE[[#This Row],[Ker.5]]=5,0,"-")))))</f>
        <v>-</v>
      </c>
      <c r="CW12" s="73" t="str">
        <f>IF(NSi.SE[[#This Row],[Ped.5]]=1,100,IF(NSi.SE[[#This Row],[Ped.5]]=2,89,IF(NSi.SE[[#This Row],[Ped.5]]=3,79,IF(NSi.SE[[#This Row],[Ped.5]]=4,69,IF(NSi.SE[[#This Row],[Ped.5]]=5,0,"-")))))</f>
        <v>-</v>
      </c>
      <c r="CX12" s="73" t="str">
        <f>IF(NSi.SE[[#This Row],[Pro-A.5]]=1,100,IF(NSi.SE[[#This Row],[Pro-A.5]]=2,89,IF(NSi.SE[[#This Row],[Pro-A.5]]=3,79,IF(NSi.SE[[#This Row],[Pro-A.5]]=4,69,IF(NSi.SE[[#This Row],[Pro-A.5]]=5,0,"-")))))</f>
        <v>-</v>
      </c>
      <c r="CY12" s="74" t="str">
        <f>IF(NSi.SE[[#This Row],[KU.6]]="A",100,IF(NSi.SE[[#This Row],[KU.6]]="B",89,IF(NSi.SE[[#This Row],[KU.6]]="C",79,IF(NSi.SE[[#This Row],[KU.6]]="D",69,IF(NSi.SE[[#This Row],[KU.6]]="E",0,"-")))))</f>
        <v>-</v>
      </c>
      <c r="CZ12" s="73" t="str">
        <f>IF(NSi.SE[[#This Row],[TJ.6]]=1,100,IF(NSi.SE[[#This Row],[TJ.6]]=2,89,IF(NSi.SE[[#This Row],[TJ.6]]=3,79,IF(NSi.SE[[#This Row],[TJ.6]]=4,69,IF(NSi.SE[[#This Row],[TJ.6]]=5,0,"-")))))</f>
        <v>-</v>
      </c>
      <c r="DA12" s="73" t="str">
        <f>IF(NSi.SE[[#This Row],[Ker.6]]=1,100,IF(NSi.SE[[#This Row],[Ker.6]]=2,89,IF(NSi.SE[[#This Row],[Ker.6]]=3,79,IF(NSi.SE[[#This Row],[Ker.6]]=4,69,IF(NSi.SE[[#This Row],[Ker.6]]=5,0,"-")))))</f>
        <v>-</v>
      </c>
      <c r="DB12" s="73" t="str">
        <f>IF(NSi.SE[[#This Row],[Ped.6]]=1,100,IF(NSi.SE[[#This Row],[Ped.6]]=2,89,IF(NSi.SE[[#This Row],[Ped.6]]=3,79,IF(NSi.SE[[#This Row],[Ped.6]]=4,69,IF(NSi.SE[[#This Row],[Ped.6]]=5,0,"-")))))</f>
        <v>-</v>
      </c>
      <c r="DC12" s="73" t="str">
        <f>IF(NSi.SE[[#This Row],[Pro-A.6]]=1,100,IF(NSi.SE[[#This Row],[Pro-A.6]]=2,89,IF(NSi.SE[[#This Row],[Pro-A.6]]=3,79,IF(NSi.SE[[#This Row],[Pro-A.6]]=4,69,IF(NSi.SE[[#This Row],[Pro-A.6]]=5,0,"-")))))</f>
        <v>-</v>
      </c>
      <c r="DD12" s="74" t="str">
        <f>IF(NSi.SE[[#This Row],[KU.7]]="A",100,IF(NSi.SE[[#This Row],[KU.7]]="B",89,IF(NSi.SE[[#This Row],[KU.7]]="C",79,IF(NSi.SE[[#This Row],[KU.7]]="D",69,IF(NSi.SE[[#This Row],[KU.7]]="E",0,"-")))))</f>
        <v>-</v>
      </c>
      <c r="DE12" s="73" t="str">
        <f>IF(NSi.SE[[#This Row],[TJ.7]]=1,100,IF(NSi.SE[[#This Row],[TJ.7]]=2,89,IF(NSi.SE[[#This Row],[TJ.7]]=3,79,IF(NSi.SE[[#This Row],[TJ.7]]=4,69,IF(NSi.SE[[#This Row],[TJ.7]]=5,0,"-")))))</f>
        <v>-</v>
      </c>
      <c r="DF12" s="73" t="str">
        <f>IF(NSi.SE[[#This Row],[Ker.7]]=1,100,IF(NSi.SE[[#This Row],[Ker.7]]=2,89,IF(NSi.SE[[#This Row],[Ker.7]]=3,79,IF(NSi.SE[[#This Row],[Ker.7]]=4,69,IF(NSi.SE[[#This Row],[Ker.7]]=5,0,"-")))))</f>
        <v>-</v>
      </c>
      <c r="DG12" s="73" t="str">
        <f>IF(NSi.SE[[#This Row],[Ped.7]]=1,100,IF(NSi.SE[[#This Row],[Ped.7]]=2,89,IF(NSi.SE[[#This Row],[Ped.7]]=3,79,IF(NSi.SE[[#This Row],[Ped.7]]=4,69,IF(NSi.SE[[#This Row],[Ped.7]]=5,0,"-")))))</f>
        <v>-</v>
      </c>
      <c r="DH12" s="73" t="str">
        <f>IF(NSi.SE[[#This Row],[Pro-A.7]]=1,100,IF(NSi.SE[[#This Row],[Pro-A.7]]=2,89,IF(NSi.SE[[#This Row],[Pro-A.7]]=3,79,IF(NSi.SE[[#This Row],[Pro-A.7]]=4,69,IF(NSi.SE[[#This Row],[Pro-A.7]]=5,0,"-")))))</f>
        <v>-</v>
      </c>
      <c r="DI12" s="74" t="str">
        <f>IF(NSi.SE[[#This Row],[KU.8]]="A",100,IF(NSi.SE[[#This Row],[KU.8]]="B",89,IF(NSi.SE[[#This Row],[KU.8]]="C",79,IF(NSi.SE[[#This Row],[KU.8]]="D",69,IF(NSi.SE[[#This Row],[KU.8]]="E",0,"-")))))</f>
        <v>-</v>
      </c>
      <c r="DJ12" s="73" t="str">
        <f>IF(NSi.SE[[#This Row],[TJ.8]]=1,100,IF(NSi.SE[[#This Row],[TJ.8]]=2,89,IF(NSi.SE[[#This Row],[TJ.8]]=3,79,IF(NSi.SE[[#This Row],[TJ.8]]=4,69,IF(NSi.SE[[#This Row],[TJ.8]]=5,0,"-")))))</f>
        <v>-</v>
      </c>
      <c r="DK12" s="73" t="str">
        <f>IF(NSi.SE[[#This Row],[Ker.8]]=1,100,IF(NSi.SE[[#This Row],[Ker.8]]=2,89,IF(NSi.SE[[#This Row],[Ker.8]]=3,79,IF(NSi.SE[[#This Row],[Ker.8]]=4,69,IF(NSi.SE[[#This Row],[Ker.8]]=5,0,"-")))))</f>
        <v>-</v>
      </c>
      <c r="DL12" s="73" t="str">
        <f>IF(NSi.SE[[#This Row],[Ped.8]]=1,100,IF(NSi.SE[[#This Row],[Ped.8]]=2,89,IF(NSi.SE[[#This Row],[Ped.8]]=3,79,IF(NSi.SE[[#This Row],[Ped.8]]=4,69,IF(NSi.SE[[#This Row],[Ped.8]]=5,0,"-")))))</f>
        <v>-</v>
      </c>
      <c r="DM12" s="73" t="str">
        <f>IF(NSi.SE[[#This Row],[Pro-A.8]]=1,100,IF(NSi.SE[[#This Row],[Pro-A.8]]=2,89,IF(NSi.SE[[#This Row],[Pro-A.8]]=3,79,IF(NSi.SE[[#This Row],[Pro-A.8]]=4,69,IF(NSi.SE[[#This Row],[Pro-A.8]]=5,0,"-")))))</f>
        <v>-</v>
      </c>
      <c r="DN12" s="74" t="str">
        <f>IF(NSi.SE[[#This Row],[KU.9]]="A",100,IF(NSi.SE[[#This Row],[KU.9]]="B",89,IF(NSi.SE[[#This Row],[KU.9]]="C",79,IF(NSi.SE[[#This Row],[KU.9]]="D",69,IF(NSi.SE[[#This Row],[KU.9]]="E",0,"-")))))</f>
        <v>-</v>
      </c>
      <c r="DO12" s="73" t="str">
        <f>IF(NSi.SE[[#This Row],[TJ.9]]=1,100,IF(NSi.SE[[#This Row],[TJ.9]]=2,89,IF(NSi.SE[[#This Row],[TJ.9]]=3,79,IF(NSi.SE[[#This Row],[TJ.9]]=4,69,IF(NSi.SE[[#This Row],[TJ.9]]=5,0,"-")))))</f>
        <v>-</v>
      </c>
      <c r="DP12" s="73" t="str">
        <f>IF(NSi.SE[[#This Row],[Ker.9]]=1,100,IF(NSi.SE[[#This Row],[Ker.9]]=2,89,IF(NSi.SE[[#This Row],[Ker.9]]=3,79,IF(NSi.SE[[#This Row],[Ker.9]]=4,69,IF(NSi.SE[[#This Row],[Ker.9]]=5,0,"-")))))</f>
        <v>-</v>
      </c>
      <c r="DQ12" s="73" t="str">
        <f>IF(NSi.SE[[#This Row],[Ped.9]]=1,100,IF(NSi.SE[[#This Row],[Ped.9]]=2,89,IF(NSi.SE[[#This Row],[Ped.9]]=3,79,IF(NSi.SE[[#This Row],[Ped.9]]=4,69,IF(NSi.SE[[#This Row],[Ped.9]]=5,0,"-")))))</f>
        <v>-</v>
      </c>
      <c r="DR12" s="73" t="str">
        <f>IF(NSi.SE[[#This Row],[Pro-A.9]]=1,100,IF(NSi.SE[[#This Row],[Pro-A.9]]=2,89,IF(NSi.SE[[#This Row],[Pro-A.9]]=3,79,IF(NSi.SE[[#This Row],[Pro-A.9]]=4,69,IF(NSi.SE[[#This Row],[Pro-A.9]]=5,0,"-")))))</f>
        <v>-</v>
      </c>
      <c r="DT1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3" spans="1:124" ht="50.1" customHeight="1" x14ac:dyDescent="0.3">
      <c r="A13" s="66" t="str">
        <f>IF(NSi.TS[[#This Row],[No]]=0,"",NSi.TS[[#This Row],[No]])</f>
        <v/>
      </c>
      <c r="B13" s="67" t="str">
        <f>IF(NSi.TS[[#This Row],[Nama Siswa]]=0,"",NSi.TS[[#This Row],[Nama Siswa]])</f>
        <v/>
      </c>
      <c r="C13" s="68" t="str">
        <f>IF(NSi.TS[[#This Row],[Nomor Induk]]=0,"",NSi.TS[[#This Row],[Nomor Induk]])</f>
        <v/>
      </c>
      <c r="D13" s="68" t="str">
        <f>IF(NSi.TS[[#This Row],[NISN]]=0,"",NSi.TS[[#This Row],[NISN]])</f>
        <v/>
      </c>
      <c r="E13" s="68" t="str">
        <f>IF(NSi.TS[[#This Row],[Jurusan]]=0,"",NSi.TS[[#This Row],[Jurusan]])</f>
        <v/>
      </c>
      <c r="F13" s="39" t="str">
        <f>NSi.TS[[#This Row],[Nsi.TS]]</f>
        <v/>
      </c>
      <c r="G13" s="39" t="str">
        <f>IFERROR(ROUND(AVERAGE(CSCR.S[#This Row]),0),"")</f>
        <v/>
      </c>
      <c r="H13" s="39" t="str">
        <f>IFERROR(ROUND(AVERAGE(NSi.SE[[#This Row],[Nsi.TS]:[NS.iS]]),0),"")</f>
        <v/>
      </c>
      <c r="I13" s="41" t="s">
        <v>102</v>
      </c>
      <c r="J13" s="45" t="s">
        <v>102</v>
      </c>
      <c r="K13" s="45" t="s">
        <v>102</v>
      </c>
      <c r="L13" s="45" t="s">
        <v>102</v>
      </c>
      <c r="M13" s="45" t="s">
        <v>102</v>
      </c>
      <c r="N13" s="41" t="s">
        <v>102</v>
      </c>
      <c r="O13" s="45" t="s">
        <v>102</v>
      </c>
      <c r="P13" s="45" t="s">
        <v>102</v>
      </c>
      <c r="Q13" s="45" t="s">
        <v>102</v>
      </c>
      <c r="R13" s="45" t="s">
        <v>102</v>
      </c>
      <c r="S13" s="41" t="s">
        <v>102</v>
      </c>
      <c r="T13" s="45" t="s">
        <v>102</v>
      </c>
      <c r="U13" s="45" t="s">
        <v>102</v>
      </c>
      <c r="V13" s="45" t="s">
        <v>102</v>
      </c>
      <c r="W13" s="45" t="s">
        <v>102</v>
      </c>
      <c r="X13" s="41" t="s">
        <v>102</v>
      </c>
      <c r="Y13" s="45" t="s">
        <v>102</v>
      </c>
      <c r="Z13" s="45" t="s">
        <v>102</v>
      </c>
      <c r="AA13" s="45" t="s">
        <v>102</v>
      </c>
      <c r="AB13" s="45" t="s">
        <v>102</v>
      </c>
      <c r="AC13" s="41" t="s">
        <v>102</v>
      </c>
      <c r="AD13" s="45" t="s">
        <v>102</v>
      </c>
      <c r="AE13" s="45" t="s">
        <v>102</v>
      </c>
      <c r="AF13" s="45" t="s">
        <v>102</v>
      </c>
      <c r="AG13" s="45" t="s">
        <v>102</v>
      </c>
      <c r="AH13" s="41" t="s">
        <v>102</v>
      </c>
      <c r="AI13" s="45" t="s">
        <v>102</v>
      </c>
      <c r="AJ13" s="45" t="s">
        <v>102</v>
      </c>
      <c r="AK13" s="45" t="s">
        <v>102</v>
      </c>
      <c r="AL13" s="45" t="s">
        <v>102</v>
      </c>
      <c r="AM13" s="41" t="s">
        <v>102</v>
      </c>
      <c r="AN13" s="45" t="s">
        <v>102</v>
      </c>
      <c r="AO13" s="45" t="s">
        <v>102</v>
      </c>
      <c r="AP13" s="45" t="s">
        <v>102</v>
      </c>
      <c r="AQ13" s="45" t="s">
        <v>102</v>
      </c>
      <c r="AR13" s="41" t="s">
        <v>102</v>
      </c>
      <c r="AS13" s="45" t="s">
        <v>102</v>
      </c>
      <c r="AT13" s="45" t="s">
        <v>102</v>
      </c>
      <c r="AU13" s="45" t="s">
        <v>102</v>
      </c>
      <c r="AV13" s="45" t="s">
        <v>102</v>
      </c>
      <c r="AW13" s="41" t="s">
        <v>102</v>
      </c>
      <c r="AX13" s="45" t="s">
        <v>102</v>
      </c>
      <c r="AY13" s="45" t="s">
        <v>102</v>
      </c>
      <c r="AZ13" s="45" t="s">
        <v>102</v>
      </c>
      <c r="BA13" s="45" t="s">
        <v>102</v>
      </c>
      <c r="BC13" s="10" t="str">
        <f>CONCATENATE(NSi.SE[[#This Row],[KU.1]],(IF(A.LoE.S[[#This Row],[LE.1]]="-","-",IF(A.LoE.S[[#This Row],[LE.1]]&gt;=90,1,IF(A.LoE.S[[#This Row],[LE.1]]&gt;=80,2,IF(A.LoE.S[[#This Row],[LE.1]]&gt;=70,3,IF(A.LoE.S[[#This Row],[LE.1]]&gt;=1,4,5)))))))</f>
        <v>--</v>
      </c>
      <c r="BD13" s="46" t="str">
        <f>CONCATENATE(NSi.SE[[#This Row],[KU.2]],(IF(A.LoE.S[[#This Row],[LE.2]]="-","-",IF(A.LoE.S[[#This Row],[LE.2]]&gt;=90,1,IF(A.LoE.S[[#This Row],[LE.2]]&gt;=80,2,IF(A.LoE.S[[#This Row],[LE.2]]&gt;=70,3,IF(A.LoE.S[[#This Row],[LE.2]]&gt;=1,4,5)))))))</f>
        <v>--</v>
      </c>
      <c r="BE13" s="46" t="str">
        <f>CONCATENATE(NSi.SE[[#This Row],[KU.3]],(IF(A.LoE.S[[#This Row],[LE.3]]="-","-",IF(A.LoE.S[[#This Row],[LE.3]]&gt;=90,1,IF(A.LoE.S[[#This Row],[LE.3]]&gt;=80,2,IF(A.LoE.S[[#This Row],[LE.3]]&gt;=70,3,IF(A.LoE.S[[#This Row],[LE.3]]&gt;=1,4,5)))))))</f>
        <v>--</v>
      </c>
      <c r="BF13" s="46" t="str">
        <f>CONCATENATE(NSi.SE[[#This Row],[KU.4]],(IF(A.LoE.S[[#This Row],[LE.4]]="-","-",IF(A.LoE.S[[#This Row],[LE.4]]&gt;=90,1,IF(A.LoE.S[[#This Row],[LE.4]]&gt;=80,2,IF(A.LoE.S[[#This Row],[LE.4]]&gt;=70,3,IF(A.LoE.S[[#This Row],[LE.4]]&gt;=1,4,5)))))))</f>
        <v>--</v>
      </c>
      <c r="BG13" s="46" t="str">
        <f>CONCATENATE(NSi.SE[[#This Row],[KU.5]],(IF(A.LoE.S[[#This Row],[LE.5]]="-","-",IF(A.LoE.S[[#This Row],[LE.5]]&gt;=90,1,IF(A.LoE.S[[#This Row],[LE.5]]&gt;=80,2,IF(A.LoE.S[[#This Row],[LE.5]]&gt;=70,3,IF(A.LoE.S[[#This Row],[LE.5]]&gt;=1,4,5)))))))</f>
        <v>--</v>
      </c>
      <c r="BH13" s="46" t="str">
        <f>CONCATENATE(NSi.SE[[#This Row],[KU.6]],(IF(A.LoE.S[[#This Row],[LE.6]]="-","-",IF(A.LoE.S[[#This Row],[LE.6]]&gt;=90,1,IF(A.LoE.S[[#This Row],[LE.6]]&gt;=80,2,IF(A.LoE.S[[#This Row],[LE.6]]&gt;=70,3,IF(A.LoE.S[[#This Row],[LE.6]]&gt;=1,4,5)))))))</f>
        <v>--</v>
      </c>
      <c r="BI13" s="46" t="str">
        <f>CONCATENATE(NSi.SE[[#This Row],[KU.7]],(IF(A.LoE.S[[#This Row],[LE.7]]="-","-",IF(A.LoE.S[[#This Row],[LE.7]]&gt;=90,1,IF(A.LoE.S[[#This Row],[LE.7]]&gt;=80,2,IF(A.LoE.S[[#This Row],[LE.7]]&gt;=70,3,IF(A.LoE.S[[#This Row],[LE.7]]&gt;=1,4,5)))))))</f>
        <v>--</v>
      </c>
      <c r="BJ13" s="46" t="str">
        <f>CONCATENATE(NSi.SE[[#This Row],[KU.8]],(IF(A.LoE.S[[#This Row],[LE.8]]="-","-",IF(A.LoE.S[[#This Row],[LE.8]]&gt;=90,1,IF(A.LoE.S[[#This Row],[LE.8]]&gt;=80,2,IF(A.LoE.S[[#This Row],[LE.8]]&gt;=70,3,IF(A.LoE.S[[#This Row],[LE.8]]&gt;=1,4,5)))))))</f>
        <v>--</v>
      </c>
      <c r="BK13" s="38" t="str">
        <f>CONCATENATE(NSi.SE[[#This Row],[KU.9]],(IF(A.LoE.S[[#This Row],[LE.9]]="-","-",IF(A.LoE.S[[#This Row],[LE.9]]&gt;=90,1,IF(A.LoE.S[[#This Row],[LE.9]]&gt;=80,2,IF(A.LoE.S[[#This Row],[LE.9]]&gt;=70,3,IF(A.LoE.S[[#This Row],[LE.9]]&gt;=1,4,5)))))))</f>
        <v>--</v>
      </c>
      <c r="BM13" s="35" t="str">
        <f>IFERROR(ROUND(AVERAGE(Con.Sk.S[[#This Row],[TJ.1]:[Pro-A.1]]),0),"-")</f>
        <v>-</v>
      </c>
      <c r="BN13" s="24" t="str">
        <f>IFERROR(ROUND(AVERAGE(Con.Sk.S[[#This Row],[TJ.2]:[Pro-A.2]]),0),"-")</f>
        <v>-</v>
      </c>
      <c r="BO13" s="24" t="str">
        <f>IFERROR(ROUND(AVERAGE(Con.Sk.S[[#This Row],[TJ.3]:[Pro-A.3]]),0),"-")</f>
        <v>-</v>
      </c>
      <c r="BP13" s="24" t="str">
        <f>IFERROR(ROUND(AVERAGE(Con.Sk.S[[#This Row],[TJ.4]:[Pro-A.4]]),0),"-")</f>
        <v>-</v>
      </c>
      <c r="BQ13" s="24" t="str">
        <f>IFERROR(ROUND(AVERAGE(Con.Sk.S[[#This Row],[TJ.5]:[Pro-A.5]]),0),"-")</f>
        <v>-</v>
      </c>
      <c r="BR13" s="24" t="str">
        <f>IFERROR(ROUND(AVERAGE(Con.Sk.S[[#This Row],[TJ.6]:[Pro-A.6]]),0),"-")</f>
        <v>-</v>
      </c>
      <c r="BS13" s="24" t="str">
        <f>IFERROR(ROUND(AVERAGE(Con.Sk.S[[#This Row],[TJ.7]:[Pro-A.7]]),0),"-")</f>
        <v>-</v>
      </c>
      <c r="BT13" s="24" t="str">
        <f>IFERROR(ROUND(AVERAGE(Con.Sk.S[[#This Row],[TJ.8]:[Pro-A.8]]),0),"-")</f>
        <v>-</v>
      </c>
      <c r="BU13" s="25" t="str">
        <f>IFERROR(ROUND(AVERAGE(Con.Sk.S[[#This Row],[TJ.9]:[Pro-A.9]]),0),"-")</f>
        <v>-</v>
      </c>
      <c r="BW13" s="47" t="str">
        <f>IFERROR(ROUND(AVERAGE(Con.Sk.S[[#This Row],[KU.1]],Con.Sk.S[[#This Row],[KU.2]],Con.Sk.S[[#This Row],[KU.3]],Con.Sk.S[[#This Row],[KU.4]],Con.Sk.S[[#This Row],[KU.5]],Con.Sk.S[[#This Row],[KU.6]],Con.Sk.S[[#This Row],[KU.7]],Con.Sk.S[[#This Row],[KU.8]],Con.Sk.S[[#This Row],[KU.9]]),0),"")</f>
        <v/>
      </c>
      <c r="BX13" s="48" t="str">
        <f>IFERROR(ROUND(AVERAGE(Con.Sk.S[[#This Row],[TJ.1]:[Pro-A.1]],Con.Sk.S[[#This Row],[TJ.2]:[Pro-A.2]],Con.Sk.S[[#This Row],[TJ.3]:[Pro-A.3]],Con.Sk.S[[#This Row],[TJ.4]:[Pro-A.4]],Con.Sk.S[[#This Row],[TJ.5]:[Pro-A.5]],Con.Sk.S[[#This Row],[TJ.6]:[Pro-A.6]],Con.Sk.S[[#This Row],[TJ.7]:[Pro-A.7]],Con.Sk.S[[#This Row],[TJ.8]:[Pro-A.8]],Con.Sk.S[[#This Row],[TJ.9]:[Pro-A.9]]),0),"")</f>
        <v/>
      </c>
      <c r="BY13" s="3"/>
      <c r="BZ13" s="73" t="str">
        <f>IF(NSi.SE[[#This Row],[KU.1]]="A",100,IF(NSi.SE[[#This Row],[KU.1]]="B",89,IF(NSi.SE[[#This Row],[KU.1]]="C",79,IF(NSi.SE[[#This Row],[KU.1]]="D",69,IF(NSi.SE[[#This Row],[KU.1]]="E",0,"-")))))</f>
        <v>-</v>
      </c>
      <c r="CA13" s="73" t="str">
        <f>IF(NSi.SE[[#This Row],[TJ.1]]=1,100,IF(NSi.SE[[#This Row],[TJ.1]]=2,89,IF(NSi.SE[[#This Row],[TJ.1]]=3,79,IF(NSi.SE[[#This Row],[TJ.1]]=4,69,IF(NSi.SE[[#This Row],[TJ.1]]=5,0,"-")))))</f>
        <v>-</v>
      </c>
      <c r="CB13" s="73" t="str">
        <f>IF(NSi.SE[[#This Row],[Ker.1]]=1,100,IF(NSi.SE[[#This Row],[Ker.1]]=2,89,IF(NSi.SE[[#This Row],[Ker.1]]=3,79,IF(NSi.SE[[#This Row],[Ker.1]]=4,69,IF(NSi.SE[[#This Row],[Ker.1]]=5,0,"-")))))</f>
        <v>-</v>
      </c>
      <c r="CC13" s="73" t="str">
        <f>IF(NSi.SE[[#This Row],[Ped.1]]=1,100,IF(NSi.SE[[#This Row],[Ped.1]]=2,89,IF(NSi.SE[[#This Row],[Ped.1]]=3,79,IF(NSi.SE[[#This Row],[Ped.1]]=4,69,IF(NSi.SE[[#This Row],[Ped.1]]=5,0,"-")))))</f>
        <v>-</v>
      </c>
      <c r="CD13" s="73" t="str">
        <f>IF(NSi.SE[[#This Row],[Pro-A.1]]=1,100,IF(NSi.SE[[#This Row],[Pro-A.1]]=2,89,IF(NSi.SE[[#This Row],[Pro-A.1]]=3,79,IF(NSi.SE[[#This Row],[Pro-A.1]]=4,69,IF(NSi.SE[[#This Row],[Pro-A.1]]=5,0,"-")))))</f>
        <v>-</v>
      </c>
      <c r="CE13" s="73" t="str">
        <f>IF(NSi.SE[[#This Row],[KU.2]]="A",100,IF(NSi.SE[[#This Row],[KU.2]]="B",89,IF(NSi.SE[[#This Row],[KU.2]]="C",79,IF(NSi.SE[[#This Row],[KU.2]]="D",69,IF(NSi.SE[[#This Row],[KU.2]]="E",0,"-")))))</f>
        <v>-</v>
      </c>
      <c r="CF13" s="73" t="str">
        <f>IF(NSi.SE[[#This Row],[TJ.2]]=1,100,IF(NSi.SE[[#This Row],[TJ.2]]=2,89,IF(NSi.SE[[#This Row],[TJ.2]]=3,79,IF(NSi.SE[[#This Row],[TJ.2]]=4,69,IF(NSi.SE[[#This Row],[TJ.2]]=5,0,"-")))))</f>
        <v>-</v>
      </c>
      <c r="CG13" s="73" t="str">
        <f>IF(NSi.SE[[#This Row],[Ker.2]]=1,100,IF(NSi.SE[[#This Row],[Ker.2]]=2,89,IF(NSi.SE[[#This Row],[Ker.2]]=3,79,IF(NSi.SE[[#This Row],[Ker.2]]=4,69,IF(NSi.SE[[#This Row],[Ker.2]]=5,0,"-")))))</f>
        <v>-</v>
      </c>
      <c r="CH13" s="73" t="str">
        <f>IF(NSi.SE[[#This Row],[Ped.2]]=1,100,IF(NSi.SE[[#This Row],[Ped.2]]=2,89,IF(NSi.SE[[#This Row],[Ped.2]]=3,79,IF(NSi.SE[[#This Row],[Ped.2]]=4,69,IF(NSi.SE[[#This Row],[Ped.2]]=5,0,"-")))))</f>
        <v>-</v>
      </c>
      <c r="CI13" s="73" t="str">
        <f>IF(NSi.SE[[#This Row],[Pro-A.2]]=1,100,IF(NSi.SE[[#This Row],[Pro-A.2]]=2,89,IF(NSi.SE[[#This Row],[Pro-A.2]]=3,79,IF(NSi.SE[[#This Row],[Pro-A.2]]=4,69,IF(NSi.SE[[#This Row],[Pro-A.2]]=5,0,"-")))))</f>
        <v>-</v>
      </c>
      <c r="CJ13" s="74" t="str">
        <f>IF(NSi.SE[[#This Row],[KU.3]]="A",100,IF(NSi.SE[[#This Row],[KU.3]]="B",89,IF(NSi.SE[[#This Row],[KU.3]]="C",79,IF(NSi.SE[[#This Row],[KU.3]]="D",69,IF(NSi.SE[[#This Row],[KU.3]]="E",0,"-")))))</f>
        <v>-</v>
      </c>
      <c r="CK13" s="73" t="str">
        <f>IF(NSi.SE[[#This Row],[TJ.3]]=1,100,IF(NSi.SE[[#This Row],[TJ.3]]=2,89,IF(NSi.SE[[#This Row],[TJ.3]]=3,79,IF(NSi.SE[[#This Row],[TJ.3]]=4,69,IF(NSi.SE[[#This Row],[TJ.3]]=5,0,"-")))))</f>
        <v>-</v>
      </c>
      <c r="CL13" s="73" t="str">
        <f>IF(NSi.SE[[#This Row],[Ker.3]]=1,100,IF(NSi.SE[[#This Row],[Ker.3]]=2,89,IF(NSi.SE[[#This Row],[Ker.3]]=3,79,IF(NSi.SE[[#This Row],[Ker.3]]=4,69,IF(NSi.SE[[#This Row],[Ker.3]]=5,0,"-")))))</f>
        <v>-</v>
      </c>
      <c r="CM13" s="73" t="str">
        <f>IF(NSi.SE[[#This Row],[Ped.3]]=1,100,IF(NSi.SE[[#This Row],[Ped.3]]=2,89,IF(NSi.SE[[#This Row],[Ped.3]]=3,79,IF(NSi.SE[[#This Row],[Ped.3]]=4,69,IF(NSi.SE[[#This Row],[Ped.3]]=5,0,"-")))))</f>
        <v>-</v>
      </c>
      <c r="CN13" s="73" t="str">
        <f>IF(NSi.SE[[#This Row],[Pro-A.3]]=1,100,IF(NSi.SE[[#This Row],[Pro-A.3]]=2,89,IF(NSi.SE[[#This Row],[Pro-A.3]]=3,79,IF(NSi.SE[[#This Row],[Pro-A.3]]=4,69,IF(NSi.SE[[#This Row],[Pro-A.3]]=5,0,"-")))))</f>
        <v>-</v>
      </c>
      <c r="CO13" s="74" t="str">
        <f>IF(NSi.SE[[#This Row],[KU.4]]="A",100,IF(NSi.SE[[#This Row],[KU.4]]="B",89,IF(NSi.SE[[#This Row],[KU.4]]="C",79,IF(NSi.SE[[#This Row],[KU.4]]="D",69,IF(NSi.SE[[#This Row],[KU.4]]="E",0,"-")))))</f>
        <v>-</v>
      </c>
      <c r="CP13" s="73" t="str">
        <f>IF(NSi.SE[[#This Row],[TJ.4]]=1,100,IF(NSi.SE[[#This Row],[TJ.4]]=2,89,IF(NSi.SE[[#This Row],[TJ.4]]=3,79,IF(NSi.SE[[#This Row],[TJ.4]]=4,69,IF(NSi.SE[[#This Row],[TJ.4]]=5,0,"-")))))</f>
        <v>-</v>
      </c>
      <c r="CQ13" s="73" t="str">
        <f>IF(NSi.SE[[#This Row],[Ker.4]]=1,100,IF(NSi.SE[[#This Row],[Ker.4]]=2,89,IF(NSi.SE[[#This Row],[Ker.4]]=3,79,IF(NSi.SE[[#This Row],[Ker.4]]=4,69,IF(NSi.SE[[#This Row],[Ker.4]]=5,0,"-")))))</f>
        <v>-</v>
      </c>
      <c r="CR13" s="73" t="str">
        <f>IF(NSi.SE[[#This Row],[Ped.4]]=1,100,IF(NSi.SE[[#This Row],[Ped.4]]=2,89,IF(NSi.SE[[#This Row],[Ped.4]]=3,79,IF(NSi.SE[[#This Row],[Ped.4]]=4,69,IF(NSi.SE[[#This Row],[Ped.4]]=5,0,"-")))))</f>
        <v>-</v>
      </c>
      <c r="CS13" s="73" t="str">
        <f>IF(NSi.SE[[#This Row],[Pro-A.4]]=1,100,IF(NSi.SE[[#This Row],[Pro-A.4]]=2,89,IF(NSi.SE[[#This Row],[Pro-A.4]]=3,79,IF(NSi.SE[[#This Row],[Pro-A.4]]=4,69,IF(NSi.SE[[#This Row],[Pro-A.4]]=5,0,"-")))))</f>
        <v>-</v>
      </c>
      <c r="CT13" s="74" t="str">
        <f>IF(NSi.SE[[#This Row],[KU.5]]="A",100,IF(NSi.SE[[#This Row],[KU.5]]="B",89,IF(NSi.SE[[#This Row],[KU.5]]="C",79,IF(NSi.SE[[#This Row],[KU.5]]="D",69,IF(NSi.SE[[#This Row],[KU.5]]="E",0,"-")))))</f>
        <v>-</v>
      </c>
      <c r="CU13" s="73" t="str">
        <f>IF(NSi.SE[[#This Row],[TJ.5]]=1,100,IF(NSi.SE[[#This Row],[TJ.5]]=2,89,IF(NSi.SE[[#This Row],[TJ.5]]=3,79,IF(NSi.SE[[#This Row],[TJ.5]]=4,69,IF(NSi.SE[[#This Row],[TJ.5]]=5,0,"-")))))</f>
        <v>-</v>
      </c>
      <c r="CV13" s="73" t="str">
        <f>IF(NSi.SE[[#This Row],[Ker.5]]=1,100,IF(NSi.SE[[#This Row],[Ker.5]]=2,89,IF(NSi.SE[[#This Row],[Ker.5]]=3,79,IF(NSi.SE[[#This Row],[Ker.5]]=4,69,IF(NSi.SE[[#This Row],[Ker.5]]=5,0,"-")))))</f>
        <v>-</v>
      </c>
      <c r="CW13" s="73" t="str">
        <f>IF(NSi.SE[[#This Row],[Ped.5]]=1,100,IF(NSi.SE[[#This Row],[Ped.5]]=2,89,IF(NSi.SE[[#This Row],[Ped.5]]=3,79,IF(NSi.SE[[#This Row],[Ped.5]]=4,69,IF(NSi.SE[[#This Row],[Ped.5]]=5,0,"-")))))</f>
        <v>-</v>
      </c>
      <c r="CX13" s="73" t="str">
        <f>IF(NSi.SE[[#This Row],[Pro-A.5]]=1,100,IF(NSi.SE[[#This Row],[Pro-A.5]]=2,89,IF(NSi.SE[[#This Row],[Pro-A.5]]=3,79,IF(NSi.SE[[#This Row],[Pro-A.5]]=4,69,IF(NSi.SE[[#This Row],[Pro-A.5]]=5,0,"-")))))</f>
        <v>-</v>
      </c>
      <c r="CY13" s="74" t="str">
        <f>IF(NSi.SE[[#This Row],[KU.6]]="A",100,IF(NSi.SE[[#This Row],[KU.6]]="B",89,IF(NSi.SE[[#This Row],[KU.6]]="C",79,IF(NSi.SE[[#This Row],[KU.6]]="D",69,IF(NSi.SE[[#This Row],[KU.6]]="E",0,"-")))))</f>
        <v>-</v>
      </c>
      <c r="CZ13" s="73" t="str">
        <f>IF(NSi.SE[[#This Row],[TJ.6]]=1,100,IF(NSi.SE[[#This Row],[TJ.6]]=2,89,IF(NSi.SE[[#This Row],[TJ.6]]=3,79,IF(NSi.SE[[#This Row],[TJ.6]]=4,69,IF(NSi.SE[[#This Row],[TJ.6]]=5,0,"-")))))</f>
        <v>-</v>
      </c>
      <c r="DA13" s="73" t="str">
        <f>IF(NSi.SE[[#This Row],[Ker.6]]=1,100,IF(NSi.SE[[#This Row],[Ker.6]]=2,89,IF(NSi.SE[[#This Row],[Ker.6]]=3,79,IF(NSi.SE[[#This Row],[Ker.6]]=4,69,IF(NSi.SE[[#This Row],[Ker.6]]=5,0,"-")))))</f>
        <v>-</v>
      </c>
      <c r="DB13" s="73" t="str">
        <f>IF(NSi.SE[[#This Row],[Ped.6]]=1,100,IF(NSi.SE[[#This Row],[Ped.6]]=2,89,IF(NSi.SE[[#This Row],[Ped.6]]=3,79,IF(NSi.SE[[#This Row],[Ped.6]]=4,69,IF(NSi.SE[[#This Row],[Ped.6]]=5,0,"-")))))</f>
        <v>-</v>
      </c>
      <c r="DC13" s="73" t="str">
        <f>IF(NSi.SE[[#This Row],[Pro-A.6]]=1,100,IF(NSi.SE[[#This Row],[Pro-A.6]]=2,89,IF(NSi.SE[[#This Row],[Pro-A.6]]=3,79,IF(NSi.SE[[#This Row],[Pro-A.6]]=4,69,IF(NSi.SE[[#This Row],[Pro-A.6]]=5,0,"-")))))</f>
        <v>-</v>
      </c>
      <c r="DD13" s="74" t="str">
        <f>IF(NSi.SE[[#This Row],[KU.7]]="A",100,IF(NSi.SE[[#This Row],[KU.7]]="B",89,IF(NSi.SE[[#This Row],[KU.7]]="C",79,IF(NSi.SE[[#This Row],[KU.7]]="D",69,IF(NSi.SE[[#This Row],[KU.7]]="E",0,"-")))))</f>
        <v>-</v>
      </c>
      <c r="DE13" s="73" t="str">
        <f>IF(NSi.SE[[#This Row],[TJ.7]]=1,100,IF(NSi.SE[[#This Row],[TJ.7]]=2,89,IF(NSi.SE[[#This Row],[TJ.7]]=3,79,IF(NSi.SE[[#This Row],[TJ.7]]=4,69,IF(NSi.SE[[#This Row],[TJ.7]]=5,0,"-")))))</f>
        <v>-</v>
      </c>
      <c r="DF13" s="73" t="str">
        <f>IF(NSi.SE[[#This Row],[Ker.7]]=1,100,IF(NSi.SE[[#This Row],[Ker.7]]=2,89,IF(NSi.SE[[#This Row],[Ker.7]]=3,79,IF(NSi.SE[[#This Row],[Ker.7]]=4,69,IF(NSi.SE[[#This Row],[Ker.7]]=5,0,"-")))))</f>
        <v>-</v>
      </c>
      <c r="DG13" s="73" t="str">
        <f>IF(NSi.SE[[#This Row],[Ped.7]]=1,100,IF(NSi.SE[[#This Row],[Ped.7]]=2,89,IF(NSi.SE[[#This Row],[Ped.7]]=3,79,IF(NSi.SE[[#This Row],[Ped.7]]=4,69,IF(NSi.SE[[#This Row],[Ped.7]]=5,0,"-")))))</f>
        <v>-</v>
      </c>
      <c r="DH13" s="73" t="str">
        <f>IF(NSi.SE[[#This Row],[Pro-A.7]]=1,100,IF(NSi.SE[[#This Row],[Pro-A.7]]=2,89,IF(NSi.SE[[#This Row],[Pro-A.7]]=3,79,IF(NSi.SE[[#This Row],[Pro-A.7]]=4,69,IF(NSi.SE[[#This Row],[Pro-A.7]]=5,0,"-")))))</f>
        <v>-</v>
      </c>
      <c r="DI13" s="74" t="str">
        <f>IF(NSi.SE[[#This Row],[KU.8]]="A",100,IF(NSi.SE[[#This Row],[KU.8]]="B",89,IF(NSi.SE[[#This Row],[KU.8]]="C",79,IF(NSi.SE[[#This Row],[KU.8]]="D",69,IF(NSi.SE[[#This Row],[KU.8]]="E",0,"-")))))</f>
        <v>-</v>
      </c>
      <c r="DJ13" s="73" t="str">
        <f>IF(NSi.SE[[#This Row],[TJ.8]]=1,100,IF(NSi.SE[[#This Row],[TJ.8]]=2,89,IF(NSi.SE[[#This Row],[TJ.8]]=3,79,IF(NSi.SE[[#This Row],[TJ.8]]=4,69,IF(NSi.SE[[#This Row],[TJ.8]]=5,0,"-")))))</f>
        <v>-</v>
      </c>
      <c r="DK13" s="73" t="str">
        <f>IF(NSi.SE[[#This Row],[Ker.8]]=1,100,IF(NSi.SE[[#This Row],[Ker.8]]=2,89,IF(NSi.SE[[#This Row],[Ker.8]]=3,79,IF(NSi.SE[[#This Row],[Ker.8]]=4,69,IF(NSi.SE[[#This Row],[Ker.8]]=5,0,"-")))))</f>
        <v>-</v>
      </c>
      <c r="DL13" s="73" t="str">
        <f>IF(NSi.SE[[#This Row],[Ped.8]]=1,100,IF(NSi.SE[[#This Row],[Ped.8]]=2,89,IF(NSi.SE[[#This Row],[Ped.8]]=3,79,IF(NSi.SE[[#This Row],[Ped.8]]=4,69,IF(NSi.SE[[#This Row],[Ped.8]]=5,0,"-")))))</f>
        <v>-</v>
      </c>
      <c r="DM13" s="73" t="str">
        <f>IF(NSi.SE[[#This Row],[Pro-A.8]]=1,100,IF(NSi.SE[[#This Row],[Pro-A.8]]=2,89,IF(NSi.SE[[#This Row],[Pro-A.8]]=3,79,IF(NSi.SE[[#This Row],[Pro-A.8]]=4,69,IF(NSi.SE[[#This Row],[Pro-A.8]]=5,0,"-")))))</f>
        <v>-</v>
      </c>
      <c r="DN13" s="74" t="str">
        <f>IF(NSi.SE[[#This Row],[KU.9]]="A",100,IF(NSi.SE[[#This Row],[KU.9]]="B",89,IF(NSi.SE[[#This Row],[KU.9]]="C",79,IF(NSi.SE[[#This Row],[KU.9]]="D",69,IF(NSi.SE[[#This Row],[KU.9]]="E",0,"-")))))</f>
        <v>-</v>
      </c>
      <c r="DO13" s="73" t="str">
        <f>IF(NSi.SE[[#This Row],[TJ.9]]=1,100,IF(NSi.SE[[#This Row],[TJ.9]]=2,89,IF(NSi.SE[[#This Row],[TJ.9]]=3,79,IF(NSi.SE[[#This Row],[TJ.9]]=4,69,IF(NSi.SE[[#This Row],[TJ.9]]=5,0,"-")))))</f>
        <v>-</v>
      </c>
      <c r="DP13" s="73" t="str">
        <f>IF(NSi.SE[[#This Row],[Ker.9]]=1,100,IF(NSi.SE[[#This Row],[Ker.9]]=2,89,IF(NSi.SE[[#This Row],[Ker.9]]=3,79,IF(NSi.SE[[#This Row],[Ker.9]]=4,69,IF(NSi.SE[[#This Row],[Ker.9]]=5,0,"-")))))</f>
        <v>-</v>
      </c>
      <c r="DQ13" s="73" t="str">
        <f>IF(NSi.SE[[#This Row],[Ped.9]]=1,100,IF(NSi.SE[[#This Row],[Ped.9]]=2,89,IF(NSi.SE[[#This Row],[Ped.9]]=3,79,IF(NSi.SE[[#This Row],[Ped.9]]=4,69,IF(NSi.SE[[#This Row],[Ped.9]]=5,0,"-")))))</f>
        <v>-</v>
      </c>
      <c r="DR13" s="73" t="str">
        <f>IF(NSi.SE[[#This Row],[Pro-A.9]]=1,100,IF(NSi.SE[[#This Row],[Pro-A.9]]=2,89,IF(NSi.SE[[#This Row],[Pro-A.9]]=3,79,IF(NSi.SE[[#This Row],[Pro-A.9]]=4,69,IF(NSi.SE[[#This Row],[Pro-A.9]]=5,0,"-")))))</f>
        <v>-</v>
      </c>
      <c r="DT1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4" spans="1:124" ht="50.1" customHeight="1" x14ac:dyDescent="0.3">
      <c r="A14" s="66" t="str">
        <f>IF(NSi.TS[[#This Row],[No]]=0,"",NSi.TS[[#This Row],[No]])</f>
        <v/>
      </c>
      <c r="B14" s="67" t="str">
        <f>IF(NSi.TS[[#This Row],[Nama Siswa]]=0,"",NSi.TS[[#This Row],[Nama Siswa]])</f>
        <v/>
      </c>
      <c r="C14" s="68" t="str">
        <f>IF(NSi.TS[[#This Row],[Nomor Induk]]=0,"",NSi.TS[[#This Row],[Nomor Induk]])</f>
        <v/>
      </c>
      <c r="D14" s="68" t="str">
        <f>IF(NSi.TS[[#This Row],[NISN]]=0,"",NSi.TS[[#This Row],[NISN]])</f>
        <v/>
      </c>
      <c r="E14" s="68" t="str">
        <f>IF(NSi.TS[[#This Row],[Jurusan]]=0,"",NSi.TS[[#This Row],[Jurusan]])</f>
        <v/>
      </c>
      <c r="F14" s="39" t="str">
        <f>NSi.TS[[#This Row],[Nsi.TS]]</f>
        <v/>
      </c>
      <c r="G14" s="39" t="str">
        <f>IFERROR(ROUND(AVERAGE(CSCR.S[#This Row]),0),"")</f>
        <v/>
      </c>
      <c r="H14" s="39" t="str">
        <f>IFERROR(ROUND(AVERAGE(NSi.SE[[#This Row],[Nsi.TS]:[NS.iS]]),0),"")</f>
        <v/>
      </c>
      <c r="I14" s="41" t="s">
        <v>102</v>
      </c>
      <c r="J14" s="45" t="s">
        <v>102</v>
      </c>
      <c r="K14" s="45" t="s">
        <v>102</v>
      </c>
      <c r="L14" s="45" t="s">
        <v>102</v>
      </c>
      <c r="M14" s="45" t="s">
        <v>102</v>
      </c>
      <c r="N14" s="41" t="s">
        <v>102</v>
      </c>
      <c r="O14" s="45" t="s">
        <v>102</v>
      </c>
      <c r="P14" s="45" t="s">
        <v>102</v>
      </c>
      <c r="Q14" s="45" t="s">
        <v>102</v>
      </c>
      <c r="R14" s="45" t="s">
        <v>102</v>
      </c>
      <c r="S14" s="41" t="s">
        <v>102</v>
      </c>
      <c r="T14" s="45" t="s">
        <v>102</v>
      </c>
      <c r="U14" s="45" t="s">
        <v>102</v>
      </c>
      <c r="V14" s="45" t="s">
        <v>102</v>
      </c>
      <c r="W14" s="45" t="s">
        <v>102</v>
      </c>
      <c r="X14" s="41" t="s">
        <v>102</v>
      </c>
      <c r="Y14" s="45" t="s">
        <v>102</v>
      </c>
      <c r="Z14" s="45" t="s">
        <v>102</v>
      </c>
      <c r="AA14" s="45" t="s">
        <v>102</v>
      </c>
      <c r="AB14" s="45" t="s">
        <v>102</v>
      </c>
      <c r="AC14" s="41" t="s">
        <v>102</v>
      </c>
      <c r="AD14" s="45" t="s">
        <v>102</v>
      </c>
      <c r="AE14" s="45" t="s">
        <v>102</v>
      </c>
      <c r="AF14" s="45" t="s">
        <v>102</v>
      </c>
      <c r="AG14" s="45" t="s">
        <v>102</v>
      </c>
      <c r="AH14" s="41" t="s">
        <v>102</v>
      </c>
      <c r="AI14" s="45" t="s">
        <v>102</v>
      </c>
      <c r="AJ14" s="45" t="s">
        <v>102</v>
      </c>
      <c r="AK14" s="45" t="s">
        <v>102</v>
      </c>
      <c r="AL14" s="45" t="s">
        <v>102</v>
      </c>
      <c r="AM14" s="41" t="s">
        <v>102</v>
      </c>
      <c r="AN14" s="45" t="s">
        <v>102</v>
      </c>
      <c r="AO14" s="45" t="s">
        <v>102</v>
      </c>
      <c r="AP14" s="45" t="s">
        <v>102</v>
      </c>
      <c r="AQ14" s="45" t="s">
        <v>102</v>
      </c>
      <c r="AR14" s="41" t="s">
        <v>102</v>
      </c>
      <c r="AS14" s="45" t="s">
        <v>102</v>
      </c>
      <c r="AT14" s="45" t="s">
        <v>102</v>
      </c>
      <c r="AU14" s="45" t="s">
        <v>102</v>
      </c>
      <c r="AV14" s="45" t="s">
        <v>102</v>
      </c>
      <c r="AW14" s="41" t="s">
        <v>102</v>
      </c>
      <c r="AX14" s="45" t="s">
        <v>102</v>
      </c>
      <c r="AY14" s="45" t="s">
        <v>102</v>
      </c>
      <c r="AZ14" s="45" t="s">
        <v>102</v>
      </c>
      <c r="BA14" s="45" t="s">
        <v>102</v>
      </c>
      <c r="BC14" s="10" t="str">
        <f>CONCATENATE(NSi.SE[[#This Row],[KU.1]],(IF(A.LoE.S[[#This Row],[LE.1]]="-","-",IF(A.LoE.S[[#This Row],[LE.1]]&gt;=90,1,IF(A.LoE.S[[#This Row],[LE.1]]&gt;=80,2,IF(A.LoE.S[[#This Row],[LE.1]]&gt;=70,3,IF(A.LoE.S[[#This Row],[LE.1]]&gt;=1,4,5)))))))</f>
        <v>--</v>
      </c>
      <c r="BD14" s="46" t="str">
        <f>CONCATENATE(NSi.SE[[#This Row],[KU.2]],(IF(A.LoE.S[[#This Row],[LE.2]]="-","-",IF(A.LoE.S[[#This Row],[LE.2]]&gt;=90,1,IF(A.LoE.S[[#This Row],[LE.2]]&gt;=80,2,IF(A.LoE.S[[#This Row],[LE.2]]&gt;=70,3,IF(A.LoE.S[[#This Row],[LE.2]]&gt;=1,4,5)))))))</f>
        <v>--</v>
      </c>
      <c r="BE14" s="46" t="str">
        <f>CONCATENATE(NSi.SE[[#This Row],[KU.3]],(IF(A.LoE.S[[#This Row],[LE.3]]="-","-",IF(A.LoE.S[[#This Row],[LE.3]]&gt;=90,1,IF(A.LoE.S[[#This Row],[LE.3]]&gt;=80,2,IF(A.LoE.S[[#This Row],[LE.3]]&gt;=70,3,IF(A.LoE.S[[#This Row],[LE.3]]&gt;=1,4,5)))))))</f>
        <v>--</v>
      </c>
      <c r="BF14" s="46" t="str">
        <f>CONCATENATE(NSi.SE[[#This Row],[KU.4]],(IF(A.LoE.S[[#This Row],[LE.4]]="-","-",IF(A.LoE.S[[#This Row],[LE.4]]&gt;=90,1,IF(A.LoE.S[[#This Row],[LE.4]]&gt;=80,2,IF(A.LoE.S[[#This Row],[LE.4]]&gt;=70,3,IF(A.LoE.S[[#This Row],[LE.4]]&gt;=1,4,5)))))))</f>
        <v>--</v>
      </c>
      <c r="BG14" s="46" t="str">
        <f>CONCATENATE(NSi.SE[[#This Row],[KU.5]],(IF(A.LoE.S[[#This Row],[LE.5]]="-","-",IF(A.LoE.S[[#This Row],[LE.5]]&gt;=90,1,IF(A.LoE.S[[#This Row],[LE.5]]&gt;=80,2,IF(A.LoE.S[[#This Row],[LE.5]]&gt;=70,3,IF(A.LoE.S[[#This Row],[LE.5]]&gt;=1,4,5)))))))</f>
        <v>--</v>
      </c>
      <c r="BH14" s="46" t="str">
        <f>CONCATENATE(NSi.SE[[#This Row],[KU.6]],(IF(A.LoE.S[[#This Row],[LE.6]]="-","-",IF(A.LoE.S[[#This Row],[LE.6]]&gt;=90,1,IF(A.LoE.S[[#This Row],[LE.6]]&gt;=80,2,IF(A.LoE.S[[#This Row],[LE.6]]&gt;=70,3,IF(A.LoE.S[[#This Row],[LE.6]]&gt;=1,4,5)))))))</f>
        <v>--</v>
      </c>
      <c r="BI14" s="46" t="str">
        <f>CONCATENATE(NSi.SE[[#This Row],[KU.7]],(IF(A.LoE.S[[#This Row],[LE.7]]="-","-",IF(A.LoE.S[[#This Row],[LE.7]]&gt;=90,1,IF(A.LoE.S[[#This Row],[LE.7]]&gt;=80,2,IF(A.LoE.S[[#This Row],[LE.7]]&gt;=70,3,IF(A.LoE.S[[#This Row],[LE.7]]&gt;=1,4,5)))))))</f>
        <v>--</v>
      </c>
      <c r="BJ14" s="46" t="str">
        <f>CONCATENATE(NSi.SE[[#This Row],[KU.8]],(IF(A.LoE.S[[#This Row],[LE.8]]="-","-",IF(A.LoE.S[[#This Row],[LE.8]]&gt;=90,1,IF(A.LoE.S[[#This Row],[LE.8]]&gt;=80,2,IF(A.LoE.S[[#This Row],[LE.8]]&gt;=70,3,IF(A.LoE.S[[#This Row],[LE.8]]&gt;=1,4,5)))))))</f>
        <v>--</v>
      </c>
      <c r="BK14" s="38" t="str">
        <f>CONCATENATE(NSi.SE[[#This Row],[KU.9]],(IF(A.LoE.S[[#This Row],[LE.9]]="-","-",IF(A.LoE.S[[#This Row],[LE.9]]&gt;=90,1,IF(A.LoE.S[[#This Row],[LE.9]]&gt;=80,2,IF(A.LoE.S[[#This Row],[LE.9]]&gt;=70,3,IF(A.LoE.S[[#This Row],[LE.9]]&gt;=1,4,5)))))))</f>
        <v>--</v>
      </c>
      <c r="BM14" s="35" t="str">
        <f>IFERROR(ROUND(AVERAGE(Con.Sk.S[[#This Row],[TJ.1]:[Pro-A.1]]),0),"-")</f>
        <v>-</v>
      </c>
      <c r="BN14" s="24" t="str">
        <f>IFERROR(ROUND(AVERAGE(Con.Sk.S[[#This Row],[TJ.2]:[Pro-A.2]]),0),"-")</f>
        <v>-</v>
      </c>
      <c r="BO14" s="24" t="str">
        <f>IFERROR(ROUND(AVERAGE(Con.Sk.S[[#This Row],[TJ.3]:[Pro-A.3]]),0),"-")</f>
        <v>-</v>
      </c>
      <c r="BP14" s="24" t="str">
        <f>IFERROR(ROUND(AVERAGE(Con.Sk.S[[#This Row],[TJ.4]:[Pro-A.4]]),0),"-")</f>
        <v>-</v>
      </c>
      <c r="BQ14" s="24" t="str">
        <f>IFERROR(ROUND(AVERAGE(Con.Sk.S[[#This Row],[TJ.5]:[Pro-A.5]]),0),"-")</f>
        <v>-</v>
      </c>
      <c r="BR14" s="24" t="str">
        <f>IFERROR(ROUND(AVERAGE(Con.Sk.S[[#This Row],[TJ.6]:[Pro-A.6]]),0),"-")</f>
        <v>-</v>
      </c>
      <c r="BS14" s="24" t="str">
        <f>IFERROR(ROUND(AVERAGE(Con.Sk.S[[#This Row],[TJ.7]:[Pro-A.7]]),0),"-")</f>
        <v>-</v>
      </c>
      <c r="BT14" s="24" t="str">
        <f>IFERROR(ROUND(AVERAGE(Con.Sk.S[[#This Row],[TJ.8]:[Pro-A.8]]),0),"-")</f>
        <v>-</v>
      </c>
      <c r="BU14" s="25" t="str">
        <f>IFERROR(ROUND(AVERAGE(Con.Sk.S[[#This Row],[TJ.9]:[Pro-A.9]]),0),"-")</f>
        <v>-</v>
      </c>
      <c r="BW14" s="47" t="str">
        <f>IFERROR(ROUND(AVERAGE(Con.Sk.S[[#This Row],[KU.1]],Con.Sk.S[[#This Row],[KU.2]],Con.Sk.S[[#This Row],[KU.3]],Con.Sk.S[[#This Row],[KU.4]],Con.Sk.S[[#This Row],[KU.5]],Con.Sk.S[[#This Row],[KU.6]],Con.Sk.S[[#This Row],[KU.7]],Con.Sk.S[[#This Row],[KU.8]],Con.Sk.S[[#This Row],[KU.9]]),0),"")</f>
        <v/>
      </c>
      <c r="BX14" s="48" t="str">
        <f>IFERROR(ROUND(AVERAGE(Con.Sk.S[[#This Row],[TJ.1]:[Pro-A.1]],Con.Sk.S[[#This Row],[TJ.2]:[Pro-A.2]],Con.Sk.S[[#This Row],[TJ.3]:[Pro-A.3]],Con.Sk.S[[#This Row],[TJ.4]:[Pro-A.4]],Con.Sk.S[[#This Row],[TJ.5]:[Pro-A.5]],Con.Sk.S[[#This Row],[TJ.6]:[Pro-A.6]],Con.Sk.S[[#This Row],[TJ.7]:[Pro-A.7]],Con.Sk.S[[#This Row],[TJ.8]:[Pro-A.8]],Con.Sk.S[[#This Row],[TJ.9]:[Pro-A.9]]),0),"")</f>
        <v/>
      </c>
      <c r="BY14" s="3"/>
      <c r="BZ14" s="73" t="str">
        <f>IF(NSi.SE[[#This Row],[KU.1]]="A",100,IF(NSi.SE[[#This Row],[KU.1]]="B",89,IF(NSi.SE[[#This Row],[KU.1]]="C",79,IF(NSi.SE[[#This Row],[KU.1]]="D",69,IF(NSi.SE[[#This Row],[KU.1]]="E",0,"-")))))</f>
        <v>-</v>
      </c>
      <c r="CA14" s="73" t="str">
        <f>IF(NSi.SE[[#This Row],[TJ.1]]=1,100,IF(NSi.SE[[#This Row],[TJ.1]]=2,89,IF(NSi.SE[[#This Row],[TJ.1]]=3,79,IF(NSi.SE[[#This Row],[TJ.1]]=4,69,IF(NSi.SE[[#This Row],[TJ.1]]=5,0,"-")))))</f>
        <v>-</v>
      </c>
      <c r="CB14" s="73" t="str">
        <f>IF(NSi.SE[[#This Row],[Ker.1]]=1,100,IF(NSi.SE[[#This Row],[Ker.1]]=2,89,IF(NSi.SE[[#This Row],[Ker.1]]=3,79,IF(NSi.SE[[#This Row],[Ker.1]]=4,69,IF(NSi.SE[[#This Row],[Ker.1]]=5,0,"-")))))</f>
        <v>-</v>
      </c>
      <c r="CC14" s="73" t="str">
        <f>IF(NSi.SE[[#This Row],[Ped.1]]=1,100,IF(NSi.SE[[#This Row],[Ped.1]]=2,89,IF(NSi.SE[[#This Row],[Ped.1]]=3,79,IF(NSi.SE[[#This Row],[Ped.1]]=4,69,IF(NSi.SE[[#This Row],[Ped.1]]=5,0,"-")))))</f>
        <v>-</v>
      </c>
      <c r="CD14" s="73" t="str">
        <f>IF(NSi.SE[[#This Row],[Pro-A.1]]=1,100,IF(NSi.SE[[#This Row],[Pro-A.1]]=2,89,IF(NSi.SE[[#This Row],[Pro-A.1]]=3,79,IF(NSi.SE[[#This Row],[Pro-A.1]]=4,69,IF(NSi.SE[[#This Row],[Pro-A.1]]=5,0,"-")))))</f>
        <v>-</v>
      </c>
      <c r="CE14" s="73" t="str">
        <f>IF(NSi.SE[[#This Row],[KU.2]]="A",100,IF(NSi.SE[[#This Row],[KU.2]]="B",89,IF(NSi.SE[[#This Row],[KU.2]]="C",79,IF(NSi.SE[[#This Row],[KU.2]]="D",69,IF(NSi.SE[[#This Row],[KU.2]]="E",0,"-")))))</f>
        <v>-</v>
      </c>
      <c r="CF14" s="73" t="str">
        <f>IF(NSi.SE[[#This Row],[TJ.2]]=1,100,IF(NSi.SE[[#This Row],[TJ.2]]=2,89,IF(NSi.SE[[#This Row],[TJ.2]]=3,79,IF(NSi.SE[[#This Row],[TJ.2]]=4,69,IF(NSi.SE[[#This Row],[TJ.2]]=5,0,"-")))))</f>
        <v>-</v>
      </c>
      <c r="CG14" s="73" t="str">
        <f>IF(NSi.SE[[#This Row],[Ker.2]]=1,100,IF(NSi.SE[[#This Row],[Ker.2]]=2,89,IF(NSi.SE[[#This Row],[Ker.2]]=3,79,IF(NSi.SE[[#This Row],[Ker.2]]=4,69,IF(NSi.SE[[#This Row],[Ker.2]]=5,0,"-")))))</f>
        <v>-</v>
      </c>
      <c r="CH14" s="73" t="str">
        <f>IF(NSi.SE[[#This Row],[Ped.2]]=1,100,IF(NSi.SE[[#This Row],[Ped.2]]=2,89,IF(NSi.SE[[#This Row],[Ped.2]]=3,79,IF(NSi.SE[[#This Row],[Ped.2]]=4,69,IF(NSi.SE[[#This Row],[Ped.2]]=5,0,"-")))))</f>
        <v>-</v>
      </c>
      <c r="CI14" s="73" t="str">
        <f>IF(NSi.SE[[#This Row],[Pro-A.2]]=1,100,IF(NSi.SE[[#This Row],[Pro-A.2]]=2,89,IF(NSi.SE[[#This Row],[Pro-A.2]]=3,79,IF(NSi.SE[[#This Row],[Pro-A.2]]=4,69,IF(NSi.SE[[#This Row],[Pro-A.2]]=5,0,"-")))))</f>
        <v>-</v>
      </c>
      <c r="CJ14" s="74" t="str">
        <f>IF(NSi.SE[[#This Row],[KU.3]]="A",100,IF(NSi.SE[[#This Row],[KU.3]]="B",89,IF(NSi.SE[[#This Row],[KU.3]]="C",79,IF(NSi.SE[[#This Row],[KU.3]]="D",69,IF(NSi.SE[[#This Row],[KU.3]]="E",0,"-")))))</f>
        <v>-</v>
      </c>
      <c r="CK14" s="73" t="str">
        <f>IF(NSi.SE[[#This Row],[TJ.3]]=1,100,IF(NSi.SE[[#This Row],[TJ.3]]=2,89,IF(NSi.SE[[#This Row],[TJ.3]]=3,79,IF(NSi.SE[[#This Row],[TJ.3]]=4,69,IF(NSi.SE[[#This Row],[TJ.3]]=5,0,"-")))))</f>
        <v>-</v>
      </c>
      <c r="CL14" s="73" t="str">
        <f>IF(NSi.SE[[#This Row],[Ker.3]]=1,100,IF(NSi.SE[[#This Row],[Ker.3]]=2,89,IF(NSi.SE[[#This Row],[Ker.3]]=3,79,IF(NSi.SE[[#This Row],[Ker.3]]=4,69,IF(NSi.SE[[#This Row],[Ker.3]]=5,0,"-")))))</f>
        <v>-</v>
      </c>
      <c r="CM14" s="73" t="str">
        <f>IF(NSi.SE[[#This Row],[Ped.3]]=1,100,IF(NSi.SE[[#This Row],[Ped.3]]=2,89,IF(NSi.SE[[#This Row],[Ped.3]]=3,79,IF(NSi.SE[[#This Row],[Ped.3]]=4,69,IF(NSi.SE[[#This Row],[Ped.3]]=5,0,"-")))))</f>
        <v>-</v>
      </c>
      <c r="CN14" s="73" t="str">
        <f>IF(NSi.SE[[#This Row],[Pro-A.3]]=1,100,IF(NSi.SE[[#This Row],[Pro-A.3]]=2,89,IF(NSi.SE[[#This Row],[Pro-A.3]]=3,79,IF(NSi.SE[[#This Row],[Pro-A.3]]=4,69,IF(NSi.SE[[#This Row],[Pro-A.3]]=5,0,"-")))))</f>
        <v>-</v>
      </c>
      <c r="CO14" s="74" t="str">
        <f>IF(NSi.SE[[#This Row],[KU.4]]="A",100,IF(NSi.SE[[#This Row],[KU.4]]="B",89,IF(NSi.SE[[#This Row],[KU.4]]="C",79,IF(NSi.SE[[#This Row],[KU.4]]="D",69,IF(NSi.SE[[#This Row],[KU.4]]="E",0,"-")))))</f>
        <v>-</v>
      </c>
      <c r="CP14" s="73" t="str">
        <f>IF(NSi.SE[[#This Row],[TJ.4]]=1,100,IF(NSi.SE[[#This Row],[TJ.4]]=2,89,IF(NSi.SE[[#This Row],[TJ.4]]=3,79,IF(NSi.SE[[#This Row],[TJ.4]]=4,69,IF(NSi.SE[[#This Row],[TJ.4]]=5,0,"-")))))</f>
        <v>-</v>
      </c>
      <c r="CQ14" s="73" t="str">
        <f>IF(NSi.SE[[#This Row],[Ker.4]]=1,100,IF(NSi.SE[[#This Row],[Ker.4]]=2,89,IF(NSi.SE[[#This Row],[Ker.4]]=3,79,IF(NSi.SE[[#This Row],[Ker.4]]=4,69,IF(NSi.SE[[#This Row],[Ker.4]]=5,0,"-")))))</f>
        <v>-</v>
      </c>
      <c r="CR14" s="73" t="str">
        <f>IF(NSi.SE[[#This Row],[Ped.4]]=1,100,IF(NSi.SE[[#This Row],[Ped.4]]=2,89,IF(NSi.SE[[#This Row],[Ped.4]]=3,79,IF(NSi.SE[[#This Row],[Ped.4]]=4,69,IF(NSi.SE[[#This Row],[Ped.4]]=5,0,"-")))))</f>
        <v>-</v>
      </c>
      <c r="CS14" s="73" t="str">
        <f>IF(NSi.SE[[#This Row],[Pro-A.4]]=1,100,IF(NSi.SE[[#This Row],[Pro-A.4]]=2,89,IF(NSi.SE[[#This Row],[Pro-A.4]]=3,79,IF(NSi.SE[[#This Row],[Pro-A.4]]=4,69,IF(NSi.SE[[#This Row],[Pro-A.4]]=5,0,"-")))))</f>
        <v>-</v>
      </c>
      <c r="CT14" s="74" t="str">
        <f>IF(NSi.SE[[#This Row],[KU.5]]="A",100,IF(NSi.SE[[#This Row],[KU.5]]="B",89,IF(NSi.SE[[#This Row],[KU.5]]="C",79,IF(NSi.SE[[#This Row],[KU.5]]="D",69,IF(NSi.SE[[#This Row],[KU.5]]="E",0,"-")))))</f>
        <v>-</v>
      </c>
      <c r="CU14" s="73" t="str">
        <f>IF(NSi.SE[[#This Row],[TJ.5]]=1,100,IF(NSi.SE[[#This Row],[TJ.5]]=2,89,IF(NSi.SE[[#This Row],[TJ.5]]=3,79,IF(NSi.SE[[#This Row],[TJ.5]]=4,69,IF(NSi.SE[[#This Row],[TJ.5]]=5,0,"-")))))</f>
        <v>-</v>
      </c>
      <c r="CV14" s="73" t="str">
        <f>IF(NSi.SE[[#This Row],[Ker.5]]=1,100,IF(NSi.SE[[#This Row],[Ker.5]]=2,89,IF(NSi.SE[[#This Row],[Ker.5]]=3,79,IF(NSi.SE[[#This Row],[Ker.5]]=4,69,IF(NSi.SE[[#This Row],[Ker.5]]=5,0,"-")))))</f>
        <v>-</v>
      </c>
      <c r="CW14" s="73" t="str">
        <f>IF(NSi.SE[[#This Row],[Ped.5]]=1,100,IF(NSi.SE[[#This Row],[Ped.5]]=2,89,IF(NSi.SE[[#This Row],[Ped.5]]=3,79,IF(NSi.SE[[#This Row],[Ped.5]]=4,69,IF(NSi.SE[[#This Row],[Ped.5]]=5,0,"-")))))</f>
        <v>-</v>
      </c>
      <c r="CX14" s="73" t="str">
        <f>IF(NSi.SE[[#This Row],[Pro-A.5]]=1,100,IF(NSi.SE[[#This Row],[Pro-A.5]]=2,89,IF(NSi.SE[[#This Row],[Pro-A.5]]=3,79,IF(NSi.SE[[#This Row],[Pro-A.5]]=4,69,IF(NSi.SE[[#This Row],[Pro-A.5]]=5,0,"-")))))</f>
        <v>-</v>
      </c>
      <c r="CY14" s="74" t="str">
        <f>IF(NSi.SE[[#This Row],[KU.6]]="A",100,IF(NSi.SE[[#This Row],[KU.6]]="B",89,IF(NSi.SE[[#This Row],[KU.6]]="C",79,IF(NSi.SE[[#This Row],[KU.6]]="D",69,IF(NSi.SE[[#This Row],[KU.6]]="E",0,"-")))))</f>
        <v>-</v>
      </c>
      <c r="CZ14" s="73" t="str">
        <f>IF(NSi.SE[[#This Row],[TJ.6]]=1,100,IF(NSi.SE[[#This Row],[TJ.6]]=2,89,IF(NSi.SE[[#This Row],[TJ.6]]=3,79,IF(NSi.SE[[#This Row],[TJ.6]]=4,69,IF(NSi.SE[[#This Row],[TJ.6]]=5,0,"-")))))</f>
        <v>-</v>
      </c>
      <c r="DA14" s="73" t="str">
        <f>IF(NSi.SE[[#This Row],[Ker.6]]=1,100,IF(NSi.SE[[#This Row],[Ker.6]]=2,89,IF(NSi.SE[[#This Row],[Ker.6]]=3,79,IF(NSi.SE[[#This Row],[Ker.6]]=4,69,IF(NSi.SE[[#This Row],[Ker.6]]=5,0,"-")))))</f>
        <v>-</v>
      </c>
      <c r="DB14" s="73" t="str">
        <f>IF(NSi.SE[[#This Row],[Ped.6]]=1,100,IF(NSi.SE[[#This Row],[Ped.6]]=2,89,IF(NSi.SE[[#This Row],[Ped.6]]=3,79,IF(NSi.SE[[#This Row],[Ped.6]]=4,69,IF(NSi.SE[[#This Row],[Ped.6]]=5,0,"-")))))</f>
        <v>-</v>
      </c>
      <c r="DC14" s="73" t="str">
        <f>IF(NSi.SE[[#This Row],[Pro-A.6]]=1,100,IF(NSi.SE[[#This Row],[Pro-A.6]]=2,89,IF(NSi.SE[[#This Row],[Pro-A.6]]=3,79,IF(NSi.SE[[#This Row],[Pro-A.6]]=4,69,IF(NSi.SE[[#This Row],[Pro-A.6]]=5,0,"-")))))</f>
        <v>-</v>
      </c>
      <c r="DD14" s="74" t="str">
        <f>IF(NSi.SE[[#This Row],[KU.7]]="A",100,IF(NSi.SE[[#This Row],[KU.7]]="B",89,IF(NSi.SE[[#This Row],[KU.7]]="C",79,IF(NSi.SE[[#This Row],[KU.7]]="D",69,IF(NSi.SE[[#This Row],[KU.7]]="E",0,"-")))))</f>
        <v>-</v>
      </c>
      <c r="DE14" s="73" t="str">
        <f>IF(NSi.SE[[#This Row],[TJ.7]]=1,100,IF(NSi.SE[[#This Row],[TJ.7]]=2,89,IF(NSi.SE[[#This Row],[TJ.7]]=3,79,IF(NSi.SE[[#This Row],[TJ.7]]=4,69,IF(NSi.SE[[#This Row],[TJ.7]]=5,0,"-")))))</f>
        <v>-</v>
      </c>
      <c r="DF14" s="73" t="str">
        <f>IF(NSi.SE[[#This Row],[Ker.7]]=1,100,IF(NSi.SE[[#This Row],[Ker.7]]=2,89,IF(NSi.SE[[#This Row],[Ker.7]]=3,79,IF(NSi.SE[[#This Row],[Ker.7]]=4,69,IF(NSi.SE[[#This Row],[Ker.7]]=5,0,"-")))))</f>
        <v>-</v>
      </c>
      <c r="DG14" s="73" t="str">
        <f>IF(NSi.SE[[#This Row],[Ped.7]]=1,100,IF(NSi.SE[[#This Row],[Ped.7]]=2,89,IF(NSi.SE[[#This Row],[Ped.7]]=3,79,IF(NSi.SE[[#This Row],[Ped.7]]=4,69,IF(NSi.SE[[#This Row],[Ped.7]]=5,0,"-")))))</f>
        <v>-</v>
      </c>
      <c r="DH14" s="73" t="str">
        <f>IF(NSi.SE[[#This Row],[Pro-A.7]]=1,100,IF(NSi.SE[[#This Row],[Pro-A.7]]=2,89,IF(NSi.SE[[#This Row],[Pro-A.7]]=3,79,IF(NSi.SE[[#This Row],[Pro-A.7]]=4,69,IF(NSi.SE[[#This Row],[Pro-A.7]]=5,0,"-")))))</f>
        <v>-</v>
      </c>
      <c r="DI14" s="74" t="str">
        <f>IF(NSi.SE[[#This Row],[KU.8]]="A",100,IF(NSi.SE[[#This Row],[KU.8]]="B",89,IF(NSi.SE[[#This Row],[KU.8]]="C",79,IF(NSi.SE[[#This Row],[KU.8]]="D",69,IF(NSi.SE[[#This Row],[KU.8]]="E",0,"-")))))</f>
        <v>-</v>
      </c>
      <c r="DJ14" s="73" t="str">
        <f>IF(NSi.SE[[#This Row],[TJ.8]]=1,100,IF(NSi.SE[[#This Row],[TJ.8]]=2,89,IF(NSi.SE[[#This Row],[TJ.8]]=3,79,IF(NSi.SE[[#This Row],[TJ.8]]=4,69,IF(NSi.SE[[#This Row],[TJ.8]]=5,0,"-")))))</f>
        <v>-</v>
      </c>
      <c r="DK14" s="73" t="str">
        <f>IF(NSi.SE[[#This Row],[Ker.8]]=1,100,IF(NSi.SE[[#This Row],[Ker.8]]=2,89,IF(NSi.SE[[#This Row],[Ker.8]]=3,79,IF(NSi.SE[[#This Row],[Ker.8]]=4,69,IF(NSi.SE[[#This Row],[Ker.8]]=5,0,"-")))))</f>
        <v>-</v>
      </c>
      <c r="DL14" s="73" t="str">
        <f>IF(NSi.SE[[#This Row],[Ped.8]]=1,100,IF(NSi.SE[[#This Row],[Ped.8]]=2,89,IF(NSi.SE[[#This Row],[Ped.8]]=3,79,IF(NSi.SE[[#This Row],[Ped.8]]=4,69,IF(NSi.SE[[#This Row],[Ped.8]]=5,0,"-")))))</f>
        <v>-</v>
      </c>
      <c r="DM14" s="73" t="str">
        <f>IF(NSi.SE[[#This Row],[Pro-A.8]]=1,100,IF(NSi.SE[[#This Row],[Pro-A.8]]=2,89,IF(NSi.SE[[#This Row],[Pro-A.8]]=3,79,IF(NSi.SE[[#This Row],[Pro-A.8]]=4,69,IF(NSi.SE[[#This Row],[Pro-A.8]]=5,0,"-")))))</f>
        <v>-</v>
      </c>
      <c r="DN14" s="74" t="str">
        <f>IF(NSi.SE[[#This Row],[KU.9]]="A",100,IF(NSi.SE[[#This Row],[KU.9]]="B",89,IF(NSi.SE[[#This Row],[KU.9]]="C",79,IF(NSi.SE[[#This Row],[KU.9]]="D",69,IF(NSi.SE[[#This Row],[KU.9]]="E",0,"-")))))</f>
        <v>-</v>
      </c>
      <c r="DO14" s="73" t="str">
        <f>IF(NSi.SE[[#This Row],[TJ.9]]=1,100,IF(NSi.SE[[#This Row],[TJ.9]]=2,89,IF(NSi.SE[[#This Row],[TJ.9]]=3,79,IF(NSi.SE[[#This Row],[TJ.9]]=4,69,IF(NSi.SE[[#This Row],[TJ.9]]=5,0,"-")))))</f>
        <v>-</v>
      </c>
      <c r="DP14" s="73" t="str">
        <f>IF(NSi.SE[[#This Row],[Ker.9]]=1,100,IF(NSi.SE[[#This Row],[Ker.9]]=2,89,IF(NSi.SE[[#This Row],[Ker.9]]=3,79,IF(NSi.SE[[#This Row],[Ker.9]]=4,69,IF(NSi.SE[[#This Row],[Ker.9]]=5,0,"-")))))</f>
        <v>-</v>
      </c>
      <c r="DQ14" s="73" t="str">
        <f>IF(NSi.SE[[#This Row],[Ped.9]]=1,100,IF(NSi.SE[[#This Row],[Ped.9]]=2,89,IF(NSi.SE[[#This Row],[Ped.9]]=3,79,IF(NSi.SE[[#This Row],[Ped.9]]=4,69,IF(NSi.SE[[#This Row],[Ped.9]]=5,0,"-")))))</f>
        <v>-</v>
      </c>
      <c r="DR14" s="73" t="str">
        <f>IF(NSi.SE[[#This Row],[Pro-A.9]]=1,100,IF(NSi.SE[[#This Row],[Pro-A.9]]=2,89,IF(NSi.SE[[#This Row],[Pro-A.9]]=3,79,IF(NSi.SE[[#This Row],[Pro-A.9]]=4,69,IF(NSi.SE[[#This Row],[Pro-A.9]]=5,0,"-")))))</f>
        <v>-</v>
      </c>
      <c r="DT1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5" spans="1:124" ht="50.1" customHeight="1" x14ac:dyDescent="0.3">
      <c r="A15" s="66" t="str">
        <f>IF(NSi.TS[[#This Row],[No]]=0,"",NSi.TS[[#This Row],[No]])</f>
        <v/>
      </c>
      <c r="B15" s="67" t="str">
        <f>IF(NSi.TS[[#This Row],[Nama Siswa]]=0,"",NSi.TS[[#This Row],[Nama Siswa]])</f>
        <v/>
      </c>
      <c r="C15" s="68" t="str">
        <f>IF(NSi.TS[[#This Row],[Nomor Induk]]=0,"",NSi.TS[[#This Row],[Nomor Induk]])</f>
        <v/>
      </c>
      <c r="D15" s="68" t="str">
        <f>IF(NSi.TS[[#This Row],[NISN]]=0,"",NSi.TS[[#This Row],[NISN]])</f>
        <v/>
      </c>
      <c r="E15" s="68" t="str">
        <f>IF(NSi.TS[[#This Row],[Jurusan]]=0,"",NSi.TS[[#This Row],[Jurusan]])</f>
        <v/>
      </c>
      <c r="F15" s="39" t="str">
        <f>NSi.TS[[#This Row],[Nsi.TS]]</f>
        <v/>
      </c>
      <c r="G15" s="39" t="str">
        <f>IFERROR(ROUND(AVERAGE(CSCR.S[#This Row]),0),"")</f>
        <v/>
      </c>
      <c r="H15" s="39" t="str">
        <f>IFERROR(ROUND(AVERAGE(NSi.SE[[#This Row],[Nsi.TS]:[NS.iS]]),0),"")</f>
        <v/>
      </c>
      <c r="I15" s="41" t="s">
        <v>102</v>
      </c>
      <c r="J15" s="45" t="s">
        <v>102</v>
      </c>
      <c r="K15" s="45" t="s">
        <v>102</v>
      </c>
      <c r="L15" s="45" t="s">
        <v>102</v>
      </c>
      <c r="M15" s="45" t="s">
        <v>102</v>
      </c>
      <c r="N15" s="41" t="s">
        <v>102</v>
      </c>
      <c r="O15" s="45" t="s">
        <v>102</v>
      </c>
      <c r="P15" s="45" t="s">
        <v>102</v>
      </c>
      <c r="Q15" s="45" t="s">
        <v>102</v>
      </c>
      <c r="R15" s="45" t="s">
        <v>102</v>
      </c>
      <c r="S15" s="41" t="s">
        <v>102</v>
      </c>
      <c r="T15" s="45" t="s">
        <v>102</v>
      </c>
      <c r="U15" s="45" t="s">
        <v>102</v>
      </c>
      <c r="V15" s="45" t="s">
        <v>102</v>
      </c>
      <c r="W15" s="45" t="s">
        <v>102</v>
      </c>
      <c r="X15" s="41" t="s">
        <v>102</v>
      </c>
      <c r="Y15" s="45" t="s">
        <v>102</v>
      </c>
      <c r="Z15" s="45" t="s">
        <v>102</v>
      </c>
      <c r="AA15" s="45" t="s">
        <v>102</v>
      </c>
      <c r="AB15" s="45" t="s">
        <v>102</v>
      </c>
      <c r="AC15" s="41" t="s">
        <v>102</v>
      </c>
      <c r="AD15" s="45" t="s">
        <v>102</v>
      </c>
      <c r="AE15" s="45" t="s">
        <v>102</v>
      </c>
      <c r="AF15" s="45" t="s">
        <v>102</v>
      </c>
      <c r="AG15" s="45" t="s">
        <v>102</v>
      </c>
      <c r="AH15" s="41" t="s">
        <v>102</v>
      </c>
      <c r="AI15" s="45" t="s">
        <v>102</v>
      </c>
      <c r="AJ15" s="45" t="s">
        <v>102</v>
      </c>
      <c r="AK15" s="45" t="s">
        <v>102</v>
      </c>
      <c r="AL15" s="45" t="s">
        <v>102</v>
      </c>
      <c r="AM15" s="41" t="s">
        <v>102</v>
      </c>
      <c r="AN15" s="45" t="s">
        <v>102</v>
      </c>
      <c r="AO15" s="45" t="s">
        <v>102</v>
      </c>
      <c r="AP15" s="45" t="s">
        <v>102</v>
      </c>
      <c r="AQ15" s="45" t="s">
        <v>102</v>
      </c>
      <c r="AR15" s="41" t="s">
        <v>102</v>
      </c>
      <c r="AS15" s="45" t="s">
        <v>102</v>
      </c>
      <c r="AT15" s="45" t="s">
        <v>102</v>
      </c>
      <c r="AU15" s="45" t="s">
        <v>102</v>
      </c>
      <c r="AV15" s="45" t="s">
        <v>102</v>
      </c>
      <c r="AW15" s="41" t="s">
        <v>102</v>
      </c>
      <c r="AX15" s="45" t="s">
        <v>102</v>
      </c>
      <c r="AY15" s="45" t="s">
        <v>102</v>
      </c>
      <c r="AZ15" s="45" t="s">
        <v>102</v>
      </c>
      <c r="BA15" s="45" t="s">
        <v>102</v>
      </c>
      <c r="BC15" s="10" t="str">
        <f>CONCATENATE(NSi.SE[[#This Row],[KU.1]],(IF(A.LoE.S[[#This Row],[LE.1]]="-","-",IF(A.LoE.S[[#This Row],[LE.1]]&gt;=90,1,IF(A.LoE.S[[#This Row],[LE.1]]&gt;=80,2,IF(A.LoE.S[[#This Row],[LE.1]]&gt;=70,3,IF(A.LoE.S[[#This Row],[LE.1]]&gt;=1,4,5)))))))</f>
        <v>--</v>
      </c>
      <c r="BD15" s="46" t="str">
        <f>CONCATENATE(NSi.SE[[#This Row],[KU.2]],(IF(A.LoE.S[[#This Row],[LE.2]]="-","-",IF(A.LoE.S[[#This Row],[LE.2]]&gt;=90,1,IF(A.LoE.S[[#This Row],[LE.2]]&gt;=80,2,IF(A.LoE.S[[#This Row],[LE.2]]&gt;=70,3,IF(A.LoE.S[[#This Row],[LE.2]]&gt;=1,4,5)))))))</f>
        <v>--</v>
      </c>
      <c r="BE15" s="46" t="str">
        <f>CONCATENATE(NSi.SE[[#This Row],[KU.3]],(IF(A.LoE.S[[#This Row],[LE.3]]="-","-",IF(A.LoE.S[[#This Row],[LE.3]]&gt;=90,1,IF(A.LoE.S[[#This Row],[LE.3]]&gt;=80,2,IF(A.LoE.S[[#This Row],[LE.3]]&gt;=70,3,IF(A.LoE.S[[#This Row],[LE.3]]&gt;=1,4,5)))))))</f>
        <v>--</v>
      </c>
      <c r="BF15" s="46" t="str">
        <f>CONCATENATE(NSi.SE[[#This Row],[KU.4]],(IF(A.LoE.S[[#This Row],[LE.4]]="-","-",IF(A.LoE.S[[#This Row],[LE.4]]&gt;=90,1,IF(A.LoE.S[[#This Row],[LE.4]]&gt;=80,2,IF(A.LoE.S[[#This Row],[LE.4]]&gt;=70,3,IF(A.LoE.S[[#This Row],[LE.4]]&gt;=1,4,5)))))))</f>
        <v>--</v>
      </c>
      <c r="BG15" s="46" t="str">
        <f>CONCATENATE(NSi.SE[[#This Row],[KU.5]],(IF(A.LoE.S[[#This Row],[LE.5]]="-","-",IF(A.LoE.S[[#This Row],[LE.5]]&gt;=90,1,IF(A.LoE.S[[#This Row],[LE.5]]&gt;=80,2,IF(A.LoE.S[[#This Row],[LE.5]]&gt;=70,3,IF(A.LoE.S[[#This Row],[LE.5]]&gt;=1,4,5)))))))</f>
        <v>--</v>
      </c>
      <c r="BH15" s="46" t="str">
        <f>CONCATENATE(NSi.SE[[#This Row],[KU.6]],(IF(A.LoE.S[[#This Row],[LE.6]]="-","-",IF(A.LoE.S[[#This Row],[LE.6]]&gt;=90,1,IF(A.LoE.S[[#This Row],[LE.6]]&gt;=80,2,IF(A.LoE.S[[#This Row],[LE.6]]&gt;=70,3,IF(A.LoE.S[[#This Row],[LE.6]]&gt;=1,4,5)))))))</f>
        <v>--</v>
      </c>
      <c r="BI15" s="46" t="str">
        <f>CONCATENATE(NSi.SE[[#This Row],[KU.7]],(IF(A.LoE.S[[#This Row],[LE.7]]="-","-",IF(A.LoE.S[[#This Row],[LE.7]]&gt;=90,1,IF(A.LoE.S[[#This Row],[LE.7]]&gt;=80,2,IF(A.LoE.S[[#This Row],[LE.7]]&gt;=70,3,IF(A.LoE.S[[#This Row],[LE.7]]&gt;=1,4,5)))))))</f>
        <v>--</v>
      </c>
      <c r="BJ15" s="46" t="str">
        <f>CONCATENATE(NSi.SE[[#This Row],[KU.8]],(IF(A.LoE.S[[#This Row],[LE.8]]="-","-",IF(A.LoE.S[[#This Row],[LE.8]]&gt;=90,1,IF(A.LoE.S[[#This Row],[LE.8]]&gt;=80,2,IF(A.LoE.S[[#This Row],[LE.8]]&gt;=70,3,IF(A.LoE.S[[#This Row],[LE.8]]&gt;=1,4,5)))))))</f>
        <v>--</v>
      </c>
      <c r="BK15" s="38" t="str">
        <f>CONCATENATE(NSi.SE[[#This Row],[KU.9]],(IF(A.LoE.S[[#This Row],[LE.9]]="-","-",IF(A.LoE.S[[#This Row],[LE.9]]&gt;=90,1,IF(A.LoE.S[[#This Row],[LE.9]]&gt;=80,2,IF(A.LoE.S[[#This Row],[LE.9]]&gt;=70,3,IF(A.LoE.S[[#This Row],[LE.9]]&gt;=1,4,5)))))))</f>
        <v>--</v>
      </c>
      <c r="BM15" s="35" t="str">
        <f>IFERROR(ROUND(AVERAGE(Con.Sk.S[[#This Row],[TJ.1]:[Pro-A.1]]),0),"-")</f>
        <v>-</v>
      </c>
      <c r="BN15" s="24" t="str">
        <f>IFERROR(ROUND(AVERAGE(Con.Sk.S[[#This Row],[TJ.2]:[Pro-A.2]]),0),"-")</f>
        <v>-</v>
      </c>
      <c r="BO15" s="24" t="str">
        <f>IFERROR(ROUND(AVERAGE(Con.Sk.S[[#This Row],[TJ.3]:[Pro-A.3]]),0),"-")</f>
        <v>-</v>
      </c>
      <c r="BP15" s="24" t="str">
        <f>IFERROR(ROUND(AVERAGE(Con.Sk.S[[#This Row],[TJ.4]:[Pro-A.4]]),0),"-")</f>
        <v>-</v>
      </c>
      <c r="BQ15" s="24" t="str">
        <f>IFERROR(ROUND(AVERAGE(Con.Sk.S[[#This Row],[TJ.5]:[Pro-A.5]]),0),"-")</f>
        <v>-</v>
      </c>
      <c r="BR15" s="24" t="str">
        <f>IFERROR(ROUND(AVERAGE(Con.Sk.S[[#This Row],[TJ.6]:[Pro-A.6]]),0),"-")</f>
        <v>-</v>
      </c>
      <c r="BS15" s="24" t="str">
        <f>IFERROR(ROUND(AVERAGE(Con.Sk.S[[#This Row],[TJ.7]:[Pro-A.7]]),0),"-")</f>
        <v>-</v>
      </c>
      <c r="BT15" s="24" t="str">
        <f>IFERROR(ROUND(AVERAGE(Con.Sk.S[[#This Row],[TJ.8]:[Pro-A.8]]),0),"-")</f>
        <v>-</v>
      </c>
      <c r="BU15" s="25" t="str">
        <f>IFERROR(ROUND(AVERAGE(Con.Sk.S[[#This Row],[TJ.9]:[Pro-A.9]]),0),"-")</f>
        <v>-</v>
      </c>
      <c r="BW15" s="47" t="str">
        <f>IFERROR(ROUND(AVERAGE(Con.Sk.S[[#This Row],[KU.1]],Con.Sk.S[[#This Row],[KU.2]],Con.Sk.S[[#This Row],[KU.3]],Con.Sk.S[[#This Row],[KU.4]],Con.Sk.S[[#This Row],[KU.5]],Con.Sk.S[[#This Row],[KU.6]],Con.Sk.S[[#This Row],[KU.7]],Con.Sk.S[[#This Row],[KU.8]],Con.Sk.S[[#This Row],[KU.9]]),0),"")</f>
        <v/>
      </c>
      <c r="BX15" s="48" t="str">
        <f>IFERROR(ROUND(AVERAGE(Con.Sk.S[[#This Row],[TJ.1]:[Pro-A.1]],Con.Sk.S[[#This Row],[TJ.2]:[Pro-A.2]],Con.Sk.S[[#This Row],[TJ.3]:[Pro-A.3]],Con.Sk.S[[#This Row],[TJ.4]:[Pro-A.4]],Con.Sk.S[[#This Row],[TJ.5]:[Pro-A.5]],Con.Sk.S[[#This Row],[TJ.6]:[Pro-A.6]],Con.Sk.S[[#This Row],[TJ.7]:[Pro-A.7]],Con.Sk.S[[#This Row],[TJ.8]:[Pro-A.8]],Con.Sk.S[[#This Row],[TJ.9]:[Pro-A.9]]),0),"")</f>
        <v/>
      </c>
      <c r="BY15" s="3"/>
      <c r="BZ15" s="73" t="str">
        <f>IF(NSi.SE[[#This Row],[KU.1]]="A",100,IF(NSi.SE[[#This Row],[KU.1]]="B",89,IF(NSi.SE[[#This Row],[KU.1]]="C",79,IF(NSi.SE[[#This Row],[KU.1]]="D",69,IF(NSi.SE[[#This Row],[KU.1]]="E",0,"-")))))</f>
        <v>-</v>
      </c>
      <c r="CA15" s="73" t="str">
        <f>IF(NSi.SE[[#This Row],[TJ.1]]=1,100,IF(NSi.SE[[#This Row],[TJ.1]]=2,89,IF(NSi.SE[[#This Row],[TJ.1]]=3,79,IF(NSi.SE[[#This Row],[TJ.1]]=4,69,IF(NSi.SE[[#This Row],[TJ.1]]=5,0,"-")))))</f>
        <v>-</v>
      </c>
      <c r="CB15" s="73" t="str">
        <f>IF(NSi.SE[[#This Row],[Ker.1]]=1,100,IF(NSi.SE[[#This Row],[Ker.1]]=2,89,IF(NSi.SE[[#This Row],[Ker.1]]=3,79,IF(NSi.SE[[#This Row],[Ker.1]]=4,69,IF(NSi.SE[[#This Row],[Ker.1]]=5,0,"-")))))</f>
        <v>-</v>
      </c>
      <c r="CC15" s="73" t="str">
        <f>IF(NSi.SE[[#This Row],[Ped.1]]=1,100,IF(NSi.SE[[#This Row],[Ped.1]]=2,89,IF(NSi.SE[[#This Row],[Ped.1]]=3,79,IF(NSi.SE[[#This Row],[Ped.1]]=4,69,IF(NSi.SE[[#This Row],[Ped.1]]=5,0,"-")))))</f>
        <v>-</v>
      </c>
      <c r="CD15" s="73" t="str">
        <f>IF(NSi.SE[[#This Row],[Pro-A.1]]=1,100,IF(NSi.SE[[#This Row],[Pro-A.1]]=2,89,IF(NSi.SE[[#This Row],[Pro-A.1]]=3,79,IF(NSi.SE[[#This Row],[Pro-A.1]]=4,69,IF(NSi.SE[[#This Row],[Pro-A.1]]=5,0,"-")))))</f>
        <v>-</v>
      </c>
      <c r="CE15" s="73" t="str">
        <f>IF(NSi.SE[[#This Row],[KU.2]]="A",100,IF(NSi.SE[[#This Row],[KU.2]]="B",89,IF(NSi.SE[[#This Row],[KU.2]]="C",79,IF(NSi.SE[[#This Row],[KU.2]]="D",69,IF(NSi.SE[[#This Row],[KU.2]]="E",0,"-")))))</f>
        <v>-</v>
      </c>
      <c r="CF15" s="73" t="str">
        <f>IF(NSi.SE[[#This Row],[TJ.2]]=1,100,IF(NSi.SE[[#This Row],[TJ.2]]=2,89,IF(NSi.SE[[#This Row],[TJ.2]]=3,79,IF(NSi.SE[[#This Row],[TJ.2]]=4,69,IF(NSi.SE[[#This Row],[TJ.2]]=5,0,"-")))))</f>
        <v>-</v>
      </c>
      <c r="CG15" s="73" t="str">
        <f>IF(NSi.SE[[#This Row],[Ker.2]]=1,100,IF(NSi.SE[[#This Row],[Ker.2]]=2,89,IF(NSi.SE[[#This Row],[Ker.2]]=3,79,IF(NSi.SE[[#This Row],[Ker.2]]=4,69,IF(NSi.SE[[#This Row],[Ker.2]]=5,0,"-")))))</f>
        <v>-</v>
      </c>
      <c r="CH15" s="73" t="str">
        <f>IF(NSi.SE[[#This Row],[Ped.2]]=1,100,IF(NSi.SE[[#This Row],[Ped.2]]=2,89,IF(NSi.SE[[#This Row],[Ped.2]]=3,79,IF(NSi.SE[[#This Row],[Ped.2]]=4,69,IF(NSi.SE[[#This Row],[Ped.2]]=5,0,"-")))))</f>
        <v>-</v>
      </c>
      <c r="CI15" s="73" t="str">
        <f>IF(NSi.SE[[#This Row],[Pro-A.2]]=1,100,IF(NSi.SE[[#This Row],[Pro-A.2]]=2,89,IF(NSi.SE[[#This Row],[Pro-A.2]]=3,79,IF(NSi.SE[[#This Row],[Pro-A.2]]=4,69,IF(NSi.SE[[#This Row],[Pro-A.2]]=5,0,"-")))))</f>
        <v>-</v>
      </c>
      <c r="CJ15" s="74" t="str">
        <f>IF(NSi.SE[[#This Row],[KU.3]]="A",100,IF(NSi.SE[[#This Row],[KU.3]]="B",89,IF(NSi.SE[[#This Row],[KU.3]]="C",79,IF(NSi.SE[[#This Row],[KU.3]]="D",69,IF(NSi.SE[[#This Row],[KU.3]]="E",0,"-")))))</f>
        <v>-</v>
      </c>
      <c r="CK15" s="73" t="str">
        <f>IF(NSi.SE[[#This Row],[TJ.3]]=1,100,IF(NSi.SE[[#This Row],[TJ.3]]=2,89,IF(NSi.SE[[#This Row],[TJ.3]]=3,79,IF(NSi.SE[[#This Row],[TJ.3]]=4,69,IF(NSi.SE[[#This Row],[TJ.3]]=5,0,"-")))))</f>
        <v>-</v>
      </c>
      <c r="CL15" s="73" t="str">
        <f>IF(NSi.SE[[#This Row],[Ker.3]]=1,100,IF(NSi.SE[[#This Row],[Ker.3]]=2,89,IF(NSi.SE[[#This Row],[Ker.3]]=3,79,IF(NSi.SE[[#This Row],[Ker.3]]=4,69,IF(NSi.SE[[#This Row],[Ker.3]]=5,0,"-")))))</f>
        <v>-</v>
      </c>
      <c r="CM15" s="73" t="str">
        <f>IF(NSi.SE[[#This Row],[Ped.3]]=1,100,IF(NSi.SE[[#This Row],[Ped.3]]=2,89,IF(NSi.SE[[#This Row],[Ped.3]]=3,79,IF(NSi.SE[[#This Row],[Ped.3]]=4,69,IF(NSi.SE[[#This Row],[Ped.3]]=5,0,"-")))))</f>
        <v>-</v>
      </c>
      <c r="CN15" s="73" t="str">
        <f>IF(NSi.SE[[#This Row],[Pro-A.3]]=1,100,IF(NSi.SE[[#This Row],[Pro-A.3]]=2,89,IF(NSi.SE[[#This Row],[Pro-A.3]]=3,79,IF(NSi.SE[[#This Row],[Pro-A.3]]=4,69,IF(NSi.SE[[#This Row],[Pro-A.3]]=5,0,"-")))))</f>
        <v>-</v>
      </c>
      <c r="CO15" s="74" t="str">
        <f>IF(NSi.SE[[#This Row],[KU.4]]="A",100,IF(NSi.SE[[#This Row],[KU.4]]="B",89,IF(NSi.SE[[#This Row],[KU.4]]="C",79,IF(NSi.SE[[#This Row],[KU.4]]="D",69,IF(NSi.SE[[#This Row],[KU.4]]="E",0,"-")))))</f>
        <v>-</v>
      </c>
      <c r="CP15" s="73" t="str">
        <f>IF(NSi.SE[[#This Row],[TJ.4]]=1,100,IF(NSi.SE[[#This Row],[TJ.4]]=2,89,IF(NSi.SE[[#This Row],[TJ.4]]=3,79,IF(NSi.SE[[#This Row],[TJ.4]]=4,69,IF(NSi.SE[[#This Row],[TJ.4]]=5,0,"-")))))</f>
        <v>-</v>
      </c>
      <c r="CQ15" s="73" t="str">
        <f>IF(NSi.SE[[#This Row],[Ker.4]]=1,100,IF(NSi.SE[[#This Row],[Ker.4]]=2,89,IF(NSi.SE[[#This Row],[Ker.4]]=3,79,IF(NSi.SE[[#This Row],[Ker.4]]=4,69,IF(NSi.SE[[#This Row],[Ker.4]]=5,0,"-")))))</f>
        <v>-</v>
      </c>
      <c r="CR15" s="73" t="str">
        <f>IF(NSi.SE[[#This Row],[Ped.4]]=1,100,IF(NSi.SE[[#This Row],[Ped.4]]=2,89,IF(NSi.SE[[#This Row],[Ped.4]]=3,79,IF(NSi.SE[[#This Row],[Ped.4]]=4,69,IF(NSi.SE[[#This Row],[Ped.4]]=5,0,"-")))))</f>
        <v>-</v>
      </c>
      <c r="CS15" s="73" t="str">
        <f>IF(NSi.SE[[#This Row],[Pro-A.4]]=1,100,IF(NSi.SE[[#This Row],[Pro-A.4]]=2,89,IF(NSi.SE[[#This Row],[Pro-A.4]]=3,79,IF(NSi.SE[[#This Row],[Pro-A.4]]=4,69,IF(NSi.SE[[#This Row],[Pro-A.4]]=5,0,"-")))))</f>
        <v>-</v>
      </c>
      <c r="CT15" s="74" t="str">
        <f>IF(NSi.SE[[#This Row],[KU.5]]="A",100,IF(NSi.SE[[#This Row],[KU.5]]="B",89,IF(NSi.SE[[#This Row],[KU.5]]="C",79,IF(NSi.SE[[#This Row],[KU.5]]="D",69,IF(NSi.SE[[#This Row],[KU.5]]="E",0,"-")))))</f>
        <v>-</v>
      </c>
      <c r="CU15" s="73" t="str">
        <f>IF(NSi.SE[[#This Row],[TJ.5]]=1,100,IF(NSi.SE[[#This Row],[TJ.5]]=2,89,IF(NSi.SE[[#This Row],[TJ.5]]=3,79,IF(NSi.SE[[#This Row],[TJ.5]]=4,69,IF(NSi.SE[[#This Row],[TJ.5]]=5,0,"-")))))</f>
        <v>-</v>
      </c>
      <c r="CV15" s="73" t="str">
        <f>IF(NSi.SE[[#This Row],[Ker.5]]=1,100,IF(NSi.SE[[#This Row],[Ker.5]]=2,89,IF(NSi.SE[[#This Row],[Ker.5]]=3,79,IF(NSi.SE[[#This Row],[Ker.5]]=4,69,IF(NSi.SE[[#This Row],[Ker.5]]=5,0,"-")))))</f>
        <v>-</v>
      </c>
      <c r="CW15" s="73" t="str">
        <f>IF(NSi.SE[[#This Row],[Ped.5]]=1,100,IF(NSi.SE[[#This Row],[Ped.5]]=2,89,IF(NSi.SE[[#This Row],[Ped.5]]=3,79,IF(NSi.SE[[#This Row],[Ped.5]]=4,69,IF(NSi.SE[[#This Row],[Ped.5]]=5,0,"-")))))</f>
        <v>-</v>
      </c>
      <c r="CX15" s="73" t="str">
        <f>IF(NSi.SE[[#This Row],[Pro-A.5]]=1,100,IF(NSi.SE[[#This Row],[Pro-A.5]]=2,89,IF(NSi.SE[[#This Row],[Pro-A.5]]=3,79,IF(NSi.SE[[#This Row],[Pro-A.5]]=4,69,IF(NSi.SE[[#This Row],[Pro-A.5]]=5,0,"-")))))</f>
        <v>-</v>
      </c>
      <c r="CY15" s="74" t="str">
        <f>IF(NSi.SE[[#This Row],[KU.6]]="A",100,IF(NSi.SE[[#This Row],[KU.6]]="B",89,IF(NSi.SE[[#This Row],[KU.6]]="C",79,IF(NSi.SE[[#This Row],[KU.6]]="D",69,IF(NSi.SE[[#This Row],[KU.6]]="E",0,"-")))))</f>
        <v>-</v>
      </c>
      <c r="CZ15" s="73" t="str">
        <f>IF(NSi.SE[[#This Row],[TJ.6]]=1,100,IF(NSi.SE[[#This Row],[TJ.6]]=2,89,IF(NSi.SE[[#This Row],[TJ.6]]=3,79,IF(NSi.SE[[#This Row],[TJ.6]]=4,69,IF(NSi.SE[[#This Row],[TJ.6]]=5,0,"-")))))</f>
        <v>-</v>
      </c>
      <c r="DA15" s="73" t="str">
        <f>IF(NSi.SE[[#This Row],[Ker.6]]=1,100,IF(NSi.SE[[#This Row],[Ker.6]]=2,89,IF(NSi.SE[[#This Row],[Ker.6]]=3,79,IF(NSi.SE[[#This Row],[Ker.6]]=4,69,IF(NSi.SE[[#This Row],[Ker.6]]=5,0,"-")))))</f>
        <v>-</v>
      </c>
      <c r="DB15" s="73" t="str">
        <f>IF(NSi.SE[[#This Row],[Ped.6]]=1,100,IF(NSi.SE[[#This Row],[Ped.6]]=2,89,IF(NSi.SE[[#This Row],[Ped.6]]=3,79,IF(NSi.SE[[#This Row],[Ped.6]]=4,69,IF(NSi.SE[[#This Row],[Ped.6]]=5,0,"-")))))</f>
        <v>-</v>
      </c>
      <c r="DC15" s="73" t="str">
        <f>IF(NSi.SE[[#This Row],[Pro-A.6]]=1,100,IF(NSi.SE[[#This Row],[Pro-A.6]]=2,89,IF(NSi.SE[[#This Row],[Pro-A.6]]=3,79,IF(NSi.SE[[#This Row],[Pro-A.6]]=4,69,IF(NSi.SE[[#This Row],[Pro-A.6]]=5,0,"-")))))</f>
        <v>-</v>
      </c>
      <c r="DD15" s="74" t="str">
        <f>IF(NSi.SE[[#This Row],[KU.7]]="A",100,IF(NSi.SE[[#This Row],[KU.7]]="B",89,IF(NSi.SE[[#This Row],[KU.7]]="C",79,IF(NSi.SE[[#This Row],[KU.7]]="D",69,IF(NSi.SE[[#This Row],[KU.7]]="E",0,"-")))))</f>
        <v>-</v>
      </c>
      <c r="DE15" s="73" t="str">
        <f>IF(NSi.SE[[#This Row],[TJ.7]]=1,100,IF(NSi.SE[[#This Row],[TJ.7]]=2,89,IF(NSi.SE[[#This Row],[TJ.7]]=3,79,IF(NSi.SE[[#This Row],[TJ.7]]=4,69,IF(NSi.SE[[#This Row],[TJ.7]]=5,0,"-")))))</f>
        <v>-</v>
      </c>
      <c r="DF15" s="73" t="str">
        <f>IF(NSi.SE[[#This Row],[Ker.7]]=1,100,IF(NSi.SE[[#This Row],[Ker.7]]=2,89,IF(NSi.SE[[#This Row],[Ker.7]]=3,79,IF(NSi.SE[[#This Row],[Ker.7]]=4,69,IF(NSi.SE[[#This Row],[Ker.7]]=5,0,"-")))))</f>
        <v>-</v>
      </c>
      <c r="DG15" s="73" t="str">
        <f>IF(NSi.SE[[#This Row],[Ped.7]]=1,100,IF(NSi.SE[[#This Row],[Ped.7]]=2,89,IF(NSi.SE[[#This Row],[Ped.7]]=3,79,IF(NSi.SE[[#This Row],[Ped.7]]=4,69,IF(NSi.SE[[#This Row],[Ped.7]]=5,0,"-")))))</f>
        <v>-</v>
      </c>
      <c r="DH15" s="73" t="str">
        <f>IF(NSi.SE[[#This Row],[Pro-A.7]]=1,100,IF(NSi.SE[[#This Row],[Pro-A.7]]=2,89,IF(NSi.SE[[#This Row],[Pro-A.7]]=3,79,IF(NSi.SE[[#This Row],[Pro-A.7]]=4,69,IF(NSi.SE[[#This Row],[Pro-A.7]]=5,0,"-")))))</f>
        <v>-</v>
      </c>
      <c r="DI15" s="74" t="str">
        <f>IF(NSi.SE[[#This Row],[KU.8]]="A",100,IF(NSi.SE[[#This Row],[KU.8]]="B",89,IF(NSi.SE[[#This Row],[KU.8]]="C",79,IF(NSi.SE[[#This Row],[KU.8]]="D",69,IF(NSi.SE[[#This Row],[KU.8]]="E",0,"-")))))</f>
        <v>-</v>
      </c>
      <c r="DJ15" s="73" t="str">
        <f>IF(NSi.SE[[#This Row],[TJ.8]]=1,100,IF(NSi.SE[[#This Row],[TJ.8]]=2,89,IF(NSi.SE[[#This Row],[TJ.8]]=3,79,IF(NSi.SE[[#This Row],[TJ.8]]=4,69,IF(NSi.SE[[#This Row],[TJ.8]]=5,0,"-")))))</f>
        <v>-</v>
      </c>
      <c r="DK15" s="73" t="str">
        <f>IF(NSi.SE[[#This Row],[Ker.8]]=1,100,IF(NSi.SE[[#This Row],[Ker.8]]=2,89,IF(NSi.SE[[#This Row],[Ker.8]]=3,79,IF(NSi.SE[[#This Row],[Ker.8]]=4,69,IF(NSi.SE[[#This Row],[Ker.8]]=5,0,"-")))))</f>
        <v>-</v>
      </c>
      <c r="DL15" s="73" t="str">
        <f>IF(NSi.SE[[#This Row],[Ped.8]]=1,100,IF(NSi.SE[[#This Row],[Ped.8]]=2,89,IF(NSi.SE[[#This Row],[Ped.8]]=3,79,IF(NSi.SE[[#This Row],[Ped.8]]=4,69,IF(NSi.SE[[#This Row],[Ped.8]]=5,0,"-")))))</f>
        <v>-</v>
      </c>
      <c r="DM15" s="73" t="str">
        <f>IF(NSi.SE[[#This Row],[Pro-A.8]]=1,100,IF(NSi.SE[[#This Row],[Pro-A.8]]=2,89,IF(NSi.SE[[#This Row],[Pro-A.8]]=3,79,IF(NSi.SE[[#This Row],[Pro-A.8]]=4,69,IF(NSi.SE[[#This Row],[Pro-A.8]]=5,0,"-")))))</f>
        <v>-</v>
      </c>
      <c r="DN15" s="74" t="str">
        <f>IF(NSi.SE[[#This Row],[KU.9]]="A",100,IF(NSi.SE[[#This Row],[KU.9]]="B",89,IF(NSi.SE[[#This Row],[KU.9]]="C",79,IF(NSi.SE[[#This Row],[KU.9]]="D",69,IF(NSi.SE[[#This Row],[KU.9]]="E",0,"-")))))</f>
        <v>-</v>
      </c>
      <c r="DO15" s="73" t="str">
        <f>IF(NSi.SE[[#This Row],[TJ.9]]=1,100,IF(NSi.SE[[#This Row],[TJ.9]]=2,89,IF(NSi.SE[[#This Row],[TJ.9]]=3,79,IF(NSi.SE[[#This Row],[TJ.9]]=4,69,IF(NSi.SE[[#This Row],[TJ.9]]=5,0,"-")))))</f>
        <v>-</v>
      </c>
      <c r="DP15" s="73" t="str">
        <f>IF(NSi.SE[[#This Row],[Ker.9]]=1,100,IF(NSi.SE[[#This Row],[Ker.9]]=2,89,IF(NSi.SE[[#This Row],[Ker.9]]=3,79,IF(NSi.SE[[#This Row],[Ker.9]]=4,69,IF(NSi.SE[[#This Row],[Ker.9]]=5,0,"-")))))</f>
        <v>-</v>
      </c>
      <c r="DQ15" s="73" t="str">
        <f>IF(NSi.SE[[#This Row],[Ped.9]]=1,100,IF(NSi.SE[[#This Row],[Ped.9]]=2,89,IF(NSi.SE[[#This Row],[Ped.9]]=3,79,IF(NSi.SE[[#This Row],[Ped.9]]=4,69,IF(NSi.SE[[#This Row],[Ped.9]]=5,0,"-")))))</f>
        <v>-</v>
      </c>
      <c r="DR15" s="73" t="str">
        <f>IF(NSi.SE[[#This Row],[Pro-A.9]]=1,100,IF(NSi.SE[[#This Row],[Pro-A.9]]=2,89,IF(NSi.SE[[#This Row],[Pro-A.9]]=3,79,IF(NSi.SE[[#This Row],[Pro-A.9]]=4,69,IF(NSi.SE[[#This Row],[Pro-A.9]]=5,0,"-")))))</f>
        <v>-</v>
      </c>
      <c r="DT1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6" spans="1:124" ht="50.1" customHeight="1" x14ac:dyDescent="0.3">
      <c r="A16" s="66" t="str">
        <f>IF(NSi.TS[[#This Row],[No]]=0,"",NSi.TS[[#This Row],[No]])</f>
        <v/>
      </c>
      <c r="B16" s="67" t="str">
        <f>IF(NSi.TS[[#This Row],[Nama Siswa]]=0,"",NSi.TS[[#This Row],[Nama Siswa]])</f>
        <v/>
      </c>
      <c r="C16" s="68" t="str">
        <f>IF(NSi.TS[[#This Row],[Nomor Induk]]=0,"",NSi.TS[[#This Row],[Nomor Induk]])</f>
        <v/>
      </c>
      <c r="D16" s="68" t="str">
        <f>IF(NSi.TS[[#This Row],[NISN]]=0,"",NSi.TS[[#This Row],[NISN]])</f>
        <v/>
      </c>
      <c r="E16" s="68" t="str">
        <f>IF(NSi.TS[[#This Row],[Jurusan]]=0,"",NSi.TS[[#This Row],[Jurusan]])</f>
        <v/>
      </c>
      <c r="F16" s="39" t="str">
        <f>NSi.TS[[#This Row],[Nsi.TS]]</f>
        <v/>
      </c>
      <c r="G16" s="39" t="str">
        <f>IFERROR(ROUND(AVERAGE(CSCR.S[#This Row]),0),"")</f>
        <v/>
      </c>
      <c r="H16" s="39" t="str">
        <f>IFERROR(ROUND(AVERAGE(NSi.SE[[#This Row],[Nsi.TS]:[NS.iS]]),0),"")</f>
        <v/>
      </c>
      <c r="I16" s="41" t="s">
        <v>102</v>
      </c>
      <c r="J16" s="45" t="s">
        <v>102</v>
      </c>
      <c r="K16" s="45" t="s">
        <v>102</v>
      </c>
      <c r="L16" s="45" t="s">
        <v>102</v>
      </c>
      <c r="M16" s="45" t="s">
        <v>102</v>
      </c>
      <c r="N16" s="41" t="s">
        <v>102</v>
      </c>
      <c r="O16" s="45" t="s">
        <v>102</v>
      </c>
      <c r="P16" s="45" t="s">
        <v>102</v>
      </c>
      <c r="Q16" s="45" t="s">
        <v>102</v>
      </c>
      <c r="R16" s="45" t="s">
        <v>102</v>
      </c>
      <c r="S16" s="41" t="s">
        <v>102</v>
      </c>
      <c r="T16" s="45" t="s">
        <v>102</v>
      </c>
      <c r="U16" s="45" t="s">
        <v>102</v>
      </c>
      <c r="V16" s="45" t="s">
        <v>102</v>
      </c>
      <c r="W16" s="45" t="s">
        <v>102</v>
      </c>
      <c r="X16" s="41" t="s">
        <v>102</v>
      </c>
      <c r="Y16" s="45" t="s">
        <v>102</v>
      </c>
      <c r="Z16" s="45" t="s">
        <v>102</v>
      </c>
      <c r="AA16" s="45" t="s">
        <v>102</v>
      </c>
      <c r="AB16" s="45" t="s">
        <v>102</v>
      </c>
      <c r="AC16" s="41" t="s">
        <v>102</v>
      </c>
      <c r="AD16" s="45" t="s">
        <v>102</v>
      </c>
      <c r="AE16" s="45" t="s">
        <v>102</v>
      </c>
      <c r="AF16" s="45" t="s">
        <v>102</v>
      </c>
      <c r="AG16" s="45" t="s">
        <v>102</v>
      </c>
      <c r="AH16" s="41" t="s">
        <v>102</v>
      </c>
      <c r="AI16" s="45" t="s">
        <v>102</v>
      </c>
      <c r="AJ16" s="45" t="s">
        <v>102</v>
      </c>
      <c r="AK16" s="45" t="s">
        <v>102</v>
      </c>
      <c r="AL16" s="45" t="s">
        <v>102</v>
      </c>
      <c r="AM16" s="41" t="s">
        <v>102</v>
      </c>
      <c r="AN16" s="45" t="s">
        <v>102</v>
      </c>
      <c r="AO16" s="45" t="s">
        <v>102</v>
      </c>
      <c r="AP16" s="45" t="s">
        <v>102</v>
      </c>
      <c r="AQ16" s="45" t="s">
        <v>102</v>
      </c>
      <c r="AR16" s="41" t="s">
        <v>102</v>
      </c>
      <c r="AS16" s="45" t="s">
        <v>102</v>
      </c>
      <c r="AT16" s="45" t="s">
        <v>102</v>
      </c>
      <c r="AU16" s="45" t="s">
        <v>102</v>
      </c>
      <c r="AV16" s="45" t="s">
        <v>102</v>
      </c>
      <c r="AW16" s="41" t="s">
        <v>102</v>
      </c>
      <c r="AX16" s="45" t="s">
        <v>102</v>
      </c>
      <c r="AY16" s="45" t="s">
        <v>102</v>
      </c>
      <c r="AZ16" s="45" t="s">
        <v>102</v>
      </c>
      <c r="BA16" s="45" t="s">
        <v>102</v>
      </c>
      <c r="BC16" s="10" t="str">
        <f>CONCATENATE(NSi.SE[[#This Row],[KU.1]],(IF(A.LoE.S[[#This Row],[LE.1]]="-","-",IF(A.LoE.S[[#This Row],[LE.1]]&gt;=90,1,IF(A.LoE.S[[#This Row],[LE.1]]&gt;=80,2,IF(A.LoE.S[[#This Row],[LE.1]]&gt;=70,3,IF(A.LoE.S[[#This Row],[LE.1]]&gt;=1,4,5)))))))</f>
        <v>--</v>
      </c>
      <c r="BD16" s="46" t="str">
        <f>CONCATENATE(NSi.SE[[#This Row],[KU.2]],(IF(A.LoE.S[[#This Row],[LE.2]]="-","-",IF(A.LoE.S[[#This Row],[LE.2]]&gt;=90,1,IF(A.LoE.S[[#This Row],[LE.2]]&gt;=80,2,IF(A.LoE.S[[#This Row],[LE.2]]&gt;=70,3,IF(A.LoE.S[[#This Row],[LE.2]]&gt;=1,4,5)))))))</f>
        <v>--</v>
      </c>
      <c r="BE16" s="46" t="str">
        <f>CONCATENATE(NSi.SE[[#This Row],[KU.3]],(IF(A.LoE.S[[#This Row],[LE.3]]="-","-",IF(A.LoE.S[[#This Row],[LE.3]]&gt;=90,1,IF(A.LoE.S[[#This Row],[LE.3]]&gt;=80,2,IF(A.LoE.S[[#This Row],[LE.3]]&gt;=70,3,IF(A.LoE.S[[#This Row],[LE.3]]&gt;=1,4,5)))))))</f>
        <v>--</v>
      </c>
      <c r="BF16" s="46" t="str">
        <f>CONCATENATE(NSi.SE[[#This Row],[KU.4]],(IF(A.LoE.S[[#This Row],[LE.4]]="-","-",IF(A.LoE.S[[#This Row],[LE.4]]&gt;=90,1,IF(A.LoE.S[[#This Row],[LE.4]]&gt;=80,2,IF(A.LoE.S[[#This Row],[LE.4]]&gt;=70,3,IF(A.LoE.S[[#This Row],[LE.4]]&gt;=1,4,5)))))))</f>
        <v>--</v>
      </c>
      <c r="BG16" s="46" t="str">
        <f>CONCATENATE(NSi.SE[[#This Row],[KU.5]],(IF(A.LoE.S[[#This Row],[LE.5]]="-","-",IF(A.LoE.S[[#This Row],[LE.5]]&gt;=90,1,IF(A.LoE.S[[#This Row],[LE.5]]&gt;=80,2,IF(A.LoE.S[[#This Row],[LE.5]]&gt;=70,3,IF(A.LoE.S[[#This Row],[LE.5]]&gt;=1,4,5)))))))</f>
        <v>--</v>
      </c>
      <c r="BH16" s="46" t="str">
        <f>CONCATENATE(NSi.SE[[#This Row],[KU.6]],(IF(A.LoE.S[[#This Row],[LE.6]]="-","-",IF(A.LoE.S[[#This Row],[LE.6]]&gt;=90,1,IF(A.LoE.S[[#This Row],[LE.6]]&gt;=80,2,IF(A.LoE.S[[#This Row],[LE.6]]&gt;=70,3,IF(A.LoE.S[[#This Row],[LE.6]]&gt;=1,4,5)))))))</f>
        <v>--</v>
      </c>
      <c r="BI16" s="46" t="str">
        <f>CONCATENATE(NSi.SE[[#This Row],[KU.7]],(IF(A.LoE.S[[#This Row],[LE.7]]="-","-",IF(A.LoE.S[[#This Row],[LE.7]]&gt;=90,1,IF(A.LoE.S[[#This Row],[LE.7]]&gt;=80,2,IF(A.LoE.S[[#This Row],[LE.7]]&gt;=70,3,IF(A.LoE.S[[#This Row],[LE.7]]&gt;=1,4,5)))))))</f>
        <v>--</v>
      </c>
      <c r="BJ16" s="46" t="str">
        <f>CONCATENATE(NSi.SE[[#This Row],[KU.8]],(IF(A.LoE.S[[#This Row],[LE.8]]="-","-",IF(A.LoE.S[[#This Row],[LE.8]]&gt;=90,1,IF(A.LoE.S[[#This Row],[LE.8]]&gt;=80,2,IF(A.LoE.S[[#This Row],[LE.8]]&gt;=70,3,IF(A.LoE.S[[#This Row],[LE.8]]&gt;=1,4,5)))))))</f>
        <v>--</v>
      </c>
      <c r="BK16" s="38" t="str">
        <f>CONCATENATE(NSi.SE[[#This Row],[KU.9]],(IF(A.LoE.S[[#This Row],[LE.9]]="-","-",IF(A.LoE.S[[#This Row],[LE.9]]&gt;=90,1,IF(A.LoE.S[[#This Row],[LE.9]]&gt;=80,2,IF(A.LoE.S[[#This Row],[LE.9]]&gt;=70,3,IF(A.LoE.S[[#This Row],[LE.9]]&gt;=1,4,5)))))))</f>
        <v>--</v>
      </c>
      <c r="BM16" s="35" t="str">
        <f>IFERROR(ROUND(AVERAGE(Con.Sk.S[[#This Row],[TJ.1]:[Pro-A.1]]),0),"-")</f>
        <v>-</v>
      </c>
      <c r="BN16" s="24" t="str">
        <f>IFERROR(ROUND(AVERAGE(Con.Sk.S[[#This Row],[TJ.2]:[Pro-A.2]]),0),"-")</f>
        <v>-</v>
      </c>
      <c r="BO16" s="24" t="str">
        <f>IFERROR(ROUND(AVERAGE(Con.Sk.S[[#This Row],[TJ.3]:[Pro-A.3]]),0),"-")</f>
        <v>-</v>
      </c>
      <c r="BP16" s="24" t="str">
        <f>IFERROR(ROUND(AVERAGE(Con.Sk.S[[#This Row],[TJ.4]:[Pro-A.4]]),0),"-")</f>
        <v>-</v>
      </c>
      <c r="BQ16" s="24" t="str">
        <f>IFERROR(ROUND(AVERAGE(Con.Sk.S[[#This Row],[TJ.5]:[Pro-A.5]]),0),"-")</f>
        <v>-</v>
      </c>
      <c r="BR16" s="24" t="str">
        <f>IFERROR(ROUND(AVERAGE(Con.Sk.S[[#This Row],[TJ.6]:[Pro-A.6]]),0),"-")</f>
        <v>-</v>
      </c>
      <c r="BS16" s="24" t="str">
        <f>IFERROR(ROUND(AVERAGE(Con.Sk.S[[#This Row],[TJ.7]:[Pro-A.7]]),0),"-")</f>
        <v>-</v>
      </c>
      <c r="BT16" s="24" t="str">
        <f>IFERROR(ROUND(AVERAGE(Con.Sk.S[[#This Row],[TJ.8]:[Pro-A.8]]),0),"-")</f>
        <v>-</v>
      </c>
      <c r="BU16" s="25" t="str">
        <f>IFERROR(ROUND(AVERAGE(Con.Sk.S[[#This Row],[TJ.9]:[Pro-A.9]]),0),"-")</f>
        <v>-</v>
      </c>
      <c r="BW16" s="47" t="str">
        <f>IFERROR(ROUND(AVERAGE(Con.Sk.S[[#This Row],[KU.1]],Con.Sk.S[[#This Row],[KU.2]],Con.Sk.S[[#This Row],[KU.3]],Con.Sk.S[[#This Row],[KU.4]],Con.Sk.S[[#This Row],[KU.5]],Con.Sk.S[[#This Row],[KU.6]],Con.Sk.S[[#This Row],[KU.7]],Con.Sk.S[[#This Row],[KU.8]],Con.Sk.S[[#This Row],[KU.9]]),0),"")</f>
        <v/>
      </c>
      <c r="BX16" s="48" t="str">
        <f>IFERROR(ROUND(AVERAGE(Con.Sk.S[[#This Row],[TJ.1]:[Pro-A.1]],Con.Sk.S[[#This Row],[TJ.2]:[Pro-A.2]],Con.Sk.S[[#This Row],[TJ.3]:[Pro-A.3]],Con.Sk.S[[#This Row],[TJ.4]:[Pro-A.4]],Con.Sk.S[[#This Row],[TJ.5]:[Pro-A.5]],Con.Sk.S[[#This Row],[TJ.6]:[Pro-A.6]],Con.Sk.S[[#This Row],[TJ.7]:[Pro-A.7]],Con.Sk.S[[#This Row],[TJ.8]:[Pro-A.8]],Con.Sk.S[[#This Row],[TJ.9]:[Pro-A.9]]),0),"")</f>
        <v/>
      </c>
      <c r="BY16" s="3"/>
      <c r="BZ16" s="73" t="str">
        <f>IF(NSi.SE[[#This Row],[KU.1]]="A",100,IF(NSi.SE[[#This Row],[KU.1]]="B",89,IF(NSi.SE[[#This Row],[KU.1]]="C",79,IF(NSi.SE[[#This Row],[KU.1]]="D",69,IF(NSi.SE[[#This Row],[KU.1]]="E",0,"-")))))</f>
        <v>-</v>
      </c>
      <c r="CA16" s="73" t="str">
        <f>IF(NSi.SE[[#This Row],[TJ.1]]=1,100,IF(NSi.SE[[#This Row],[TJ.1]]=2,89,IF(NSi.SE[[#This Row],[TJ.1]]=3,79,IF(NSi.SE[[#This Row],[TJ.1]]=4,69,IF(NSi.SE[[#This Row],[TJ.1]]=5,0,"-")))))</f>
        <v>-</v>
      </c>
      <c r="CB16" s="73" t="str">
        <f>IF(NSi.SE[[#This Row],[Ker.1]]=1,100,IF(NSi.SE[[#This Row],[Ker.1]]=2,89,IF(NSi.SE[[#This Row],[Ker.1]]=3,79,IF(NSi.SE[[#This Row],[Ker.1]]=4,69,IF(NSi.SE[[#This Row],[Ker.1]]=5,0,"-")))))</f>
        <v>-</v>
      </c>
      <c r="CC16" s="73" t="str">
        <f>IF(NSi.SE[[#This Row],[Ped.1]]=1,100,IF(NSi.SE[[#This Row],[Ped.1]]=2,89,IF(NSi.SE[[#This Row],[Ped.1]]=3,79,IF(NSi.SE[[#This Row],[Ped.1]]=4,69,IF(NSi.SE[[#This Row],[Ped.1]]=5,0,"-")))))</f>
        <v>-</v>
      </c>
      <c r="CD16" s="73" t="str">
        <f>IF(NSi.SE[[#This Row],[Pro-A.1]]=1,100,IF(NSi.SE[[#This Row],[Pro-A.1]]=2,89,IF(NSi.SE[[#This Row],[Pro-A.1]]=3,79,IF(NSi.SE[[#This Row],[Pro-A.1]]=4,69,IF(NSi.SE[[#This Row],[Pro-A.1]]=5,0,"-")))))</f>
        <v>-</v>
      </c>
      <c r="CE16" s="73" t="str">
        <f>IF(NSi.SE[[#This Row],[KU.2]]="A",100,IF(NSi.SE[[#This Row],[KU.2]]="B",89,IF(NSi.SE[[#This Row],[KU.2]]="C",79,IF(NSi.SE[[#This Row],[KU.2]]="D",69,IF(NSi.SE[[#This Row],[KU.2]]="E",0,"-")))))</f>
        <v>-</v>
      </c>
      <c r="CF16" s="73" t="str">
        <f>IF(NSi.SE[[#This Row],[TJ.2]]=1,100,IF(NSi.SE[[#This Row],[TJ.2]]=2,89,IF(NSi.SE[[#This Row],[TJ.2]]=3,79,IF(NSi.SE[[#This Row],[TJ.2]]=4,69,IF(NSi.SE[[#This Row],[TJ.2]]=5,0,"-")))))</f>
        <v>-</v>
      </c>
      <c r="CG16" s="73" t="str">
        <f>IF(NSi.SE[[#This Row],[Ker.2]]=1,100,IF(NSi.SE[[#This Row],[Ker.2]]=2,89,IF(NSi.SE[[#This Row],[Ker.2]]=3,79,IF(NSi.SE[[#This Row],[Ker.2]]=4,69,IF(NSi.SE[[#This Row],[Ker.2]]=5,0,"-")))))</f>
        <v>-</v>
      </c>
      <c r="CH16" s="73" t="str">
        <f>IF(NSi.SE[[#This Row],[Ped.2]]=1,100,IF(NSi.SE[[#This Row],[Ped.2]]=2,89,IF(NSi.SE[[#This Row],[Ped.2]]=3,79,IF(NSi.SE[[#This Row],[Ped.2]]=4,69,IF(NSi.SE[[#This Row],[Ped.2]]=5,0,"-")))))</f>
        <v>-</v>
      </c>
      <c r="CI16" s="73" t="str">
        <f>IF(NSi.SE[[#This Row],[Pro-A.2]]=1,100,IF(NSi.SE[[#This Row],[Pro-A.2]]=2,89,IF(NSi.SE[[#This Row],[Pro-A.2]]=3,79,IF(NSi.SE[[#This Row],[Pro-A.2]]=4,69,IF(NSi.SE[[#This Row],[Pro-A.2]]=5,0,"-")))))</f>
        <v>-</v>
      </c>
      <c r="CJ16" s="74" t="str">
        <f>IF(NSi.SE[[#This Row],[KU.3]]="A",100,IF(NSi.SE[[#This Row],[KU.3]]="B",89,IF(NSi.SE[[#This Row],[KU.3]]="C",79,IF(NSi.SE[[#This Row],[KU.3]]="D",69,IF(NSi.SE[[#This Row],[KU.3]]="E",0,"-")))))</f>
        <v>-</v>
      </c>
      <c r="CK16" s="73" t="str">
        <f>IF(NSi.SE[[#This Row],[TJ.3]]=1,100,IF(NSi.SE[[#This Row],[TJ.3]]=2,89,IF(NSi.SE[[#This Row],[TJ.3]]=3,79,IF(NSi.SE[[#This Row],[TJ.3]]=4,69,IF(NSi.SE[[#This Row],[TJ.3]]=5,0,"-")))))</f>
        <v>-</v>
      </c>
      <c r="CL16" s="73" t="str">
        <f>IF(NSi.SE[[#This Row],[Ker.3]]=1,100,IF(NSi.SE[[#This Row],[Ker.3]]=2,89,IF(NSi.SE[[#This Row],[Ker.3]]=3,79,IF(NSi.SE[[#This Row],[Ker.3]]=4,69,IF(NSi.SE[[#This Row],[Ker.3]]=5,0,"-")))))</f>
        <v>-</v>
      </c>
      <c r="CM16" s="73" t="str">
        <f>IF(NSi.SE[[#This Row],[Ped.3]]=1,100,IF(NSi.SE[[#This Row],[Ped.3]]=2,89,IF(NSi.SE[[#This Row],[Ped.3]]=3,79,IF(NSi.SE[[#This Row],[Ped.3]]=4,69,IF(NSi.SE[[#This Row],[Ped.3]]=5,0,"-")))))</f>
        <v>-</v>
      </c>
      <c r="CN16" s="73" t="str">
        <f>IF(NSi.SE[[#This Row],[Pro-A.3]]=1,100,IF(NSi.SE[[#This Row],[Pro-A.3]]=2,89,IF(NSi.SE[[#This Row],[Pro-A.3]]=3,79,IF(NSi.SE[[#This Row],[Pro-A.3]]=4,69,IF(NSi.SE[[#This Row],[Pro-A.3]]=5,0,"-")))))</f>
        <v>-</v>
      </c>
      <c r="CO16" s="74" t="str">
        <f>IF(NSi.SE[[#This Row],[KU.4]]="A",100,IF(NSi.SE[[#This Row],[KU.4]]="B",89,IF(NSi.SE[[#This Row],[KU.4]]="C",79,IF(NSi.SE[[#This Row],[KU.4]]="D",69,IF(NSi.SE[[#This Row],[KU.4]]="E",0,"-")))))</f>
        <v>-</v>
      </c>
      <c r="CP16" s="73" t="str">
        <f>IF(NSi.SE[[#This Row],[TJ.4]]=1,100,IF(NSi.SE[[#This Row],[TJ.4]]=2,89,IF(NSi.SE[[#This Row],[TJ.4]]=3,79,IF(NSi.SE[[#This Row],[TJ.4]]=4,69,IF(NSi.SE[[#This Row],[TJ.4]]=5,0,"-")))))</f>
        <v>-</v>
      </c>
      <c r="CQ16" s="73" t="str">
        <f>IF(NSi.SE[[#This Row],[Ker.4]]=1,100,IF(NSi.SE[[#This Row],[Ker.4]]=2,89,IF(NSi.SE[[#This Row],[Ker.4]]=3,79,IF(NSi.SE[[#This Row],[Ker.4]]=4,69,IF(NSi.SE[[#This Row],[Ker.4]]=5,0,"-")))))</f>
        <v>-</v>
      </c>
      <c r="CR16" s="73" t="str">
        <f>IF(NSi.SE[[#This Row],[Ped.4]]=1,100,IF(NSi.SE[[#This Row],[Ped.4]]=2,89,IF(NSi.SE[[#This Row],[Ped.4]]=3,79,IF(NSi.SE[[#This Row],[Ped.4]]=4,69,IF(NSi.SE[[#This Row],[Ped.4]]=5,0,"-")))))</f>
        <v>-</v>
      </c>
      <c r="CS16" s="73" t="str">
        <f>IF(NSi.SE[[#This Row],[Pro-A.4]]=1,100,IF(NSi.SE[[#This Row],[Pro-A.4]]=2,89,IF(NSi.SE[[#This Row],[Pro-A.4]]=3,79,IF(NSi.SE[[#This Row],[Pro-A.4]]=4,69,IF(NSi.SE[[#This Row],[Pro-A.4]]=5,0,"-")))))</f>
        <v>-</v>
      </c>
      <c r="CT16" s="74" t="str">
        <f>IF(NSi.SE[[#This Row],[KU.5]]="A",100,IF(NSi.SE[[#This Row],[KU.5]]="B",89,IF(NSi.SE[[#This Row],[KU.5]]="C",79,IF(NSi.SE[[#This Row],[KU.5]]="D",69,IF(NSi.SE[[#This Row],[KU.5]]="E",0,"-")))))</f>
        <v>-</v>
      </c>
      <c r="CU16" s="73" t="str">
        <f>IF(NSi.SE[[#This Row],[TJ.5]]=1,100,IF(NSi.SE[[#This Row],[TJ.5]]=2,89,IF(NSi.SE[[#This Row],[TJ.5]]=3,79,IF(NSi.SE[[#This Row],[TJ.5]]=4,69,IF(NSi.SE[[#This Row],[TJ.5]]=5,0,"-")))))</f>
        <v>-</v>
      </c>
      <c r="CV16" s="73" t="str">
        <f>IF(NSi.SE[[#This Row],[Ker.5]]=1,100,IF(NSi.SE[[#This Row],[Ker.5]]=2,89,IF(NSi.SE[[#This Row],[Ker.5]]=3,79,IF(NSi.SE[[#This Row],[Ker.5]]=4,69,IF(NSi.SE[[#This Row],[Ker.5]]=5,0,"-")))))</f>
        <v>-</v>
      </c>
      <c r="CW16" s="73" t="str">
        <f>IF(NSi.SE[[#This Row],[Ped.5]]=1,100,IF(NSi.SE[[#This Row],[Ped.5]]=2,89,IF(NSi.SE[[#This Row],[Ped.5]]=3,79,IF(NSi.SE[[#This Row],[Ped.5]]=4,69,IF(NSi.SE[[#This Row],[Ped.5]]=5,0,"-")))))</f>
        <v>-</v>
      </c>
      <c r="CX16" s="73" t="str">
        <f>IF(NSi.SE[[#This Row],[Pro-A.5]]=1,100,IF(NSi.SE[[#This Row],[Pro-A.5]]=2,89,IF(NSi.SE[[#This Row],[Pro-A.5]]=3,79,IF(NSi.SE[[#This Row],[Pro-A.5]]=4,69,IF(NSi.SE[[#This Row],[Pro-A.5]]=5,0,"-")))))</f>
        <v>-</v>
      </c>
      <c r="CY16" s="74" t="str">
        <f>IF(NSi.SE[[#This Row],[KU.6]]="A",100,IF(NSi.SE[[#This Row],[KU.6]]="B",89,IF(NSi.SE[[#This Row],[KU.6]]="C",79,IF(NSi.SE[[#This Row],[KU.6]]="D",69,IF(NSi.SE[[#This Row],[KU.6]]="E",0,"-")))))</f>
        <v>-</v>
      </c>
      <c r="CZ16" s="73" t="str">
        <f>IF(NSi.SE[[#This Row],[TJ.6]]=1,100,IF(NSi.SE[[#This Row],[TJ.6]]=2,89,IF(NSi.SE[[#This Row],[TJ.6]]=3,79,IF(NSi.SE[[#This Row],[TJ.6]]=4,69,IF(NSi.SE[[#This Row],[TJ.6]]=5,0,"-")))))</f>
        <v>-</v>
      </c>
      <c r="DA16" s="73" t="str">
        <f>IF(NSi.SE[[#This Row],[Ker.6]]=1,100,IF(NSi.SE[[#This Row],[Ker.6]]=2,89,IF(NSi.SE[[#This Row],[Ker.6]]=3,79,IF(NSi.SE[[#This Row],[Ker.6]]=4,69,IF(NSi.SE[[#This Row],[Ker.6]]=5,0,"-")))))</f>
        <v>-</v>
      </c>
      <c r="DB16" s="73" t="str">
        <f>IF(NSi.SE[[#This Row],[Ped.6]]=1,100,IF(NSi.SE[[#This Row],[Ped.6]]=2,89,IF(NSi.SE[[#This Row],[Ped.6]]=3,79,IF(NSi.SE[[#This Row],[Ped.6]]=4,69,IF(NSi.SE[[#This Row],[Ped.6]]=5,0,"-")))))</f>
        <v>-</v>
      </c>
      <c r="DC16" s="73" t="str">
        <f>IF(NSi.SE[[#This Row],[Pro-A.6]]=1,100,IF(NSi.SE[[#This Row],[Pro-A.6]]=2,89,IF(NSi.SE[[#This Row],[Pro-A.6]]=3,79,IF(NSi.SE[[#This Row],[Pro-A.6]]=4,69,IF(NSi.SE[[#This Row],[Pro-A.6]]=5,0,"-")))))</f>
        <v>-</v>
      </c>
      <c r="DD16" s="74" t="str">
        <f>IF(NSi.SE[[#This Row],[KU.7]]="A",100,IF(NSi.SE[[#This Row],[KU.7]]="B",89,IF(NSi.SE[[#This Row],[KU.7]]="C",79,IF(NSi.SE[[#This Row],[KU.7]]="D",69,IF(NSi.SE[[#This Row],[KU.7]]="E",0,"-")))))</f>
        <v>-</v>
      </c>
      <c r="DE16" s="73" t="str">
        <f>IF(NSi.SE[[#This Row],[TJ.7]]=1,100,IF(NSi.SE[[#This Row],[TJ.7]]=2,89,IF(NSi.SE[[#This Row],[TJ.7]]=3,79,IF(NSi.SE[[#This Row],[TJ.7]]=4,69,IF(NSi.SE[[#This Row],[TJ.7]]=5,0,"-")))))</f>
        <v>-</v>
      </c>
      <c r="DF16" s="73" t="str">
        <f>IF(NSi.SE[[#This Row],[Ker.7]]=1,100,IF(NSi.SE[[#This Row],[Ker.7]]=2,89,IF(NSi.SE[[#This Row],[Ker.7]]=3,79,IF(NSi.SE[[#This Row],[Ker.7]]=4,69,IF(NSi.SE[[#This Row],[Ker.7]]=5,0,"-")))))</f>
        <v>-</v>
      </c>
      <c r="DG16" s="73" t="str">
        <f>IF(NSi.SE[[#This Row],[Ped.7]]=1,100,IF(NSi.SE[[#This Row],[Ped.7]]=2,89,IF(NSi.SE[[#This Row],[Ped.7]]=3,79,IF(NSi.SE[[#This Row],[Ped.7]]=4,69,IF(NSi.SE[[#This Row],[Ped.7]]=5,0,"-")))))</f>
        <v>-</v>
      </c>
      <c r="DH16" s="73" t="str">
        <f>IF(NSi.SE[[#This Row],[Pro-A.7]]=1,100,IF(NSi.SE[[#This Row],[Pro-A.7]]=2,89,IF(NSi.SE[[#This Row],[Pro-A.7]]=3,79,IF(NSi.SE[[#This Row],[Pro-A.7]]=4,69,IF(NSi.SE[[#This Row],[Pro-A.7]]=5,0,"-")))))</f>
        <v>-</v>
      </c>
      <c r="DI16" s="74" t="str">
        <f>IF(NSi.SE[[#This Row],[KU.8]]="A",100,IF(NSi.SE[[#This Row],[KU.8]]="B",89,IF(NSi.SE[[#This Row],[KU.8]]="C",79,IF(NSi.SE[[#This Row],[KU.8]]="D",69,IF(NSi.SE[[#This Row],[KU.8]]="E",0,"-")))))</f>
        <v>-</v>
      </c>
      <c r="DJ16" s="73" t="str">
        <f>IF(NSi.SE[[#This Row],[TJ.8]]=1,100,IF(NSi.SE[[#This Row],[TJ.8]]=2,89,IF(NSi.SE[[#This Row],[TJ.8]]=3,79,IF(NSi.SE[[#This Row],[TJ.8]]=4,69,IF(NSi.SE[[#This Row],[TJ.8]]=5,0,"-")))))</f>
        <v>-</v>
      </c>
      <c r="DK16" s="73" t="str">
        <f>IF(NSi.SE[[#This Row],[Ker.8]]=1,100,IF(NSi.SE[[#This Row],[Ker.8]]=2,89,IF(NSi.SE[[#This Row],[Ker.8]]=3,79,IF(NSi.SE[[#This Row],[Ker.8]]=4,69,IF(NSi.SE[[#This Row],[Ker.8]]=5,0,"-")))))</f>
        <v>-</v>
      </c>
      <c r="DL16" s="73" t="str">
        <f>IF(NSi.SE[[#This Row],[Ped.8]]=1,100,IF(NSi.SE[[#This Row],[Ped.8]]=2,89,IF(NSi.SE[[#This Row],[Ped.8]]=3,79,IF(NSi.SE[[#This Row],[Ped.8]]=4,69,IF(NSi.SE[[#This Row],[Ped.8]]=5,0,"-")))))</f>
        <v>-</v>
      </c>
      <c r="DM16" s="73" t="str">
        <f>IF(NSi.SE[[#This Row],[Pro-A.8]]=1,100,IF(NSi.SE[[#This Row],[Pro-A.8]]=2,89,IF(NSi.SE[[#This Row],[Pro-A.8]]=3,79,IF(NSi.SE[[#This Row],[Pro-A.8]]=4,69,IF(NSi.SE[[#This Row],[Pro-A.8]]=5,0,"-")))))</f>
        <v>-</v>
      </c>
      <c r="DN16" s="74" t="str">
        <f>IF(NSi.SE[[#This Row],[KU.9]]="A",100,IF(NSi.SE[[#This Row],[KU.9]]="B",89,IF(NSi.SE[[#This Row],[KU.9]]="C",79,IF(NSi.SE[[#This Row],[KU.9]]="D",69,IF(NSi.SE[[#This Row],[KU.9]]="E",0,"-")))))</f>
        <v>-</v>
      </c>
      <c r="DO16" s="73" t="str">
        <f>IF(NSi.SE[[#This Row],[TJ.9]]=1,100,IF(NSi.SE[[#This Row],[TJ.9]]=2,89,IF(NSi.SE[[#This Row],[TJ.9]]=3,79,IF(NSi.SE[[#This Row],[TJ.9]]=4,69,IF(NSi.SE[[#This Row],[TJ.9]]=5,0,"-")))))</f>
        <v>-</v>
      </c>
      <c r="DP16" s="73" t="str">
        <f>IF(NSi.SE[[#This Row],[Ker.9]]=1,100,IF(NSi.SE[[#This Row],[Ker.9]]=2,89,IF(NSi.SE[[#This Row],[Ker.9]]=3,79,IF(NSi.SE[[#This Row],[Ker.9]]=4,69,IF(NSi.SE[[#This Row],[Ker.9]]=5,0,"-")))))</f>
        <v>-</v>
      </c>
      <c r="DQ16" s="73" t="str">
        <f>IF(NSi.SE[[#This Row],[Ped.9]]=1,100,IF(NSi.SE[[#This Row],[Ped.9]]=2,89,IF(NSi.SE[[#This Row],[Ped.9]]=3,79,IF(NSi.SE[[#This Row],[Ped.9]]=4,69,IF(NSi.SE[[#This Row],[Ped.9]]=5,0,"-")))))</f>
        <v>-</v>
      </c>
      <c r="DR16" s="73" t="str">
        <f>IF(NSi.SE[[#This Row],[Pro-A.9]]=1,100,IF(NSi.SE[[#This Row],[Pro-A.9]]=2,89,IF(NSi.SE[[#This Row],[Pro-A.9]]=3,79,IF(NSi.SE[[#This Row],[Pro-A.9]]=4,69,IF(NSi.SE[[#This Row],[Pro-A.9]]=5,0,"-")))))</f>
        <v>-</v>
      </c>
      <c r="DT1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7" spans="1:124" ht="50.1" customHeight="1" x14ac:dyDescent="0.3">
      <c r="A17" s="66" t="str">
        <f>IF(NSi.TS[[#This Row],[No]]=0,"",NSi.TS[[#This Row],[No]])</f>
        <v/>
      </c>
      <c r="B17" s="67" t="str">
        <f>IF(NSi.TS[[#This Row],[Nama Siswa]]=0,"",NSi.TS[[#This Row],[Nama Siswa]])</f>
        <v/>
      </c>
      <c r="C17" s="68" t="str">
        <f>IF(NSi.TS[[#This Row],[Nomor Induk]]=0,"",NSi.TS[[#This Row],[Nomor Induk]])</f>
        <v/>
      </c>
      <c r="D17" s="68" t="str">
        <f>IF(NSi.TS[[#This Row],[NISN]]=0,"",NSi.TS[[#This Row],[NISN]])</f>
        <v/>
      </c>
      <c r="E17" s="68" t="str">
        <f>IF(NSi.TS[[#This Row],[Jurusan]]=0,"",NSi.TS[[#This Row],[Jurusan]])</f>
        <v/>
      </c>
      <c r="F17" s="39" t="str">
        <f>NSi.TS[[#This Row],[Nsi.TS]]</f>
        <v/>
      </c>
      <c r="G17" s="39" t="str">
        <f>IFERROR(ROUND(AVERAGE(CSCR.S[#This Row]),0),"")</f>
        <v/>
      </c>
      <c r="H17" s="39" t="str">
        <f>IFERROR(ROUND(AVERAGE(NSi.SE[[#This Row],[Nsi.TS]:[NS.iS]]),0),"")</f>
        <v/>
      </c>
      <c r="I17" s="41" t="s">
        <v>102</v>
      </c>
      <c r="J17" s="45" t="s">
        <v>102</v>
      </c>
      <c r="K17" s="45" t="s">
        <v>102</v>
      </c>
      <c r="L17" s="45" t="s">
        <v>102</v>
      </c>
      <c r="M17" s="45" t="s">
        <v>102</v>
      </c>
      <c r="N17" s="41" t="s">
        <v>102</v>
      </c>
      <c r="O17" s="45" t="s">
        <v>102</v>
      </c>
      <c r="P17" s="45" t="s">
        <v>102</v>
      </c>
      <c r="Q17" s="45" t="s">
        <v>102</v>
      </c>
      <c r="R17" s="45" t="s">
        <v>102</v>
      </c>
      <c r="S17" s="41" t="s">
        <v>102</v>
      </c>
      <c r="T17" s="45" t="s">
        <v>102</v>
      </c>
      <c r="U17" s="45" t="s">
        <v>102</v>
      </c>
      <c r="V17" s="45" t="s">
        <v>102</v>
      </c>
      <c r="W17" s="45" t="s">
        <v>102</v>
      </c>
      <c r="X17" s="41" t="s">
        <v>102</v>
      </c>
      <c r="Y17" s="45" t="s">
        <v>102</v>
      </c>
      <c r="Z17" s="45" t="s">
        <v>102</v>
      </c>
      <c r="AA17" s="45" t="s">
        <v>102</v>
      </c>
      <c r="AB17" s="45" t="s">
        <v>102</v>
      </c>
      <c r="AC17" s="41" t="s">
        <v>102</v>
      </c>
      <c r="AD17" s="45" t="s">
        <v>102</v>
      </c>
      <c r="AE17" s="45" t="s">
        <v>102</v>
      </c>
      <c r="AF17" s="45" t="s">
        <v>102</v>
      </c>
      <c r="AG17" s="45" t="s">
        <v>102</v>
      </c>
      <c r="AH17" s="41" t="s">
        <v>102</v>
      </c>
      <c r="AI17" s="45" t="s">
        <v>102</v>
      </c>
      <c r="AJ17" s="45" t="s">
        <v>102</v>
      </c>
      <c r="AK17" s="45" t="s">
        <v>102</v>
      </c>
      <c r="AL17" s="45" t="s">
        <v>102</v>
      </c>
      <c r="AM17" s="41" t="s">
        <v>102</v>
      </c>
      <c r="AN17" s="45" t="s">
        <v>102</v>
      </c>
      <c r="AO17" s="45" t="s">
        <v>102</v>
      </c>
      <c r="AP17" s="45" t="s">
        <v>102</v>
      </c>
      <c r="AQ17" s="45" t="s">
        <v>102</v>
      </c>
      <c r="AR17" s="41" t="s">
        <v>102</v>
      </c>
      <c r="AS17" s="45" t="s">
        <v>102</v>
      </c>
      <c r="AT17" s="45" t="s">
        <v>102</v>
      </c>
      <c r="AU17" s="45" t="s">
        <v>102</v>
      </c>
      <c r="AV17" s="45" t="s">
        <v>102</v>
      </c>
      <c r="AW17" s="41" t="s">
        <v>102</v>
      </c>
      <c r="AX17" s="45" t="s">
        <v>102</v>
      </c>
      <c r="AY17" s="45" t="s">
        <v>102</v>
      </c>
      <c r="AZ17" s="45" t="s">
        <v>102</v>
      </c>
      <c r="BA17" s="45" t="s">
        <v>102</v>
      </c>
      <c r="BC17" s="10" t="str">
        <f>CONCATENATE(NSi.SE[[#This Row],[KU.1]],(IF(A.LoE.S[[#This Row],[LE.1]]="-","-",IF(A.LoE.S[[#This Row],[LE.1]]&gt;=90,1,IF(A.LoE.S[[#This Row],[LE.1]]&gt;=80,2,IF(A.LoE.S[[#This Row],[LE.1]]&gt;=70,3,IF(A.LoE.S[[#This Row],[LE.1]]&gt;=1,4,5)))))))</f>
        <v>--</v>
      </c>
      <c r="BD17" s="46" t="str">
        <f>CONCATENATE(NSi.SE[[#This Row],[KU.2]],(IF(A.LoE.S[[#This Row],[LE.2]]="-","-",IF(A.LoE.S[[#This Row],[LE.2]]&gt;=90,1,IF(A.LoE.S[[#This Row],[LE.2]]&gt;=80,2,IF(A.LoE.S[[#This Row],[LE.2]]&gt;=70,3,IF(A.LoE.S[[#This Row],[LE.2]]&gt;=1,4,5)))))))</f>
        <v>--</v>
      </c>
      <c r="BE17" s="46" t="str">
        <f>CONCATENATE(NSi.SE[[#This Row],[KU.3]],(IF(A.LoE.S[[#This Row],[LE.3]]="-","-",IF(A.LoE.S[[#This Row],[LE.3]]&gt;=90,1,IF(A.LoE.S[[#This Row],[LE.3]]&gt;=80,2,IF(A.LoE.S[[#This Row],[LE.3]]&gt;=70,3,IF(A.LoE.S[[#This Row],[LE.3]]&gt;=1,4,5)))))))</f>
        <v>--</v>
      </c>
      <c r="BF17" s="46" t="str">
        <f>CONCATENATE(NSi.SE[[#This Row],[KU.4]],(IF(A.LoE.S[[#This Row],[LE.4]]="-","-",IF(A.LoE.S[[#This Row],[LE.4]]&gt;=90,1,IF(A.LoE.S[[#This Row],[LE.4]]&gt;=80,2,IF(A.LoE.S[[#This Row],[LE.4]]&gt;=70,3,IF(A.LoE.S[[#This Row],[LE.4]]&gt;=1,4,5)))))))</f>
        <v>--</v>
      </c>
      <c r="BG17" s="46" t="str">
        <f>CONCATENATE(NSi.SE[[#This Row],[KU.5]],(IF(A.LoE.S[[#This Row],[LE.5]]="-","-",IF(A.LoE.S[[#This Row],[LE.5]]&gt;=90,1,IF(A.LoE.S[[#This Row],[LE.5]]&gt;=80,2,IF(A.LoE.S[[#This Row],[LE.5]]&gt;=70,3,IF(A.LoE.S[[#This Row],[LE.5]]&gt;=1,4,5)))))))</f>
        <v>--</v>
      </c>
      <c r="BH17" s="46" t="str">
        <f>CONCATENATE(NSi.SE[[#This Row],[KU.6]],(IF(A.LoE.S[[#This Row],[LE.6]]="-","-",IF(A.LoE.S[[#This Row],[LE.6]]&gt;=90,1,IF(A.LoE.S[[#This Row],[LE.6]]&gt;=80,2,IF(A.LoE.S[[#This Row],[LE.6]]&gt;=70,3,IF(A.LoE.S[[#This Row],[LE.6]]&gt;=1,4,5)))))))</f>
        <v>--</v>
      </c>
      <c r="BI17" s="46" t="str">
        <f>CONCATENATE(NSi.SE[[#This Row],[KU.7]],(IF(A.LoE.S[[#This Row],[LE.7]]="-","-",IF(A.LoE.S[[#This Row],[LE.7]]&gt;=90,1,IF(A.LoE.S[[#This Row],[LE.7]]&gt;=80,2,IF(A.LoE.S[[#This Row],[LE.7]]&gt;=70,3,IF(A.LoE.S[[#This Row],[LE.7]]&gt;=1,4,5)))))))</f>
        <v>--</v>
      </c>
      <c r="BJ17" s="46" t="str">
        <f>CONCATENATE(NSi.SE[[#This Row],[KU.8]],(IF(A.LoE.S[[#This Row],[LE.8]]="-","-",IF(A.LoE.S[[#This Row],[LE.8]]&gt;=90,1,IF(A.LoE.S[[#This Row],[LE.8]]&gt;=80,2,IF(A.LoE.S[[#This Row],[LE.8]]&gt;=70,3,IF(A.LoE.S[[#This Row],[LE.8]]&gt;=1,4,5)))))))</f>
        <v>--</v>
      </c>
      <c r="BK17" s="38" t="str">
        <f>CONCATENATE(NSi.SE[[#This Row],[KU.9]],(IF(A.LoE.S[[#This Row],[LE.9]]="-","-",IF(A.LoE.S[[#This Row],[LE.9]]&gt;=90,1,IF(A.LoE.S[[#This Row],[LE.9]]&gt;=80,2,IF(A.LoE.S[[#This Row],[LE.9]]&gt;=70,3,IF(A.LoE.S[[#This Row],[LE.9]]&gt;=1,4,5)))))))</f>
        <v>--</v>
      </c>
      <c r="BM17" s="35" t="str">
        <f>IFERROR(ROUND(AVERAGE(Con.Sk.S[[#This Row],[TJ.1]:[Pro-A.1]]),0),"-")</f>
        <v>-</v>
      </c>
      <c r="BN17" s="24" t="str">
        <f>IFERROR(ROUND(AVERAGE(Con.Sk.S[[#This Row],[TJ.2]:[Pro-A.2]]),0),"-")</f>
        <v>-</v>
      </c>
      <c r="BO17" s="24" t="str">
        <f>IFERROR(ROUND(AVERAGE(Con.Sk.S[[#This Row],[TJ.3]:[Pro-A.3]]),0),"-")</f>
        <v>-</v>
      </c>
      <c r="BP17" s="24" t="str">
        <f>IFERROR(ROUND(AVERAGE(Con.Sk.S[[#This Row],[TJ.4]:[Pro-A.4]]),0),"-")</f>
        <v>-</v>
      </c>
      <c r="BQ17" s="24" t="str">
        <f>IFERROR(ROUND(AVERAGE(Con.Sk.S[[#This Row],[TJ.5]:[Pro-A.5]]),0),"-")</f>
        <v>-</v>
      </c>
      <c r="BR17" s="24" t="str">
        <f>IFERROR(ROUND(AVERAGE(Con.Sk.S[[#This Row],[TJ.6]:[Pro-A.6]]),0),"-")</f>
        <v>-</v>
      </c>
      <c r="BS17" s="24" t="str">
        <f>IFERROR(ROUND(AVERAGE(Con.Sk.S[[#This Row],[TJ.7]:[Pro-A.7]]),0),"-")</f>
        <v>-</v>
      </c>
      <c r="BT17" s="24" t="str">
        <f>IFERROR(ROUND(AVERAGE(Con.Sk.S[[#This Row],[TJ.8]:[Pro-A.8]]),0),"-")</f>
        <v>-</v>
      </c>
      <c r="BU17" s="25" t="str">
        <f>IFERROR(ROUND(AVERAGE(Con.Sk.S[[#This Row],[TJ.9]:[Pro-A.9]]),0),"-")</f>
        <v>-</v>
      </c>
      <c r="BW17" s="47" t="str">
        <f>IFERROR(ROUND(AVERAGE(Con.Sk.S[[#This Row],[KU.1]],Con.Sk.S[[#This Row],[KU.2]],Con.Sk.S[[#This Row],[KU.3]],Con.Sk.S[[#This Row],[KU.4]],Con.Sk.S[[#This Row],[KU.5]],Con.Sk.S[[#This Row],[KU.6]],Con.Sk.S[[#This Row],[KU.7]],Con.Sk.S[[#This Row],[KU.8]],Con.Sk.S[[#This Row],[KU.9]]),0),"")</f>
        <v/>
      </c>
      <c r="BX17" s="48" t="str">
        <f>IFERROR(ROUND(AVERAGE(Con.Sk.S[[#This Row],[TJ.1]:[Pro-A.1]],Con.Sk.S[[#This Row],[TJ.2]:[Pro-A.2]],Con.Sk.S[[#This Row],[TJ.3]:[Pro-A.3]],Con.Sk.S[[#This Row],[TJ.4]:[Pro-A.4]],Con.Sk.S[[#This Row],[TJ.5]:[Pro-A.5]],Con.Sk.S[[#This Row],[TJ.6]:[Pro-A.6]],Con.Sk.S[[#This Row],[TJ.7]:[Pro-A.7]],Con.Sk.S[[#This Row],[TJ.8]:[Pro-A.8]],Con.Sk.S[[#This Row],[TJ.9]:[Pro-A.9]]),0),"")</f>
        <v/>
      </c>
      <c r="BY17" s="3"/>
      <c r="BZ17" s="73" t="str">
        <f>IF(NSi.SE[[#This Row],[KU.1]]="A",100,IF(NSi.SE[[#This Row],[KU.1]]="B",89,IF(NSi.SE[[#This Row],[KU.1]]="C",79,IF(NSi.SE[[#This Row],[KU.1]]="D",69,IF(NSi.SE[[#This Row],[KU.1]]="E",0,"-")))))</f>
        <v>-</v>
      </c>
      <c r="CA17" s="73" t="str">
        <f>IF(NSi.SE[[#This Row],[TJ.1]]=1,100,IF(NSi.SE[[#This Row],[TJ.1]]=2,89,IF(NSi.SE[[#This Row],[TJ.1]]=3,79,IF(NSi.SE[[#This Row],[TJ.1]]=4,69,IF(NSi.SE[[#This Row],[TJ.1]]=5,0,"-")))))</f>
        <v>-</v>
      </c>
      <c r="CB17" s="73" t="str">
        <f>IF(NSi.SE[[#This Row],[Ker.1]]=1,100,IF(NSi.SE[[#This Row],[Ker.1]]=2,89,IF(NSi.SE[[#This Row],[Ker.1]]=3,79,IF(NSi.SE[[#This Row],[Ker.1]]=4,69,IF(NSi.SE[[#This Row],[Ker.1]]=5,0,"-")))))</f>
        <v>-</v>
      </c>
      <c r="CC17" s="73" t="str">
        <f>IF(NSi.SE[[#This Row],[Ped.1]]=1,100,IF(NSi.SE[[#This Row],[Ped.1]]=2,89,IF(NSi.SE[[#This Row],[Ped.1]]=3,79,IF(NSi.SE[[#This Row],[Ped.1]]=4,69,IF(NSi.SE[[#This Row],[Ped.1]]=5,0,"-")))))</f>
        <v>-</v>
      </c>
      <c r="CD17" s="73" t="str">
        <f>IF(NSi.SE[[#This Row],[Pro-A.1]]=1,100,IF(NSi.SE[[#This Row],[Pro-A.1]]=2,89,IF(NSi.SE[[#This Row],[Pro-A.1]]=3,79,IF(NSi.SE[[#This Row],[Pro-A.1]]=4,69,IF(NSi.SE[[#This Row],[Pro-A.1]]=5,0,"-")))))</f>
        <v>-</v>
      </c>
      <c r="CE17" s="73" t="str">
        <f>IF(NSi.SE[[#This Row],[KU.2]]="A",100,IF(NSi.SE[[#This Row],[KU.2]]="B",89,IF(NSi.SE[[#This Row],[KU.2]]="C",79,IF(NSi.SE[[#This Row],[KU.2]]="D",69,IF(NSi.SE[[#This Row],[KU.2]]="E",0,"-")))))</f>
        <v>-</v>
      </c>
      <c r="CF17" s="73" t="str">
        <f>IF(NSi.SE[[#This Row],[TJ.2]]=1,100,IF(NSi.SE[[#This Row],[TJ.2]]=2,89,IF(NSi.SE[[#This Row],[TJ.2]]=3,79,IF(NSi.SE[[#This Row],[TJ.2]]=4,69,IF(NSi.SE[[#This Row],[TJ.2]]=5,0,"-")))))</f>
        <v>-</v>
      </c>
      <c r="CG17" s="73" t="str">
        <f>IF(NSi.SE[[#This Row],[Ker.2]]=1,100,IF(NSi.SE[[#This Row],[Ker.2]]=2,89,IF(NSi.SE[[#This Row],[Ker.2]]=3,79,IF(NSi.SE[[#This Row],[Ker.2]]=4,69,IF(NSi.SE[[#This Row],[Ker.2]]=5,0,"-")))))</f>
        <v>-</v>
      </c>
      <c r="CH17" s="73" t="str">
        <f>IF(NSi.SE[[#This Row],[Ped.2]]=1,100,IF(NSi.SE[[#This Row],[Ped.2]]=2,89,IF(NSi.SE[[#This Row],[Ped.2]]=3,79,IF(NSi.SE[[#This Row],[Ped.2]]=4,69,IF(NSi.SE[[#This Row],[Ped.2]]=5,0,"-")))))</f>
        <v>-</v>
      </c>
      <c r="CI17" s="73" t="str">
        <f>IF(NSi.SE[[#This Row],[Pro-A.2]]=1,100,IF(NSi.SE[[#This Row],[Pro-A.2]]=2,89,IF(NSi.SE[[#This Row],[Pro-A.2]]=3,79,IF(NSi.SE[[#This Row],[Pro-A.2]]=4,69,IF(NSi.SE[[#This Row],[Pro-A.2]]=5,0,"-")))))</f>
        <v>-</v>
      </c>
      <c r="CJ17" s="74" t="str">
        <f>IF(NSi.SE[[#This Row],[KU.3]]="A",100,IF(NSi.SE[[#This Row],[KU.3]]="B",89,IF(NSi.SE[[#This Row],[KU.3]]="C",79,IF(NSi.SE[[#This Row],[KU.3]]="D",69,IF(NSi.SE[[#This Row],[KU.3]]="E",0,"-")))))</f>
        <v>-</v>
      </c>
      <c r="CK17" s="73" t="str">
        <f>IF(NSi.SE[[#This Row],[TJ.3]]=1,100,IF(NSi.SE[[#This Row],[TJ.3]]=2,89,IF(NSi.SE[[#This Row],[TJ.3]]=3,79,IF(NSi.SE[[#This Row],[TJ.3]]=4,69,IF(NSi.SE[[#This Row],[TJ.3]]=5,0,"-")))))</f>
        <v>-</v>
      </c>
      <c r="CL17" s="73" t="str">
        <f>IF(NSi.SE[[#This Row],[Ker.3]]=1,100,IF(NSi.SE[[#This Row],[Ker.3]]=2,89,IF(NSi.SE[[#This Row],[Ker.3]]=3,79,IF(NSi.SE[[#This Row],[Ker.3]]=4,69,IF(NSi.SE[[#This Row],[Ker.3]]=5,0,"-")))))</f>
        <v>-</v>
      </c>
      <c r="CM17" s="73" t="str">
        <f>IF(NSi.SE[[#This Row],[Ped.3]]=1,100,IF(NSi.SE[[#This Row],[Ped.3]]=2,89,IF(NSi.SE[[#This Row],[Ped.3]]=3,79,IF(NSi.SE[[#This Row],[Ped.3]]=4,69,IF(NSi.SE[[#This Row],[Ped.3]]=5,0,"-")))))</f>
        <v>-</v>
      </c>
      <c r="CN17" s="73" t="str">
        <f>IF(NSi.SE[[#This Row],[Pro-A.3]]=1,100,IF(NSi.SE[[#This Row],[Pro-A.3]]=2,89,IF(NSi.SE[[#This Row],[Pro-A.3]]=3,79,IF(NSi.SE[[#This Row],[Pro-A.3]]=4,69,IF(NSi.SE[[#This Row],[Pro-A.3]]=5,0,"-")))))</f>
        <v>-</v>
      </c>
      <c r="CO17" s="74" t="str">
        <f>IF(NSi.SE[[#This Row],[KU.4]]="A",100,IF(NSi.SE[[#This Row],[KU.4]]="B",89,IF(NSi.SE[[#This Row],[KU.4]]="C",79,IF(NSi.SE[[#This Row],[KU.4]]="D",69,IF(NSi.SE[[#This Row],[KU.4]]="E",0,"-")))))</f>
        <v>-</v>
      </c>
      <c r="CP17" s="73" t="str">
        <f>IF(NSi.SE[[#This Row],[TJ.4]]=1,100,IF(NSi.SE[[#This Row],[TJ.4]]=2,89,IF(NSi.SE[[#This Row],[TJ.4]]=3,79,IF(NSi.SE[[#This Row],[TJ.4]]=4,69,IF(NSi.SE[[#This Row],[TJ.4]]=5,0,"-")))))</f>
        <v>-</v>
      </c>
      <c r="CQ17" s="73" t="str">
        <f>IF(NSi.SE[[#This Row],[Ker.4]]=1,100,IF(NSi.SE[[#This Row],[Ker.4]]=2,89,IF(NSi.SE[[#This Row],[Ker.4]]=3,79,IF(NSi.SE[[#This Row],[Ker.4]]=4,69,IF(NSi.SE[[#This Row],[Ker.4]]=5,0,"-")))))</f>
        <v>-</v>
      </c>
      <c r="CR17" s="73" t="str">
        <f>IF(NSi.SE[[#This Row],[Ped.4]]=1,100,IF(NSi.SE[[#This Row],[Ped.4]]=2,89,IF(NSi.SE[[#This Row],[Ped.4]]=3,79,IF(NSi.SE[[#This Row],[Ped.4]]=4,69,IF(NSi.SE[[#This Row],[Ped.4]]=5,0,"-")))))</f>
        <v>-</v>
      </c>
      <c r="CS17" s="73" t="str">
        <f>IF(NSi.SE[[#This Row],[Pro-A.4]]=1,100,IF(NSi.SE[[#This Row],[Pro-A.4]]=2,89,IF(NSi.SE[[#This Row],[Pro-A.4]]=3,79,IF(NSi.SE[[#This Row],[Pro-A.4]]=4,69,IF(NSi.SE[[#This Row],[Pro-A.4]]=5,0,"-")))))</f>
        <v>-</v>
      </c>
      <c r="CT17" s="74" t="str">
        <f>IF(NSi.SE[[#This Row],[KU.5]]="A",100,IF(NSi.SE[[#This Row],[KU.5]]="B",89,IF(NSi.SE[[#This Row],[KU.5]]="C",79,IF(NSi.SE[[#This Row],[KU.5]]="D",69,IF(NSi.SE[[#This Row],[KU.5]]="E",0,"-")))))</f>
        <v>-</v>
      </c>
      <c r="CU17" s="73" t="str">
        <f>IF(NSi.SE[[#This Row],[TJ.5]]=1,100,IF(NSi.SE[[#This Row],[TJ.5]]=2,89,IF(NSi.SE[[#This Row],[TJ.5]]=3,79,IF(NSi.SE[[#This Row],[TJ.5]]=4,69,IF(NSi.SE[[#This Row],[TJ.5]]=5,0,"-")))))</f>
        <v>-</v>
      </c>
      <c r="CV17" s="73" t="str">
        <f>IF(NSi.SE[[#This Row],[Ker.5]]=1,100,IF(NSi.SE[[#This Row],[Ker.5]]=2,89,IF(NSi.SE[[#This Row],[Ker.5]]=3,79,IF(NSi.SE[[#This Row],[Ker.5]]=4,69,IF(NSi.SE[[#This Row],[Ker.5]]=5,0,"-")))))</f>
        <v>-</v>
      </c>
      <c r="CW17" s="73" t="str">
        <f>IF(NSi.SE[[#This Row],[Ped.5]]=1,100,IF(NSi.SE[[#This Row],[Ped.5]]=2,89,IF(NSi.SE[[#This Row],[Ped.5]]=3,79,IF(NSi.SE[[#This Row],[Ped.5]]=4,69,IF(NSi.SE[[#This Row],[Ped.5]]=5,0,"-")))))</f>
        <v>-</v>
      </c>
      <c r="CX17" s="73" t="str">
        <f>IF(NSi.SE[[#This Row],[Pro-A.5]]=1,100,IF(NSi.SE[[#This Row],[Pro-A.5]]=2,89,IF(NSi.SE[[#This Row],[Pro-A.5]]=3,79,IF(NSi.SE[[#This Row],[Pro-A.5]]=4,69,IF(NSi.SE[[#This Row],[Pro-A.5]]=5,0,"-")))))</f>
        <v>-</v>
      </c>
      <c r="CY17" s="74" t="str">
        <f>IF(NSi.SE[[#This Row],[KU.6]]="A",100,IF(NSi.SE[[#This Row],[KU.6]]="B",89,IF(NSi.SE[[#This Row],[KU.6]]="C",79,IF(NSi.SE[[#This Row],[KU.6]]="D",69,IF(NSi.SE[[#This Row],[KU.6]]="E",0,"-")))))</f>
        <v>-</v>
      </c>
      <c r="CZ17" s="73" t="str">
        <f>IF(NSi.SE[[#This Row],[TJ.6]]=1,100,IF(NSi.SE[[#This Row],[TJ.6]]=2,89,IF(NSi.SE[[#This Row],[TJ.6]]=3,79,IF(NSi.SE[[#This Row],[TJ.6]]=4,69,IF(NSi.SE[[#This Row],[TJ.6]]=5,0,"-")))))</f>
        <v>-</v>
      </c>
      <c r="DA17" s="73" t="str">
        <f>IF(NSi.SE[[#This Row],[Ker.6]]=1,100,IF(NSi.SE[[#This Row],[Ker.6]]=2,89,IF(NSi.SE[[#This Row],[Ker.6]]=3,79,IF(NSi.SE[[#This Row],[Ker.6]]=4,69,IF(NSi.SE[[#This Row],[Ker.6]]=5,0,"-")))))</f>
        <v>-</v>
      </c>
      <c r="DB17" s="73" t="str">
        <f>IF(NSi.SE[[#This Row],[Ped.6]]=1,100,IF(NSi.SE[[#This Row],[Ped.6]]=2,89,IF(NSi.SE[[#This Row],[Ped.6]]=3,79,IF(NSi.SE[[#This Row],[Ped.6]]=4,69,IF(NSi.SE[[#This Row],[Ped.6]]=5,0,"-")))))</f>
        <v>-</v>
      </c>
      <c r="DC17" s="73" t="str">
        <f>IF(NSi.SE[[#This Row],[Pro-A.6]]=1,100,IF(NSi.SE[[#This Row],[Pro-A.6]]=2,89,IF(NSi.SE[[#This Row],[Pro-A.6]]=3,79,IF(NSi.SE[[#This Row],[Pro-A.6]]=4,69,IF(NSi.SE[[#This Row],[Pro-A.6]]=5,0,"-")))))</f>
        <v>-</v>
      </c>
      <c r="DD17" s="74" t="str">
        <f>IF(NSi.SE[[#This Row],[KU.7]]="A",100,IF(NSi.SE[[#This Row],[KU.7]]="B",89,IF(NSi.SE[[#This Row],[KU.7]]="C",79,IF(NSi.SE[[#This Row],[KU.7]]="D",69,IF(NSi.SE[[#This Row],[KU.7]]="E",0,"-")))))</f>
        <v>-</v>
      </c>
      <c r="DE17" s="73" t="str">
        <f>IF(NSi.SE[[#This Row],[TJ.7]]=1,100,IF(NSi.SE[[#This Row],[TJ.7]]=2,89,IF(NSi.SE[[#This Row],[TJ.7]]=3,79,IF(NSi.SE[[#This Row],[TJ.7]]=4,69,IF(NSi.SE[[#This Row],[TJ.7]]=5,0,"-")))))</f>
        <v>-</v>
      </c>
      <c r="DF17" s="73" t="str">
        <f>IF(NSi.SE[[#This Row],[Ker.7]]=1,100,IF(NSi.SE[[#This Row],[Ker.7]]=2,89,IF(NSi.SE[[#This Row],[Ker.7]]=3,79,IF(NSi.SE[[#This Row],[Ker.7]]=4,69,IF(NSi.SE[[#This Row],[Ker.7]]=5,0,"-")))))</f>
        <v>-</v>
      </c>
      <c r="DG17" s="73" t="str">
        <f>IF(NSi.SE[[#This Row],[Ped.7]]=1,100,IF(NSi.SE[[#This Row],[Ped.7]]=2,89,IF(NSi.SE[[#This Row],[Ped.7]]=3,79,IF(NSi.SE[[#This Row],[Ped.7]]=4,69,IF(NSi.SE[[#This Row],[Ped.7]]=5,0,"-")))))</f>
        <v>-</v>
      </c>
      <c r="DH17" s="73" t="str">
        <f>IF(NSi.SE[[#This Row],[Pro-A.7]]=1,100,IF(NSi.SE[[#This Row],[Pro-A.7]]=2,89,IF(NSi.SE[[#This Row],[Pro-A.7]]=3,79,IF(NSi.SE[[#This Row],[Pro-A.7]]=4,69,IF(NSi.SE[[#This Row],[Pro-A.7]]=5,0,"-")))))</f>
        <v>-</v>
      </c>
      <c r="DI17" s="74" t="str">
        <f>IF(NSi.SE[[#This Row],[KU.8]]="A",100,IF(NSi.SE[[#This Row],[KU.8]]="B",89,IF(NSi.SE[[#This Row],[KU.8]]="C",79,IF(NSi.SE[[#This Row],[KU.8]]="D",69,IF(NSi.SE[[#This Row],[KU.8]]="E",0,"-")))))</f>
        <v>-</v>
      </c>
      <c r="DJ17" s="73" t="str">
        <f>IF(NSi.SE[[#This Row],[TJ.8]]=1,100,IF(NSi.SE[[#This Row],[TJ.8]]=2,89,IF(NSi.SE[[#This Row],[TJ.8]]=3,79,IF(NSi.SE[[#This Row],[TJ.8]]=4,69,IF(NSi.SE[[#This Row],[TJ.8]]=5,0,"-")))))</f>
        <v>-</v>
      </c>
      <c r="DK17" s="73" t="str">
        <f>IF(NSi.SE[[#This Row],[Ker.8]]=1,100,IF(NSi.SE[[#This Row],[Ker.8]]=2,89,IF(NSi.SE[[#This Row],[Ker.8]]=3,79,IF(NSi.SE[[#This Row],[Ker.8]]=4,69,IF(NSi.SE[[#This Row],[Ker.8]]=5,0,"-")))))</f>
        <v>-</v>
      </c>
      <c r="DL17" s="73" t="str">
        <f>IF(NSi.SE[[#This Row],[Ped.8]]=1,100,IF(NSi.SE[[#This Row],[Ped.8]]=2,89,IF(NSi.SE[[#This Row],[Ped.8]]=3,79,IF(NSi.SE[[#This Row],[Ped.8]]=4,69,IF(NSi.SE[[#This Row],[Ped.8]]=5,0,"-")))))</f>
        <v>-</v>
      </c>
      <c r="DM17" s="73" t="str">
        <f>IF(NSi.SE[[#This Row],[Pro-A.8]]=1,100,IF(NSi.SE[[#This Row],[Pro-A.8]]=2,89,IF(NSi.SE[[#This Row],[Pro-A.8]]=3,79,IF(NSi.SE[[#This Row],[Pro-A.8]]=4,69,IF(NSi.SE[[#This Row],[Pro-A.8]]=5,0,"-")))))</f>
        <v>-</v>
      </c>
      <c r="DN17" s="74" t="str">
        <f>IF(NSi.SE[[#This Row],[KU.9]]="A",100,IF(NSi.SE[[#This Row],[KU.9]]="B",89,IF(NSi.SE[[#This Row],[KU.9]]="C",79,IF(NSi.SE[[#This Row],[KU.9]]="D",69,IF(NSi.SE[[#This Row],[KU.9]]="E",0,"-")))))</f>
        <v>-</v>
      </c>
      <c r="DO17" s="73" t="str">
        <f>IF(NSi.SE[[#This Row],[TJ.9]]=1,100,IF(NSi.SE[[#This Row],[TJ.9]]=2,89,IF(NSi.SE[[#This Row],[TJ.9]]=3,79,IF(NSi.SE[[#This Row],[TJ.9]]=4,69,IF(NSi.SE[[#This Row],[TJ.9]]=5,0,"-")))))</f>
        <v>-</v>
      </c>
      <c r="DP17" s="73" t="str">
        <f>IF(NSi.SE[[#This Row],[Ker.9]]=1,100,IF(NSi.SE[[#This Row],[Ker.9]]=2,89,IF(NSi.SE[[#This Row],[Ker.9]]=3,79,IF(NSi.SE[[#This Row],[Ker.9]]=4,69,IF(NSi.SE[[#This Row],[Ker.9]]=5,0,"-")))))</f>
        <v>-</v>
      </c>
      <c r="DQ17" s="73" t="str">
        <f>IF(NSi.SE[[#This Row],[Ped.9]]=1,100,IF(NSi.SE[[#This Row],[Ped.9]]=2,89,IF(NSi.SE[[#This Row],[Ped.9]]=3,79,IF(NSi.SE[[#This Row],[Ped.9]]=4,69,IF(NSi.SE[[#This Row],[Ped.9]]=5,0,"-")))))</f>
        <v>-</v>
      </c>
      <c r="DR17" s="73" t="str">
        <f>IF(NSi.SE[[#This Row],[Pro-A.9]]=1,100,IF(NSi.SE[[#This Row],[Pro-A.9]]=2,89,IF(NSi.SE[[#This Row],[Pro-A.9]]=3,79,IF(NSi.SE[[#This Row],[Pro-A.9]]=4,69,IF(NSi.SE[[#This Row],[Pro-A.9]]=5,0,"-")))))</f>
        <v>-</v>
      </c>
      <c r="DT1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8" spans="1:124" ht="50.1" customHeight="1" x14ac:dyDescent="0.3">
      <c r="A18" s="66" t="str">
        <f>IF(NSi.TS[[#This Row],[No]]=0,"",NSi.TS[[#This Row],[No]])</f>
        <v/>
      </c>
      <c r="B18" s="67" t="str">
        <f>IF(NSi.TS[[#This Row],[Nama Siswa]]=0,"",NSi.TS[[#This Row],[Nama Siswa]])</f>
        <v/>
      </c>
      <c r="C18" s="68" t="str">
        <f>IF(NSi.TS[[#This Row],[Nomor Induk]]=0,"",NSi.TS[[#This Row],[Nomor Induk]])</f>
        <v/>
      </c>
      <c r="D18" s="68" t="str">
        <f>IF(NSi.TS[[#This Row],[NISN]]=0,"",NSi.TS[[#This Row],[NISN]])</f>
        <v/>
      </c>
      <c r="E18" s="68" t="str">
        <f>IF(NSi.TS[[#This Row],[Jurusan]]=0,"",NSi.TS[[#This Row],[Jurusan]])</f>
        <v/>
      </c>
      <c r="F18" s="39" t="str">
        <f>NSi.TS[[#This Row],[Nsi.TS]]</f>
        <v/>
      </c>
      <c r="G18" s="39" t="str">
        <f>IFERROR(ROUND(AVERAGE(CSCR.S[#This Row]),0),"")</f>
        <v/>
      </c>
      <c r="H18" s="39" t="str">
        <f>IFERROR(ROUND(AVERAGE(NSi.SE[[#This Row],[Nsi.TS]:[NS.iS]]),0),"")</f>
        <v/>
      </c>
      <c r="I18" s="41" t="s">
        <v>102</v>
      </c>
      <c r="J18" s="45" t="s">
        <v>102</v>
      </c>
      <c r="K18" s="45" t="s">
        <v>102</v>
      </c>
      <c r="L18" s="45" t="s">
        <v>102</v>
      </c>
      <c r="M18" s="45" t="s">
        <v>102</v>
      </c>
      <c r="N18" s="41" t="s">
        <v>102</v>
      </c>
      <c r="O18" s="45" t="s">
        <v>102</v>
      </c>
      <c r="P18" s="45" t="s">
        <v>102</v>
      </c>
      <c r="Q18" s="45" t="s">
        <v>102</v>
      </c>
      <c r="R18" s="45" t="s">
        <v>102</v>
      </c>
      <c r="S18" s="41" t="s">
        <v>102</v>
      </c>
      <c r="T18" s="45" t="s">
        <v>102</v>
      </c>
      <c r="U18" s="45" t="s">
        <v>102</v>
      </c>
      <c r="V18" s="45" t="s">
        <v>102</v>
      </c>
      <c r="W18" s="45" t="s">
        <v>102</v>
      </c>
      <c r="X18" s="41" t="s">
        <v>102</v>
      </c>
      <c r="Y18" s="45" t="s">
        <v>102</v>
      </c>
      <c r="Z18" s="45" t="s">
        <v>102</v>
      </c>
      <c r="AA18" s="45" t="s">
        <v>102</v>
      </c>
      <c r="AB18" s="45" t="s">
        <v>102</v>
      </c>
      <c r="AC18" s="41" t="s">
        <v>102</v>
      </c>
      <c r="AD18" s="45" t="s">
        <v>102</v>
      </c>
      <c r="AE18" s="45" t="s">
        <v>102</v>
      </c>
      <c r="AF18" s="45" t="s">
        <v>102</v>
      </c>
      <c r="AG18" s="45" t="s">
        <v>102</v>
      </c>
      <c r="AH18" s="41" t="s">
        <v>102</v>
      </c>
      <c r="AI18" s="45" t="s">
        <v>102</v>
      </c>
      <c r="AJ18" s="45" t="s">
        <v>102</v>
      </c>
      <c r="AK18" s="45" t="s">
        <v>102</v>
      </c>
      <c r="AL18" s="45" t="s">
        <v>102</v>
      </c>
      <c r="AM18" s="41" t="s">
        <v>102</v>
      </c>
      <c r="AN18" s="45" t="s">
        <v>102</v>
      </c>
      <c r="AO18" s="45" t="s">
        <v>102</v>
      </c>
      <c r="AP18" s="45" t="s">
        <v>102</v>
      </c>
      <c r="AQ18" s="45" t="s">
        <v>102</v>
      </c>
      <c r="AR18" s="41" t="s">
        <v>102</v>
      </c>
      <c r="AS18" s="45" t="s">
        <v>102</v>
      </c>
      <c r="AT18" s="45" t="s">
        <v>102</v>
      </c>
      <c r="AU18" s="45" t="s">
        <v>102</v>
      </c>
      <c r="AV18" s="45" t="s">
        <v>102</v>
      </c>
      <c r="AW18" s="41" t="s">
        <v>102</v>
      </c>
      <c r="AX18" s="45" t="s">
        <v>102</v>
      </c>
      <c r="AY18" s="45" t="s">
        <v>102</v>
      </c>
      <c r="AZ18" s="45" t="s">
        <v>102</v>
      </c>
      <c r="BA18" s="45" t="s">
        <v>102</v>
      </c>
      <c r="BC18" s="10" t="str">
        <f>CONCATENATE(NSi.SE[[#This Row],[KU.1]],(IF(A.LoE.S[[#This Row],[LE.1]]="-","-",IF(A.LoE.S[[#This Row],[LE.1]]&gt;=90,1,IF(A.LoE.S[[#This Row],[LE.1]]&gt;=80,2,IF(A.LoE.S[[#This Row],[LE.1]]&gt;=70,3,IF(A.LoE.S[[#This Row],[LE.1]]&gt;=1,4,5)))))))</f>
        <v>--</v>
      </c>
      <c r="BD18" s="46" t="str">
        <f>CONCATENATE(NSi.SE[[#This Row],[KU.2]],(IF(A.LoE.S[[#This Row],[LE.2]]="-","-",IF(A.LoE.S[[#This Row],[LE.2]]&gt;=90,1,IF(A.LoE.S[[#This Row],[LE.2]]&gt;=80,2,IF(A.LoE.S[[#This Row],[LE.2]]&gt;=70,3,IF(A.LoE.S[[#This Row],[LE.2]]&gt;=1,4,5)))))))</f>
        <v>--</v>
      </c>
      <c r="BE18" s="46" t="str">
        <f>CONCATENATE(NSi.SE[[#This Row],[KU.3]],(IF(A.LoE.S[[#This Row],[LE.3]]="-","-",IF(A.LoE.S[[#This Row],[LE.3]]&gt;=90,1,IF(A.LoE.S[[#This Row],[LE.3]]&gt;=80,2,IF(A.LoE.S[[#This Row],[LE.3]]&gt;=70,3,IF(A.LoE.S[[#This Row],[LE.3]]&gt;=1,4,5)))))))</f>
        <v>--</v>
      </c>
      <c r="BF18" s="46" t="str">
        <f>CONCATENATE(NSi.SE[[#This Row],[KU.4]],(IF(A.LoE.S[[#This Row],[LE.4]]="-","-",IF(A.LoE.S[[#This Row],[LE.4]]&gt;=90,1,IF(A.LoE.S[[#This Row],[LE.4]]&gt;=80,2,IF(A.LoE.S[[#This Row],[LE.4]]&gt;=70,3,IF(A.LoE.S[[#This Row],[LE.4]]&gt;=1,4,5)))))))</f>
        <v>--</v>
      </c>
      <c r="BG18" s="46" t="str">
        <f>CONCATENATE(NSi.SE[[#This Row],[KU.5]],(IF(A.LoE.S[[#This Row],[LE.5]]="-","-",IF(A.LoE.S[[#This Row],[LE.5]]&gt;=90,1,IF(A.LoE.S[[#This Row],[LE.5]]&gt;=80,2,IF(A.LoE.S[[#This Row],[LE.5]]&gt;=70,3,IF(A.LoE.S[[#This Row],[LE.5]]&gt;=1,4,5)))))))</f>
        <v>--</v>
      </c>
      <c r="BH18" s="46" t="str">
        <f>CONCATENATE(NSi.SE[[#This Row],[KU.6]],(IF(A.LoE.S[[#This Row],[LE.6]]="-","-",IF(A.LoE.S[[#This Row],[LE.6]]&gt;=90,1,IF(A.LoE.S[[#This Row],[LE.6]]&gt;=80,2,IF(A.LoE.S[[#This Row],[LE.6]]&gt;=70,3,IF(A.LoE.S[[#This Row],[LE.6]]&gt;=1,4,5)))))))</f>
        <v>--</v>
      </c>
      <c r="BI18" s="46" t="str">
        <f>CONCATENATE(NSi.SE[[#This Row],[KU.7]],(IF(A.LoE.S[[#This Row],[LE.7]]="-","-",IF(A.LoE.S[[#This Row],[LE.7]]&gt;=90,1,IF(A.LoE.S[[#This Row],[LE.7]]&gt;=80,2,IF(A.LoE.S[[#This Row],[LE.7]]&gt;=70,3,IF(A.LoE.S[[#This Row],[LE.7]]&gt;=1,4,5)))))))</f>
        <v>--</v>
      </c>
      <c r="BJ18" s="46" t="str">
        <f>CONCATENATE(NSi.SE[[#This Row],[KU.8]],(IF(A.LoE.S[[#This Row],[LE.8]]="-","-",IF(A.LoE.S[[#This Row],[LE.8]]&gt;=90,1,IF(A.LoE.S[[#This Row],[LE.8]]&gt;=80,2,IF(A.LoE.S[[#This Row],[LE.8]]&gt;=70,3,IF(A.LoE.S[[#This Row],[LE.8]]&gt;=1,4,5)))))))</f>
        <v>--</v>
      </c>
      <c r="BK18" s="38" t="str">
        <f>CONCATENATE(NSi.SE[[#This Row],[KU.9]],(IF(A.LoE.S[[#This Row],[LE.9]]="-","-",IF(A.LoE.S[[#This Row],[LE.9]]&gt;=90,1,IF(A.LoE.S[[#This Row],[LE.9]]&gt;=80,2,IF(A.LoE.S[[#This Row],[LE.9]]&gt;=70,3,IF(A.LoE.S[[#This Row],[LE.9]]&gt;=1,4,5)))))))</f>
        <v>--</v>
      </c>
      <c r="BM18" s="35" t="str">
        <f>IFERROR(ROUND(AVERAGE(Con.Sk.S[[#This Row],[TJ.1]:[Pro-A.1]]),0),"-")</f>
        <v>-</v>
      </c>
      <c r="BN18" s="24" t="str">
        <f>IFERROR(ROUND(AVERAGE(Con.Sk.S[[#This Row],[TJ.2]:[Pro-A.2]]),0),"-")</f>
        <v>-</v>
      </c>
      <c r="BO18" s="24" t="str">
        <f>IFERROR(ROUND(AVERAGE(Con.Sk.S[[#This Row],[TJ.3]:[Pro-A.3]]),0),"-")</f>
        <v>-</v>
      </c>
      <c r="BP18" s="24" t="str">
        <f>IFERROR(ROUND(AVERAGE(Con.Sk.S[[#This Row],[TJ.4]:[Pro-A.4]]),0),"-")</f>
        <v>-</v>
      </c>
      <c r="BQ18" s="24" t="str">
        <f>IFERROR(ROUND(AVERAGE(Con.Sk.S[[#This Row],[TJ.5]:[Pro-A.5]]),0),"-")</f>
        <v>-</v>
      </c>
      <c r="BR18" s="24" t="str">
        <f>IFERROR(ROUND(AVERAGE(Con.Sk.S[[#This Row],[TJ.6]:[Pro-A.6]]),0),"-")</f>
        <v>-</v>
      </c>
      <c r="BS18" s="24" t="str">
        <f>IFERROR(ROUND(AVERAGE(Con.Sk.S[[#This Row],[TJ.7]:[Pro-A.7]]),0),"-")</f>
        <v>-</v>
      </c>
      <c r="BT18" s="24" t="str">
        <f>IFERROR(ROUND(AVERAGE(Con.Sk.S[[#This Row],[TJ.8]:[Pro-A.8]]),0),"-")</f>
        <v>-</v>
      </c>
      <c r="BU18" s="25" t="str">
        <f>IFERROR(ROUND(AVERAGE(Con.Sk.S[[#This Row],[TJ.9]:[Pro-A.9]]),0),"-")</f>
        <v>-</v>
      </c>
      <c r="BW18" s="47" t="str">
        <f>IFERROR(ROUND(AVERAGE(Con.Sk.S[[#This Row],[KU.1]],Con.Sk.S[[#This Row],[KU.2]],Con.Sk.S[[#This Row],[KU.3]],Con.Sk.S[[#This Row],[KU.4]],Con.Sk.S[[#This Row],[KU.5]],Con.Sk.S[[#This Row],[KU.6]],Con.Sk.S[[#This Row],[KU.7]],Con.Sk.S[[#This Row],[KU.8]],Con.Sk.S[[#This Row],[KU.9]]),0),"")</f>
        <v/>
      </c>
      <c r="BX18" s="48" t="str">
        <f>IFERROR(ROUND(AVERAGE(Con.Sk.S[[#This Row],[TJ.1]:[Pro-A.1]],Con.Sk.S[[#This Row],[TJ.2]:[Pro-A.2]],Con.Sk.S[[#This Row],[TJ.3]:[Pro-A.3]],Con.Sk.S[[#This Row],[TJ.4]:[Pro-A.4]],Con.Sk.S[[#This Row],[TJ.5]:[Pro-A.5]],Con.Sk.S[[#This Row],[TJ.6]:[Pro-A.6]],Con.Sk.S[[#This Row],[TJ.7]:[Pro-A.7]],Con.Sk.S[[#This Row],[TJ.8]:[Pro-A.8]],Con.Sk.S[[#This Row],[TJ.9]:[Pro-A.9]]),0),"")</f>
        <v/>
      </c>
      <c r="BY18" s="3"/>
      <c r="BZ18" s="73" t="str">
        <f>IF(NSi.SE[[#This Row],[KU.1]]="A",100,IF(NSi.SE[[#This Row],[KU.1]]="B",89,IF(NSi.SE[[#This Row],[KU.1]]="C",79,IF(NSi.SE[[#This Row],[KU.1]]="D",69,IF(NSi.SE[[#This Row],[KU.1]]="E",0,"-")))))</f>
        <v>-</v>
      </c>
      <c r="CA18" s="73" t="str">
        <f>IF(NSi.SE[[#This Row],[TJ.1]]=1,100,IF(NSi.SE[[#This Row],[TJ.1]]=2,89,IF(NSi.SE[[#This Row],[TJ.1]]=3,79,IF(NSi.SE[[#This Row],[TJ.1]]=4,69,IF(NSi.SE[[#This Row],[TJ.1]]=5,0,"-")))))</f>
        <v>-</v>
      </c>
      <c r="CB18" s="73" t="str">
        <f>IF(NSi.SE[[#This Row],[Ker.1]]=1,100,IF(NSi.SE[[#This Row],[Ker.1]]=2,89,IF(NSi.SE[[#This Row],[Ker.1]]=3,79,IF(NSi.SE[[#This Row],[Ker.1]]=4,69,IF(NSi.SE[[#This Row],[Ker.1]]=5,0,"-")))))</f>
        <v>-</v>
      </c>
      <c r="CC18" s="73" t="str">
        <f>IF(NSi.SE[[#This Row],[Ped.1]]=1,100,IF(NSi.SE[[#This Row],[Ped.1]]=2,89,IF(NSi.SE[[#This Row],[Ped.1]]=3,79,IF(NSi.SE[[#This Row],[Ped.1]]=4,69,IF(NSi.SE[[#This Row],[Ped.1]]=5,0,"-")))))</f>
        <v>-</v>
      </c>
      <c r="CD18" s="73" t="str">
        <f>IF(NSi.SE[[#This Row],[Pro-A.1]]=1,100,IF(NSi.SE[[#This Row],[Pro-A.1]]=2,89,IF(NSi.SE[[#This Row],[Pro-A.1]]=3,79,IF(NSi.SE[[#This Row],[Pro-A.1]]=4,69,IF(NSi.SE[[#This Row],[Pro-A.1]]=5,0,"-")))))</f>
        <v>-</v>
      </c>
      <c r="CE18" s="73" t="str">
        <f>IF(NSi.SE[[#This Row],[KU.2]]="A",100,IF(NSi.SE[[#This Row],[KU.2]]="B",89,IF(NSi.SE[[#This Row],[KU.2]]="C",79,IF(NSi.SE[[#This Row],[KU.2]]="D",69,IF(NSi.SE[[#This Row],[KU.2]]="E",0,"-")))))</f>
        <v>-</v>
      </c>
      <c r="CF18" s="73" t="str">
        <f>IF(NSi.SE[[#This Row],[TJ.2]]=1,100,IF(NSi.SE[[#This Row],[TJ.2]]=2,89,IF(NSi.SE[[#This Row],[TJ.2]]=3,79,IF(NSi.SE[[#This Row],[TJ.2]]=4,69,IF(NSi.SE[[#This Row],[TJ.2]]=5,0,"-")))))</f>
        <v>-</v>
      </c>
      <c r="CG18" s="73" t="str">
        <f>IF(NSi.SE[[#This Row],[Ker.2]]=1,100,IF(NSi.SE[[#This Row],[Ker.2]]=2,89,IF(NSi.SE[[#This Row],[Ker.2]]=3,79,IF(NSi.SE[[#This Row],[Ker.2]]=4,69,IF(NSi.SE[[#This Row],[Ker.2]]=5,0,"-")))))</f>
        <v>-</v>
      </c>
      <c r="CH18" s="73" t="str">
        <f>IF(NSi.SE[[#This Row],[Ped.2]]=1,100,IF(NSi.SE[[#This Row],[Ped.2]]=2,89,IF(NSi.SE[[#This Row],[Ped.2]]=3,79,IF(NSi.SE[[#This Row],[Ped.2]]=4,69,IF(NSi.SE[[#This Row],[Ped.2]]=5,0,"-")))))</f>
        <v>-</v>
      </c>
      <c r="CI18" s="73" t="str">
        <f>IF(NSi.SE[[#This Row],[Pro-A.2]]=1,100,IF(NSi.SE[[#This Row],[Pro-A.2]]=2,89,IF(NSi.SE[[#This Row],[Pro-A.2]]=3,79,IF(NSi.SE[[#This Row],[Pro-A.2]]=4,69,IF(NSi.SE[[#This Row],[Pro-A.2]]=5,0,"-")))))</f>
        <v>-</v>
      </c>
      <c r="CJ18" s="74" t="str">
        <f>IF(NSi.SE[[#This Row],[KU.3]]="A",100,IF(NSi.SE[[#This Row],[KU.3]]="B",89,IF(NSi.SE[[#This Row],[KU.3]]="C",79,IF(NSi.SE[[#This Row],[KU.3]]="D",69,IF(NSi.SE[[#This Row],[KU.3]]="E",0,"-")))))</f>
        <v>-</v>
      </c>
      <c r="CK18" s="73" t="str">
        <f>IF(NSi.SE[[#This Row],[TJ.3]]=1,100,IF(NSi.SE[[#This Row],[TJ.3]]=2,89,IF(NSi.SE[[#This Row],[TJ.3]]=3,79,IF(NSi.SE[[#This Row],[TJ.3]]=4,69,IF(NSi.SE[[#This Row],[TJ.3]]=5,0,"-")))))</f>
        <v>-</v>
      </c>
      <c r="CL18" s="73" t="str">
        <f>IF(NSi.SE[[#This Row],[Ker.3]]=1,100,IF(NSi.SE[[#This Row],[Ker.3]]=2,89,IF(NSi.SE[[#This Row],[Ker.3]]=3,79,IF(NSi.SE[[#This Row],[Ker.3]]=4,69,IF(NSi.SE[[#This Row],[Ker.3]]=5,0,"-")))))</f>
        <v>-</v>
      </c>
      <c r="CM18" s="73" t="str">
        <f>IF(NSi.SE[[#This Row],[Ped.3]]=1,100,IF(NSi.SE[[#This Row],[Ped.3]]=2,89,IF(NSi.SE[[#This Row],[Ped.3]]=3,79,IF(NSi.SE[[#This Row],[Ped.3]]=4,69,IF(NSi.SE[[#This Row],[Ped.3]]=5,0,"-")))))</f>
        <v>-</v>
      </c>
      <c r="CN18" s="73" t="str">
        <f>IF(NSi.SE[[#This Row],[Pro-A.3]]=1,100,IF(NSi.SE[[#This Row],[Pro-A.3]]=2,89,IF(NSi.SE[[#This Row],[Pro-A.3]]=3,79,IF(NSi.SE[[#This Row],[Pro-A.3]]=4,69,IF(NSi.SE[[#This Row],[Pro-A.3]]=5,0,"-")))))</f>
        <v>-</v>
      </c>
      <c r="CO18" s="74" t="str">
        <f>IF(NSi.SE[[#This Row],[KU.4]]="A",100,IF(NSi.SE[[#This Row],[KU.4]]="B",89,IF(NSi.SE[[#This Row],[KU.4]]="C",79,IF(NSi.SE[[#This Row],[KU.4]]="D",69,IF(NSi.SE[[#This Row],[KU.4]]="E",0,"-")))))</f>
        <v>-</v>
      </c>
      <c r="CP18" s="73" t="str">
        <f>IF(NSi.SE[[#This Row],[TJ.4]]=1,100,IF(NSi.SE[[#This Row],[TJ.4]]=2,89,IF(NSi.SE[[#This Row],[TJ.4]]=3,79,IF(NSi.SE[[#This Row],[TJ.4]]=4,69,IF(NSi.SE[[#This Row],[TJ.4]]=5,0,"-")))))</f>
        <v>-</v>
      </c>
      <c r="CQ18" s="73" t="str">
        <f>IF(NSi.SE[[#This Row],[Ker.4]]=1,100,IF(NSi.SE[[#This Row],[Ker.4]]=2,89,IF(NSi.SE[[#This Row],[Ker.4]]=3,79,IF(NSi.SE[[#This Row],[Ker.4]]=4,69,IF(NSi.SE[[#This Row],[Ker.4]]=5,0,"-")))))</f>
        <v>-</v>
      </c>
      <c r="CR18" s="73" t="str">
        <f>IF(NSi.SE[[#This Row],[Ped.4]]=1,100,IF(NSi.SE[[#This Row],[Ped.4]]=2,89,IF(NSi.SE[[#This Row],[Ped.4]]=3,79,IF(NSi.SE[[#This Row],[Ped.4]]=4,69,IF(NSi.SE[[#This Row],[Ped.4]]=5,0,"-")))))</f>
        <v>-</v>
      </c>
      <c r="CS18" s="73" t="str">
        <f>IF(NSi.SE[[#This Row],[Pro-A.4]]=1,100,IF(NSi.SE[[#This Row],[Pro-A.4]]=2,89,IF(NSi.SE[[#This Row],[Pro-A.4]]=3,79,IF(NSi.SE[[#This Row],[Pro-A.4]]=4,69,IF(NSi.SE[[#This Row],[Pro-A.4]]=5,0,"-")))))</f>
        <v>-</v>
      </c>
      <c r="CT18" s="74" t="str">
        <f>IF(NSi.SE[[#This Row],[KU.5]]="A",100,IF(NSi.SE[[#This Row],[KU.5]]="B",89,IF(NSi.SE[[#This Row],[KU.5]]="C",79,IF(NSi.SE[[#This Row],[KU.5]]="D",69,IF(NSi.SE[[#This Row],[KU.5]]="E",0,"-")))))</f>
        <v>-</v>
      </c>
      <c r="CU18" s="73" t="str">
        <f>IF(NSi.SE[[#This Row],[TJ.5]]=1,100,IF(NSi.SE[[#This Row],[TJ.5]]=2,89,IF(NSi.SE[[#This Row],[TJ.5]]=3,79,IF(NSi.SE[[#This Row],[TJ.5]]=4,69,IF(NSi.SE[[#This Row],[TJ.5]]=5,0,"-")))))</f>
        <v>-</v>
      </c>
      <c r="CV18" s="73" t="str">
        <f>IF(NSi.SE[[#This Row],[Ker.5]]=1,100,IF(NSi.SE[[#This Row],[Ker.5]]=2,89,IF(NSi.SE[[#This Row],[Ker.5]]=3,79,IF(NSi.SE[[#This Row],[Ker.5]]=4,69,IF(NSi.SE[[#This Row],[Ker.5]]=5,0,"-")))))</f>
        <v>-</v>
      </c>
      <c r="CW18" s="73" t="str">
        <f>IF(NSi.SE[[#This Row],[Ped.5]]=1,100,IF(NSi.SE[[#This Row],[Ped.5]]=2,89,IF(NSi.SE[[#This Row],[Ped.5]]=3,79,IF(NSi.SE[[#This Row],[Ped.5]]=4,69,IF(NSi.SE[[#This Row],[Ped.5]]=5,0,"-")))))</f>
        <v>-</v>
      </c>
      <c r="CX18" s="73" t="str">
        <f>IF(NSi.SE[[#This Row],[Pro-A.5]]=1,100,IF(NSi.SE[[#This Row],[Pro-A.5]]=2,89,IF(NSi.SE[[#This Row],[Pro-A.5]]=3,79,IF(NSi.SE[[#This Row],[Pro-A.5]]=4,69,IF(NSi.SE[[#This Row],[Pro-A.5]]=5,0,"-")))))</f>
        <v>-</v>
      </c>
      <c r="CY18" s="74" t="str">
        <f>IF(NSi.SE[[#This Row],[KU.6]]="A",100,IF(NSi.SE[[#This Row],[KU.6]]="B",89,IF(NSi.SE[[#This Row],[KU.6]]="C",79,IF(NSi.SE[[#This Row],[KU.6]]="D",69,IF(NSi.SE[[#This Row],[KU.6]]="E",0,"-")))))</f>
        <v>-</v>
      </c>
      <c r="CZ18" s="73" t="str">
        <f>IF(NSi.SE[[#This Row],[TJ.6]]=1,100,IF(NSi.SE[[#This Row],[TJ.6]]=2,89,IF(NSi.SE[[#This Row],[TJ.6]]=3,79,IF(NSi.SE[[#This Row],[TJ.6]]=4,69,IF(NSi.SE[[#This Row],[TJ.6]]=5,0,"-")))))</f>
        <v>-</v>
      </c>
      <c r="DA18" s="73" t="str">
        <f>IF(NSi.SE[[#This Row],[Ker.6]]=1,100,IF(NSi.SE[[#This Row],[Ker.6]]=2,89,IF(NSi.SE[[#This Row],[Ker.6]]=3,79,IF(NSi.SE[[#This Row],[Ker.6]]=4,69,IF(NSi.SE[[#This Row],[Ker.6]]=5,0,"-")))))</f>
        <v>-</v>
      </c>
      <c r="DB18" s="73" t="str">
        <f>IF(NSi.SE[[#This Row],[Ped.6]]=1,100,IF(NSi.SE[[#This Row],[Ped.6]]=2,89,IF(NSi.SE[[#This Row],[Ped.6]]=3,79,IF(NSi.SE[[#This Row],[Ped.6]]=4,69,IF(NSi.SE[[#This Row],[Ped.6]]=5,0,"-")))))</f>
        <v>-</v>
      </c>
      <c r="DC18" s="73" t="str">
        <f>IF(NSi.SE[[#This Row],[Pro-A.6]]=1,100,IF(NSi.SE[[#This Row],[Pro-A.6]]=2,89,IF(NSi.SE[[#This Row],[Pro-A.6]]=3,79,IF(NSi.SE[[#This Row],[Pro-A.6]]=4,69,IF(NSi.SE[[#This Row],[Pro-A.6]]=5,0,"-")))))</f>
        <v>-</v>
      </c>
      <c r="DD18" s="74" t="str">
        <f>IF(NSi.SE[[#This Row],[KU.7]]="A",100,IF(NSi.SE[[#This Row],[KU.7]]="B",89,IF(NSi.SE[[#This Row],[KU.7]]="C",79,IF(NSi.SE[[#This Row],[KU.7]]="D",69,IF(NSi.SE[[#This Row],[KU.7]]="E",0,"-")))))</f>
        <v>-</v>
      </c>
      <c r="DE18" s="73" t="str">
        <f>IF(NSi.SE[[#This Row],[TJ.7]]=1,100,IF(NSi.SE[[#This Row],[TJ.7]]=2,89,IF(NSi.SE[[#This Row],[TJ.7]]=3,79,IF(NSi.SE[[#This Row],[TJ.7]]=4,69,IF(NSi.SE[[#This Row],[TJ.7]]=5,0,"-")))))</f>
        <v>-</v>
      </c>
      <c r="DF18" s="73" t="str">
        <f>IF(NSi.SE[[#This Row],[Ker.7]]=1,100,IF(NSi.SE[[#This Row],[Ker.7]]=2,89,IF(NSi.SE[[#This Row],[Ker.7]]=3,79,IF(NSi.SE[[#This Row],[Ker.7]]=4,69,IF(NSi.SE[[#This Row],[Ker.7]]=5,0,"-")))))</f>
        <v>-</v>
      </c>
      <c r="DG18" s="73" t="str">
        <f>IF(NSi.SE[[#This Row],[Ped.7]]=1,100,IF(NSi.SE[[#This Row],[Ped.7]]=2,89,IF(NSi.SE[[#This Row],[Ped.7]]=3,79,IF(NSi.SE[[#This Row],[Ped.7]]=4,69,IF(NSi.SE[[#This Row],[Ped.7]]=5,0,"-")))))</f>
        <v>-</v>
      </c>
      <c r="DH18" s="73" t="str">
        <f>IF(NSi.SE[[#This Row],[Pro-A.7]]=1,100,IF(NSi.SE[[#This Row],[Pro-A.7]]=2,89,IF(NSi.SE[[#This Row],[Pro-A.7]]=3,79,IF(NSi.SE[[#This Row],[Pro-A.7]]=4,69,IF(NSi.SE[[#This Row],[Pro-A.7]]=5,0,"-")))))</f>
        <v>-</v>
      </c>
      <c r="DI18" s="74" t="str">
        <f>IF(NSi.SE[[#This Row],[KU.8]]="A",100,IF(NSi.SE[[#This Row],[KU.8]]="B",89,IF(NSi.SE[[#This Row],[KU.8]]="C",79,IF(NSi.SE[[#This Row],[KU.8]]="D",69,IF(NSi.SE[[#This Row],[KU.8]]="E",0,"-")))))</f>
        <v>-</v>
      </c>
      <c r="DJ18" s="73" t="str">
        <f>IF(NSi.SE[[#This Row],[TJ.8]]=1,100,IF(NSi.SE[[#This Row],[TJ.8]]=2,89,IF(NSi.SE[[#This Row],[TJ.8]]=3,79,IF(NSi.SE[[#This Row],[TJ.8]]=4,69,IF(NSi.SE[[#This Row],[TJ.8]]=5,0,"-")))))</f>
        <v>-</v>
      </c>
      <c r="DK18" s="73" t="str">
        <f>IF(NSi.SE[[#This Row],[Ker.8]]=1,100,IF(NSi.SE[[#This Row],[Ker.8]]=2,89,IF(NSi.SE[[#This Row],[Ker.8]]=3,79,IF(NSi.SE[[#This Row],[Ker.8]]=4,69,IF(NSi.SE[[#This Row],[Ker.8]]=5,0,"-")))))</f>
        <v>-</v>
      </c>
      <c r="DL18" s="73" t="str">
        <f>IF(NSi.SE[[#This Row],[Ped.8]]=1,100,IF(NSi.SE[[#This Row],[Ped.8]]=2,89,IF(NSi.SE[[#This Row],[Ped.8]]=3,79,IF(NSi.SE[[#This Row],[Ped.8]]=4,69,IF(NSi.SE[[#This Row],[Ped.8]]=5,0,"-")))))</f>
        <v>-</v>
      </c>
      <c r="DM18" s="73" t="str">
        <f>IF(NSi.SE[[#This Row],[Pro-A.8]]=1,100,IF(NSi.SE[[#This Row],[Pro-A.8]]=2,89,IF(NSi.SE[[#This Row],[Pro-A.8]]=3,79,IF(NSi.SE[[#This Row],[Pro-A.8]]=4,69,IF(NSi.SE[[#This Row],[Pro-A.8]]=5,0,"-")))))</f>
        <v>-</v>
      </c>
      <c r="DN18" s="74" t="str">
        <f>IF(NSi.SE[[#This Row],[KU.9]]="A",100,IF(NSi.SE[[#This Row],[KU.9]]="B",89,IF(NSi.SE[[#This Row],[KU.9]]="C",79,IF(NSi.SE[[#This Row],[KU.9]]="D",69,IF(NSi.SE[[#This Row],[KU.9]]="E",0,"-")))))</f>
        <v>-</v>
      </c>
      <c r="DO18" s="73" t="str">
        <f>IF(NSi.SE[[#This Row],[TJ.9]]=1,100,IF(NSi.SE[[#This Row],[TJ.9]]=2,89,IF(NSi.SE[[#This Row],[TJ.9]]=3,79,IF(NSi.SE[[#This Row],[TJ.9]]=4,69,IF(NSi.SE[[#This Row],[TJ.9]]=5,0,"-")))))</f>
        <v>-</v>
      </c>
      <c r="DP18" s="73" t="str">
        <f>IF(NSi.SE[[#This Row],[Ker.9]]=1,100,IF(NSi.SE[[#This Row],[Ker.9]]=2,89,IF(NSi.SE[[#This Row],[Ker.9]]=3,79,IF(NSi.SE[[#This Row],[Ker.9]]=4,69,IF(NSi.SE[[#This Row],[Ker.9]]=5,0,"-")))))</f>
        <v>-</v>
      </c>
      <c r="DQ18" s="73" t="str">
        <f>IF(NSi.SE[[#This Row],[Ped.9]]=1,100,IF(NSi.SE[[#This Row],[Ped.9]]=2,89,IF(NSi.SE[[#This Row],[Ped.9]]=3,79,IF(NSi.SE[[#This Row],[Ped.9]]=4,69,IF(NSi.SE[[#This Row],[Ped.9]]=5,0,"-")))))</f>
        <v>-</v>
      </c>
      <c r="DR18" s="73" t="str">
        <f>IF(NSi.SE[[#This Row],[Pro-A.9]]=1,100,IF(NSi.SE[[#This Row],[Pro-A.9]]=2,89,IF(NSi.SE[[#This Row],[Pro-A.9]]=3,79,IF(NSi.SE[[#This Row],[Pro-A.9]]=4,69,IF(NSi.SE[[#This Row],[Pro-A.9]]=5,0,"-")))))</f>
        <v>-</v>
      </c>
      <c r="DT1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9" spans="1:124" ht="50.1" customHeight="1" x14ac:dyDescent="0.3">
      <c r="A19" s="66" t="str">
        <f>IF(NSi.TS[[#This Row],[No]]=0,"",NSi.TS[[#This Row],[No]])</f>
        <v/>
      </c>
      <c r="B19" s="67" t="str">
        <f>IF(NSi.TS[[#This Row],[Nama Siswa]]=0,"",NSi.TS[[#This Row],[Nama Siswa]])</f>
        <v/>
      </c>
      <c r="C19" s="68" t="str">
        <f>IF(NSi.TS[[#This Row],[Nomor Induk]]=0,"",NSi.TS[[#This Row],[Nomor Induk]])</f>
        <v/>
      </c>
      <c r="D19" s="68" t="str">
        <f>IF(NSi.TS[[#This Row],[NISN]]=0,"",NSi.TS[[#This Row],[NISN]])</f>
        <v/>
      </c>
      <c r="E19" s="68" t="str">
        <f>IF(NSi.TS[[#This Row],[Jurusan]]=0,"",NSi.TS[[#This Row],[Jurusan]])</f>
        <v/>
      </c>
      <c r="F19" s="39" t="str">
        <f>NSi.TS[[#This Row],[Nsi.TS]]</f>
        <v/>
      </c>
      <c r="G19" s="39" t="str">
        <f>IFERROR(ROUND(AVERAGE(CSCR.S[#This Row]),0),"")</f>
        <v/>
      </c>
      <c r="H19" s="39" t="str">
        <f>IFERROR(ROUND(AVERAGE(NSi.SE[[#This Row],[Nsi.TS]:[NS.iS]]),0),"")</f>
        <v/>
      </c>
      <c r="I19" s="41" t="s">
        <v>102</v>
      </c>
      <c r="J19" s="45" t="s">
        <v>102</v>
      </c>
      <c r="K19" s="45" t="s">
        <v>102</v>
      </c>
      <c r="L19" s="45" t="s">
        <v>102</v>
      </c>
      <c r="M19" s="45" t="s">
        <v>102</v>
      </c>
      <c r="N19" s="41" t="s">
        <v>102</v>
      </c>
      <c r="O19" s="45" t="s">
        <v>102</v>
      </c>
      <c r="P19" s="45" t="s">
        <v>102</v>
      </c>
      <c r="Q19" s="45" t="s">
        <v>102</v>
      </c>
      <c r="R19" s="45" t="s">
        <v>102</v>
      </c>
      <c r="S19" s="41" t="s">
        <v>102</v>
      </c>
      <c r="T19" s="45" t="s">
        <v>102</v>
      </c>
      <c r="U19" s="45" t="s">
        <v>102</v>
      </c>
      <c r="V19" s="45" t="s">
        <v>102</v>
      </c>
      <c r="W19" s="45" t="s">
        <v>102</v>
      </c>
      <c r="X19" s="41" t="s">
        <v>102</v>
      </c>
      <c r="Y19" s="45" t="s">
        <v>102</v>
      </c>
      <c r="Z19" s="45" t="s">
        <v>102</v>
      </c>
      <c r="AA19" s="45" t="s">
        <v>102</v>
      </c>
      <c r="AB19" s="45" t="s">
        <v>102</v>
      </c>
      <c r="AC19" s="41" t="s">
        <v>102</v>
      </c>
      <c r="AD19" s="45" t="s">
        <v>102</v>
      </c>
      <c r="AE19" s="45" t="s">
        <v>102</v>
      </c>
      <c r="AF19" s="45" t="s">
        <v>102</v>
      </c>
      <c r="AG19" s="45" t="s">
        <v>102</v>
      </c>
      <c r="AH19" s="41" t="s">
        <v>102</v>
      </c>
      <c r="AI19" s="45" t="s">
        <v>102</v>
      </c>
      <c r="AJ19" s="45" t="s">
        <v>102</v>
      </c>
      <c r="AK19" s="45" t="s">
        <v>102</v>
      </c>
      <c r="AL19" s="45" t="s">
        <v>102</v>
      </c>
      <c r="AM19" s="41" t="s">
        <v>102</v>
      </c>
      <c r="AN19" s="45" t="s">
        <v>102</v>
      </c>
      <c r="AO19" s="45" t="s">
        <v>102</v>
      </c>
      <c r="AP19" s="45" t="s">
        <v>102</v>
      </c>
      <c r="AQ19" s="45" t="s">
        <v>102</v>
      </c>
      <c r="AR19" s="41" t="s">
        <v>102</v>
      </c>
      <c r="AS19" s="45" t="s">
        <v>102</v>
      </c>
      <c r="AT19" s="45" t="s">
        <v>102</v>
      </c>
      <c r="AU19" s="45" t="s">
        <v>102</v>
      </c>
      <c r="AV19" s="45" t="s">
        <v>102</v>
      </c>
      <c r="AW19" s="41" t="s">
        <v>102</v>
      </c>
      <c r="AX19" s="45" t="s">
        <v>102</v>
      </c>
      <c r="AY19" s="45" t="s">
        <v>102</v>
      </c>
      <c r="AZ19" s="45" t="s">
        <v>102</v>
      </c>
      <c r="BA19" s="45" t="s">
        <v>102</v>
      </c>
      <c r="BC19" s="10" t="str">
        <f>CONCATENATE(NSi.SE[[#This Row],[KU.1]],(IF(A.LoE.S[[#This Row],[LE.1]]="-","-",IF(A.LoE.S[[#This Row],[LE.1]]&gt;=90,1,IF(A.LoE.S[[#This Row],[LE.1]]&gt;=80,2,IF(A.LoE.S[[#This Row],[LE.1]]&gt;=70,3,IF(A.LoE.S[[#This Row],[LE.1]]&gt;=1,4,5)))))))</f>
        <v>--</v>
      </c>
      <c r="BD19" s="46" t="str">
        <f>CONCATENATE(NSi.SE[[#This Row],[KU.2]],(IF(A.LoE.S[[#This Row],[LE.2]]="-","-",IF(A.LoE.S[[#This Row],[LE.2]]&gt;=90,1,IF(A.LoE.S[[#This Row],[LE.2]]&gt;=80,2,IF(A.LoE.S[[#This Row],[LE.2]]&gt;=70,3,IF(A.LoE.S[[#This Row],[LE.2]]&gt;=1,4,5)))))))</f>
        <v>--</v>
      </c>
      <c r="BE19" s="46" t="str">
        <f>CONCATENATE(NSi.SE[[#This Row],[KU.3]],(IF(A.LoE.S[[#This Row],[LE.3]]="-","-",IF(A.LoE.S[[#This Row],[LE.3]]&gt;=90,1,IF(A.LoE.S[[#This Row],[LE.3]]&gt;=80,2,IF(A.LoE.S[[#This Row],[LE.3]]&gt;=70,3,IF(A.LoE.S[[#This Row],[LE.3]]&gt;=1,4,5)))))))</f>
        <v>--</v>
      </c>
      <c r="BF19" s="46" t="str">
        <f>CONCATENATE(NSi.SE[[#This Row],[KU.4]],(IF(A.LoE.S[[#This Row],[LE.4]]="-","-",IF(A.LoE.S[[#This Row],[LE.4]]&gt;=90,1,IF(A.LoE.S[[#This Row],[LE.4]]&gt;=80,2,IF(A.LoE.S[[#This Row],[LE.4]]&gt;=70,3,IF(A.LoE.S[[#This Row],[LE.4]]&gt;=1,4,5)))))))</f>
        <v>--</v>
      </c>
      <c r="BG19" s="46" t="str">
        <f>CONCATENATE(NSi.SE[[#This Row],[KU.5]],(IF(A.LoE.S[[#This Row],[LE.5]]="-","-",IF(A.LoE.S[[#This Row],[LE.5]]&gt;=90,1,IF(A.LoE.S[[#This Row],[LE.5]]&gt;=80,2,IF(A.LoE.S[[#This Row],[LE.5]]&gt;=70,3,IF(A.LoE.S[[#This Row],[LE.5]]&gt;=1,4,5)))))))</f>
        <v>--</v>
      </c>
      <c r="BH19" s="46" t="str">
        <f>CONCATENATE(NSi.SE[[#This Row],[KU.6]],(IF(A.LoE.S[[#This Row],[LE.6]]="-","-",IF(A.LoE.S[[#This Row],[LE.6]]&gt;=90,1,IF(A.LoE.S[[#This Row],[LE.6]]&gt;=80,2,IF(A.LoE.S[[#This Row],[LE.6]]&gt;=70,3,IF(A.LoE.S[[#This Row],[LE.6]]&gt;=1,4,5)))))))</f>
        <v>--</v>
      </c>
      <c r="BI19" s="46" t="str">
        <f>CONCATENATE(NSi.SE[[#This Row],[KU.7]],(IF(A.LoE.S[[#This Row],[LE.7]]="-","-",IF(A.LoE.S[[#This Row],[LE.7]]&gt;=90,1,IF(A.LoE.S[[#This Row],[LE.7]]&gt;=80,2,IF(A.LoE.S[[#This Row],[LE.7]]&gt;=70,3,IF(A.LoE.S[[#This Row],[LE.7]]&gt;=1,4,5)))))))</f>
        <v>--</v>
      </c>
      <c r="BJ19" s="46" t="str">
        <f>CONCATENATE(NSi.SE[[#This Row],[KU.8]],(IF(A.LoE.S[[#This Row],[LE.8]]="-","-",IF(A.LoE.S[[#This Row],[LE.8]]&gt;=90,1,IF(A.LoE.S[[#This Row],[LE.8]]&gt;=80,2,IF(A.LoE.S[[#This Row],[LE.8]]&gt;=70,3,IF(A.LoE.S[[#This Row],[LE.8]]&gt;=1,4,5)))))))</f>
        <v>--</v>
      </c>
      <c r="BK19" s="38" t="str">
        <f>CONCATENATE(NSi.SE[[#This Row],[KU.9]],(IF(A.LoE.S[[#This Row],[LE.9]]="-","-",IF(A.LoE.S[[#This Row],[LE.9]]&gt;=90,1,IF(A.LoE.S[[#This Row],[LE.9]]&gt;=80,2,IF(A.LoE.S[[#This Row],[LE.9]]&gt;=70,3,IF(A.LoE.S[[#This Row],[LE.9]]&gt;=1,4,5)))))))</f>
        <v>--</v>
      </c>
      <c r="BM19" s="35" t="str">
        <f>IFERROR(ROUND(AVERAGE(Con.Sk.S[[#This Row],[TJ.1]:[Pro-A.1]]),0),"-")</f>
        <v>-</v>
      </c>
      <c r="BN19" s="24" t="str">
        <f>IFERROR(ROUND(AVERAGE(Con.Sk.S[[#This Row],[TJ.2]:[Pro-A.2]]),0),"-")</f>
        <v>-</v>
      </c>
      <c r="BO19" s="24" t="str">
        <f>IFERROR(ROUND(AVERAGE(Con.Sk.S[[#This Row],[TJ.3]:[Pro-A.3]]),0),"-")</f>
        <v>-</v>
      </c>
      <c r="BP19" s="24" t="str">
        <f>IFERROR(ROUND(AVERAGE(Con.Sk.S[[#This Row],[TJ.4]:[Pro-A.4]]),0),"-")</f>
        <v>-</v>
      </c>
      <c r="BQ19" s="24" t="str">
        <f>IFERROR(ROUND(AVERAGE(Con.Sk.S[[#This Row],[TJ.5]:[Pro-A.5]]),0),"-")</f>
        <v>-</v>
      </c>
      <c r="BR19" s="24" t="str">
        <f>IFERROR(ROUND(AVERAGE(Con.Sk.S[[#This Row],[TJ.6]:[Pro-A.6]]),0),"-")</f>
        <v>-</v>
      </c>
      <c r="BS19" s="24" t="str">
        <f>IFERROR(ROUND(AVERAGE(Con.Sk.S[[#This Row],[TJ.7]:[Pro-A.7]]),0),"-")</f>
        <v>-</v>
      </c>
      <c r="BT19" s="24" t="str">
        <f>IFERROR(ROUND(AVERAGE(Con.Sk.S[[#This Row],[TJ.8]:[Pro-A.8]]),0),"-")</f>
        <v>-</v>
      </c>
      <c r="BU19" s="25" t="str">
        <f>IFERROR(ROUND(AVERAGE(Con.Sk.S[[#This Row],[TJ.9]:[Pro-A.9]]),0),"-")</f>
        <v>-</v>
      </c>
      <c r="BW19" s="47" t="str">
        <f>IFERROR(ROUND(AVERAGE(Con.Sk.S[[#This Row],[KU.1]],Con.Sk.S[[#This Row],[KU.2]],Con.Sk.S[[#This Row],[KU.3]],Con.Sk.S[[#This Row],[KU.4]],Con.Sk.S[[#This Row],[KU.5]],Con.Sk.S[[#This Row],[KU.6]],Con.Sk.S[[#This Row],[KU.7]],Con.Sk.S[[#This Row],[KU.8]],Con.Sk.S[[#This Row],[KU.9]]),0),"")</f>
        <v/>
      </c>
      <c r="BX19" s="48" t="str">
        <f>IFERROR(ROUND(AVERAGE(Con.Sk.S[[#This Row],[TJ.1]:[Pro-A.1]],Con.Sk.S[[#This Row],[TJ.2]:[Pro-A.2]],Con.Sk.S[[#This Row],[TJ.3]:[Pro-A.3]],Con.Sk.S[[#This Row],[TJ.4]:[Pro-A.4]],Con.Sk.S[[#This Row],[TJ.5]:[Pro-A.5]],Con.Sk.S[[#This Row],[TJ.6]:[Pro-A.6]],Con.Sk.S[[#This Row],[TJ.7]:[Pro-A.7]],Con.Sk.S[[#This Row],[TJ.8]:[Pro-A.8]],Con.Sk.S[[#This Row],[TJ.9]:[Pro-A.9]]),0),"")</f>
        <v/>
      </c>
      <c r="BY19" s="3"/>
      <c r="BZ19" s="73" t="str">
        <f>IF(NSi.SE[[#This Row],[KU.1]]="A",100,IF(NSi.SE[[#This Row],[KU.1]]="B",89,IF(NSi.SE[[#This Row],[KU.1]]="C",79,IF(NSi.SE[[#This Row],[KU.1]]="D",69,IF(NSi.SE[[#This Row],[KU.1]]="E",0,"-")))))</f>
        <v>-</v>
      </c>
      <c r="CA19" s="73" t="str">
        <f>IF(NSi.SE[[#This Row],[TJ.1]]=1,100,IF(NSi.SE[[#This Row],[TJ.1]]=2,89,IF(NSi.SE[[#This Row],[TJ.1]]=3,79,IF(NSi.SE[[#This Row],[TJ.1]]=4,69,IF(NSi.SE[[#This Row],[TJ.1]]=5,0,"-")))))</f>
        <v>-</v>
      </c>
      <c r="CB19" s="73" t="str">
        <f>IF(NSi.SE[[#This Row],[Ker.1]]=1,100,IF(NSi.SE[[#This Row],[Ker.1]]=2,89,IF(NSi.SE[[#This Row],[Ker.1]]=3,79,IF(NSi.SE[[#This Row],[Ker.1]]=4,69,IF(NSi.SE[[#This Row],[Ker.1]]=5,0,"-")))))</f>
        <v>-</v>
      </c>
      <c r="CC19" s="73" t="str">
        <f>IF(NSi.SE[[#This Row],[Ped.1]]=1,100,IF(NSi.SE[[#This Row],[Ped.1]]=2,89,IF(NSi.SE[[#This Row],[Ped.1]]=3,79,IF(NSi.SE[[#This Row],[Ped.1]]=4,69,IF(NSi.SE[[#This Row],[Ped.1]]=5,0,"-")))))</f>
        <v>-</v>
      </c>
      <c r="CD19" s="73" t="str">
        <f>IF(NSi.SE[[#This Row],[Pro-A.1]]=1,100,IF(NSi.SE[[#This Row],[Pro-A.1]]=2,89,IF(NSi.SE[[#This Row],[Pro-A.1]]=3,79,IF(NSi.SE[[#This Row],[Pro-A.1]]=4,69,IF(NSi.SE[[#This Row],[Pro-A.1]]=5,0,"-")))))</f>
        <v>-</v>
      </c>
      <c r="CE19" s="73" t="str">
        <f>IF(NSi.SE[[#This Row],[KU.2]]="A",100,IF(NSi.SE[[#This Row],[KU.2]]="B",89,IF(NSi.SE[[#This Row],[KU.2]]="C",79,IF(NSi.SE[[#This Row],[KU.2]]="D",69,IF(NSi.SE[[#This Row],[KU.2]]="E",0,"-")))))</f>
        <v>-</v>
      </c>
      <c r="CF19" s="73" t="str">
        <f>IF(NSi.SE[[#This Row],[TJ.2]]=1,100,IF(NSi.SE[[#This Row],[TJ.2]]=2,89,IF(NSi.SE[[#This Row],[TJ.2]]=3,79,IF(NSi.SE[[#This Row],[TJ.2]]=4,69,IF(NSi.SE[[#This Row],[TJ.2]]=5,0,"-")))))</f>
        <v>-</v>
      </c>
      <c r="CG19" s="73" t="str">
        <f>IF(NSi.SE[[#This Row],[Ker.2]]=1,100,IF(NSi.SE[[#This Row],[Ker.2]]=2,89,IF(NSi.SE[[#This Row],[Ker.2]]=3,79,IF(NSi.SE[[#This Row],[Ker.2]]=4,69,IF(NSi.SE[[#This Row],[Ker.2]]=5,0,"-")))))</f>
        <v>-</v>
      </c>
      <c r="CH19" s="73" t="str">
        <f>IF(NSi.SE[[#This Row],[Ped.2]]=1,100,IF(NSi.SE[[#This Row],[Ped.2]]=2,89,IF(NSi.SE[[#This Row],[Ped.2]]=3,79,IF(NSi.SE[[#This Row],[Ped.2]]=4,69,IF(NSi.SE[[#This Row],[Ped.2]]=5,0,"-")))))</f>
        <v>-</v>
      </c>
      <c r="CI19" s="73" t="str">
        <f>IF(NSi.SE[[#This Row],[Pro-A.2]]=1,100,IF(NSi.SE[[#This Row],[Pro-A.2]]=2,89,IF(NSi.SE[[#This Row],[Pro-A.2]]=3,79,IF(NSi.SE[[#This Row],[Pro-A.2]]=4,69,IF(NSi.SE[[#This Row],[Pro-A.2]]=5,0,"-")))))</f>
        <v>-</v>
      </c>
      <c r="CJ19" s="74" t="str">
        <f>IF(NSi.SE[[#This Row],[KU.3]]="A",100,IF(NSi.SE[[#This Row],[KU.3]]="B",89,IF(NSi.SE[[#This Row],[KU.3]]="C",79,IF(NSi.SE[[#This Row],[KU.3]]="D",69,IF(NSi.SE[[#This Row],[KU.3]]="E",0,"-")))))</f>
        <v>-</v>
      </c>
      <c r="CK19" s="73" t="str">
        <f>IF(NSi.SE[[#This Row],[TJ.3]]=1,100,IF(NSi.SE[[#This Row],[TJ.3]]=2,89,IF(NSi.SE[[#This Row],[TJ.3]]=3,79,IF(NSi.SE[[#This Row],[TJ.3]]=4,69,IF(NSi.SE[[#This Row],[TJ.3]]=5,0,"-")))))</f>
        <v>-</v>
      </c>
      <c r="CL19" s="73" t="str">
        <f>IF(NSi.SE[[#This Row],[Ker.3]]=1,100,IF(NSi.SE[[#This Row],[Ker.3]]=2,89,IF(NSi.SE[[#This Row],[Ker.3]]=3,79,IF(NSi.SE[[#This Row],[Ker.3]]=4,69,IF(NSi.SE[[#This Row],[Ker.3]]=5,0,"-")))))</f>
        <v>-</v>
      </c>
      <c r="CM19" s="73" t="str">
        <f>IF(NSi.SE[[#This Row],[Ped.3]]=1,100,IF(NSi.SE[[#This Row],[Ped.3]]=2,89,IF(NSi.SE[[#This Row],[Ped.3]]=3,79,IF(NSi.SE[[#This Row],[Ped.3]]=4,69,IF(NSi.SE[[#This Row],[Ped.3]]=5,0,"-")))))</f>
        <v>-</v>
      </c>
      <c r="CN19" s="73" t="str">
        <f>IF(NSi.SE[[#This Row],[Pro-A.3]]=1,100,IF(NSi.SE[[#This Row],[Pro-A.3]]=2,89,IF(NSi.SE[[#This Row],[Pro-A.3]]=3,79,IF(NSi.SE[[#This Row],[Pro-A.3]]=4,69,IF(NSi.SE[[#This Row],[Pro-A.3]]=5,0,"-")))))</f>
        <v>-</v>
      </c>
      <c r="CO19" s="74" t="str">
        <f>IF(NSi.SE[[#This Row],[KU.4]]="A",100,IF(NSi.SE[[#This Row],[KU.4]]="B",89,IF(NSi.SE[[#This Row],[KU.4]]="C",79,IF(NSi.SE[[#This Row],[KU.4]]="D",69,IF(NSi.SE[[#This Row],[KU.4]]="E",0,"-")))))</f>
        <v>-</v>
      </c>
      <c r="CP19" s="73" t="str">
        <f>IF(NSi.SE[[#This Row],[TJ.4]]=1,100,IF(NSi.SE[[#This Row],[TJ.4]]=2,89,IF(NSi.SE[[#This Row],[TJ.4]]=3,79,IF(NSi.SE[[#This Row],[TJ.4]]=4,69,IF(NSi.SE[[#This Row],[TJ.4]]=5,0,"-")))))</f>
        <v>-</v>
      </c>
      <c r="CQ19" s="73" t="str">
        <f>IF(NSi.SE[[#This Row],[Ker.4]]=1,100,IF(NSi.SE[[#This Row],[Ker.4]]=2,89,IF(NSi.SE[[#This Row],[Ker.4]]=3,79,IF(NSi.SE[[#This Row],[Ker.4]]=4,69,IF(NSi.SE[[#This Row],[Ker.4]]=5,0,"-")))))</f>
        <v>-</v>
      </c>
      <c r="CR19" s="73" t="str">
        <f>IF(NSi.SE[[#This Row],[Ped.4]]=1,100,IF(NSi.SE[[#This Row],[Ped.4]]=2,89,IF(NSi.SE[[#This Row],[Ped.4]]=3,79,IF(NSi.SE[[#This Row],[Ped.4]]=4,69,IF(NSi.SE[[#This Row],[Ped.4]]=5,0,"-")))))</f>
        <v>-</v>
      </c>
      <c r="CS19" s="73" t="str">
        <f>IF(NSi.SE[[#This Row],[Pro-A.4]]=1,100,IF(NSi.SE[[#This Row],[Pro-A.4]]=2,89,IF(NSi.SE[[#This Row],[Pro-A.4]]=3,79,IF(NSi.SE[[#This Row],[Pro-A.4]]=4,69,IF(NSi.SE[[#This Row],[Pro-A.4]]=5,0,"-")))))</f>
        <v>-</v>
      </c>
      <c r="CT19" s="74" t="str">
        <f>IF(NSi.SE[[#This Row],[KU.5]]="A",100,IF(NSi.SE[[#This Row],[KU.5]]="B",89,IF(NSi.SE[[#This Row],[KU.5]]="C",79,IF(NSi.SE[[#This Row],[KU.5]]="D",69,IF(NSi.SE[[#This Row],[KU.5]]="E",0,"-")))))</f>
        <v>-</v>
      </c>
      <c r="CU19" s="73" t="str">
        <f>IF(NSi.SE[[#This Row],[TJ.5]]=1,100,IF(NSi.SE[[#This Row],[TJ.5]]=2,89,IF(NSi.SE[[#This Row],[TJ.5]]=3,79,IF(NSi.SE[[#This Row],[TJ.5]]=4,69,IF(NSi.SE[[#This Row],[TJ.5]]=5,0,"-")))))</f>
        <v>-</v>
      </c>
      <c r="CV19" s="73" t="str">
        <f>IF(NSi.SE[[#This Row],[Ker.5]]=1,100,IF(NSi.SE[[#This Row],[Ker.5]]=2,89,IF(NSi.SE[[#This Row],[Ker.5]]=3,79,IF(NSi.SE[[#This Row],[Ker.5]]=4,69,IF(NSi.SE[[#This Row],[Ker.5]]=5,0,"-")))))</f>
        <v>-</v>
      </c>
      <c r="CW19" s="73" t="str">
        <f>IF(NSi.SE[[#This Row],[Ped.5]]=1,100,IF(NSi.SE[[#This Row],[Ped.5]]=2,89,IF(NSi.SE[[#This Row],[Ped.5]]=3,79,IF(NSi.SE[[#This Row],[Ped.5]]=4,69,IF(NSi.SE[[#This Row],[Ped.5]]=5,0,"-")))))</f>
        <v>-</v>
      </c>
      <c r="CX19" s="73" t="str">
        <f>IF(NSi.SE[[#This Row],[Pro-A.5]]=1,100,IF(NSi.SE[[#This Row],[Pro-A.5]]=2,89,IF(NSi.SE[[#This Row],[Pro-A.5]]=3,79,IF(NSi.SE[[#This Row],[Pro-A.5]]=4,69,IF(NSi.SE[[#This Row],[Pro-A.5]]=5,0,"-")))))</f>
        <v>-</v>
      </c>
      <c r="CY19" s="74" t="str">
        <f>IF(NSi.SE[[#This Row],[KU.6]]="A",100,IF(NSi.SE[[#This Row],[KU.6]]="B",89,IF(NSi.SE[[#This Row],[KU.6]]="C",79,IF(NSi.SE[[#This Row],[KU.6]]="D",69,IF(NSi.SE[[#This Row],[KU.6]]="E",0,"-")))))</f>
        <v>-</v>
      </c>
      <c r="CZ19" s="73" t="str">
        <f>IF(NSi.SE[[#This Row],[TJ.6]]=1,100,IF(NSi.SE[[#This Row],[TJ.6]]=2,89,IF(NSi.SE[[#This Row],[TJ.6]]=3,79,IF(NSi.SE[[#This Row],[TJ.6]]=4,69,IF(NSi.SE[[#This Row],[TJ.6]]=5,0,"-")))))</f>
        <v>-</v>
      </c>
      <c r="DA19" s="73" t="str">
        <f>IF(NSi.SE[[#This Row],[Ker.6]]=1,100,IF(NSi.SE[[#This Row],[Ker.6]]=2,89,IF(NSi.SE[[#This Row],[Ker.6]]=3,79,IF(NSi.SE[[#This Row],[Ker.6]]=4,69,IF(NSi.SE[[#This Row],[Ker.6]]=5,0,"-")))))</f>
        <v>-</v>
      </c>
      <c r="DB19" s="73" t="str">
        <f>IF(NSi.SE[[#This Row],[Ped.6]]=1,100,IF(NSi.SE[[#This Row],[Ped.6]]=2,89,IF(NSi.SE[[#This Row],[Ped.6]]=3,79,IF(NSi.SE[[#This Row],[Ped.6]]=4,69,IF(NSi.SE[[#This Row],[Ped.6]]=5,0,"-")))))</f>
        <v>-</v>
      </c>
      <c r="DC19" s="73" t="str">
        <f>IF(NSi.SE[[#This Row],[Pro-A.6]]=1,100,IF(NSi.SE[[#This Row],[Pro-A.6]]=2,89,IF(NSi.SE[[#This Row],[Pro-A.6]]=3,79,IF(NSi.SE[[#This Row],[Pro-A.6]]=4,69,IF(NSi.SE[[#This Row],[Pro-A.6]]=5,0,"-")))))</f>
        <v>-</v>
      </c>
      <c r="DD19" s="74" t="str">
        <f>IF(NSi.SE[[#This Row],[KU.7]]="A",100,IF(NSi.SE[[#This Row],[KU.7]]="B",89,IF(NSi.SE[[#This Row],[KU.7]]="C",79,IF(NSi.SE[[#This Row],[KU.7]]="D",69,IF(NSi.SE[[#This Row],[KU.7]]="E",0,"-")))))</f>
        <v>-</v>
      </c>
      <c r="DE19" s="73" t="str">
        <f>IF(NSi.SE[[#This Row],[TJ.7]]=1,100,IF(NSi.SE[[#This Row],[TJ.7]]=2,89,IF(NSi.SE[[#This Row],[TJ.7]]=3,79,IF(NSi.SE[[#This Row],[TJ.7]]=4,69,IF(NSi.SE[[#This Row],[TJ.7]]=5,0,"-")))))</f>
        <v>-</v>
      </c>
      <c r="DF19" s="73" t="str">
        <f>IF(NSi.SE[[#This Row],[Ker.7]]=1,100,IF(NSi.SE[[#This Row],[Ker.7]]=2,89,IF(NSi.SE[[#This Row],[Ker.7]]=3,79,IF(NSi.SE[[#This Row],[Ker.7]]=4,69,IF(NSi.SE[[#This Row],[Ker.7]]=5,0,"-")))))</f>
        <v>-</v>
      </c>
      <c r="DG19" s="73" t="str">
        <f>IF(NSi.SE[[#This Row],[Ped.7]]=1,100,IF(NSi.SE[[#This Row],[Ped.7]]=2,89,IF(NSi.SE[[#This Row],[Ped.7]]=3,79,IF(NSi.SE[[#This Row],[Ped.7]]=4,69,IF(NSi.SE[[#This Row],[Ped.7]]=5,0,"-")))))</f>
        <v>-</v>
      </c>
      <c r="DH19" s="73" t="str">
        <f>IF(NSi.SE[[#This Row],[Pro-A.7]]=1,100,IF(NSi.SE[[#This Row],[Pro-A.7]]=2,89,IF(NSi.SE[[#This Row],[Pro-A.7]]=3,79,IF(NSi.SE[[#This Row],[Pro-A.7]]=4,69,IF(NSi.SE[[#This Row],[Pro-A.7]]=5,0,"-")))))</f>
        <v>-</v>
      </c>
      <c r="DI19" s="74" t="str">
        <f>IF(NSi.SE[[#This Row],[KU.8]]="A",100,IF(NSi.SE[[#This Row],[KU.8]]="B",89,IF(NSi.SE[[#This Row],[KU.8]]="C",79,IF(NSi.SE[[#This Row],[KU.8]]="D",69,IF(NSi.SE[[#This Row],[KU.8]]="E",0,"-")))))</f>
        <v>-</v>
      </c>
      <c r="DJ19" s="73" t="str">
        <f>IF(NSi.SE[[#This Row],[TJ.8]]=1,100,IF(NSi.SE[[#This Row],[TJ.8]]=2,89,IF(NSi.SE[[#This Row],[TJ.8]]=3,79,IF(NSi.SE[[#This Row],[TJ.8]]=4,69,IF(NSi.SE[[#This Row],[TJ.8]]=5,0,"-")))))</f>
        <v>-</v>
      </c>
      <c r="DK19" s="73" t="str">
        <f>IF(NSi.SE[[#This Row],[Ker.8]]=1,100,IF(NSi.SE[[#This Row],[Ker.8]]=2,89,IF(NSi.SE[[#This Row],[Ker.8]]=3,79,IF(NSi.SE[[#This Row],[Ker.8]]=4,69,IF(NSi.SE[[#This Row],[Ker.8]]=5,0,"-")))))</f>
        <v>-</v>
      </c>
      <c r="DL19" s="73" t="str">
        <f>IF(NSi.SE[[#This Row],[Ped.8]]=1,100,IF(NSi.SE[[#This Row],[Ped.8]]=2,89,IF(NSi.SE[[#This Row],[Ped.8]]=3,79,IF(NSi.SE[[#This Row],[Ped.8]]=4,69,IF(NSi.SE[[#This Row],[Ped.8]]=5,0,"-")))))</f>
        <v>-</v>
      </c>
      <c r="DM19" s="73" t="str">
        <f>IF(NSi.SE[[#This Row],[Pro-A.8]]=1,100,IF(NSi.SE[[#This Row],[Pro-A.8]]=2,89,IF(NSi.SE[[#This Row],[Pro-A.8]]=3,79,IF(NSi.SE[[#This Row],[Pro-A.8]]=4,69,IF(NSi.SE[[#This Row],[Pro-A.8]]=5,0,"-")))))</f>
        <v>-</v>
      </c>
      <c r="DN19" s="74" t="str">
        <f>IF(NSi.SE[[#This Row],[KU.9]]="A",100,IF(NSi.SE[[#This Row],[KU.9]]="B",89,IF(NSi.SE[[#This Row],[KU.9]]="C",79,IF(NSi.SE[[#This Row],[KU.9]]="D",69,IF(NSi.SE[[#This Row],[KU.9]]="E",0,"-")))))</f>
        <v>-</v>
      </c>
      <c r="DO19" s="73" t="str">
        <f>IF(NSi.SE[[#This Row],[TJ.9]]=1,100,IF(NSi.SE[[#This Row],[TJ.9]]=2,89,IF(NSi.SE[[#This Row],[TJ.9]]=3,79,IF(NSi.SE[[#This Row],[TJ.9]]=4,69,IF(NSi.SE[[#This Row],[TJ.9]]=5,0,"-")))))</f>
        <v>-</v>
      </c>
      <c r="DP19" s="73" t="str">
        <f>IF(NSi.SE[[#This Row],[Ker.9]]=1,100,IF(NSi.SE[[#This Row],[Ker.9]]=2,89,IF(NSi.SE[[#This Row],[Ker.9]]=3,79,IF(NSi.SE[[#This Row],[Ker.9]]=4,69,IF(NSi.SE[[#This Row],[Ker.9]]=5,0,"-")))))</f>
        <v>-</v>
      </c>
      <c r="DQ19" s="73" t="str">
        <f>IF(NSi.SE[[#This Row],[Ped.9]]=1,100,IF(NSi.SE[[#This Row],[Ped.9]]=2,89,IF(NSi.SE[[#This Row],[Ped.9]]=3,79,IF(NSi.SE[[#This Row],[Ped.9]]=4,69,IF(NSi.SE[[#This Row],[Ped.9]]=5,0,"-")))))</f>
        <v>-</v>
      </c>
      <c r="DR19" s="73" t="str">
        <f>IF(NSi.SE[[#This Row],[Pro-A.9]]=1,100,IF(NSi.SE[[#This Row],[Pro-A.9]]=2,89,IF(NSi.SE[[#This Row],[Pro-A.9]]=3,79,IF(NSi.SE[[#This Row],[Pro-A.9]]=4,69,IF(NSi.SE[[#This Row],[Pro-A.9]]=5,0,"-")))))</f>
        <v>-</v>
      </c>
      <c r="DT1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0" spans="1:124" ht="50.1" customHeight="1" x14ac:dyDescent="0.3">
      <c r="A20" s="66" t="str">
        <f>IF(NSi.TS[[#This Row],[No]]=0,"",NSi.TS[[#This Row],[No]])</f>
        <v/>
      </c>
      <c r="B20" s="67" t="str">
        <f>IF(NSi.TS[[#This Row],[Nama Siswa]]=0,"",NSi.TS[[#This Row],[Nama Siswa]])</f>
        <v/>
      </c>
      <c r="C20" s="68" t="str">
        <f>IF(NSi.TS[[#This Row],[Nomor Induk]]=0,"",NSi.TS[[#This Row],[Nomor Induk]])</f>
        <v/>
      </c>
      <c r="D20" s="68" t="str">
        <f>IF(NSi.TS[[#This Row],[NISN]]=0,"",NSi.TS[[#This Row],[NISN]])</f>
        <v/>
      </c>
      <c r="E20" s="68" t="str">
        <f>IF(NSi.TS[[#This Row],[Jurusan]]=0,"",NSi.TS[[#This Row],[Jurusan]])</f>
        <v/>
      </c>
      <c r="F20" s="39" t="str">
        <f>NSi.TS[[#This Row],[Nsi.TS]]</f>
        <v/>
      </c>
      <c r="G20" s="39" t="str">
        <f>IFERROR(ROUND(AVERAGE(CSCR.S[#This Row]),0),"")</f>
        <v/>
      </c>
      <c r="H20" s="39" t="str">
        <f>IFERROR(ROUND(AVERAGE(NSi.SE[[#This Row],[Nsi.TS]:[NS.iS]]),0),"")</f>
        <v/>
      </c>
      <c r="I20" s="41" t="s">
        <v>102</v>
      </c>
      <c r="J20" s="45" t="s">
        <v>102</v>
      </c>
      <c r="K20" s="45" t="s">
        <v>102</v>
      </c>
      <c r="L20" s="45" t="s">
        <v>102</v>
      </c>
      <c r="M20" s="45" t="s">
        <v>102</v>
      </c>
      <c r="N20" s="41" t="s">
        <v>102</v>
      </c>
      <c r="O20" s="45" t="s">
        <v>102</v>
      </c>
      <c r="P20" s="45" t="s">
        <v>102</v>
      </c>
      <c r="Q20" s="45" t="s">
        <v>102</v>
      </c>
      <c r="R20" s="45" t="s">
        <v>102</v>
      </c>
      <c r="S20" s="41" t="s">
        <v>102</v>
      </c>
      <c r="T20" s="45" t="s">
        <v>102</v>
      </c>
      <c r="U20" s="45" t="s">
        <v>102</v>
      </c>
      <c r="V20" s="45" t="s">
        <v>102</v>
      </c>
      <c r="W20" s="45" t="s">
        <v>102</v>
      </c>
      <c r="X20" s="41" t="s">
        <v>102</v>
      </c>
      <c r="Y20" s="45" t="s">
        <v>102</v>
      </c>
      <c r="Z20" s="45" t="s">
        <v>102</v>
      </c>
      <c r="AA20" s="45" t="s">
        <v>102</v>
      </c>
      <c r="AB20" s="45" t="s">
        <v>102</v>
      </c>
      <c r="AC20" s="41" t="s">
        <v>102</v>
      </c>
      <c r="AD20" s="45" t="s">
        <v>102</v>
      </c>
      <c r="AE20" s="45" t="s">
        <v>102</v>
      </c>
      <c r="AF20" s="45" t="s">
        <v>102</v>
      </c>
      <c r="AG20" s="45" t="s">
        <v>102</v>
      </c>
      <c r="AH20" s="41" t="s">
        <v>102</v>
      </c>
      <c r="AI20" s="45" t="s">
        <v>102</v>
      </c>
      <c r="AJ20" s="45" t="s">
        <v>102</v>
      </c>
      <c r="AK20" s="45" t="s">
        <v>102</v>
      </c>
      <c r="AL20" s="45" t="s">
        <v>102</v>
      </c>
      <c r="AM20" s="41" t="s">
        <v>102</v>
      </c>
      <c r="AN20" s="45" t="s">
        <v>102</v>
      </c>
      <c r="AO20" s="45" t="s">
        <v>102</v>
      </c>
      <c r="AP20" s="45" t="s">
        <v>102</v>
      </c>
      <c r="AQ20" s="45" t="s">
        <v>102</v>
      </c>
      <c r="AR20" s="41" t="s">
        <v>102</v>
      </c>
      <c r="AS20" s="45" t="s">
        <v>102</v>
      </c>
      <c r="AT20" s="45" t="s">
        <v>102</v>
      </c>
      <c r="AU20" s="45" t="s">
        <v>102</v>
      </c>
      <c r="AV20" s="45" t="s">
        <v>102</v>
      </c>
      <c r="AW20" s="41" t="s">
        <v>102</v>
      </c>
      <c r="AX20" s="45" t="s">
        <v>102</v>
      </c>
      <c r="AY20" s="45" t="s">
        <v>102</v>
      </c>
      <c r="AZ20" s="45" t="s">
        <v>102</v>
      </c>
      <c r="BA20" s="45" t="s">
        <v>102</v>
      </c>
      <c r="BC20" s="10" t="str">
        <f>CONCATENATE(NSi.SE[[#This Row],[KU.1]],(IF(A.LoE.S[[#This Row],[LE.1]]="-","-",IF(A.LoE.S[[#This Row],[LE.1]]&gt;=90,1,IF(A.LoE.S[[#This Row],[LE.1]]&gt;=80,2,IF(A.LoE.S[[#This Row],[LE.1]]&gt;=70,3,IF(A.LoE.S[[#This Row],[LE.1]]&gt;=1,4,5)))))))</f>
        <v>--</v>
      </c>
      <c r="BD20" s="46" t="str">
        <f>CONCATENATE(NSi.SE[[#This Row],[KU.2]],(IF(A.LoE.S[[#This Row],[LE.2]]="-","-",IF(A.LoE.S[[#This Row],[LE.2]]&gt;=90,1,IF(A.LoE.S[[#This Row],[LE.2]]&gt;=80,2,IF(A.LoE.S[[#This Row],[LE.2]]&gt;=70,3,IF(A.LoE.S[[#This Row],[LE.2]]&gt;=1,4,5)))))))</f>
        <v>--</v>
      </c>
      <c r="BE20" s="46" t="str">
        <f>CONCATENATE(NSi.SE[[#This Row],[KU.3]],(IF(A.LoE.S[[#This Row],[LE.3]]="-","-",IF(A.LoE.S[[#This Row],[LE.3]]&gt;=90,1,IF(A.LoE.S[[#This Row],[LE.3]]&gt;=80,2,IF(A.LoE.S[[#This Row],[LE.3]]&gt;=70,3,IF(A.LoE.S[[#This Row],[LE.3]]&gt;=1,4,5)))))))</f>
        <v>--</v>
      </c>
      <c r="BF20" s="46" t="str">
        <f>CONCATENATE(NSi.SE[[#This Row],[KU.4]],(IF(A.LoE.S[[#This Row],[LE.4]]="-","-",IF(A.LoE.S[[#This Row],[LE.4]]&gt;=90,1,IF(A.LoE.S[[#This Row],[LE.4]]&gt;=80,2,IF(A.LoE.S[[#This Row],[LE.4]]&gt;=70,3,IF(A.LoE.S[[#This Row],[LE.4]]&gt;=1,4,5)))))))</f>
        <v>--</v>
      </c>
      <c r="BG20" s="46" t="str">
        <f>CONCATENATE(NSi.SE[[#This Row],[KU.5]],(IF(A.LoE.S[[#This Row],[LE.5]]="-","-",IF(A.LoE.S[[#This Row],[LE.5]]&gt;=90,1,IF(A.LoE.S[[#This Row],[LE.5]]&gt;=80,2,IF(A.LoE.S[[#This Row],[LE.5]]&gt;=70,3,IF(A.LoE.S[[#This Row],[LE.5]]&gt;=1,4,5)))))))</f>
        <v>--</v>
      </c>
      <c r="BH20" s="46" t="str">
        <f>CONCATENATE(NSi.SE[[#This Row],[KU.6]],(IF(A.LoE.S[[#This Row],[LE.6]]="-","-",IF(A.LoE.S[[#This Row],[LE.6]]&gt;=90,1,IF(A.LoE.S[[#This Row],[LE.6]]&gt;=80,2,IF(A.LoE.S[[#This Row],[LE.6]]&gt;=70,3,IF(A.LoE.S[[#This Row],[LE.6]]&gt;=1,4,5)))))))</f>
        <v>--</v>
      </c>
      <c r="BI20" s="46" t="str">
        <f>CONCATENATE(NSi.SE[[#This Row],[KU.7]],(IF(A.LoE.S[[#This Row],[LE.7]]="-","-",IF(A.LoE.S[[#This Row],[LE.7]]&gt;=90,1,IF(A.LoE.S[[#This Row],[LE.7]]&gt;=80,2,IF(A.LoE.S[[#This Row],[LE.7]]&gt;=70,3,IF(A.LoE.S[[#This Row],[LE.7]]&gt;=1,4,5)))))))</f>
        <v>--</v>
      </c>
      <c r="BJ20" s="46" t="str">
        <f>CONCATENATE(NSi.SE[[#This Row],[KU.8]],(IF(A.LoE.S[[#This Row],[LE.8]]="-","-",IF(A.LoE.S[[#This Row],[LE.8]]&gt;=90,1,IF(A.LoE.S[[#This Row],[LE.8]]&gt;=80,2,IF(A.LoE.S[[#This Row],[LE.8]]&gt;=70,3,IF(A.LoE.S[[#This Row],[LE.8]]&gt;=1,4,5)))))))</f>
        <v>--</v>
      </c>
      <c r="BK20" s="38" t="str">
        <f>CONCATENATE(NSi.SE[[#This Row],[KU.9]],(IF(A.LoE.S[[#This Row],[LE.9]]="-","-",IF(A.LoE.S[[#This Row],[LE.9]]&gt;=90,1,IF(A.LoE.S[[#This Row],[LE.9]]&gt;=80,2,IF(A.LoE.S[[#This Row],[LE.9]]&gt;=70,3,IF(A.LoE.S[[#This Row],[LE.9]]&gt;=1,4,5)))))))</f>
        <v>--</v>
      </c>
      <c r="BM20" s="35" t="str">
        <f>IFERROR(ROUND(AVERAGE(Con.Sk.S[[#This Row],[TJ.1]:[Pro-A.1]]),0),"-")</f>
        <v>-</v>
      </c>
      <c r="BN20" s="24" t="str">
        <f>IFERROR(ROUND(AVERAGE(Con.Sk.S[[#This Row],[TJ.2]:[Pro-A.2]]),0),"-")</f>
        <v>-</v>
      </c>
      <c r="BO20" s="24" t="str">
        <f>IFERROR(ROUND(AVERAGE(Con.Sk.S[[#This Row],[TJ.3]:[Pro-A.3]]),0),"-")</f>
        <v>-</v>
      </c>
      <c r="BP20" s="24" t="str">
        <f>IFERROR(ROUND(AVERAGE(Con.Sk.S[[#This Row],[TJ.4]:[Pro-A.4]]),0),"-")</f>
        <v>-</v>
      </c>
      <c r="BQ20" s="24" t="str">
        <f>IFERROR(ROUND(AVERAGE(Con.Sk.S[[#This Row],[TJ.5]:[Pro-A.5]]),0),"-")</f>
        <v>-</v>
      </c>
      <c r="BR20" s="24" t="str">
        <f>IFERROR(ROUND(AVERAGE(Con.Sk.S[[#This Row],[TJ.6]:[Pro-A.6]]),0),"-")</f>
        <v>-</v>
      </c>
      <c r="BS20" s="24" t="str">
        <f>IFERROR(ROUND(AVERAGE(Con.Sk.S[[#This Row],[TJ.7]:[Pro-A.7]]),0),"-")</f>
        <v>-</v>
      </c>
      <c r="BT20" s="24" t="str">
        <f>IFERROR(ROUND(AVERAGE(Con.Sk.S[[#This Row],[TJ.8]:[Pro-A.8]]),0),"-")</f>
        <v>-</v>
      </c>
      <c r="BU20" s="25" t="str">
        <f>IFERROR(ROUND(AVERAGE(Con.Sk.S[[#This Row],[TJ.9]:[Pro-A.9]]),0),"-")</f>
        <v>-</v>
      </c>
      <c r="BW20" s="47" t="str">
        <f>IFERROR(ROUND(AVERAGE(Con.Sk.S[[#This Row],[KU.1]],Con.Sk.S[[#This Row],[KU.2]],Con.Sk.S[[#This Row],[KU.3]],Con.Sk.S[[#This Row],[KU.4]],Con.Sk.S[[#This Row],[KU.5]],Con.Sk.S[[#This Row],[KU.6]],Con.Sk.S[[#This Row],[KU.7]],Con.Sk.S[[#This Row],[KU.8]],Con.Sk.S[[#This Row],[KU.9]]),0),"")</f>
        <v/>
      </c>
      <c r="BX20" s="48" t="str">
        <f>IFERROR(ROUND(AVERAGE(Con.Sk.S[[#This Row],[TJ.1]:[Pro-A.1]],Con.Sk.S[[#This Row],[TJ.2]:[Pro-A.2]],Con.Sk.S[[#This Row],[TJ.3]:[Pro-A.3]],Con.Sk.S[[#This Row],[TJ.4]:[Pro-A.4]],Con.Sk.S[[#This Row],[TJ.5]:[Pro-A.5]],Con.Sk.S[[#This Row],[TJ.6]:[Pro-A.6]],Con.Sk.S[[#This Row],[TJ.7]:[Pro-A.7]],Con.Sk.S[[#This Row],[TJ.8]:[Pro-A.8]],Con.Sk.S[[#This Row],[TJ.9]:[Pro-A.9]]),0),"")</f>
        <v/>
      </c>
      <c r="BY20" s="3"/>
      <c r="BZ20" s="73" t="str">
        <f>IF(NSi.SE[[#This Row],[KU.1]]="A",100,IF(NSi.SE[[#This Row],[KU.1]]="B",89,IF(NSi.SE[[#This Row],[KU.1]]="C",79,IF(NSi.SE[[#This Row],[KU.1]]="D",69,IF(NSi.SE[[#This Row],[KU.1]]="E",0,"-")))))</f>
        <v>-</v>
      </c>
      <c r="CA20" s="73" t="str">
        <f>IF(NSi.SE[[#This Row],[TJ.1]]=1,100,IF(NSi.SE[[#This Row],[TJ.1]]=2,89,IF(NSi.SE[[#This Row],[TJ.1]]=3,79,IF(NSi.SE[[#This Row],[TJ.1]]=4,69,IF(NSi.SE[[#This Row],[TJ.1]]=5,0,"-")))))</f>
        <v>-</v>
      </c>
      <c r="CB20" s="73" t="str">
        <f>IF(NSi.SE[[#This Row],[Ker.1]]=1,100,IF(NSi.SE[[#This Row],[Ker.1]]=2,89,IF(NSi.SE[[#This Row],[Ker.1]]=3,79,IF(NSi.SE[[#This Row],[Ker.1]]=4,69,IF(NSi.SE[[#This Row],[Ker.1]]=5,0,"-")))))</f>
        <v>-</v>
      </c>
      <c r="CC20" s="73" t="str">
        <f>IF(NSi.SE[[#This Row],[Ped.1]]=1,100,IF(NSi.SE[[#This Row],[Ped.1]]=2,89,IF(NSi.SE[[#This Row],[Ped.1]]=3,79,IF(NSi.SE[[#This Row],[Ped.1]]=4,69,IF(NSi.SE[[#This Row],[Ped.1]]=5,0,"-")))))</f>
        <v>-</v>
      </c>
      <c r="CD20" s="73" t="str">
        <f>IF(NSi.SE[[#This Row],[Pro-A.1]]=1,100,IF(NSi.SE[[#This Row],[Pro-A.1]]=2,89,IF(NSi.SE[[#This Row],[Pro-A.1]]=3,79,IF(NSi.SE[[#This Row],[Pro-A.1]]=4,69,IF(NSi.SE[[#This Row],[Pro-A.1]]=5,0,"-")))))</f>
        <v>-</v>
      </c>
      <c r="CE20" s="73" t="str">
        <f>IF(NSi.SE[[#This Row],[KU.2]]="A",100,IF(NSi.SE[[#This Row],[KU.2]]="B",89,IF(NSi.SE[[#This Row],[KU.2]]="C",79,IF(NSi.SE[[#This Row],[KU.2]]="D",69,IF(NSi.SE[[#This Row],[KU.2]]="E",0,"-")))))</f>
        <v>-</v>
      </c>
      <c r="CF20" s="73" t="str">
        <f>IF(NSi.SE[[#This Row],[TJ.2]]=1,100,IF(NSi.SE[[#This Row],[TJ.2]]=2,89,IF(NSi.SE[[#This Row],[TJ.2]]=3,79,IF(NSi.SE[[#This Row],[TJ.2]]=4,69,IF(NSi.SE[[#This Row],[TJ.2]]=5,0,"-")))))</f>
        <v>-</v>
      </c>
      <c r="CG20" s="73" t="str">
        <f>IF(NSi.SE[[#This Row],[Ker.2]]=1,100,IF(NSi.SE[[#This Row],[Ker.2]]=2,89,IF(NSi.SE[[#This Row],[Ker.2]]=3,79,IF(NSi.SE[[#This Row],[Ker.2]]=4,69,IF(NSi.SE[[#This Row],[Ker.2]]=5,0,"-")))))</f>
        <v>-</v>
      </c>
      <c r="CH20" s="73" t="str">
        <f>IF(NSi.SE[[#This Row],[Ped.2]]=1,100,IF(NSi.SE[[#This Row],[Ped.2]]=2,89,IF(NSi.SE[[#This Row],[Ped.2]]=3,79,IF(NSi.SE[[#This Row],[Ped.2]]=4,69,IF(NSi.SE[[#This Row],[Ped.2]]=5,0,"-")))))</f>
        <v>-</v>
      </c>
      <c r="CI20" s="73" t="str">
        <f>IF(NSi.SE[[#This Row],[Pro-A.2]]=1,100,IF(NSi.SE[[#This Row],[Pro-A.2]]=2,89,IF(NSi.SE[[#This Row],[Pro-A.2]]=3,79,IF(NSi.SE[[#This Row],[Pro-A.2]]=4,69,IF(NSi.SE[[#This Row],[Pro-A.2]]=5,0,"-")))))</f>
        <v>-</v>
      </c>
      <c r="CJ20" s="74" t="str">
        <f>IF(NSi.SE[[#This Row],[KU.3]]="A",100,IF(NSi.SE[[#This Row],[KU.3]]="B",89,IF(NSi.SE[[#This Row],[KU.3]]="C",79,IF(NSi.SE[[#This Row],[KU.3]]="D",69,IF(NSi.SE[[#This Row],[KU.3]]="E",0,"-")))))</f>
        <v>-</v>
      </c>
      <c r="CK20" s="73" t="str">
        <f>IF(NSi.SE[[#This Row],[TJ.3]]=1,100,IF(NSi.SE[[#This Row],[TJ.3]]=2,89,IF(NSi.SE[[#This Row],[TJ.3]]=3,79,IF(NSi.SE[[#This Row],[TJ.3]]=4,69,IF(NSi.SE[[#This Row],[TJ.3]]=5,0,"-")))))</f>
        <v>-</v>
      </c>
      <c r="CL20" s="73" t="str">
        <f>IF(NSi.SE[[#This Row],[Ker.3]]=1,100,IF(NSi.SE[[#This Row],[Ker.3]]=2,89,IF(NSi.SE[[#This Row],[Ker.3]]=3,79,IF(NSi.SE[[#This Row],[Ker.3]]=4,69,IF(NSi.SE[[#This Row],[Ker.3]]=5,0,"-")))))</f>
        <v>-</v>
      </c>
      <c r="CM20" s="73" t="str">
        <f>IF(NSi.SE[[#This Row],[Ped.3]]=1,100,IF(NSi.SE[[#This Row],[Ped.3]]=2,89,IF(NSi.SE[[#This Row],[Ped.3]]=3,79,IF(NSi.SE[[#This Row],[Ped.3]]=4,69,IF(NSi.SE[[#This Row],[Ped.3]]=5,0,"-")))))</f>
        <v>-</v>
      </c>
      <c r="CN20" s="73" t="str">
        <f>IF(NSi.SE[[#This Row],[Pro-A.3]]=1,100,IF(NSi.SE[[#This Row],[Pro-A.3]]=2,89,IF(NSi.SE[[#This Row],[Pro-A.3]]=3,79,IF(NSi.SE[[#This Row],[Pro-A.3]]=4,69,IF(NSi.SE[[#This Row],[Pro-A.3]]=5,0,"-")))))</f>
        <v>-</v>
      </c>
      <c r="CO20" s="74" t="str">
        <f>IF(NSi.SE[[#This Row],[KU.4]]="A",100,IF(NSi.SE[[#This Row],[KU.4]]="B",89,IF(NSi.SE[[#This Row],[KU.4]]="C",79,IF(NSi.SE[[#This Row],[KU.4]]="D",69,IF(NSi.SE[[#This Row],[KU.4]]="E",0,"-")))))</f>
        <v>-</v>
      </c>
      <c r="CP20" s="73" t="str">
        <f>IF(NSi.SE[[#This Row],[TJ.4]]=1,100,IF(NSi.SE[[#This Row],[TJ.4]]=2,89,IF(NSi.SE[[#This Row],[TJ.4]]=3,79,IF(NSi.SE[[#This Row],[TJ.4]]=4,69,IF(NSi.SE[[#This Row],[TJ.4]]=5,0,"-")))))</f>
        <v>-</v>
      </c>
      <c r="CQ20" s="73" t="str">
        <f>IF(NSi.SE[[#This Row],[Ker.4]]=1,100,IF(NSi.SE[[#This Row],[Ker.4]]=2,89,IF(NSi.SE[[#This Row],[Ker.4]]=3,79,IF(NSi.SE[[#This Row],[Ker.4]]=4,69,IF(NSi.SE[[#This Row],[Ker.4]]=5,0,"-")))))</f>
        <v>-</v>
      </c>
      <c r="CR20" s="73" t="str">
        <f>IF(NSi.SE[[#This Row],[Ped.4]]=1,100,IF(NSi.SE[[#This Row],[Ped.4]]=2,89,IF(NSi.SE[[#This Row],[Ped.4]]=3,79,IF(NSi.SE[[#This Row],[Ped.4]]=4,69,IF(NSi.SE[[#This Row],[Ped.4]]=5,0,"-")))))</f>
        <v>-</v>
      </c>
      <c r="CS20" s="73" t="str">
        <f>IF(NSi.SE[[#This Row],[Pro-A.4]]=1,100,IF(NSi.SE[[#This Row],[Pro-A.4]]=2,89,IF(NSi.SE[[#This Row],[Pro-A.4]]=3,79,IF(NSi.SE[[#This Row],[Pro-A.4]]=4,69,IF(NSi.SE[[#This Row],[Pro-A.4]]=5,0,"-")))))</f>
        <v>-</v>
      </c>
      <c r="CT20" s="74" t="str">
        <f>IF(NSi.SE[[#This Row],[KU.5]]="A",100,IF(NSi.SE[[#This Row],[KU.5]]="B",89,IF(NSi.SE[[#This Row],[KU.5]]="C",79,IF(NSi.SE[[#This Row],[KU.5]]="D",69,IF(NSi.SE[[#This Row],[KU.5]]="E",0,"-")))))</f>
        <v>-</v>
      </c>
      <c r="CU20" s="73" t="str">
        <f>IF(NSi.SE[[#This Row],[TJ.5]]=1,100,IF(NSi.SE[[#This Row],[TJ.5]]=2,89,IF(NSi.SE[[#This Row],[TJ.5]]=3,79,IF(NSi.SE[[#This Row],[TJ.5]]=4,69,IF(NSi.SE[[#This Row],[TJ.5]]=5,0,"-")))))</f>
        <v>-</v>
      </c>
      <c r="CV20" s="73" t="str">
        <f>IF(NSi.SE[[#This Row],[Ker.5]]=1,100,IF(NSi.SE[[#This Row],[Ker.5]]=2,89,IF(NSi.SE[[#This Row],[Ker.5]]=3,79,IF(NSi.SE[[#This Row],[Ker.5]]=4,69,IF(NSi.SE[[#This Row],[Ker.5]]=5,0,"-")))))</f>
        <v>-</v>
      </c>
      <c r="CW20" s="73" t="str">
        <f>IF(NSi.SE[[#This Row],[Ped.5]]=1,100,IF(NSi.SE[[#This Row],[Ped.5]]=2,89,IF(NSi.SE[[#This Row],[Ped.5]]=3,79,IF(NSi.SE[[#This Row],[Ped.5]]=4,69,IF(NSi.SE[[#This Row],[Ped.5]]=5,0,"-")))))</f>
        <v>-</v>
      </c>
      <c r="CX20" s="73" t="str">
        <f>IF(NSi.SE[[#This Row],[Pro-A.5]]=1,100,IF(NSi.SE[[#This Row],[Pro-A.5]]=2,89,IF(NSi.SE[[#This Row],[Pro-A.5]]=3,79,IF(NSi.SE[[#This Row],[Pro-A.5]]=4,69,IF(NSi.SE[[#This Row],[Pro-A.5]]=5,0,"-")))))</f>
        <v>-</v>
      </c>
      <c r="CY20" s="74" t="str">
        <f>IF(NSi.SE[[#This Row],[KU.6]]="A",100,IF(NSi.SE[[#This Row],[KU.6]]="B",89,IF(NSi.SE[[#This Row],[KU.6]]="C",79,IF(NSi.SE[[#This Row],[KU.6]]="D",69,IF(NSi.SE[[#This Row],[KU.6]]="E",0,"-")))))</f>
        <v>-</v>
      </c>
      <c r="CZ20" s="73" t="str">
        <f>IF(NSi.SE[[#This Row],[TJ.6]]=1,100,IF(NSi.SE[[#This Row],[TJ.6]]=2,89,IF(NSi.SE[[#This Row],[TJ.6]]=3,79,IF(NSi.SE[[#This Row],[TJ.6]]=4,69,IF(NSi.SE[[#This Row],[TJ.6]]=5,0,"-")))))</f>
        <v>-</v>
      </c>
      <c r="DA20" s="73" t="str">
        <f>IF(NSi.SE[[#This Row],[Ker.6]]=1,100,IF(NSi.SE[[#This Row],[Ker.6]]=2,89,IF(NSi.SE[[#This Row],[Ker.6]]=3,79,IF(NSi.SE[[#This Row],[Ker.6]]=4,69,IF(NSi.SE[[#This Row],[Ker.6]]=5,0,"-")))))</f>
        <v>-</v>
      </c>
      <c r="DB20" s="73" t="str">
        <f>IF(NSi.SE[[#This Row],[Ped.6]]=1,100,IF(NSi.SE[[#This Row],[Ped.6]]=2,89,IF(NSi.SE[[#This Row],[Ped.6]]=3,79,IF(NSi.SE[[#This Row],[Ped.6]]=4,69,IF(NSi.SE[[#This Row],[Ped.6]]=5,0,"-")))))</f>
        <v>-</v>
      </c>
      <c r="DC20" s="73" t="str">
        <f>IF(NSi.SE[[#This Row],[Pro-A.6]]=1,100,IF(NSi.SE[[#This Row],[Pro-A.6]]=2,89,IF(NSi.SE[[#This Row],[Pro-A.6]]=3,79,IF(NSi.SE[[#This Row],[Pro-A.6]]=4,69,IF(NSi.SE[[#This Row],[Pro-A.6]]=5,0,"-")))))</f>
        <v>-</v>
      </c>
      <c r="DD20" s="74" t="str">
        <f>IF(NSi.SE[[#This Row],[KU.7]]="A",100,IF(NSi.SE[[#This Row],[KU.7]]="B",89,IF(NSi.SE[[#This Row],[KU.7]]="C",79,IF(NSi.SE[[#This Row],[KU.7]]="D",69,IF(NSi.SE[[#This Row],[KU.7]]="E",0,"-")))))</f>
        <v>-</v>
      </c>
      <c r="DE20" s="73" t="str">
        <f>IF(NSi.SE[[#This Row],[TJ.7]]=1,100,IF(NSi.SE[[#This Row],[TJ.7]]=2,89,IF(NSi.SE[[#This Row],[TJ.7]]=3,79,IF(NSi.SE[[#This Row],[TJ.7]]=4,69,IF(NSi.SE[[#This Row],[TJ.7]]=5,0,"-")))))</f>
        <v>-</v>
      </c>
      <c r="DF20" s="73" t="str">
        <f>IF(NSi.SE[[#This Row],[Ker.7]]=1,100,IF(NSi.SE[[#This Row],[Ker.7]]=2,89,IF(NSi.SE[[#This Row],[Ker.7]]=3,79,IF(NSi.SE[[#This Row],[Ker.7]]=4,69,IF(NSi.SE[[#This Row],[Ker.7]]=5,0,"-")))))</f>
        <v>-</v>
      </c>
      <c r="DG20" s="73" t="str">
        <f>IF(NSi.SE[[#This Row],[Ped.7]]=1,100,IF(NSi.SE[[#This Row],[Ped.7]]=2,89,IF(NSi.SE[[#This Row],[Ped.7]]=3,79,IF(NSi.SE[[#This Row],[Ped.7]]=4,69,IF(NSi.SE[[#This Row],[Ped.7]]=5,0,"-")))))</f>
        <v>-</v>
      </c>
      <c r="DH20" s="73" t="str">
        <f>IF(NSi.SE[[#This Row],[Pro-A.7]]=1,100,IF(NSi.SE[[#This Row],[Pro-A.7]]=2,89,IF(NSi.SE[[#This Row],[Pro-A.7]]=3,79,IF(NSi.SE[[#This Row],[Pro-A.7]]=4,69,IF(NSi.SE[[#This Row],[Pro-A.7]]=5,0,"-")))))</f>
        <v>-</v>
      </c>
      <c r="DI20" s="74" t="str">
        <f>IF(NSi.SE[[#This Row],[KU.8]]="A",100,IF(NSi.SE[[#This Row],[KU.8]]="B",89,IF(NSi.SE[[#This Row],[KU.8]]="C",79,IF(NSi.SE[[#This Row],[KU.8]]="D",69,IF(NSi.SE[[#This Row],[KU.8]]="E",0,"-")))))</f>
        <v>-</v>
      </c>
      <c r="DJ20" s="73" t="str">
        <f>IF(NSi.SE[[#This Row],[TJ.8]]=1,100,IF(NSi.SE[[#This Row],[TJ.8]]=2,89,IF(NSi.SE[[#This Row],[TJ.8]]=3,79,IF(NSi.SE[[#This Row],[TJ.8]]=4,69,IF(NSi.SE[[#This Row],[TJ.8]]=5,0,"-")))))</f>
        <v>-</v>
      </c>
      <c r="DK20" s="73" t="str">
        <f>IF(NSi.SE[[#This Row],[Ker.8]]=1,100,IF(NSi.SE[[#This Row],[Ker.8]]=2,89,IF(NSi.SE[[#This Row],[Ker.8]]=3,79,IF(NSi.SE[[#This Row],[Ker.8]]=4,69,IF(NSi.SE[[#This Row],[Ker.8]]=5,0,"-")))))</f>
        <v>-</v>
      </c>
      <c r="DL20" s="73" t="str">
        <f>IF(NSi.SE[[#This Row],[Ped.8]]=1,100,IF(NSi.SE[[#This Row],[Ped.8]]=2,89,IF(NSi.SE[[#This Row],[Ped.8]]=3,79,IF(NSi.SE[[#This Row],[Ped.8]]=4,69,IF(NSi.SE[[#This Row],[Ped.8]]=5,0,"-")))))</f>
        <v>-</v>
      </c>
      <c r="DM20" s="73" t="str">
        <f>IF(NSi.SE[[#This Row],[Pro-A.8]]=1,100,IF(NSi.SE[[#This Row],[Pro-A.8]]=2,89,IF(NSi.SE[[#This Row],[Pro-A.8]]=3,79,IF(NSi.SE[[#This Row],[Pro-A.8]]=4,69,IF(NSi.SE[[#This Row],[Pro-A.8]]=5,0,"-")))))</f>
        <v>-</v>
      </c>
      <c r="DN20" s="74" t="str">
        <f>IF(NSi.SE[[#This Row],[KU.9]]="A",100,IF(NSi.SE[[#This Row],[KU.9]]="B",89,IF(NSi.SE[[#This Row],[KU.9]]="C",79,IF(NSi.SE[[#This Row],[KU.9]]="D",69,IF(NSi.SE[[#This Row],[KU.9]]="E",0,"-")))))</f>
        <v>-</v>
      </c>
      <c r="DO20" s="73" t="str">
        <f>IF(NSi.SE[[#This Row],[TJ.9]]=1,100,IF(NSi.SE[[#This Row],[TJ.9]]=2,89,IF(NSi.SE[[#This Row],[TJ.9]]=3,79,IF(NSi.SE[[#This Row],[TJ.9]]=4,69,IF(NSi.SE[[#This Row],[TJ.9]]=5,0,"-")))))</f>
        <v>-</v>
      </c>
      <c r="DP20" s="73" t="str">
        <f>IF(NSi.SE[[#This Row],[Ker.9]]=1,100,IF(NSi.SE[[#This Row],[Ker.9]]=2,89,IF(NSi.SE[[#This Row],[Ker.9]]=3,79,IF(NSi.SE[[#This Row],[Ker.9]]=4,69,IF(NSi.SE[[#This Row],[Ker.9]]=5,0,"-")))))</f>
        <v>-</v>
      </c>
      <c r="DQ20" s="73" t="str">
        <f>IF(NSi.SE[[#This Row],[Ped.9]]=1,100,IF(NSi.SE[[#This Row],[Ped.9]]=2,89,IF(NSi.SE[[#This Row],[Ped.9]]=3,79,IF(NSi.SE[[#This Row],[Ped.9]]=4,69,IF(NSi.SE[[#This Row],[Ped.9]]=5,0,"-")))))</f>
        <v>-</v>
      </c>
      <c r="DR20" s="73" t="str">
        <f>IF(NSi.SE[[#This Row],[Pro-A.9]]=1,100,IF(NSi.SE[[#This Row],[Pro-A.9]]=2,89,IF(NSi.SE[[#This Row],[Pro-A.9]]=3,79,IF(NSi.SE[[#This Row],[Pro-A.9]]=4,69,IF(NSi.SE[[#This Row],[Pro-A.9]]=5,0,"-")))))</f>
        <v>-</v>
      </c>
      <c r="DT2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1" spans="1:124" ht="50.1" customHeight="1" x14ac:dyDescent="0.3">
      <c r="A21" s="66" t="str">
        <f>IF(NSi.TS[[#This Row],[No]]=0,"",NSi.TS[[#This Row],[No]])</f>
        <v/>
      </c>
      <c r="B21" s="67" t="str">
        <f>IF(NSi.TS[[#This Row],[Nama Siswa]]=0,"",NSi.TS[[#This Row],[Nama Siswa]])</f>
        <v/>
      </c>
      <c r="C21" s="68" t="str">
        <f>IF(NSi.TS[[#This Row],[Nomor Induk]]=0,"",NSi.TS[[#This Row],[Nomor Induk]])</f>
        <v/>
      </c>
      <c r="D21" s="68" t="str">
        <f>IF(NSi.TS[[#This Row],[NISN]]=0,"",NSi.TS[[#This Row],[NISN]])</f>
        <v/>
      </c>
      <c r="E21" s="68" t="str">
        <f>IF(NSi.TS[[#This Row],[Jurusan]]=0,"",NSi.TS[[#This Row],[Jurusan]])</f>
        <v/>
      </c>
      <c r="F21" s="39" t="str">
        <f>NSi.TS[[#This Row],[Nsi.TS]]</f>
        <v/>
      </c>
      <c r="G21" s="39" t="str">
        <f>IFERROR(ROUND(AVERAGE(CSCR.S[#This Row]),0),"")</f>
        <v/>
      </c>
      <c r="H21" s="39" t="str">
        <f>IFERROR(ROUND(AVERAGE(NSi.SE[[#This Row],[Nsi.TS]:[NS.iS]]),0),"")</f>
        <v/>
      </c>
      <c r="I21" s="41" t="s">
        <v>102</v>
      </c>
      <c r="J21" s="45" t="s">
        <v>102</v>
      </c>
      <c r="K21" s="45" t="s">
        <v>102</v>
      </c>
      <c r="L21" s="45" t="s">
        <v>102</v>
      </c>
      <c r="M21" s="45" t="s">
        <v>102</v>
      </c>
      <c r="N21" s="41" t="s">
        <v>102</v>
      </c>
      <c r="O21" s="45" t="s">
        <v>102</v>
      </c>
      <c r="P21" s="45" t="s">
        <v>102</v>
      </c>
      <c r="Q21" s="45" t="s">
        <v>102</v>
      </c>
      <c r="R21" s="45" t="s">
        <v>102</v>
      </c>
      <c r="S21" s="41" t="s">
        <v>102</v>
      </c>
      <c r="T21" s="45" t="s">
        <v>102</v>
      </c>
      <c r="U21" s="45" t="s">
        <v>102</v>
      </c>
      <c r="V21" s="45" t="s">
        <v>102</v>
      </c>
      <c r="W21" s="45" t="s">
        <v>102</v>
      </c>
      <c r="X21" s="41" t="s">
        <v>102</v>
      </c>
      <c r="Y21" s="45" t="s">
        <v>102</v>
      </c>
      <c r="Z21" s="45" t="s">
        <v>102</v>
      </c>
      <c r="AA21" s="45" t="s">
        <v>102</v>
      </c>
      <c r="AB21" s="45" t="s">
        <v>102</v>
      </c>
      <c r="AC21" s="41" t="s">
        <v>102</v>
      </c>
      <c r="AD21" s="45" t="s">
        <v>102</v>
      </c>
      <c r="AE21" s="45" t="s">
        <v>102</v>
      </c>
      <c r="AF21" s="45" t="s">
        <v>102</v>
      </c>
      <c r="AG21" s="45" t="s">
        <v>102</v>
      </c>
      <c r="AH21" s="41" t="s">
        <v>102</v>
      </c>
      <c r="AI21" s="45" t="s">
        <v>102</v>
      </c>
      <c r="AJ21" s="45" t="s">
        <v>102</v>
      </c>
      <c r="AK21" s="45" t="s">
        <v>102</v>
      </c>
      <c r="AL21" s="45" t="s">
        <v>102</v>
      </c>
      <c r="AM21" s="41" t="s">
        <v>102</v>
      </c>
      <c r="AN21" s="45" t="s">
        <v>102</v>
      </c>
      <c r="AO21" s="45" t="s">
        <v>102</v>
      </c>
      <c r="AP21" s="45" t="s">
        <v>102</v>
      </c>
      <c r="AQ21" s="45" t="s">
        <v>102</v>
      </c>
      <c r="AR21" s="41" t="s">
        <v>102</v>
      </c>
      <c r="AS21" s="45" t="s">
        <v>102</v>
      </c>
      <c r="AT21" s="45" t="s">
        <v>102</v>
      </c>
      <c r="AU21" s="45" t="s">
        <v>102</v>
      </c>
      <c r="AV21" s="45" t="s">
        <v>102</v>
      </c>
      <c r="AW21" s="41" t="s">
        <v>102</v>
      </c>
      <c r="AX21" s="45" t="s">
        <v>102</v>
      </c>
      <c r="AY21" s="45" t="s">
        <v>102</v>
      </c>
      <c r="AZ21" s="45" t="s">
        <v>102</v>
      </c>
      <c r="BA21" s="45" t="s">
        <v>102</v>
      </c>
      <c r="BC21" s="10" t="str">
        <f>CONCATENATE(NSi.SE[[#This Row],[KU.1]],(IF(A.LoE.S[[#This Row],[LE.1]]="-","-",IF(A.LoE.S[[#This Row],[LE.1]]&gt;=90,1,IF(A.LoE.S[[#This Row],[LE.1]]&gt;=80,2,IF(A.LoE.S[[#This Row],[LE.1]]&gt;=70,3,IF(A.LoE.S[[#This Row],[LE.1]]&gt;=1,4,5)))))))</f>
        <v>--</v>
      </c>
      <c r="BD21" s="46" t="str">
        <f>CONCATENATE(NSi.SE[[#This Row],[KU.2]],(IF(A.LoE.S[[#This Row],[LE.2]]="-","-",IF(A.LoE.S[[#This Row],[LE.2]]&gt;=90,1,IF(A.LoE.S[[#This Row],[LE.2]]&gt;=80,2,IF(A.LoE.S[[#This Row],[LE.2]]&gt;=70,3,IF(A.LoE.S[[#This Row],[LE.2]]&gt;=1,4,5)))))))</f>
        <v>--</v>
      </c>
      <c r="BE21" s="46" t="str">
        <f>CONCATENATE(NSi.SE[[#This Row],[KU.3]],(IF(A.LoE.S[[#This Row],[LE.3]]="-","-",IF(A.LoE.S[[#This Row],[LE.3]]&gt;=90,1,IF(A.LoE.S[[#This Row],[LE.3]]&gt;=80,2,IF(A.LoE.S[[#This Row],[LE.3]]&gt;=70,3,IF(A.LoE.S[[#This Row],[LE.3]]&gt;=1,4,5)))))))</f>
        <v>--</v>
      </c>
      <c r="BF21" s="46" t="str">
        <f>CONCATENATE(NSi.SE[[#This Row],[KU.4]],(IF(A.LoE.S[[#This Row],[LE.4]]="-","-",IF(A.LoE.S[[#This Row],[LE.4]]&gt;=90,1,IF(A.LoE.S[[#This Row],[LE.4]]&gt;=80,2,IF(A.LoE.S[[#This Row],[LE.4]]&gt;=70,3,IF(A.LoE.S[[#This Row],[LE.4]]&gt;=1,4,5)))))))</f>
        <v>--</v>
      </c>
      <c r="BG21" s="46" t="str">
        <f>CONCATENATE(NSi.SE[[#This Row],[KU.5]],(IF(A.LoE.S[[#This Row],[LE.5]]="-","-",IF(A.LoE.S[[#This Row],[LE.5]]&gt;=90,1,IF(A.LoE.S[[#This Row],[LE.5]]&gt;=80,2,IF(A.LoE.S[[#This Row],[LE.5]]&gt;=70,3,IF(A.LoE.S[[#This Row],[LE.5]]&gt;=1,4,5)))))))</f>
        <v>--</v>
      </c>
      <c r="BH21" s="46" t="str">
        <f>CONCATENATE(NSi.SE[[#This Row],[KU.6]],(IF(A.LoE.S[[#This Row],[LE.6]]="-","-",IF(A.LoE.S[[#This Row],[LE.6]]&gt;=90,1,IF(A.LoE.S[[#This Row],[LE.6]]&gt;=80,2,IF(A.LoE.S[[#This Row],[LE.6]]&gt;=70,3,IF(A.LoE.S[[#This Row],[LE.6]]&gt;=1,4,5)))))))</f>
        <v>--</v>
      </c>
      <c r="BI21" s="46" t="str">
        <f>CONCATENATE(NSi.SE[[#This Row],[KU.7]],(IF(A.LoE.S[[#This Row],[LE.7]]="-","-",IF(A.LoE.S[[#This Row],[LE.7]]&gt;=90,1,IF(A.LoE.S[[#This Row],[LE.7]]&gt;=80,2,IF(A.LoE.S[[#This Row],[LE.7]]&gt;=70,3,IF(A.LoE.S[[#This Row],[LE.7]]&gt;=1,4,5)))))))</f>
        <v>--</v>
      </c>
      <c r="BJ21" s="46" t="str">
        <f>CONCATENATE(NSi.SE[[#This Row],[KU.8]],(IF(A.LoE.S[[#This Row],[LE.8]]="-","-",IF(A.LoE.S[[#This Row],[LE.8]]&gt;=90,1,IF(A.LoE.S[[#This Row],[LE.8]]&gt;=80,2,IF(A.LoE.S[[#This Row],[LE.8]]&gt;=70,3,IF(A.LoE.S[[#This Row],[LE.8]]&gt;=1,4,5)))))))</f>
        <v>--</v>
      </c>
      <c r="BK21" s="38" t="str">
        <f>CONCATENATE(NSi.SE[[#This Row],[KU.9]],(IF(A.LoE.S[[#This Row],[LE.9]]="-","-",IF(A.LoE.S[[#This Row],[LE.9]]&gt;=90,1,IF(A.LoE.S[[#This Row],[LE.9]]&gt;=80,2,IF(A.LoE.S[[#This Row],[LE.9]]&gt;=70,3,IF(A.LoE.S[[#This Row],[LE.9]]&gt;=1,4,5)))))))</f>
        <v>--</v>
      </c>
      <c r="BM21" s="35" t="str">
        <f>IFERROR(ROUND(AVERAGE(Con.Sk.S[[#This Row],[TJ.1]:[Pro-A.1]]),0),"-")</f>
        <v>-</v>
      </c>
      <c r="BN21" s="24" t="str">
        <f>IFERROR(ROUND(AVERAGE(Con.Sk.S[[#This Row],[TJ.2]:[Pro-A.2]]),0),"-")</f>
        <v>-</v>
      </c>
      <c r="BO21" s="24" t="str">
        <f>IFERROR(ROUND(AVERAGE(Con.Sk.S[[#This Row],[TJ.3]:[Pro-A.3]]),0),"-")</f>
        <v>-</v>
      </c>
      <c r="BP21" s="24" t="str">
        <f>IFERROR(ROUND(AVERAGE(Con.Sk.S[[#This Row],[TJ.4]:[Pro-A.4]]),0),"-")</f>
        <v>-</v>
      </c>
      <c r="BQ21" s="24" t="str">
        <f>IFERROR(ROUND(AVERAGE(Con.Sk.S[[#This Row],[TJ.5]:[Pro-A.5]]),0),"-")</f>
        <v>-</v>
      </c>
      <c r="BR21" s="24" t="str">
        <f>IFERROR(ROUND(AVERAGE(Con.Sk.S[[#This Row],[TJ.6]:[Pro-A.6]]),0),"-")</f>
        <v>-</v>
      </c>
      <c r="BS21" s="24" t="str">
        <f>IFERROR(ROUND(AVERAGE(Con.Sk.S[[#This Row],[TJ.7]:[Pro-A.7]]),0),"-")</f>
        <v>-</v>
      </c>
      <c r="BT21" s="24" t="str">
        <f>IFERROR(ROUND(AVERAGE(Con.Sk.S[[#This Row],[TJ.8]:[Pro-A.8]]),0),"-")</f>
        <v>-</v>
      </c>
      <c r="BU21" s="25" t="str">
        <f>IFERROR(ROUND(AVERAGE(Con.Sk.S[[#This Row],[TJ.9]:[Pro-A.9]]),0),"-")</f>
        <v>-</v>
      </c>
      <c r="BW21" s="47" t="str">
        <f>IFERROR(ROUND(AVERAGE(Con.Sk.S[[#This Row],[KU.1]],Con.Sk.S[[#This Row],[KU.2]],Con.Sk.S[[#This Row],[KU.3]],Con.Sk.S[[#This Row],[KU.4]],Con.Sk.S[[#This Row],[KU.5]],Con.Sk.S[[#This Row],[KU.6]],Con.Sk.S[[#This Row],[KU.7]],Con.Sk.S[[#This Row],[KU.8]],Con.Sk.S[[#This Row],[KU.9]]),0),"")</f>
        <v/>
      </c>
      <c r="BX21" s="48" t="str">
        <f>IFERROR(ROUND(AVERAGE(Con.Sk.S[[#This Row],[TJ.1]:[Pro-A.1]],Con.Sk.S[[#This Row],[TJ.2]:[Pro-A.2]],Con.Sk.S[[#This Row],[TJ.3]:[Pro-A.3]],Con.Sk.S[[#This Row],[TJ.4]:[Pro-A.4]],Con.Sk.S[[#This Row],[TJ.5]:[Pro-A.5]],Con.Sk.S[[#This Row],[TJ.6]:[Pro-A.6]],Con.Sk.S[[#This Row],[TJ.7]:[Pro-A.7]],Con.Sk.S[[#This Row],[TJ.8]:[Pro-A.8]],Con.Sk.S[[#This Row],[TJ.9]:[Pro-A.9]]),0),"")</f>
        <v/>
      </c>
      <c r="BY21" s="3"/>
      <c r="BZ21" s="73" t="str">
        <f>IF(NSi.SE[[#This Row],[KU.1]]="A",100,IF(NSi.SE[[#This Row],[KU.1]]="B",89,IF(NSi.SE[[#This Row],[KU.1]]="C",79,IF(NSi.SE[[#This Row],[KU.1]]="D",69,IF(NSi.SE[[#This Row],[KU.1]]="E",0,"-")))))</f>
        <v>-</v>
      </c>
      <c r="CA21" s="73" t="str">
        <f>IF(NSi.SE[[#This Row],[TJ.1]]=1,100,IF(NSi.SE[[#This Row],[TJ.1]]=2,89,IF(NSi.SE[[#This Row],[TJ.1]]=3,79,IF(NSi.SE[[#This Row],[TJ.1]]=4,69,IF(NSi.SE[[#This Row],[TJ.1]]=5,0,"-")))))</f>
        <v>-</v>
      </c>
      <c r="CB21" s="73" t="str">
        <f>IF(NSi.SE[[#This Row],[Ker.1]]=1,100,IF(NSi.SE[[#This Row],[Ker.1]]=2,89,IF(NSi.SE[[#This Row],[Ker.1]]=3,79,IF(NSi.SE[[#This Row],[Ker.1]]=4,69,IF(NSi.SE[[#This Row],[Ker.1]]=5,0,"-")))))</f>
        <v>-</v>
      </c>
      <c r="CC21" s="73" t="str">
        <f>IF(NSi.SE[[#This Row],[Ped.1]]=1,100,IF(NSi.SE[[#This Row],[Ped.1]]=2,89,IF(NSi.SE[[#This Row],[Ped.1]]=3,79,IF(NSi.SE[[#This Row],[Ped.1]]=4,69,IF(NSi.SE[[#This Row],[Ped.1]]=5,0,"-")))))</f>
        <v>-</v>
      </c>
      <c r="CD21" s="73" t="str">
        <f>IF(NSi.SE[[#This Row],[Pro-A.1]]=1,100,IF(NSi.SE[[#This Row],[Pro-A.1]]=2,89,IF(NSi.SE[[#This Row],[Pro-A.1]]=3,79,IF(NSi.SE[[#This Row],[Pro-A.1]]=4,69,IF(NSi.SE[[#This Row],[Pro-A.1]]=5,0,"-")))))</f>
        <v>-</v>
      </c>
      <c r="CE21" s="73" t="str">
        <f>IF(NSi.SE[[#This Row],[KU.2]]="A",100,IF(NSi.SE[[#This Row],[KU.2]]="B",89,IF(NSi.SE[[#This Row],[KU.2]]="C",79,IF(NSi.SE[[#This Row],[KU.2]]="D",69,IF(NSi.SE[[#This Row],[KU.2]]="E",0,"-")))))</f>
        <v>-</v>
      </c>
      <c r="CF21" s="73" t="str">
        <f>IF(NSi.SE[[#This Row],[TJ.2]]=1,100,IF(NSi.SE[[#This Row],[TJ.2]]=2,89,IF(NSi.SE[[#This Row],[TJ.2]]=3,79,IF(NSi.SE[[#This Row],[TJ.2]]=4,69,IF(NSi.SE[[#This Row],[TJ.2]]=5,0,"-")))))</f>
        <v>-</v>
      </c>
      <c r="CG21" s="73" t="str">
        <f>IF(NSi.SE[[#This Row],[Ker.2]]=1,100,IF(NSi.SE[[#This Row],[Ker.2]]=2,89,IF(NSi.SE[[#This Row],[Ker.2]]=3,79,IF(NSi.SE[[#This Row],[Ker.2]]=4,69,IF(NSi.SE[[#This Row],[Ker.2]]=5,0,"-")))))</f>
        <v>-</v>
      </c>
      <c r="CH21" s="73" t="str">
        <f>IF(NSi.SE[[#This Row],[Ped.2]]=1,100,IF(NSi.SE[[#This Row],[Ped.2]]=2,89,IF(NSi.SE[[#This Row],[Ped.2]]=3,79,IF(NSi.SE[[#This Row],[Ped.2]]=4,69,IF(NSi.SE[[#This Row],[Ped.2]]=5,0,"-")))))</f>
        <v>-</v>
      </c>
      <c r="CI21" s="73" t="str">
        <f>IF(NSi.SE[[#This Row],[Pro-A.2]]=1,100,IF(NSi.SE[[#This Row],[Pro-A.2]]=2,89,IF(NSi.SE[[#This Row],[Pro-A.2]]=3,79,IF(NSi.SE[[#This Row],[Pro-A.2]]=4,69,IF(NSi.SE[[#This Row],[Pro-A.2]]=5,0,"-")))))</f>
        <v>-</v>
      </c>
      <c r="CJ21" s="74" t="str">
        <f>IF(NSi.SE[[#This Row],[KU.3]]="A",100,IF(NSi.SE[[#This Row],[KU.3]]="B",89,IF(NSi.SE[[#This Row],[KU.3]]="C",79,IF(NSi.SE[[#This Row],[KU.3]]="D",69,IF(NSi.SE[[#This Row],[KU.3]]="E",0,"-")))))</f>
        <v>-</v>
      </c>
      <c r="CK21" s="73" t="str">
        <f>IF(NSi.SE[[#This Row],[TJ.3]]=1,100,IF(NSi.SE[[#This Row],[TJ.3]]=2,89,IF(NSi.SE[[#This Row],[TJ.3]]=3,79,IF(NSi.SE[[#This Row],[TJ.3]]=4,69,IF(NSi.SE[[#This Row],[TJ.3]]=5,0,"-")))))</f>
        <v>-</v>
      </c>
      <c r="CL21" s="73" t="str">
        <f>IF(NSi.SE[[#This Row],[Ker.3]]=1,100,IF(NSi.SE[[#This Row],[Ker.3]]=2,89,IF(NSi.SE[[#This Row],[Ker.3]]=3,79,IF(NSi.SE[[#This Row],[Ker.3]]=4,69,IF(NSi.SE[[#This Row],[Ker.3]]=5,0,"-")))))</f>
        <v>-</v>
      </c>
      <c r="CM21" s="73" t="str">
        <f>IF(NSi.SE[[#This Row],[Ped.3]]=1,100,IF(NSi.SE[[#This Row],[Ped.3]]=2,89,IF(NSi.SE[[#This Row],[Ped.3]]=3,79,IF(NSi.SE[[#This Row],[Ped.3]]=4,69,IF(NSi.SE[[#This Row],[Ped.3]]=5,0,"-")))))</f>
        <v>-</v>
      </c>
      <c r="CN21" s="73" t="str">
        <f>IF(NSi.SE[[#This Row],[Pro-A.3]]=1,100,IF(NSi.SE[[#This Row],[Pro-A.3]]=2,89,IF(NSi.SE[[#This Row],[Pro-A.3]]=3,79,IF(NSi.SE[[#This Row],[Pro-A.3]]=4,69,IF(NSi.SE[[#This Row],[Pro-A.3]]=5,0,"-")))))</f>
        <v>-</v>
      </c>
      <c r="CO21" s="74" t="str">
        <f>IF(NSi.SE[[#This Row],[KU.4]]="A",100,IF(NSi.SE[[#This Row],[KU.4]]="B",89,IF(NSi.SE[[#This Row],[KU.4]]="C",79,IF(NSi.SE[[#This Row],[KU.4]]="D",69,IF(NSi.SE[[#This Row],[KU.4]]="E",0,"-")))))</f>
        <v>-</v>
      </c>
      <c r="CP21" s="73" t="str">
        <f>IF(NSi.SE[[#This Row],[TJ.4]]=1,100,IF(NSi.SE[[#This Row],[TJ.4]]=2,89,IF(NSi.SE[[#This Row],[TJ.4]]=3,79,IF(NSi.SE[[#This Row],[TJ.4]]=4,69,IF(NSi.SE[[#This Row],[TJ.4]]=5,0,"-")))))</f>
        <v>-</v>
      </c>
      <c r="CQ21" s="73" t="str">
        <f>IF(NSi.SE[[#This Row],[Ker.4]]=1,100,IF(NSi.SE[[#This Row],[Ker.4]]=2,89,IF(NSi.SE[[#This Row],[Ker.4]]=3,79,IF(NSi.SE[[#This Row],[Ker.4]]=4,69,IF(NSi.SE[[#This Row],[Ker.4]]=5,0,"-")))))</f>
        <v>-</v>
      </c>
      <c r="CR21" s="73" t="str">
        <f>IF(NSi.SE[[#This Row],[Ped.4]]=1,100,IF(NSi.SE[[#This Row],[Ped.4]]=2,89,IF(NSi.SE[[#This Row],[Ped.4]]=3,79,IF(NSi.SE[[#This Row],[Ped.4]]=4,69,IF(NSi.SE[[#This Row],[Ped.4]]=5,0,"-")))))</f>
        <v>-</v>
      </c>
      <c r="CS21" s="73" t="str">
        <f>IF(NSi.SE[[#This Row],[Pro-A.4]]=1,100,IF(NSi.SE[[#This Row],[Pro-A.4]]=2,89,IF(NSi.SE[[#This Row],[Pro-A.4]]=3,79,IF(NSi.SE[[#This Row],[Pro-A.4]]=4,69,IF(NSi.SE[[#This Row],[Pro-A.4]]=5,0,"-")))))</f>
        <v>-</v>
      </c>
      <c r="CT21" s="74" t="str">
        <f>IF(NSi.SE[[#This Row],[KU.5]]="A",100,IF(NSi.SE[[#This Row],[KU.5]]="B",89,IF(NSi.SE[[#This Row],[KU.5]]="C",79,IF(NSi.SE[[#This Row],[KU.5]]="D",69,IF(NSi.SE[[#This Row],[KU.5]]="E",0,"-")))))</f>
        <v>-</v>
      </c>
      <c r="CU21" s="73" t="str">
        <f>IF(NSi.SE[[#This Row],[TJ.5]]=1,100,IF(NSi.SE[[#This Row],[TJ.5]]=2,89,IF(NSi.SE[[#This Row],[TJ.5]]=3,79,IF(NSi.SE[[#This Row],[TJ.5]]=4,69,IF(NSi.SE[[#This Row],[TJ.5]]=5,0,"-")))))</f>
        <v>-</v>
      </c>
      <c r="CV21" s="73" t="str">
        <f>IF(NSi.SE[[#This Row],[Ker.5]]=1,100,IF(NSi.SE[[#This Row],[Ker.5]]=2,89,IF(NSi.SE[[#This Row],[Ker.5]]=3,79,IF(NSi.SE[[#This Row],[Ker.5]]=4,69,IF(NSi.SE[[#This Row],[Ker.5]]=5,0,"-")))))</f>
        <v>-</v>
      </c>
      <c r="CW21" s="73" t="str">
        <f>IF(NSi.SE[[#This Row],[Ped.5]]=1,100,IF(NSi.SE[[#This Row],[Ped.5]]=2,89,IF(NSi.SE[[#This Row],[Ped.5]]=3,79,IF(NSi.SE[[#This Row],[Ped.5]]=4,69,IF(NSi.SE[[#This Row],[Ped.5]]=5,0,"-")))))</f>
        <v>-</v>
      </c>
      <c r="CX21" s="73" t="str">
        <f>IF(NSi.SE[[#This Row],[Pro-A.5]]=1,100,IF(NSi.SE[[#This Row],[Pro-A.5]]=2,89,IF(NSi.SE[[#This Row],[Pro-A.5]]=3,79,IF(NSi.SE[[#This Row],[Pro-A.5]]=4,69,IF(NSi.SE[[#This Row],[Pro-A.5]]=5,0,"-")))))</f>
        <v>-</v>
      </c>
      <c r="CY21" s="74" t="str">
        <f>IF(NSi.SE[[#This Row],[KU.6]]="A",100,IF(NSi.SE[[#This Row],[KU.6]]="B",89,IF(NSi.SE[[#This Row],[KU.6]]="C",79,IF(NSi.SE[[#This Row],[KU.6]]="D",69,IF(NSi.SE[[#This Row],[KU.6]]="E",0,"-")))))</f>
        <v>-</v>
      </c>
      <c r="CZ21" s="73" t="str">
        <f>IF(NSi.SE[[#This Row],[TJ.6]]=1,100,IF(NSi.SE[[#This Row],[TJ.6]]=2,89,IF(NSi.SE[[#This Row],[TJ.6]]=3,79,IF(NSi.SE[[#This Row],[TJ.6]]=4,69,IF(NSi.SE[[#This Row],[TJ.6]]=5,0,"-")))))</f>
        <v>-</v>
      </c>
      <c r="DA21" s="73" t="str">
        <f>IF(NSi.SE[[#This Row],[Ker.6]]=1,100,IF(NSi.SE[[#This Row],[Ker.6]]=2,89,IF(NSi.SE[[#This Row],[Ker.6]]=3,79,IF(NSi.SE[[#This Row],[Ker.6]]=4,69,IF(NSi.SE[[#This Row],[Ker.6]]=5,0,"-")))))</f>
        <v>-</v>
      </c>
      <c r="DB21" s="73" t="str">
        <f>IF(NSi.SE[[#This Row],[Ped.6]]=1,100,IF(NSi.SE[[#This Row],[Ped.6]]=2,89,IF(NSi.SE[[#This Row],[Ped.6]]=3,79,IF(NSi.SE[[#This Row],[Ped.6]]=4,69,IF(NSi.SE[[#This Row],[Ped.6]]=5,0,"-")))))</f>
        <v>-</v>
      </c>
      <c r="DC21" s="73" t="str">
        <f>IF(NSi.SE[[#This Row],[Pro-A.6]]=1,100,IF(NSi.SE[[#This Row],[Pro-A.6]]=2,89,IF(NSi.SE[[#This Row],[Pro-A.6]]=3,79,IF(NSi.SE[[#This Row],[Pro-A.6]]=4,69,IF(NSi.SE[[#This Row],[Pro-A.6]]=5,0,"-")))))</f>
        <v>-</v>
      </c>
      <c r="DD21" s="74" t="str">
        <f>IF(NSi.SE[[#This Row],[KU.7]]="A",100,IF(NSi.SE[[#This Row],[KU.7]]="B",89,IF(NSi.SE[[#This Row],[KU.7]]="C",79,IF(NSi.SE[[#This Row],[KU.7]]="D",69,IF(NSi.SE[[#This Row],[KU.7]]="E",0,"-")))))</f>
        <v>-</v>
      </c>
      <c r="DE21" s="73" t="str">
        <f>IF(NSi.SE[[#This Row],[TJ.7]]=1,100,IF(NSi.SE[[#This Row],[TJ.7]]=2,89,IF(NSi.SE[[#This Row],[TJ.7]]=3,79,IF(NSi.SE[[#This Row],[TJ.7]]=4,69,IF(NSi.SE[[#This Row],[TJ.7]]=5,0,"-")))))</f>
        <v>-</v>
      </c>
      <c r="DF21" s="73" t="str">
        <f>IF(NSi.SE[[#This Row],[Ker.7]]=1,100,IF(NSi.SE[[#This Row],[Ker.7]]=2,89,IF(NSi.SE[[#This Row],[Ker.7]]=3,79,IF(NSi.SE[[#This Row],[Ker.7]]=4,69,IF(NSi.SE[[#This Row],[Ker.7]]=5,0,"-")))))</f>
        <v>-</v>
      </c>
      <c r="DG21" s="73" t="str">
        <f>IF(NSi.SE[[#This Row],[Ped.7]]=1,100,IF(NSi.SE[[#This Row],[Ped.7]]=2,89,IF(NSi.SE[[#This Row],[Ped.7]]=3,79,IF(NSi.SE[[#This Row],[Ped.7]]=4,69,IF(NSi.SE[[#This Row],[Ped.7]]=5,0,"-")))))</f>
        <v>-</v>
      </c>
      <c r="DH21" s="73" t="str">
        <f>IF(NSi.SE[[#This Row],[Pro-A.7]]=1,100,IF(NSi.SE[[#This Row],[Pro-A.7]]=2,89,IF(NSi.SE[[#This Row],[Pro-A.7]]=3,79,IF(NSi.SE[[#This Row],[Pro-A.7]]=4,69,IF(NSi.SE[[#This Row],[Pro-A.7]]=5,0,"-")))))</f>
        <v>-</v>
      </c>
      <c r="DI21" s="74" t="str">
        <f>IF(NSi.SE[[#This Row],[KU.8]]="A",100,IF(NSi.SE[[#This Row],[KU.8]]="B",89,IF(NSi.SE[[#This Row],[KU.8]]="C",79,IF(NSi.SE[[#This Row],[KU.8]]="D",69,IF(NSi.SE[[#This Row],[KU.8]]="E",0,"-")))))</f>
        <v>-</v>
      </c>
      <c r="DJ21" s="73" t="str">
        <f>IF(NSi.SE[[#This Row],[TJ.8]]=1,100,IF(NSi.SE[[#This Row],[TJ.8]]=2,89,IF(NSi.SE[[#This Row],[TJ.8]]=3,79,IF(NSi.SE[[#This Row],[TJ.8]]=4,69,IF(NSi.SE[[#This Row],[TJ.8]]=5,0,"-")))))</f>
        <v>-</v>
      </c>
      <c r="DK21" s="73" t="str">
        <f>IF(NSi.SE[[#This Row],[Ker.8]]=1,100,IF(NSi.SE[[#This Row],[Ker.8]]=2,89,IF(NSi.SE[[#This Row],[Ker.8]]=3,79,IF(NSi.SE[[#This Row],[Ker.8]]=4,69,IF(NSi.SE[[#This Row],[Ker.8]]=5,0,"-")))))</f>
        <v>-</v>
      </c>
      <c r="DL21" s="73" t="str">
        <f>IF(NSi.SE[[#This Row],[Ped.8]]=1,100,IF(NSi.SE[[#This Row],[Ped.8]]=2,89,IF(NSi.SE[[#This Row],[Ped.8]]=3,79,IF(NSi.SE[[#This Row],[Ped.8]]=4,69,IF(NSi.SE[[#This Row],[Ped.8]]=5,0,"-")))))</f>
        <v>-</v>
      </c>
      <c r="DM21" s="73" t="str">
        <f>IF(NSi.SE[[#This Row],[Pro-A.8]]=1,100,IF(NSi.SE[[#This Row],[Pro-A.8]]=2,89,IF(NSi.SE[[#This Row],[Pro-A.8]]=3,79,IF(NSi.SE[[#This Row],[Pro-A.8]]=4,69,IF(NSi.SE[[#This Row],[Pro-A.8]]=5,0,"-")))))</f>
        <v>-</v>
      </c>
      <c r="DN21" s="74" t="str">
        <f>IF(NSi.SE[[#This Row],[KU.9]]="A",100,IF(NSi.SE[[#This Row],[KU.9]]="B",89,IF(NSi.SE[[#This Row],[KU.9]]="C",79,IF(NSi.SE[[#This Row],[KU.9]]="D",69,IF(NSi.SE[[#This Row],[KU.9]]="E",0,"-")))))</f>
        <v>-</v>
      </c>
      <c r="DO21" s="73" t="str">
        <f>IF(NSi.SE[[#This Row],[TJ.9]]=1,100,IF(NSi.SE[[#This Row],[TJ.9]]=2,89,IF(NSi.SE[[#This Row],[TJ.9]]=3,79,IF(NSi.SE[[#This Row],[TJ.9]]=4,69,IF(NSi.SE[[#This Row],[TJ.9]]=5,0,"-")))))</f>
        <v>-</v>
      </c>
      <c r="DP21" s="73" t="str">
        <f>IF(NSi.SE[[#This Row],[Ker.9]]=1,100,IF(NSi.SE[[#This Row],[Ker.9]]=2,89,IF(NSi.SE[[#This Row],[Ker.9]]=3,79,IF(NSi.SE[[#This Row],[Ker.9]]=4,69,IF(NSi.SE[[#This Row],[Ker.9]]=5,0,"-")))))</f>
        <v>-</v>
      </c>
      <c r="DQ21" s="73" t="str">
        <f>IF(NSi.SE[[#This Row],[Ped.9]]=1,100,IF(NSi.SE[[#This Row],[Ped.9]]=2,89,IF(NSi.SE[[#This Row],[Ped.9]]=3,79,IF(NSi.SE[[#This Row],[Ped.9]]=4,69,IF(NSi.SE[[#This Row],[Ped.9]]=5,0,"-")))))</f>
        <v>-</v>
      </c>
      <c r="DR21" s="73" t="str">
        <f>IF(NSi.SE[[#This Row],[Pro-A.9]]=1,100,IF(NSi.SE[[#This Row],[Pro-A.9]]=2,89,IF(NSi.SE[[#This Row],[Pro-A.9]]=3,79,IF(NSi.SE[[#This Row],[Pro-A.9]]=4,69,IF(NSi.SE[[#This Row],[Pro-A.9]]=5,0,"-")))))</f>
        <v>-</v>
      </c>
      <c r="DT2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2" spans="1:124" ht="50.1" customHeight="1" x14ac:dyDescent="0.3">
      <c r="A22" s="66" t="str">
        <f>IF(NSi.TS[[#This Row],[No]]=0,"",NSi.TS[[#This Row],[No]])</f>
        <v/>
      </c>
      <c r="B22" s="67" t="str">
        <f>IF(NSi.TS[[#This Row],[Nama Siswa]]=0,"",NSi.TS[[#This Row],[Nama Siswa]])</f>
        <v/>
      </c>
      <c r="C22" s="68" t="str">
        <f>IF(NSi.TS[[#This Row],[Nomor Induk]]=0,"",NSi.TS[[#This Row],[Nomor Induk]])</f>
        <v/>
      </c>
      <c r="D22" s="68" t="str">
        <f>IF(NSi.TS[[#This Row],[NISN]]=0,"",NSi.TS[[#This Row],[NISN]])</f>
        <v/>
      </c>
      <c r="E22" s="68" t="str">
        <f>IF(NSi.TS[[#This Row],[Jurusan]]=0,"",NSi.TS[[#This Row],[Jurusan]])</f>
        <v/>
      </c>
      <c r="F22" s="39" t="str">
        <f>NSi.TS[[#This Row],[Nsi.TS]]</f>
        <v/>
      </c>
      <c r="G22" s="39" t="str">
        <f>IFERROR(ROUND(AVERAGE(CSCR.S[#This Row]),0),"")</f>
        <v/>
      </c>
      <c r="H22" s="39" t="str">
        <f>IFERROR(ROUND(AVERAGE(NSi.SE[[#This Row],[Nsi.TS]:[NS.iS]]),0),"")</f>
        <v/>
      </c>
      <c r="I22" s="41" t="s">
        <v>102</v>
      </c>
      <c r="J22" s="45" t="s">
        <v>102</v>
      </c>
      <c r="K22" s="45" t="s">
        <v>102</v>
      </c>
      <c r="L22" s="45" t="s">
        <v>102</v>
      </c>
      <c r="M22" s="45" t="s">
        <v>102</v>
      </c>
      <c r="N22" s="41" t="s">
        <v>102</v>
      </c>
      <c r="O22" s="45" t="s">
        <v>102</v>
      </c>
      <c r="P22" s="45" t="s">
        <v>102</v>
      </c>
      <c r="Q22" s="45" t="s">
        <v>102</v>
      </c>
      <c r="R22" s="45" t="s">
        <v>102</v>
      </c>
      <c r="S22" s="41" t="s">
        <v>102</v>
      </c>
      <c r="T22" s="45" t="s">
        <v>102</v>
      </c>
      <c r="U22" s="45" t="s">
        <v>102</v>
      </c>
      <c r="V22" s="45" t="s">
        <v>102</v>
      </c>
      <c r="W22" s="45" t="s">
        <v>102</v>
      </c>
      <c r="X22" s="41" t="s">
        <v>102</v>
      </c>
      <c r="Y22" s="45" t="s">
        <v>102</v>
      </c>
      <c r="Z22" s="45" t="s">
        <v>102</v>
      </c>
      <c r="AA22" s="45" t="s">
        <v>102</v>
      </c>
      <c r="AB22" s="45" t="s">
        <v>102</v>
      </c>
      <c r="AC22" s="41" t="s">
        <v>102</v>
      </c>
      <c r="AD22" s="45" t="s">
        <v>102</v>
      </c>
      <c r="AE22" s="45" t="s">
        <v>102</v>
      </c>
      <c r="AF22" s="45" t="s">
        <v>102</v>
      </c>
      <c r="AG22" s="45" t="s">
        <v>102</v>
      </c>
      <c r="AH22" s="41" t="s">
        <v>102</v>
      </c>
      <c r="AI22" s="45" t="s">
        <v>102</v>
      </c>
      <c r="AJ22" s="45" t="s">
        <v>102</v>
      </c>
      <c r="AK22" s="45" t="s">
        <v>102</v>
      </c>
      <c r="AL22" s="45" t="s">
        <v>102</v>
      </c>
      <c r="AM22" s="41" t="s">
        <v>102</v>
      </c>
      <c r="AN22" s="45" t="s">
        <v>102</v>
      </c>
      <c r="AO22" s="45" t="s">
        <v>102</v>
      </c>
      <c r="AP22" s="45" t="s">
        <v>102</v>
      </c>
      <c r="AQ22" s="45" t="s">
        <v>102</v>
      </c>
      <c r="AR22" s="41" t="s">
        <v>102</v>
      </c>
      <c r="AS22" s="45" t="s">
        <v>102</v>
      </c>
      <c r="AT22" s="45" t="s">
        <v>102</v>
      </c>
      <c r="AU22" s="45" t="s">
        <v>102</v>
      </c>
      <c r="AV22" s="45" t="s">
        <v>102</v>
      </c>
      <c r="AW22" s="41" t="s">
        <v>102</v>
      </c>
      <c r="AX22" s="45" t="s">
        <v>102</v>
      </c>
      <c r="AY22" s="45" t="s">
        <v>102</v>
      </c>
      <c r="AZ22" s="45" t="s">
        <v>102</v>
      </c>
      <c r="BA22" s="45" t="s">
        <v>102</v>
      </c>
      <c r="BC22" s="10" t="str">
        <f>CONCATENATE(NSi.SE[[#This Row],[KU.1]],(IF(A.LoE.S[[#This Row],[LE.1]]="-","-",IF(A.LoE.S[[#This Row],[LE.1]]&gt;=90,1,IF(A.LoE.S[[#This Row],[LE.1]]&gt;=80,2,IF(A.LoE.S[[#This Row],[LE.1]]&gt;=70,3,IF(A.LoE.S[[#This Row],[LE.1]]&gt;=1,4,5)))))))</f>
        <v>--</v>
      </c>
      <c r="BD22" s="46" t="str">
        <f>CONCATENATE(NSi.SE[[#This Row],[KU.2]],(IF(A.LoE.S[[#This Row],[LE.2]]="-","-",IF(A.LoE.S[[#This Row],[LE.2]]&gt;=90,1,IF(A.LoE.S[[#This Row],[LE.2]]&gt;=80,2,IF(A.LoE.S[[#This Row],[LE.2]]&gt;=70,3,IF(A.LoE.S[[#This Row],[LE.2]]&gt;=1,4,5)))))))</f>
        <v>--</v>
      </c>
      <c r="BE22" s="46" t="str">
        <f>CONCATENATE(NSi.SE[[#This Row],[KU.3]],(IF(A.LoE.S[[#This Row],[LE.3]]="-","-",IF(A.LoE.S[[#This Row],[LE.3]]&gt;=90,1,IF(A.LoE.S[[#This Row],[LE.3]]&gt;=80,2,IF(A.LoE.S[[#This Row],[LE.3]]&gt;=70,3,IF(A.LoE.S[[#This Row],[LE.3]]&gt;=1,4,5)))))))</f>
        <v>--</v>
      </c>
      <c r="BF22" s="46" t="str">
        <f>CONCATENATE(NSi.SE[[#This Row],[KU.4]],(IF(A.LoE.S[[#This Row],[LE.4]]="-","-",IF(A.LoE.S[[#This Row],[LE.4]]&gt;=90,1,IF(A.LoE.S[[#This Row],[LE.4]]&gt;=80,2,IF(A.LoE.S[[#This Row],[LE.4]]&gt;=70,3,IF(A.LoE.S[[#This Row],[LE.4]]&gt;=1,4,5)))))))</f>
        <v>--</v>
      </c>
      <c r="BG22" s="46" t="str">
        <f>CONCATENATE(NSi.SE[[#This Row],[KU.5]],(IF(A.LoE.S[[#This Row],[LE.5]]="-","-",IF(A.LoE.S[[#This Row],[LE.5]]&gt;=90,1,IF(A.LoE.S[[#This Row],[LE.5]]&gt;=80,2,IF(A.LoE.S[[#This Row],[LE.5]]&gt;=70,3,IF(A.LoE.S[[#This Row],[LE.5]]&gt;=1,4,5)))))))</f>
        <v>--</v>
      </c>
      <c r="BH22" s="46" t="str">
        <f>CONCATENATE(NSi.SE[[#This Row],[KU.6]],(IF(A.LoE.S[[#This Row],[LE.6]]="-","-",IF(A.LoE.S[[#This Row],[LE.6]]&gt;=90,1,IF(A.LoE.S[[#This Row],[LE.6]]&gt;=80,2,IF(A.LoE.S[[#This Row],[LE.6]]&gt;=70,3,IF(A.LoE.S[[#This Row],[LE.6]]&gt;=1,4,5)))))))</f>
        <v>--</v>
      </c>
      <c r="BI22" s="46" t="str">
        <f>CONCATENATE(NSi.SE[[#This Row],[KU.7]],(IF(A.LoE.S[[#This Row],[LE.7]]="-","-",IF(A.LoE.S[[#This Row],[LE.7]]&gt;=90,1,IF(A.LoE.S[[#This Row],[LE.7]]&gt;=80,2,IF(A.LoE.S[[#This Row],[LE.7]]&gt;=70,3,IF(A.LoE.S[[#This Row],[LE.7]]&gt;=1,4,5)))))))</f>
        <v>--</v>
      </c>
      <c r="BJ22" s="46" t="str">
        <f>CONCATENATE(NSi.SE[[#This Row],[KU.8]],(IF(A.LoE.S[[#This Row],[LE.8]]="-","-",IF(A.LoE.S[[#This Row],[LE.8]]&gt;=90,1,IF(A.LoE.S[[#This Row],[LE.8]]&gt;=80,2,IF(A.LoE.S[[#This Row],[LE.8]]&gt;=70,3,IF(A.LoE.S[[#This Row],[LE.8]]&gt;=1,4,5)))))))</f>
        <v>--</v>
      </c>
      <c r="BK22" s="38" t="str">
        <f>CONCATENATE(NSi.SE[[#This Row],[KU.9]],(IF(A.LoE.S[[#This Row],[LE.9]]="-","-",IF(A.LoE.S[[#This Row],[LE.9]]&gt;=90,1,IF(A.LoE.S[[#This Row],[LE.9]]&gt;=80,2,IF(A.LoE.S[[#This Row],[LE.9]]&gt;=70,3,IF(A.LoE.S[[#This Row],[LE.9]]&gt;=1,4,5)))))))</f>
        <v>--</v>
      </c>
      <c r="BM22" s="35" t="str">
        <f>IFERROR(ROUND(AVERAGE(Con.Sk.S[[#This Row],[TJ.1]:[Pro-A.1]]),0),"-")</f>
        <v>-</v>
      </c>
      <c r="BN22" s="24" t="str">
        <f>IFERROR(ROUND(AVERAGE(Con.Sk.S[[#This Row],[TJ.2]:[Pro-A.2]]),0),"-")</f>
        <v>-</v>
      </c>
      <c r="BO22" s="24" t="str">
        <f>IFERROR(ROUND(AVERAGE(Con.Sk.S[[#This Row],[TJ.3]:[Pro-A.3]]),0),"-")</f>
        <v>-</v>
      </c>
      <c r="BP22" s="24" t="str">
        <f>IFERROR(ROUND(AVERAGE(Con.Sk.S[[#This Row],[TJ.4]:[Pro-A.4]]),0),"-")</f>
        <v>-</v>
      </c>
      <c r="BQ22" s="24" t="str">
        <f>IFERROR(ROUND(AVERAGE(Con.Sk.S[[#This Row],[TJ.5]:[Pro-A.5]]),0),"-")</f>
        <v>-</v>
      </c>
      <c r="BR22" s="24" t="str">
        <f>IFERROR(ROUND(AVERAGE(Con.Sk.S[[#This Row],[TJ.6]:[Pro-A.6]]),0),"-")</f>
        <v>-</v>
      </c>
      <c r="BS22" s="24" t="str">
        <f>IFERROR(ROUND(AVERAGE(Con.Sk.S[[#This Row],[TJ.7]:[Pro-A.7]]),0),"-")</f>
        <v>-</v>
      </c>
      <c r="BT22" s="24" t="str">
        <f>IFERROR(ROUND(AVERAGE(Con.Sk.S[[#This Row],[TJ.8]:[Pro-A.8]]),0),"-")</f>
        <v>-</v>
      </c>
      <c r="BU22" s="25" t="str">
        <f>IFERROR(ROUND(AVERAGE(Con.Sk.S[[#This Row],[TJ.9]:[Pro-A.9]]),0),"-")</f>
        <v>-</v>
      </c>
      <c r="BW22" s="47" t="str">
        <f>IFERROR(ROUND(AVERAGE(Con.Sk.S[[#This Row],[KU.1]],Con.Sk.S[[#This Row],[KU.2]],Con.Sk.S[[#This Row],[KU.3]],Con.Sk.S[[#This Row],[KU.4]],Con.Sk.S[[#This Row],[KU.5]],Con.Sk.S[[#This Row],[KU.6]],Con.Sk.S[[#This Row],[KU.7]],Con.Sk.S[[#This Row],[KU.8]],Con.Sk.S[[#This Row],[KU.9]]),0),"")</f>
        <v/>
      </c>
      <c r="BX22" s="48" t="str">
        <f>IFERROR(ROUND(AVERAGE(Con.Sk.S[[#This Row],[TJ.1]:[Pro-A.1]],Con.Sk.S[[#This Row],[TJ.2]:[Pro-A.2]],Con.Sk.S[[#This Row],[TJ.3]:[Pro-A.3]],Con.Sk.S[[#This Row],[TJ.4]:[Pro-A.4]],Con.Sk.S[[#This Row],[TJ.5]:[Pro-A.5]],Con.Sk.S[[#This Row],[TJ.6]:[Pro-A.6]],Con.Sk.S[[#This Row],[TJ.7]:[Pro-A.7]],Con.Sk.S[[#This Row],[TJ.8]:[Pro-A.8]],Con.Sk.S[[#This Row],[TJ.9]:[Pro-A.9]]),0),"")</f>
        <v/>
      </c>
      <c r="BY22" s="3"/>
      <c r="BZ22" s="73" t="str">
        <f>IF(NSi.SE[[#This Row],[KU.1]]="A",100,IF(NSi.SE[[#This Row],[KU.1]]="B",89,IF(NSi.SE[[#This Row],[KU.1]]="C",79,IF(NSi.SE[[#This Row],[KU.1]]="D",69,IF(NSi.SE[[#This Row],[KU.1]]="E",0,"-")))))</f>
        <v>-</v>
      </c>
      <c r="CA22" s="73" t="str">
        <f>IF(NSi.SE[[#This Row],[TJ.1]]=1,100,IF(NSi.SE[[#This Row],[TJ.1]]=2,89,IF(NSi.SE[[#This Row],[TJ.1]]=3,79,IF(NSi.SE[[#This Row],[TJ.1]]=4,69,IF(NSi.SE[[#This Row],[TJ.1]]=5,0,"-")))))</f>
        <v>-</v>
      </c>
      <c r="CB22" s="73" t="str">
        <f>IF(NSi.SE[[#This Row],[Ker.1]]=1,100,IF(NSi.SE[[#This Row],[Ker.1]]=2,89,IF(NSi.SE[[#This Row],[Ker.1]]=3,79,IF(NSi.SE[[#This Row],[Ker.1]]=4,69,IF(NSi.SE[[#This Row],[Ker.1]]=5,0,"-")))))</f>
        <v>-</v>
      </c>
      <c r="CC22" s="73" t="str">
        <f>IF(NSi.SE[[#This Row],[Ped.1]]=1,100,IF(NSi.SE[[#This Row],[Ped.1]]=2,89,IF(NSi.SE[[#This Row],[Ped.1]]=3,79,IF(NSi.SE[[#This Row],[Ped.1]]=4,69,IF(NSi.SE[[#This Row],[Ped.1]]=5,0,"-")))))</f>
        <v>-</v>
      </c>
      <c r="CD22" s="73" t="str">
        <f>IF(NSi.SE[[#This Row],[Pro-A.1]]=1,100,IF(NSi.SE[[#This Row],[Pro-A.1]]=2,89,IF(NSi.SE[[#This Row],[Pro-A.1]]=3,79,IF(NSi.SE[[#This Row],[Pro-A.1]]=4,69,IF(NSi.SE[[#This Row],[Pro-A.1]]=5,0,"-")))))</f>
        <v>-</v>
      </c>
      <c r="CE22" s="73" t="str">
        <f>IF(NSi.SE[[#This Row],[KU.2]]="A",100,IF(NSi.SE[[#This Row],[KU.2]]="B",89,IF(NSi.SE[[#This Row],[KU.2]]="C",79,IF(NSi.SE[[#This Row],[KU.2]]="D",69,IF(NSi.SE[[#This Row],[KU.2]]="E",0,"-")))))</f>
        <v>-</v>
      </c>
      <c r="CF22" s="73" t="str">
        <f>IF(NSi.SE[[#This Row],[TJ.2]]=1,100,IF(NSi.SE[[#This Row],[TJ.2]]=2,89,IF(NSi.SE[[#This Row],[TJ.2]]=3,79,IF(NSi.SE[[#This Row],[TJ.2]]=4,69,IF(NSi.SE[[#This Row],[TJ.2]]=5,0,"-")))))</f>
        <v>-</v>
      </c>
      <c r="CG22" s="73" t="str">
        <f>IF(NSi.SE[[#This Row],[Ker.2]]=1,100,IF(NSi.SE[[#This Row],[Ker.2]]=2,89,IF(NSi.SE[[#This Row],[Ker.2]]=3,79,IF(NSi.SE[[#This Row],[Ker.2]]=4,69,IF(NSi.SE[[#This Row],[Ker.2]]=5,0,"-")))))</f>
        <v>-</v>
      </c>
      <c r="CH22" s="73" t="str">
        <f>IF(NSi.SE[[#This Row],[Ped.2]]=1,100,IF(NSi.SE[[#This Row],[Ped.2]]=2,89,IF(NSi.SE[[#This Row],[Ped.2]]=3,79,IF(NSi.SE[[#This Row],[Ped.2]]=4,69,IF(NSi.SE[[#This Row],[Ped.2]]=5,0,"-")))))</f>
        <v>-</v>
      </c>
      <c r="CI22" s="73" t="str">
        <f>IF(NSi.SE[[#This Row],[Pro-A.2]]=1,100,IF(NSi.SE[[#This Row],[Pro-A.2]]=2,89,IF(NSi.SE[[#This Row],[Pro-A.2]]=3,79,IF(NSi.SE[[#This Row],[Pro-A.2]]=4,69,IF(NSi.SE[[#This Row],[Pro-A.2]]=5,0,"-")))))</f>
        <v>-</v>
      </c>
      <c r="CJ22" s="74" t="str">
        <f>IF(NSi.SE[[#This Row],[KU.3]]="A",100,IF(NSi.SE[[#This Row],[KU.3]]="B",89,IF(NSi.SE[[#This Row],[KU.3]]="C",79,IF(NSi.SE[[#This Row],[KU.3]]="D",69,IF(NSi.SE[[#This Row],[KU.3]]="E",0,"-")))))</f>
        <v>-</v>
      </c>
      <c r="CK22" s="73" t="str">
        <f>IF(NSi.SE[[#This Row],[TJ.3]]=1,100,IF(NSi.SE[[#This Row],[TJ.3]]=2,89,IF(NSi.SE[[#This Row],[TJ.3]]=3,79,IF(NSi.SE[[#This Row],[TJ.3]]=4,69,IF(NSi.SE[[#This Row],[TJ.3]]=5,0,"-")))))</f>
        <v>-</v>
      </c>
      <c r="CL22" s="73" t="str">
        <f>IF(NSi.SE[[#This Row],[Ker.3]]=1,100,IF(NSi.SE[[#This Row],[Ker.3]]=2,89,IF(NSi.SE[[#This Row],[Ker.3]]=3,79,IF(NSi.SE[[#This Row],[Ker.3]]=4,69,IF(NSi.SE[[#This Row],[Ker.3]]=5,0,"-")))))</f>
        <v>-</v>
      </c>
      <c r="CM22" s="73" t="str">
        <f>IF(NSi.SE[[#This Row],[Ped.3]]=1,100,IF(NSi.SE[[#This Row],[Ped.3]]=2,89,IF(NSi.SE[[#This Row],[Ped.3]]=3,79,IF(NSi.SE[[#This Row],[Ped.3]]=4,69,IF(NSi.SE[[#This Row],[Ped.3]]=5,0,"-")))))</f>
        <v>-</v>
      </c>
      <c r="CN22" s="73" t="str">
        <f>IF(NSi.SE[[#This Row],[Pro-A.3]]=1,100,IF(NSi.SE[[#This Row],[Pro-A.3]]=2,89,IF(NSi.SE[[#This Row],[Pro-A.3]]=3,79,IF(NSi.SE[[#This Row],[Pro-A.3]]=4,69,IF(NSi.SE[[#This Row],[Pro-A.3]]=5,0,"-")))))</f>
        <v>-</v>
      </c>
      <c r="CO22" s="74" t="str">
        <f>IF(NSi.SE[[#This Row],[KU.4]]="A",100,IF(NSi.SE[[#This Row],[KU.4]]="B",89,IF(NSi.SE[[#This Row],[KU.4]]="C",79,IF(NSi.SE[[#This Row],[KU.4]]="D",69,IF(NSi.SE[[#This Row],[KU.4]]="E",0,"-")))))</f>
        <v>-</v>
      </c>
      <c r="CP22" s="73" t="str">
        <f>IF(NSi.SE[[#This Row],[TJ.4]]=1,100,IF(NSi.SE[[#This Row],[TJ.4]]=2,89,IF(NSi.SE[[#This Row],[TJ.4]]=3,79,IF(NSi.SE[[#This Row],[TJ.4]]=4,69,IF(NSi.SE[[#This Row],[TJ.4]]=5,0,"-")))))</f>
        <v>-</v>
      </c>
      <c r="CQ22" s="73" t="str">
        <f>IF(NSi.SE[[#This Row],[Ker.4]]=1,100,IF(NSi.SE[[#This Row],[Ker.4]]=2,89,IF(NSi.SE[[#This Row],[Ker.4]]=3,79,IF(NSi.SE[[#This Row],[Ker.4]]=4,69,IF(NSi.SE[[#This Row],[Ker.4]]=5,0,"-")))))</f>
        <v>-</v>
      </c>
      <c r="CR22" s="73" t="str">
        <f>IF(NSi.SE[[#This Row],[Ped.4]]=1,100,IF(NSi.SE[[#This Row],[Ped.4]]=2,89,IF(NSi.SE[[#This Row],[Ped.4]]=3,79,IF(NSi.SE[[#This Row],[Ped.4]]=4,69,IF(NSi.SE[[#This Row],[Ped.4]]=5,0,"-")))))</f>
        <v>-</v>
      </c>
      <c r="CS22" s="73" t="str">
        <f>IF(NSi.SE[[#This Row],[Pro-A.4]]=1,100,IF(NSi.SE[[#This Row],[Pro-A.4]]=2,89,IF(NSi.SE[[#This Row],[Pro-A.4]]=3,79,IF(NSi.SE[[#This Row],[Pro-A.4]]=4,69,IF(NSi.SE[[#This Row],[Pro-A.4]]=5,0,"-")))))</f>
        <v>-</v>
      </c>
      <c r="CT22" s="74" t="str">
        <f>IF(NSi.SE[[#This Row],[KU.5]]="A",100,IF(NSi.SE[[#This Row],[KU.5]]="B",89,IF(NSi.SE[[#This Row],[KU.5]]="C",79,IF(NSi.SE[[#This Row],[KU.5]]="D",69,IF(NSi.SE[[#This Row],[KU.5]]="E",0,"-")))))</f>
        <v>-</v>
      </c>
      <c r="CU22" s="73" t="str">
        <f>IF(NSi.SE[[#This Row],[TJ.5]]=1,100,IF(NSi.SE[[#This Row],[TJ.5]]=2,89,IF(NSi.SE[[#This Row],[TJ.5]]=3,79,IF(NSi.SE[[#This Row],[TJ.5]]=4,69,IF(NSi.SE[[#This Row],[TJ.5]]=5,0,"-")))))</f>
        <v>-</v>
      </c>
      <c r="CV22" s="73" t="str">
        <f>IF(NSi.SE[[#This Row],[Ker.5]]=1,100,IF(NSi.SE[[#This Row],[Ker.5]]=2,89,IF(NSi.SE[[#This Row],[Ker.5]]=3,79,IF(NSi.SE[[#This Row],[Ker.5]]=4,69,IF(NSi.SE[[#This Row],[Ker.5]]=5,0,"-")))))</f>
        <v>-</v>
      </c>
      <c r="CW22" s="73" t="str">
        <f>IF(NSi.SE[[#This Row],[Ped.5]]=1,100,IF(NSi.SE[[#This Row],[Ped.5]]=2,89,IF(NSi.SE[[#This Row],[Ped.5]]=3,79,IF(NSi.SE[[#This Row],[Ped.5]]=4,69,IF(NSi.SE[[#This Row],[Ped.5]]=5,0,"-")))))</f>
        <v>-</v>
      </c>
      <c r="CX22" s="73" t="str">
        <f>IF(NSi.SE[[#This Row],[Pro-A.5]]=1,100,IF(NSi.SE[[#This Row],[Pro-A.5]]=2,89,IF(NSi.SE[[#This Row],[Pro-A.5]]=3,79,IF(NSi.SE[[#This Row],[Pro-A.5]]=4,69,IF(NSi.SE[[#This Row],[Pro-A.5]]=5,0,"-")))))</f>
        <v>-</v>
      </c>
      <c r="CY22" s="74" t="str">
        <f>IF(NSi.SE[[#This Row],[KU.6]]="A",100,IF(NSi.SE[[#This Row],[KU.6]]="B",89,IF(NSi.SE[[#This Row],[KU.6]]="C",79,IF(NSi.SE[[#This Row],[KU.6]]="D",69,IF(NSi.SE[[#This Row],[KU.6]]="E",0,"-")))))</f>
        <v>-</v>
      </c>
      <c r="CZ22" s="73" t="str">
        <f>IF(NSi.SE[[#This Row],[TJ.6]]=1,100,IF(NSi.SE[[#This Row],[TJ.6]]=2,89,IF(NSi.SE[[#This Row],[TJ.6]]=3,79,IF(NSi.SE[[#This Row],[TJ.6]]=4,69,IF(NSi.SE[[#This Row],[TJ.6]]=5,0,"-")))))</f>
        <v>-</v>
      </c>
      <c r="DA22" s="73" t="str">
        <f>IF(NSi.SE[[#This Row],[Ker.6]]=1,100,IF(NSi.SE[[#This Row],[Ker.6]]=2,89,IF(NSi.SE[[#This Row],[Ker.6]]=3,79,IF(NSi.SE[[#This Row],[Ker.6]]=4,69,IF(NSi.SE[[#This Row],[Ker.6]]=5,0,"-")))))</f>
        <v>-</v>
      </c>
      <c r="DB22" s="73" t="str">
        <f>IF(NSi.SE[[#This Row],[Ped.6]]=1,100,IF(NSi.SE[[#This Row],[Ped.6]]=2,89,IF(NSi.SE[[#This Row],[Ped.6]]=3,79,IF(NSi.SE[[#This Row],[Ped.6]]=4,69,IF(NSi.SE[[#This Row],[Ped.6]]=5,0,"-")))))</f>
        <v>-</v>
      </c>
      <c r="DC22" s="73" t="str">
        <f>IF(NSi.SE[[#This Row],[Pro-A.6]]=1,100,IF(NSi.SE[[#This Row],[Pro-A.6]]=2,89,IF(NSi.SE[[#This Row],[Pro-A.6]]=3,79,IF(NSi.SE[[#This Row],[Pro-A.6]]=4,69,IF(NSi.SE[[#This Row],[Pro-A.6]]=5,0,"-")))))</f>
        <v>-</v>
      </c>
      <c r="DD22" s="74" t="str">
        <f>IF(NSi.SE[[#This Row],[KU.7]]="A",100,IF(NSi.SE[[#This Row],[KU.7]]="B",89,IF(NSi.SE[[#This Row],[KU.7]]="C",79,IF(NSi.SE[[#This Row],[KU.7]]="D",69,IF(NSi.SE[[#This Row],[KU.7]]="E",0,"-")))))</f>
        <v>-</v>
      </c>
      <c r="DE22" s="73" t="str">
        <f>IF(NSi.SE[[#This Row],[TJ.7]]=1,100,IF(NSi.SE[[#This Row],[TJ.7]]=2,89,IF(NSi.SE[[#This Row],[TJ.7]]=3,79,IF(NSi.SE[[#This Row],[TJ.7]]=4,69,IF(NSi.SE[[#This Row],[TJ.7]]=5,0,"-")))))</f>
        <v>-</v>
      </c>
      <c r="DF22" s="73" t="str">
        <f>IF(NSi.SE[[#This Row],[Ker.7]]=1,100,IF(NSi.SE[[#This Row],[Ker.7]]=2,89,IF(NSi.SE[[#This Row],[Ker.7]]=3,79,IF(NSi.SE[[#This Row],[Ker.7]]=4,69,IF(NSi.SE[[#This Row],[Ker.7]]=5,0,"-")))))</f>
        <v>-</v>
      </c>
      <c r="DG22" s="73" t="str">
        <f>IF(NSi.SE[[#This Row],[Ped.7]]=1,100,IF(NSi.SE[[#This Row],[Ped.7]]=2,89,IF(NSi.SE[[#This Row],[Ped.7]]=3,79,IF(NSi.SE[[#This Row],[Ped.7]]=4,69,IF(NSi.SE[[#This Row],[Ped.7]]=5,0,"-")))))</f>
        <v>-</v>
      </c>
      <c r="DH22" s="73" t="str">
        <f>IF(NSi.SE[[#This Row],[Pro-A.7]]=1,100,IF(NSi.SE[[#This Row],[Pro-A.7]]=2,89,IF(NSi.SE[[#This Row],[Pro-A.7]]=3,79,IF(NSi.SE[[#This Row],[Pro-A.7]]=4,69,IF(NSi.SE[[#This Row],[Pro-A.7]]=5,0,"-")))))</f>
        <v>-</v>
      </c>
      <c r="DI22" s="74" t="str">
        <f>IF(NSi.SE[[#This Row],[KU.8]]="A",100,IF(NSi.SE[[#This Row],[KU.8]]="B",89,IF(NSi.SE[[#This Row],[KU.8]]="C",79,IF(NSi.SE[[#This Row],[KU.8]]="D",69,IF(NSi.SE[[#This Row],[KU.8]]="E",0,"-")))))</f>
        <v>-</v>
      </c>
      <c r="DJ22" s="73" t="str">
        <f>IF(NSi.SE[[#This Row],[TJ.8]]=1,100,IF(NSi.SE[[#This Row],[TJ.8]]=2,89,IF(NSi.SE[[#This Row],[TJ.8]]=3,79,IF(NSi.SE[[#This Row],[TJ.8]]=4,69,IF(NSi.SE[[#This Row],[TJ.8]]=5,0,"-")))))</f>
        <v>-</v>
      </c>
      <c r="DK22" s="73" t="str">
        <f>IF(NSi.SE[[#This Row],[Ker.8]]=1,100,IF(NSi.SE[[#This Row],[Ker.8]]=2,89,IF(NSi.SE[[#This Row],[Ker.8]]=3,79,IF(NSi.SE[[#This Row],[Ker.8]]=4,69,IF(NSi.SE[[#This Row],[Ker.8]]=5,0,"-")))))</f>
        <v>-</v>
      </c>
      <c r="DL22" s="73" t="str">
        <f>IF(NSi.SE[[#This Row],[Ped.8]]=1,100,IF(NSi.SE[[#This Row],[Ped.8]]=2,89,IF(NSi.SE[[#This Row],[Ped.8]]=3,79,IF(NSi.SE[[#This Row],[Ped.8]]=4,69,IF(NSi.SE[[#This Row],[Ped.8]]=5,0,"-")))))</f>
        <v>-</v>
      </c>
      <c r="DM22" s="73" t="str">
        <f>IF(NSi.SE[[#This Row],[Pro-A.8]]=1,100,IF(NSi.SE[[#This Row],[Pro-A.8]]=2,89,IF(NSi.SE[[#This Row],[Pro-A.8]]=3,79,IF(NSi.SE[[#This Row],[Pro-A.8]]=4,69,IF(NSi.SE[[#This Row],[Pro-A.8]]=5,0,"-")))))</f>
        <v>-</v>
      </c>
      <c r="DN22" s="74" t="str">
        <f>IF(NSi.SE[[#This Row],[KU.9]]="A",100,IF(NSi.SE[[#This Row],[KU.9]]="B",89,IF(NSi.SE[[#This Row],[KU.9]]="C",79,IF(NSi.SE[[#This Row],[KU.9]]="D",69,IF(NSi.SE[[#This Row],[KU.9]]="E",0,"-")))))</f>
        <v>-</v>
      </c>
      <c r="DO22" s="73" t="str">
        <f>IF(NSi.SE[[#This Row],[TJ.9]]=1,100,IF(NSi.SE[[#This Row],[TJ.9]]=2,89,IF(NSi.SE[[#This Row],[TJ.9]]=3,79,IF(NSi.SE[[#This Row],[TJ.9]]=4,69,IF(NSi.SE[[#This Row],[TJ.9]]=5,0,"-")))))</f>
        <v>-</v>
      </c>
      <c r="DP22" s="73" t="str">
        <f>IF(NSi.SE[[#This Row],[Ker.9]]=1,100,IF(NSi.SE[[#This Row],[Ker.9]]=2,89,IF(NSi.SE[[#This Row],[Ker.9]]=3,79,IF(NSi.SE[[#This Row],[Ker.9]]=4,69,IF(NSi.SE[[#This Row],[Ker.9]]=5,0,"-")))))</f>
        <v>-</v>
      </c>
      <c r="DQ22" s="73" t="str">
        <f>IF(NSi.SE[[#This Row],[Ped.9]]=1,100,IF(NSi.SE[[#This Row],[Ped.9]]=2,89,IF(NSi.SE[[#This Row],[Ped.9]]=3,79,IF(NSi.SE[[#This Row],[Ped.9]]=4,69,IF(NSi.SE[[#This Row],[Ped.9]]=5,0,"-")))))</f>
        <v>-</v>
      </c>
      <c r="DR22" s="73" t="str">
        <f>IF(NSi.SE[[#This Row],[Pro-A.9]]=1,100,IF(NSi.SE[[#This Row],[Pro-A.9]]=2,89,IF(NSi.SE[[#This Row],[Pro-A.9]]=3,79,IF(NSi.SE[[#This Row],[Pro-A.9]]=4,69,IF(NSi.SE[[#This Row],[Pro-A.9]]=5,0,"-")))))</f>
        <v>-</v>
      </c>
      <c r="DT2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3" spans="1:124" ht="50.1" customHeight="1" x14ac:dyDescent="0.3">
      <c r="A23" s="66" t="str">
        <f>IF(NSi.TS[[#This Row],[No]]=0,"",NSi.TS[[#This Row],[No]])</f>
        <v/>
      </c>
      <c r="B23" s="67" t="str">
        <f>IF(NSi.TS[[#This Row],[Nama Siswa]]=0,"",NSi.TS[[#This Row],[Nama Siswa]])</f>
        <v/>
      </c>
      <c r="C23" s="68" t="str">
        <f>IF(NSi.TS[[#This Row],[Nomor Induk]]=0,"",NSi.TS[[#This Row],[Nomor Induk]])</f>
        <v/>
      </c>
      <c r="D23" s="68" t="str">
        <f>IF(NSi.TS[[#This Row],[NISN]]=0,"",NSi.TS[[#This Row],[NISN]])</f>
        <v/>
      </c>
      <c r="E23" s="68" t="str">
        <f>IF(NSi.TS[[#This Row],[Jurusan]]=0,"",NSi.TS[[#This Row],[Jurusan]])</f>
        <v/>
      </c>
      <c r="F23" s="39" t="str">
        <f>NSi.TS[[#This Row],[Nsi.TS]]</f>
        <v/>
      </c>
      <c r="G23" s="39" t="str">
        <f>IFERROR(ROUND(AVERAGE(CSCR.S[#This Row]),0),"")</f>
        <v/>
      </c>
      <c r="H23" s="39" t="str">
        <f>IFERROR(ROUND(AVERAGE(NSi.SE[[#This Row],[Nsi.TS]:[NS.iS]]),0),"")</f>
        <v/>
      </c>
      <c r="I23" s="41" t="s">
        <v>102</v>
      </c>
      <c r="J23" s="45" t="s">
        <v>102</v>
      </c>
      <c r="K23" s="45" t="s">
        <v>102</v>
      </c>
      <c r="L23" s="45" t="s">
        <v>102</v>
      </c>
      <c r="M23" s="45" t="s">
        <v>102</v>
      </c>
      <c r="N23" s="41" t="s">
        <v>102</v>
      </c>
      <c r="O23" s="45" t="s">
        <v>102</v>
      </c>
      <c r="P23" s="45" t="s">
        <v>102</v>
      </c>
      <c r="Q23" s="45" t="s">
        <v>102</v>
      </c>
      <c r="R23" s="45" t="s">
        <v>102</v>
      </c>
      <c r="S23" s="41" t="s">
        <v>102</v>
      </c>
      <c r="T23" s="45" t="s">
        <v>102</v>
      </c>
      <c r="U23" s="45" t="s">
        <v>102</v>
      </c>
      <c r="V23" s="45" t="s">
        <v>102</v>
      </c>
      <c r="W23" s="45" t="s">
        <v>102</v>
      </c>
      <c r="X23" s="41" t="s">
        <v>102</v>
      </c>
      <c r="Y23" s="45" t="s">
        <v>102</v>
      </c>
      <c r="Z23" s="45" t="s">
        <v>102</v>
      </c>
      <c r="AA23" s="45" t="s">
        <v>102</v>
      </c>
      <c r="AB23" s="45" t="s">
        <v>102</v>
      </c>
      <c r="AC23" s="41" t="s">
        <v>102</v>
      </c>
      <c r="AD23" s="45" t="s">
        <v>102</v>
      </c>
      <c r="AE23" s="45" t="s">
        <v>102</v>
      </c>
      <c r="AF23" s="45" t="s">
        <v>102</v>
      </c>
      <c r="AG23" s="45" t="s">
        <v>102</v>
      </c>
      <c r="AH23" s="41" t="s">
        <v>102</v>
      </c>
      <c r="AI23" s="45" t="s">
        <v>102</v>
      </c>
      <c r="AJ23" s="45" t="s">
        <v>102</v>
      </c>
      <c r="AK23" s="45" t="s">
        <v>102</v>
      </c>
      <c r="AL23" s="45" t="s">
        <v>102</v>
      </c>
      <c r="AM23" s="41" t="s">
        <v>102</v>
      </c>
      <c r="AN23" s="45" t="s">
        <v>102</v>
      </c>
      <c r="AO23" s="45" t="s">
        <v>102</v>
      </c>
      <c r="AP23" s="45" t="s">
        <v>102</v>
      </c>
      <c r="AQ23" s="45" t="s">
        <v>102</v>
      </c>
      <c r="AR23" s="41" t="s">
        <v>102</v>
      </c>
      <c r="AS23" s="45" t="s">
        <v>102</v>
      </c>
      <c r="AT23" s="45" t="s">
        <v>102</v>
      </c>
      <c r="AU23" s="45" t="s">
        <v>102</v>
      </c>
      <c r="AV23" s="45" t="s">
        <v>102</v>
      </c>
      <c r="AW23" s="41" t="s">
        <v>102</v>
      </c>
      <c r="AX23" s="45" t="s">
        <v>102</v>
      </c>
      <c r="AY23" s="45" t="s">
        <v>102</v>
      </c>
      <c r="AZ23" s="45" t="s">
        <v>102</v>
      </c>
      <c r="BA23" s="45" t="s">
        <v>102</v>
      </c>
      <c r="BC23" s="10" t="str">
        <f>CONCATENATE(NSi.SE[[#This Row],[KU.1]],(IF(A.LoE.S[[#This Row],[LE.1]]="-","-",IF(A.LoE.S[[#This Row],[LE.1]]&gt;=90,1,IF(A.LoE.S[[#This Row],[LE.1]]&gt;=80,2,IF(A.LoE.S[[#This Row],[LE.1]]&gt;=70,3,IF(A.LoE.S[[#This Row],[LE.1]]&gt;=1,4,5)))))))</f>
        <v>--</v>
      </c>
      <c r="BD23" s="46" t="str">
        <f>CONCATENATE(NSi.SE[[#This Row],[KU.2]],(IF(A.LoE.S[[#This Row],[LE.2]]="-","-",IF(A.LoE.S[[#This Row],[LE.2]]&gt;=90,1,IF(A.LoE.S[[#This Row],[LE.2]]&gt;=80,2,IF(A.LoE.S[[#This Row],[LE.2]]&gt;=70,3,IF(A.LoE.S[[#This Row],[LE.2]]&gt;=1,4,5)))))))</f>
        <v>--</v>
      </c>
      <c r="BE23" s="46" t="str">
        <f>CONCATENATE(NSi.SE[[#This Row],[KU.3]],(IF(A.LoE.S[[#This Row],[LE.3]]="-","-",IF(A.LoE.S[[#This Row],[LE.3]]&gt;=90,1,IF(A.LoE.S[[#This Row],[LE.3]]&gt;=80,2,IF(A.LoE.S[[#This Row],[LE.3]]&gt;=70,3,IF(A.LoE.S[[#This Row],[LE.3]]&gt;=1,4,5)))))))</f>
        <v>--</v>
      </c>
      <c r="BF23" s="46" t="str">
        <f>CONCATENATE(NSi.SE[[#This Row],[KU.4]],(IF(A.LoE.S[[#This Row],[LE.4]]="-","-",IF(A.LoE.S[[#This Row],[LE.4]]&gt;=90,1,IF(A.LoE.S[[#This Row],[LE.4]]&gt;=80,2,IF(A.LoE.S[[#This Row],[LE.4]]&gt;=70,3,IF(A.LoE.S[[#This Row],[LE.4]]&gt;=1,4,5)))))))</f>
        <v>--</v>
      </c>
      <c r="BG23" s="46" t="str">
        <f>CONCATENATE(NSi.SE[[#This Row],[KU.5]],(IF(A.LoE.S[[#This Row],[LE.5]]="-","-",IF(A.LoE.S[[#This Row],[LE.5]]&gt;=90,1,IF(A.LoE.S[[#This Row],[LE.5]]&gt;=80,2,IF(A.LoE.S[[#This Row],[LE.5]]&gt;=70,3,IF(A.LoE.S[[#This Row],[LE.5]]&gt;=1,4,5)))))))</f>
        <v>--</v>
      </c>
      <c r="BH23" s="46" t="str">
        <f>CONCATENATE(NSi.SE[[#This Row],[KU.6]],(IF(A.LoE.S[[#This Row],[LE.6]]="-","-",IF(A.LoE.S[[#This Row],[LE.6]]&gt;=90,1,IF(A.LoE.S[[#This Row],[LE.6]]&gt;=80,2,IF(A.LoE.S[[#This Row],[LE.6]]&gt;=70,3,IF(A.LoE.S[[#This Row],[LE.6]]&gt;=1,4,5)))))))</f>
        <v>--</v>
      </c>
      <c r="BI23" s="46" t="str">
        <f>CONCATENATE(NSi.SE[[#This Row],[KU.7]],(IF(A.LoE.S[[#This Row],[LE.7]]="-","-",IF(A.LoE.S[[#This Row],[LE.7]]&gt;=90,1,IF(A.LoE.S[[#This Row],[LE.7]]&gt;=80,2,IF(A.LoE.S[[#This Row],[LE.7]]&gt;=70,3,IF(A.LoE.S[[#This Row],[LE.7]]&gt;=1,4,5)))))))</f>
        <v>--</v>
      </c>
      <c r="BJ23" s="46" t="str">
        <f>CONCATENATE(NSi.SE[[#This Row],[KU.8]],(IF(A.LoE.S[[#This Row],[LE.8]]="-","-",IF(A.LoE.S[[#This Row],[LE.8]]&gt;=90,1,IF(A.LoE.S[[#This Row],[LE.8]]&gt;=80,2,IF(A.LoE.S[[#This Row],[LE.8]]&gt;=70,3,IF(A.LoE.S[[#This Row],[LE.8]]&gt;=1,4,5)))))))</f>
        <v>--</v>
      </c>
      <c r="BK23" s="38" t="str">
        <f>CONCATENATE(NSi.SE[[#This Row],[KU.9]],(IF(A.LoE.S[[#This Row],[LE.9]]="-","-",IF(A.LoE.S[[#This Row],[LE.9]]&gt;=90,1,IF(A.LoE.S[[#This Row],[LE.9]]&gt;=80,2,IF(A.LoE.S[[#This Row],[LE.9]]&gt;=70,3,IF(A.LoE.S[[#This Row],[LE.9]]&gt;=1,4,5)))))))</f>
        <v>--</v>
      </c>
      <c r="BM23" s="35" t="str">
        <f>IFERROR(ROUND(AVERAGE(Con.Sk.S[[#This Row],[TJ.1]:[Pro-A.1]]),0),"-")</f>
        <v>-</v>
      </c>
      <c r="BN23" s="24" t="str">
        <f>IFERROR(ROUND(AVERAGE(Con.Sk.S[[#This Row],[TJ.2]:[Pro-A.2]]),0),"-")</f>
        <v>-</v>
      </c>
      <c r="BO23" s="24" t="str">
        <f>IFERROR(ROUND(AVERAGE(Con.Sk.S[[#This Row],[TJ.3]:[Pro-A.3]]),0),"-")</f>
        <v>-</v>
      </c>
      <c r="BP23" s="24" t="str">
        <f>IFERROR(ROUND(AVERAGE(Con.Sk.S[[#This Row],[TJ.4]:[Pro-A.4]]),0),"-")</f>
        <v>-</v>
      </c>
      <c r="BQ23" s="24" t="str">
        <f>IFERROR(ROUND(AVERAGE(Con.Sk.S[[#This Row],[TJ.5]:[Pro-A.5]]),0),"-")</f>
        <v>-</v>
      </c>
      <c r="BR23" s="24" t="str">
        <f>IFERROR(ROUND(AVERAGE(Con.Sk.S[[#This Row],[TJ.6]:[Pro-A.6]]),0),"-")</f>
        <v>-</v>
      </c>
      <c r="BS23" s="24" t="str">
        <f>IFERROR(ROUND(AVERAGE(Con.Sk.S[[#This Row],[TJ.7]:[Pro-A.7]]),0),"-")</f>
        <v>-</v>
      </c>
      <c r="BT23" s="24" t="str">
        <f>IFERROR(ROUND(AVERAGE(Con.Sk.S[[#This Row],[TJ.8]:[Pro-A.8]]),0),"-")</f>
        <v>-</v>
      </c>
      <c r="BU23" s="25" t="str">
        <f>IFERROR(ROUND(AVERAGE(Con.Sk.S[[#This Row],[TJ.9]:[Pro-A.9]]),0),"-")</f>
        <v>-</v>
      </c>
      <c r="BW23" s="47" t="str">
        <f>IFERROR(ROUND(AVERAGE(Con.Sk.S[[#This Row],[KU.1]],Con.Sk.S[[#This Row],[KU.2]],Con.Sk.S[[#This Row],[KU.3]],Con.Sk.S[[#This Row],[KU.4]],Con.Sk.S[[#This Row],[KU.5]],Con.Sk.S[[#This Row],[KU.6]],Con.Sk.S[[#This Row],[KU.7]],Con.Sk.S[[#This Row],[KU.8]],Con.Sk.S[[#This Row],[KU.9]]),0),"")</f>
        <v/>
      </c>
      <c r="BX23" s="48" t="str">
        <f>IFERROR(ROUND(AVERAGE(Con.Sk.S[[#This Row],[TJ.1]:[Pro-A.1]],Con.Sk.S[[#This Row],[TJ.2]:[Pro-A.2]],Con.Sk.S[[#This Row],[TJ.3]:[Pro-A.3]],Con.Sk.S[[#This Row],[TJ.4]:[Pro-A.4]],Con.Sk.S[[#This Row],[TJ.5]:[Pro-A.5]],Con.Sk.S[[#This Row],[TJ.6]:[Pro-A.6]],Con.Sk.S[[#This Row],[TJ.7]:[Pro-A.7]],Con.Sk.S[[#This Row],[TJ.8]:[Pro-A.8]],Con.Sk.S[[#This Row],[TJ.9]:[Pro-A.9]]),0),"")</f>
        <v/>
      </c>
      <c r="BY23" s="3"/>
      <c r="BZ23" s="73" t="str">
        <f>IF(NSi.SE[[#This Row],[KU.1]]="A",100,IF(NSi.SE[[#This Row],[KU.1]]="B",89,IF(NSi.SE[[#This Row],[KU.1]]="C",79,IF(NSi.SE[[#This Row],[KU.1]]="D",69,IF(NSi.SE[[#This Row],[KU.1]]="E",0,"-")))))</f>
        <v>-</v>
      </c>
      <c r="CA23" s="73" t="str">
        <f>IF(NSi.SE[[#This Row],[TJ.1]]=1,100,IF(NSi.SE[[#This Row],[TJ.1]]=2,89,IF(NSi.SE[[#This Row],[TJ.1]]=3,79,IF(NSi.SE[[#This Row],[TJ.1]]=4,69,IF(NSi.SE[[#This Row],[TJ.1]]=5,0,"-")))))</f>
        <v>-</v>
      </c>
      <c r="CB23" s="73" t="str">
        <f>IF(NSi.SE[[#This Row],[Ker.1]]=1,100,IF(NSi.SE[[#This Row],[Ker.1]]=2,89,IF(NSi.SE[[#This Row],[Ker.1]]=3,79,IF(NSi.SE[[#This Row],[Ker.1]]=4,69,IF(NSi.SE[[#This Row],[Ker.1]]=5,0,"-")))))</f>
        <v>-</v>
      </c>
      <c r="CC23" s="73" t="str">
        <f>IF(NSi.SE[[#This Row],[Ped.1]]=1,100,IF(NSi.SE[[#This Row],[Ped.1]]=2,89,IF(NSi.SE[[#This Row],[Ped.1]]=3,79,IF(NSi.SE[[#This Row],[Ped.1]]=4,69,IF(NSi.SE[[#This Row],[Ped.1]]=5,0,"-")))))</f>
        <v>-</v>
      </c>
      <c r="CD23" s="73" t="str">
        <f>IF(NSi.SE[[#This Row],[Pro-A.1]]=1,100,IF(NSi.SE[[#This Row],[Pro-A.1]]=2,89,IF(NSi.SE[[#This Row],[Pro-A.1]]=3,79,IF(NSi.SE[[#This Row],[Pro-A.1]]=4,69,IF(NSi.SE[[#This Row],[Pro-A.1]]=5,0,"-")))))</f>
        <v>-</v>
      </c>
      <c r="CE23" s="73" t="str">
        <f>IF(NSi.SE[[#This Row],[KU.2]]="A",100,IF(NSi.SE[[#This Row],[KU.2]]="B",89,IF(NSi.SE[[#This Row],[KU.2]]="C",79,IF(NSi.SE[[#This Row],[KU.2]]="D",69,IF(NSi.SE[[#This Row],[KU.2]]="E",0,"-")))))</f>
        <v>-</v>
      </c>
      <c r="CF23" s="73" t="str">
        <f>IF(NSi.SE[[#This Row],[TJ.2]]=1,100,IF(NSi.SE[[#This Row],[TJ.2]]=2,89,IF(NSi.SE[[#This Row],[TJ.2]]=3,79,IF(NSi.SE[[#This Row],[TJ.2]]=4,69,IF(NSi.SE[[#This Row],[TJ.2]]=5,0,"-")))))</f>
        <v>-</v>
      </c>
      <c r="CG23" s="73" t="str">
        <f>IF(NSi.SE[[#This Row],[Ker.2]]=1,100,IF(NSi.SE[[#This Row],[Ker.2]]=2,89,IF(NSi.SE[[#This Row],[Ker.2]]=3,79,IF(NSi.SE[[#This Row],[Ker.2]]=4,69,IF(NSi.SE[[#This Row],[Ker.2]]=5,0,"-")))))</f>
        <v>-</v>
      </c>
      <c r="CH23" s="73" t="str">
        <f>IF(NSi.SE[[#This Row],[Ped.2]]=1,100,IF(NSi.SE[[#This Row],[Ped.2]]=2,89,IF(NSi.SE[[#This Row],[Ped.2]]=3,79,IF(NSi.SE[[#This Row],[Ped.2]]=4,69,IF(NSi.SE[[#This Row],[Ped.2]]=5,0,"-")))))</f>
        <v>-</v>
      </c>
      <c r="CI23" s="73" t="str">
        <f>IF(NSi.SE[[#This Row],[Pro-A.2]]=1,100,IF(NSi.SE[[#This Row],[Pro-A.2]]=2,89,IF(NSi.SE[[#This Row],[Pro-A.2]]=3,79,IF(NSi.SE[[#This Row],[Pro-A.2]]=4,69,IF(NSi.SE[[#This Row],[Pro-A.2]]=5,0,"-")))))</f>
        <v>-</v>
      </c>
      <c r="CJ23" s="74" t="str">
        <f>IF(NSi.SE[[#This Row],[KU.3]]="A",100,IF(NSi.SE[[#This Row],[KU.3]]="B",89,IF(NSi.SE[[#This Row],[KU.3]]="C",79,IF(NSi.SE[[#This Row],[KU.3]]="D",69,IF(NSi.SE[[#This Row],[KU.3]]="E",0,"-")))))</f>
        <v>-</v>
      </c>
      <c r="CK23" s="73" t="str">
        <f>IF(NSi.SE[[#This Row],[TJ.3]]=1,100,IF(NSi.SE[[#This Row],[TJ.3]]=2,89,IF(NSi.SE[[#This Row],[TJ.3]]=3,79,IF(NSi.SE[[#This Row],[TJ.3]]=4,69,IF(NSi.SE[[#This Row],[TJ.3]]=5,0,"-")))))</f>
        <v>-</v>
      </c>
      <c r="CL23" s="73" t="str">
        <f>IF(NSi.SE[[#This Row],[Ker.3]]=1,100,IF(NSi.SE[[#This Row],[Ker.3]]=2,89,IF(NSi.SE[[#This Row],[Ker.3]]=3,79,IF(NSi.SE[[#This Row],[Ker.3]]=4,69,IF(NSi.SE[[#This Row],[Ker.3]]=5,0,"-")))))</f>
        <v>-</v>
      </c>
      <c r="CM23" s="73" t="str">
        <f>IF(NSi.SE[[#This Row],[Ped.3]]=1,100,IF(NSi.SE[[#This Row],[Ped.3]]=2,89,IF(NSi.SE[[#This Row],[Ped.3]]=3,79,IF(NSi.SE[[#This Row],[Ped.3]]=4,69,IF(NSi.SE[[#This Row],[Ped.3]]=5,0,"-")))))</f>
        <v>-</v>
      </c>
      <c r="CN23" s="73" t="str">
        <f>IF(NSi.SE[[#This Row],[Pro-A.3]]=1,100,IF(NSi.SE[[#This Row],[Pro-A.3]]=2,89,IF(NSi.SE[[#This Row],[Pro-A.3]]=3,79,IF(NSi.SE[[#This Row],[Pro-A.3]]=4,69,IF(NSi.SE[[#This Row],[Pro-A.3]]=5,0,"-")))))</f>
        <v>-</v>
      </c>
      <c r="CO23" s="74" t="str">
        <f>IF(NSi.SE[[#This Row],[KU.4]]="A",100,IF(NSi.SE[[#This Row],[KU.4]]="B",89,IF(NSi.SE[[#This Row],[KU.4]]="C",79,IF(NSi.SE[[#This Row],[KU.4]]="D",69,IF(NSi.SE[[#This Row],[KU.4]]="E",0,"-")))))</f>
        <v>-</v>
      </c>
      <c r="CP23" s="73" t="str">
        <f>IF(NSi.SE[[#This Row],[TJ.4]]=1,100,IF(NSi.SE[[#This Row],[TJ.4]]=2,89,IF(NSi.SE[[#This Row],[TJ.4]]=3,79,IF(NSi.SE[[#This Row],[TJ.4]]=4,69,IF(NSi.SE[[#This Row],[TJ.4]]=5,0,"-")))))</f>
        <v>-</v>
      </c>
      <c r="CQ23" s="73" t="str">
        <f>IF(NSi.SE[[#This Row],[Ker.4]]=1,100,IF(NSi.SE[[#This Row],[Ker.4]]=2,89,IF(NSi.SE[[#This Row],[Ker.4]]=3,79,IF(NSi.SE[[#This Row],[Ker.4]]=4,69,IF(NSi.SE[[#This Row],[Ker.4]]=5,0,"-")))))</f>
        <v>-</v>
      </c>
      <c r="CR23" s="73" t="str">
        <f>IF(NSi.SE[[#This Row],[Ped.4]]=1,100,IF(NSi.SE[[#This Row],[Ped.4]]=2,89,IF(NSi.SE[[#This Row],[Ped.4]]=3,79,IF(NSi.SE[[#This Row],[Ped.4]]=4,69,IF(NSi.SE[[#This Row],[Ped.4]]=5,0,"-")))))</f>
        <v>-</v>
      </c>
      <c r="CS23" s="73" t="str">
        <f>IF(NSi.SE[[#This Row],[Pro-A.4]]=1,100,IF(NSi.SE[[#This Row],[Pro-A.4]]=2,89,IF(NSi.SE[[#This Row],[Pro-A.4]]=3,79,IF(NSi.SE[[#This Row],[Pro-A.4]]=4,69,IF(NSi.SE[[#This Row],[Pro-A.4]]=5,0,"-")))))</f>
        <v>-</v>
      </c>
      <c r="CT23" s="74" t="str">
        <f>IF(NSi.SE[[#This Row],[KU.5]]="A",100,IF(NSi.SE[[#This Row],[KU.5]]="B",89,IF(NSi.SE[[#This Row],[KU.5]]="C",79,IF(NSi.SE[[#This Row],[KU.5]]="D",69,IF(NSi.SE[[#This Row],[KU.5]]="E",0,"-")))))</f>
        <v>-</v>
      </c>
      <c r="CU23" s="73" t="str">
        <f>IF(NSi.SE[[#This Row],[TJ.5]]=1,100,IF(NSi.SE[[#This Row],[TJ.5]]=2,89,IF(NSi.SE[[#This Row],[TJ.5]]=3,79,IF(NSi.SE[[#This Row],[TJ.5]]=4,69,IF(NSi.SE[[#This Row],[TJ.5]]=5,0,"-")))))</f>
        <v>-</v>
      </c>
      <c r="CV23" s="73" t="str">
        <f>IF(NSi.SE[[#This Row],[Ker.5]]=1,100,IF(NSi.SE[[#This Row],[Ker.5]]=2,89,IF(NSi.SE[[#This Row],[Ker.5]]=3,79,IF(NSi.SE[[#This Row],[Ker.5]]=4,69,IF(NSi.SE[[#This Row],[Ker.5]]=5,0,"-")))))</f>
        <v>-</v>
      </c>
      <c r="CW23" s="73" t="str">
        <f>IF(NSi.SE[[#This Row],[Ped.5]]=1,100,IF(NSi.SE[[#This Row],[Ped.5]]=2,89,IF(NSi.SE[[#This Row],[Ped.5]]=3,79,IF(NSi.SE[[#This Row],[Ped.5]]=4,69,IF(NSi.SE[[#This Row],[Ped.5]]=5,0,"-")))))</f>
        <v>-</v>
      </c>
      <c r="CX23" s="73" t="str">
        <f>IF(NSi.SE[[#This Row],[Pro-A.5]]=1,100,IF(NSi.SE[[#This Row],[Pro-A.5]]=2,89,IF(NSi.SE[[#This Row],[Pro-A.5]]=3,79,IF(NSi.SE[[#This Row],[Pro-A.5]]=4,69,IF(NSi.SE[[#This Row],[Pro-A.5]]=5,0,"-")))))</f>
        <v>-</v>
      </c>
      <c r="CY23" s="74" t="str">
        <f>IF(NSi.SE[[#This Row],[KU.6]]="A",100,IF(NSi.SE[[#This Row],[KU.6]]="B",89,IF(NSi.SE[[#This Row],[KU.6]]="C",79,IF(NSi.SE[[#This Row],[KU.6]]="D",69,IF(NSi.SE[[#This Row],[KU.6]]="E",0,"-")))))</f>
        <v>-</v>
      </c>
      <c r="CZ23" s="73" t="str">
        <f>IF(NSi.SE[[#This Row],[TJ.6]]=1,100,IF(NSi.SE[[#This Row],[TJ.6]]=2,89,IF(NSi.SE[[#This Row],[TJ.6]]=3,79,IF(NSi.SE[[#This Row],[TJ.6]]=4,69,IF(NSi.SE[[#This Row],[TJ.6]]=5,0,"-")))))</f>
        <v>-</v>
      </c>
      <c r="DA23" s="73" t="str">
        <f>IF(NSi.SE[[#This Row],[Ker.6]]=1,100,IF(NSi.SE[[#This Row],[Ker.6]]=2,89,IF(NSi.SE[[#This Row],[Ker.6]]=3,79,IF(NSi.SE[[#This Row],[Ker.6]]=4,69,IF(NSi.SE[[#This Row],[Ker.6]]=5,0,"-")))))</f>
        <v>-</v>
      </c>
      <c r="DB23" s="73" t="str">
        <f>IF(NSi.SE[[#This Row],[Ped.6]]=1,100,IF(NSi.SE[[#This Row],[Ped.6]]=2,89,IF(NSi.SE[[#This Row],[Ped.6]]=3,79,IF(NSi.SE[[#This Row],[Ped.6]]=4,69,IF(NSi.SE[[#This Row],[Ped.6]]=5,0,"-")))))</f>
        <v>-</v>
      </c>
      <c r="DC23" s="73" t="str">
        <f>IF(NSi.SE[[#This Row],[Pro-A.6]]=1,100,IF(NSi.SE[[#This Row],[Pro-A.6]]=2,89,IF(NSi.SE[[#This Row],[Pro-A.6]]=3,79,IF(NSi.SE[[#This Row],[Pro-A.6]]=4,69,IF(NSi.SE[[#This Row],[Pro-A.6]]=5,0,"-")))))</f>
        <v>-</v>
      </c>
      <c r="DD23" s="74" t="str">
        <f>IF(NSi.SE[[#This Row],[KU.7]]="A",100,IF(NSi.SE[[#This Row],[KU.7]]="B",89,IF(NSi.SE[[#This Row],[KU.7]]="C",79,IF(NSi.SE[[#This Row],[KU.7]]="D",69,IF(NSi.SE[[#This Row],[KU.7]]="E",0,"-")))))</f>
        <v>-</v>
      </c>
      <c r="DE23" s="73" t="str">
        <f>IF(NSi.SE[[#This Row],[TJ.7]]=1,100,IF(NSi.SE[[#This Row],[TJ.7]]=2,89,IF(NSi.SE[[#This Row],[TJ.7]]=3,79,IF(NSi.SE[[#This Row],[TJ.7]]=4,69,IF(NSi.SE[[#This Row],[TJ.7]]=5,0,"-")))))</f>
        <v>-</v>
      </c>
      <c r="DF23" s="73" t="str">
        <f>IF(NSi.SE[[#This Row],[Ker.7]]=1,100,IF(NSi.SE[[#This Row],[Ker.7]]=2,89,IF(NSi.SE[[#This Row],[Ker.7]]=3,79,IF(NSi.SE[[#This Row],[Ker.7]]=4,69,IF(NSi.SE[[#This Row],[Ker.7]]=5,0,"-")))))</f>
        <v>-</v>
      </c>
      <c r="DG23" s="73" t="str">
        <f>IF(NSi.SE[[#This Row],[Ped.7]]=1,100,IF(NSi.SE[[#This Row],[Ped.7]]=2,89,IF(NSi.SE[[#This Row],[Ped.7]]=3,79,IF(NSi.SE[[#This Row],[Ped.7]]=4,69,IF(NSi.SE[[#This Row],[Ped.7]]=5,0,"-")))))</f>
        <v>-</v>
      </c>
      <c r="DH23" s="73" t="str">
        <f>IF(NSi.SE[[#This Row],[Pro-A.7]]=1,100,IF(NSi.SE[[#This Row],[Pro-A.7]]=2,89,IF(NSi.SE[[#This Row],[Pro-A.7]]=3,79,IF(NSi.SE[[#This Row],[Pro-A.7]]=4,69,IF(NSi.SE[[#This Row],[Pro-A.7]]=5,0,"-")))))</f>
        <v>-</v>
      </c>
      <c r="DI23" s="74" t="str">
        <f>IF(NSi.SE[[#This Row],[KU.8]]="A",100,IF(NSi.SE[[#This Row],[KU.8]]="B",89,IF(NSi.SE[[#This Row],[KU.8]]="C",79,IF(NSi.SE[[#This Row],[KU.8]]="D",69,IF(NSi.SE[[#This Row],[KU.8]]="E",0,"-")))))</f>
        <v>-</v>
      </c>
      <c r="DJ23" s="73" t="str">
        <f>IF(NSi.SE[[#This Row],[TJ.8]]=1,100,IF(NSi.SE[[#This Row],[TJ.8]]=2,89,IF(NSi.SE[[#This Row],[TJ.8]]=3,79,IF(NSi.SE[[#This Row],[TJ.8]]=4,69,IF(NSi.SE[[#This Row],[TJ.8]]=5,0,"-")))))</f>
        <v>-</v>
      </c>
      <c r="DK23" s="73" t="str">
        <f>IF(NSi.SE[[#This Row],[Ker.8]]=1,100,IF(NSi.SE[[#This Row],[Ker.8]]=2,89,IF(NSi.SE[[#This Row],[Ker.8]]=3,79,IF(NSi.SE[[#This Row],[Ker.8]]=4,69,IF(NSi.SE[[#This Row],[Ker.8]]=5,0,"-")))))</f>
        <v>-</v>
      </c>
      <c r="DL23" s="73" t="str">
        <f>IF(NSi.SE[[#This Row],[Ped.8]]=1,100,IF(NSi.SE[[#This Row],[Ped.8]]=2,89,IF(NSi.SE[[#This Row],[Ped.8]]=3,79,IF(NSi.SE[[#This Row],[Ped.8]]=4,69,IF(NSi.SE[[#This Row],[Ped.8]]=5,0,"-")))))</f>
        <v>-</v>
      </c>
      <c r="DM23" s="73" t="str">
        <f>IF(NSi.SE[[#This Row],[Pro-A.8]]=1,100,IF(NSi.SE[[#This Row],[Pro-A.8]]=2,89,IF(NSi.SE[[#This Row],[Pro-A.8]]=3,79,IF(NSi.SE[[#This Row],[Pro-A.8]]=4,69,IF(NSi.SE[[#This Row],[Pro-A.8]]=5,0,"-")))))</f>
        <v>-</v>
      </c>
      <c r="DN23" s="74" t="str">
        <f>IF(NSi.SE[[#This Row],[KU.9]]="A",100,IF(NSi.SE[[#This Row],[KU.9]]="B",89,IF(NSi.SE[[#This Row],[KU.9]]="C",79,IF(NSi.SE[[#This Row],[KU.9]]="D",69,IF(NSi.SE[[#This Row],[KU.9]]="E",0,"-")))))</f>
        <v>-</v>
      </c>
      <c r="DO23" s="73" t="str">
        <f>IF(NSi.SE[[#This Row],[TJ.9]]=1,100,IF(NSi.SE[[#This Row],[TJ.9]]=2,89,IF(NSi.SE[[#This Row],[TJ.9]]=3,79,IF(NSi.SE[[#This Row],[TJ.9]]=4,69,IF(NSi.SE[[#This Row],[TJ.9]]=5,0,"-")))))</f>
        <v>-</v>
      </c>
      <c r="DP23" s="73" t="str">
        <f>IF(NSi.SE[[#This Row],[Ker.9]]=1,100,IF(NSi.SE[[#This Row],[Ker.9]]=2,89,IF(NSi.SE[[#This Row],[Ker.9]]=3,79,IF(NSi.SE[[#This Row],[Ker.9]]=4,69,IF(NSi.SE[[#This Row],[Ker.9]]=5,0,"-")))))</f>
        <v>-</v>
      </c>
      <c r="DQ23" s="73" t="str">
        <f>IF(NSi.SE[[#This Row],[Ped.9]]=1,100,IF(NSi.SE[[#This Row],[Ped.9]]=2,89,IF(NSi.SE[[#This Row],[Ped.9]]=3,79,IF(NSi.SE[[#This Row],[Ped.9]]=4,69,IF(NSi.SE[[#This Row],[Ped.9]]=5,0,"-")))))</f>
        <v>-</v>
      </c>
      <c r="DR23" s="73" t="str">
        <f>IF(NSi.SE[[#This Row],[Pro-A.9]]=1,100,IF(NSi.SE[[#This Row],[Pro-A.9]]=2,89,IF(NSi.SE[[#This Row],[Pro-A.9]]=3,79,IF(NSi.SE[[#This Row],[Pro-A.9]]=4,69,IF(NSi.SE[[#This Row],[Pro-A.9]]=5,0,"-")))))</f>
        <v>-</v>
      </c>
      <c r="DT2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4" spans="1:124" ht="50.1" customHeight="1" x14ac:dyDescent="0.3">
      <c r="A24" s="66" t="str">
        <f>IF(NSi.TS[[#This Row],[No]]=0,"",NSi.TS[[#This Row],[No]])</f>
        <v/>
      </c>
      <c r="B24" s="67" t="str">
        <f>IF(NSi.TS[[#This Row],[Nama Siswa]]=0,"",NSi.TS[[#This Row],[Nama Siswa]])</f>
        <v/>
      </c>
      <c r="C24" s="68" t="str">
        <f>IF(NSi.TS[[#This Row],[Nomor Induk]]=0,"",NSi.TS[[#This Row],[Nomor Induk]])</f>
        <v/>
      </c>
      <c r="D24" s="68" t="str">
        <f>IF(NSi.TS[[#This Row],[NISN]]=0,"",NSi.TS[[#This Row],[NISN]])</f>
        <v/>
      </c>
      <c r="E24" s="68" t="str">
        <f>IF(NSi.TS[[#This Row],[Jurusan]]=0,"",NSi.TS[[#This Row],[Jurusan]])</f>
        <v/>
      </c>
      <c r="F24" s="39" t="str">
        <f>NSi.TS[[#This Row],[Nsi.TS]]</f>
        <v/>
      </c>
      <c r="G24" s="39" t="str">
        <f>IFERROR(ROUND(AVERAGE(CSCR.S[#This Row]),0),"")</f>
        <v/>
      </c>
      <c r="H24" s="39" t="str">
        <f>IFERROR(ROUND(AVERAGE(NSi.SE[[#This Row],[Nsi.TS]:[NS.iS]]),0),"")</f>
        <v/>
      </c>
      <c r="I24" s="41" t="s">
        <v>102</v>
      </c>
      <c r="J24" s="45" t="s">
        <v>102</v>
      </c>
      <c r="K24" s="45" t="s">
        <v>102</v>
      </c>
      <c r="L24" s="45" t="s">
        <v>102</v>
      </c>
      <c r="M24" s="45" t="s">
        <v>102</v>
      </c>
      <c r="N24" s="41" t="s">
        <v>102</v>
      </c>
      <c r="O24" s="45" t="s">
        <v>102</v>
      </c>
      <c r="P24" s="45" t="s">
        <v>102</v>
      </c>
      <c r="Q24" s="45" t="s">
        <v>102</v>
      </c>
      <c r="R24" s="45" t="s">
        <v>102</v>
      </c>
      <c r="S24" s="41" t="s">
        <v>102</v>
      </c>
      <c r="T24" s="45" t="s">
        <v>102</v>
      </c>
      <c r="U24" s="45" t="s">
        <v>102</v>
      </c>
      <c r="V24" s="45" t="s">
        <v>102</v>
      </c>
      <c r="W24" s="45" t="s">
        <v>102</v>
      </c>
      <c r="X24" s="41" t="s">
        <v>102</v>
      </c>
      <c r="Y24" s="45" t="s">
        <v>102</v>
      </c>
      <c r="Z24" s="45" t="s">
        <v>102</v>
      </c>
      <c r="AA24" s="45" t="s">
        <v>102</v>
      </c>
      <c r="AB24" s="45" t="s">
        <v>102</v>
      </c>
      <c r="AC24" s="41" t="s">
        <v>102</v>
      </c>
      <c r="AD24" s="45" t="s">
        <v>102</v>
      </c>
      <c r="AE24" s="45" t="s">
        <v>102</v>
      </c>
      <c r="AF24" s="45" t="s">
        <v>102</v>
      </c>
      <c r="AG24" s="45" t="s">
        <v>102</v>
      </c>
      <c r="AH24" s="41" t="s">
        <v>102</v>
      </c>
      <c r="AI24" s="45" t="s">
        <v>102</v>
      </c>
      <c r="AJ24" s="45" t="s">
        <v>102</v>
      </c>
      <c r="AK24" s="45" t="s">
        <v>102</v>
      </c>
      <c r="AL24" s="45" t="s">
        <v>102</v>
      </c>
      <c r="AM24" s="41" t="s">
        <v>102</v>
      </c>
      <c r="AN24" s="45" t="s">
        <v>102</v>
      </c>
      <c r="AO24" s="45" t="s">
        <v>102</v>
      </c>
      <c r="AP24" s="45" t="s">
        <v>102</v>
      </c>
      <c r="AQ24" s="45" t="s">
        <v>102</v>
      </c>
      <c r="AR24" s="41" t="s">
        <v>102</v>
      </c>
      <c r="AS24" s="45" t="s">
        <v>102</v>
      </c>
      <c r="AT24" s="45" t="s">
        <v>102</v>
      </c>
      <c r="AU24" s="45" t="s">
        <v>102</v>
      </c>
      <c r="AV24" s="45" t="s">
        <v>102</v>
      </c>
      <c r="AW24" s="41" t="s">
        <v>102</v>
      </c>
      <c r="AX24" s="45" t="s">
        <v>102</v>
      </c>
      <c r="AY24" s="45" t="s">
        <v>102</v>
      </c>
      <c r="AZ24" s="45" t="s">
        <v>102</v>
      </c>
      <c r="BA24" s="45" t="s">
        <v>102</v>
      </c>
      <c r="BC24" s="10" t="str">
        <f>CONCATENATE(NSi.SE[[#This Row],[KU.1]],(IF(A.LoE.S[[#This Row],[LE.1]]="-","-",IF(A.LoE.S[[#This Row],[LE.1]]&gt;=90,1,IF(A.LoE.S[[#This Row],[LE.1]]&gt;=80,2,IF(A.LoE.S[[#This Row],[LE.1]]&gt;=70,3,IF(A.LoE.S[[#This Row],[LE.1]]&gt;=1,4,5)))))))</f>
        <v>--</v>
      </c>
      <c r="BD24" s="46" t="str">
        <f>CONCATENATE(NSi.SE[[#This Row],[KU.2]],(IF(A.LoE.S[[#This Row],[LE.2]]="-","-",IF(A.LoE.S[[#This Row],[LE.2]]&gt;=90,1,IF(A.LoE.S[[#This Row],[LE.2]]&gt;=80,2,IF(A.LoE.S[[#This Row],[LE.2]]&gt;=70,3,IF(A.LoE.S[[#This Row],[LE.2]]&gt;=1,4,5)))))))</f>
        <v>--</v>
      </c>
      <c r="BE24" s="46" t="str">
        <f>CONCATENATE(NSi.SE[[#This Row],[KU.3]],(IF(A.LoE.S[[#This Row],[LE.3]]="-","-",IF(A.LoE.S[[#This Row],[LE.3]]&gt;=90,1,IF(A.LoE.S[[#This Row],[LE.3]]&gt;=80,2,IF(A.LoE.S[[#This Row],[LE.3]]&gt;=70,3,IF(A.LoE.S[[#This Row],[LE.3]]&gt;=1,4,5)))))))</f>
        <v>--</v>
      </c>
      <c r="BF24" s="46" t="str">
        <f>CONCATENATE(NSi.SE[[#This Row],[KU.4]],(IF(A.LoE.S[[#This Row],[LE.4]]="-","-",IF(A.LoE.S[[#This Row],[LE.4]]&gt;=90,1,IF(A.LoE.S[[#This Row],[LE.4]]&gt;=80,2,IF(A.LoE.S[[#This Row],[LE.4]]&gt;=70,3,IF(A.LoE.S[[#This Row],[LE.4]]&gt;=1,4,5)))))))</f>
        <v>--</v>
      </c>
      <c r="BG24" s="46" t="str">
        <f>CONCATENATE(NSi.SE[[#This Row],[KU.5]],(IF(A.LoE.S[[#This Row],[LE.5]]="-","-",IF(A.LoE.S[[#This Row],[LE.5]]&gt;=90,1,IF(A.LoE.S[[#This Row],[LE.5]]&gt;=80,2,IF(A.LoE.S[[#This Row],[LE.5]]&gt;=70,3,IF(A.LoE.S[[#This Row],[LE.5]]&gt;=1,4,5)))))))</f>
        <v>--</v>
      </c>
      <c r="BH24" s="46" t="str">
        <f>CONCATENATE(NSi.SE[[#This Row],[KU.6]],(IF(A.LoE.S[[#This Row],[LE.6]]="-","-",IF(A.LoE.S[[#This Row],[LE.6]]&gt;=90,1,IF(A.LoE.S[[#This Row],[LE.6]]&gt;=80,2,IF(A.LoE.S[[#This Row],[LE.6]]&gt;=70,3,IF(A.LoE.S[[#This Row],[LE.6]]&gt;=1,4,5)))))))</f>
        <v>--</v>
      </c>
      <c r="BI24" s="46" t="str">
        <f>CONCATENATE(NSi.SE[[#This Row],[KU.7]],(IF(A.LoE.S[[#This Row],[LE.7]]="-","-",IF(A.LoE.S[[#This Row],[LE.7]]&gt;=90,1,IF(A.LoE.S[[#This Row],[LE.7]]&gt;=80,2,IF(A.LoE.S[[#This Row],[LE.7]]&gt;=70,3,IF(A.LoE.S[[#This Row],[LE.7]]&gt;=1,4,5)))))))</f>
        <v>--</v>
      </c>
      <c r="BJ24" s="46" t="str">
        <f>CONCATENATE(NSi.SE[[#This Row],[KU.8]],(IF(A.LoE.S[[#This Row],[LE.8]]="-","-",IF(A.LoE.S[[#This Row],[LE.8]]&gt;=90,1,IF(A.LoE.S[[#This Row],[LE.8]]&gt;=80,2,IF(A.LoE.S[[#This Row],[LE.8]]&gt;=70,3,IF(A.LoE.S[[#This Row],[LE.8]]&gt;=1,4,5)))))))</f>
        <v>--</v>
      </c>
      <c r="BK24" s="38" t="str">
        <f>CONCATENATE(NSi.SE[[#This Row],[KU.9]],(IF(A.LoE.S[[#This Row],[LE.9]]="-","-",IF(A.LoE.S[[#This Row],[LE.9]]&gt;=90,1,IF(A.LoE.S[[#This Row],[LE.9]]&gt;=80,2,IF(A.LoE.S[[#This Row],[LE.9]]&gt;=70,3,IF(A.LoE.S[[#This Row],[LE.9]]&gt;=1,4,5)))))))</f>
        <v>--</v>
      </c>
      <c r="BM24" s="35" t="str">
        <f>IFERROR(ROUND(AVERAGE(Con.Sk.S[[#This Row],[TJ.1]:[Pro-A.1]]),0),"-")</f>
        <v>-</v>
      </c>
      <c r="BN24" s="24" t="str">
        <f>IFERROR(ROUND(AVERAGE(Con.Sk.S[[#This Row],[TJ.2]:[Pro-A.2]]),0),"-")</f>
        <v>-</v>
      </c>
      <c r="BO24" s="24" t="str">
        <f>IFERROR(ROUND(AVERAGE(Con.Sk.S[[#This Row],[TJ.3]:[Pro-A.3]]),0),"-")</f>
        <v>-</v>
      </c>
      <c r="BP24" s="24" t="str">
        <f>IFERROR(ROUND(AVERAGE(Con.Sk.S[[#This Row],[TJ.4]:[Pro-A.4]]),0),"-")</f>
        <v>-</v>
      </c>
      <c r="BQ24" s="24" t="str">
        <f>IFERROR(ROUND(AVERAGE(Con.Sk.S[[#This Row],[TJ.5]:[Pro-A.5]]),0),"-")</f>
        <v>-</v>
      </c>
      <c r="BR24" s="24" t="str">
        <f>IFERROR(ROUND(AVERAGE(Con.Sk.S[[#This Row],[TJ.6]:[Pro-A.6]]),0),"-")</f>
        <v>-</v>
      </c>
      <c r="BS24" s="24" t="str">
        <f>IFERROR(ROUND(AVERAGE(Con.Sk.S[[#This Row],[TJ.7]:[Pro-A.7]]),0),"-")</f>
        <v>-</v>
      </c>
      <c r="BT24" s="24" t="str">
        <f>IFERROR(ROUND(AVERAGE(Con.Sk.S[[#This Row],[TJ.8]:[Pro-A.8]]),0),"-")</f>
        <v>-</v>
      </c>
      <c r="BU24" s="25" t="str">
        <f>IFERROR(ROUND(AVERAGE(Con.Sk.S[[#This Row],[TJ.9]:[Pro-A.9]]),0),"-")</f>
        <v>-</v>
      </c>
      <c r="BW24" s="47" t="str">
        <f>IFERROR(ROUND(AVERAGE(Con.Sk.S[[#This Row],[KU.1]],Con.Sk.S[[#This Row],[KU.2]],Con.Sk.S[[#This Row],[KU.3]],Con.Sk.S[[#This Row],[KU.4]],Con.Sk.S[[#This Row],[KU.5]],Con.Sk.S[[#This Row],[KU.6]],Con.Sk.S[[#This Row],[KU.7]],Con.Sk.S[[#This Row],[KU.8]],Con.Sk.S[[#This Row],[KU.9]]),0),"")</f>
        <v/>
      </c>
      <c r="BX24" s="48" t="str">
        <f>IFERROR(ROUND(AVERAGE(Con.Sk.S[[#This Row],[TJ.1]:[Pro-A.1]],Con.Sk.S[[#This Row],[TJ.2]:[Pro-A.2]],Con.Sk.S[[#This Row],[TJ.3]:[Pro-A.3]],Con.Sk.S[[#This Row],[TJ.4]:[Pro-A.4]],Con.Sk.S[[#This Row],[TJ.5]:[Pro-A.5]],Con.Sk.S[[#This Row],[TJ.6]:[Pro-A.6]],Con.Sk.S[[#This Row],[TJ.7]:[Pro-A.7]],Con.Sk.S[[#This Row],[TJ.8]:[Pro-A.8]],Con.Sk.S[[#This Row],[TJ.9]:[Pro-A.9]]),0),"")</f>
        <v/>
      </c>
      <c r="BY24" s="3"/>
      <c r="BZ24" s="73" t="str">
        <f>IF(NSi.SE[[#This Row],[KU.1]]="A",100,IF(NSi.SE[[#This Row],[KU.1]]="B",89,IF(NSi.SE[[#This Row],[KU.1]]="C",79,IF(NSi.SE[[#This Row],[KU.1]]="D",69,IF(NSi.SE[[#This Row],[KU.1]]="E",0,"-")))))</f>
        <v>-</v>
      </c>
      <c r="CA24" s="73" t="str">
        <f>IF(NSi.SE[[#This Row],[TJ.1]]=1,100,IF(NSi.SE[[#This Row],[TJ.1]]=2,89,IF(NSi.SE[[#This Row],[TJ.1]]=3,79,IF(NSi.SE[[#This Row],[TJ.1]]=4,69,IF(NSi.SE[[#This Row],[TJ.1]]=5,0,"-")))))</f>
        <v>-</v>
      </c>
      <c r="CB24" s="73" t="str">
        <f>IF(NSi.SE[[#This Row],[Ker.1]]=1,100,IF(NSi.SE[[#This Row],[Ker.1]]=2,89,IF(NSi.SE[[#This Row],[Ker.1]]=3,79,IF(NSi.SE[[#This Row],[Ker.1]]=4,69,IF(NSi.SE[[#This Row],[Ker.1]]=5,0,"-")))))</f>
        <v>-</v>
      </c>
      <c r="CC24" s="73" t="str">
        <f>IF(NSi.SE[[#This Row],[Ped.1]]=1,100,IF(NSi.SE[[#This Row],[Ped.1]]=2,89,IF(NSi.SE[[#This Row],[Ped.1]]=3,79,IF(NSi.SE[[#This Row],[Ped.1]]=4,69,IF(NSi.SE[[#This Row],[Ped.1]]=5,0,"-")))))</f>
        <v>-</v>
      </c>
      <c r="CD24" s="73" t="str">
        <f>IF(NSi.SE[[#This Row],[Pro-A.1]]=1,100,IF(NSi.SE[[#This Row],[Pro-A.1]]=2,89,IF(NSi.SE[[#This Row],[Pro-A.1]]=3,79,IF(NSi.SE[[#This Row],[Pro-A.1]]=4,69,IF(NSi.SE[[#This Row],[Pro-A.1]]=5,0,"-")))))</f>
        <v>-</v>
      </c>
      <c r="CE24" s="73" t="str">
        <f>IF(NSi.SE[[#This Row],[KU.2]]="A",100,IF(NSi.SE[[#This Row],[KU.2]]="B",89,IF(NSi.SE[[#This Row],[KU.2]]="C",79,IF(NSi.SE[[#This Row],[KU.2]]="D",69,IF(NSi.SE[[#This Row],[KU.2]]="E",0,"-")))))</f>
        <v>-</v>
      </c>
      <c r="CF24" s="73" t="str">
        <f>IF(NSi.SE[[#This Row],[TJ.2]]=1,100,IF(NSi.SE[[#This Row],[TJ.2]]=2,89,IF(NSi.SE[[#This Row],[TJ.2]]=3,79,IF(NSi.SE[[#This Row],[TJ.2]]=4,69,IF(NSi.SE[[#This Row],[TJ.2]]=5,0,"-")))))</f>
        <v>-</v>
      </c>
      <c r="CG24" s="73" t="str">
        <f>IF(NSi.SE[[#This Row],[Ker.2]]=1,100,IF(NSi.SE[[#This Row],[Ker.2]]=2,89,IF(NSi.SE[[#This Row],[Ker.2]]=3,79,IF(NSi.SE[[#This Row],[Ker.2]]=4,69,IF(NSi.SE[[#This Row],[Ker.2]]=5,0,"-")))))</f>
        <v>-</v>
      </c>
      <c r="CH24" s="73" t="str">
        <f>IF(NSi.SE[[#This Row],[Ped.2]]=1,100,IF(NSi.SE[[#This Row],[Ped.2]]=2,89,IF(NSi.SE[[#This Row],[Ped.2]]=3,79,IF(NSi.SE[[#This Row],[Ped.2]]=4,69,IF(NSi.SE[[#This Row],[Ped.2]]=5,0,"-")))))</f>
        <v>-</v>
      </c>
      <c r="CI24" s="73" t="str">
        <f>IF(NSi.SE[[#This Row],[Pro-A.2]]=1,100,IF(NSi.SE[[#This Row],[Pro-A.2]]=2,89,IF(NSi.SE[[#This Row],[Pro-A.2]]=3,79,IF(NSi.SE[[#This Row],[Pro-A.2]]=4,69,IF(NSi.SE[[#This Row],[Pro-A.2]]=5,0,"-")))))</f>
        <v>-</v>
      </c>
      <c r="CJ24" s="74" t="str">
        <f>IF(NSi.SE[[#This Row],[KU.3]]="A",100,IF(NSi.SE[[#This Row],[KU.3]]="B",89,IF(NSi.SE[[#This Row],[KU.3]]="C",79,IF(NSi.SE[[#This Row],[KU.3]]="D",69,IF(NSi.SE[[#This Row],[KU.3]]="E",0,"-")))))</f>
        <v>-</v>
      </c>
      <c r="CK24" s="73" t="str">
        <f>IF(NSi.SE[[#This Row],[TJ.3]]=1,100,IF(NSi.SE[[#This Row],[TJ.3]]=2,89,IF(NSi.SE[[#This Row],[TJ.3]]=3,79,IF(NSi.SE[[#This Row],[TJ.3]]=4,69,IF(NSi.SE[[#This Row],[TJ.3]]=5,0,"-")))))</f>
        <v>-</v>
      </c>
      <c r="CL24" s="73" t="str">
        <f>IF(NSi.SE[[#This Row],[Ker.3]]=1,100,IF(NSi.SE[[#This Row],[Ker.3]]=2,89,IF(NSi.SE[[#This Row],[Ker.3]]=3,79,IF(NSi.SE[[#This Row],[Ker.3]]=4,69,IF(NSi.SE[[#This Row],[Ker.3]]=5,0,"-")))))</f>
        <v>-</v>
      </c>
      <c r="CM24" s="73" t="str">
        <f>IF(NSi.SE[[#This Row],[Ped.3]]=1,100,IF(NSi.SE[[#This Row],[Ped.3]]=2,89,IF(NSi.SE[[#This Row],[Ped.3]]=3,79,IF(NSi.SE[[#This Row],[Ped.3]]=4,69,IF(NSi.SE[[#This Row],[Ped.3]]=5,0,"-")))))</f>
        <v>-</v>
      </c>
      <c r="CN24" s="73" t="str">
        <f>IF(NSi.SE[[#This Row],[Pro-A.3]]=1,100,IF(NSi.SE[[#This Row],[Pro-A.3]]=2,89,IF(NSi.SE[[#This Row],[Pro-A.3]]=3,79,IF(NSi.SE[[#This Row],[Pro-A.3]]=4,69,IF(NSi.SE[[#This Row],[Pro-A.3]]=5,0,"-")))))</f>
        <v>-</v>
      </c>
      <c r="CO24" s="74" t="str">
        <f>IF(NSi.SE[[#This Row],[KU.4]]="A",100,IF(NSi.SE[[#This Row],[KU.4]]="B",89,IF(NSi.SE[[#This Row],[KU.4]]="C",79,IF(NSi.SE[[#This Row],[KU.4]]="D",69,IF(NSi.SE[[#This Row],[KU.4]]="E",0,"-")))))</f>
        <v>-</v>
      </c>
      <c r="CP24" s="73" t="str">
        <f>IF(NSi.SE[[#This Row],[TJ.4]]=1,100,IF(NSi.SE[[#This Row],[TJ.4]]=2,89,IF(NSi.SE[[#This Row],[TJ.4]]=3,79,IF(NSi.SE[[#This Row],[TJ.4]]=4,69,IF(NSi.SE[[#This Row],[TJ.4]]=5,0,"-")))))</f>
        <v>-</v>
      </c>
      <c r="CQ24" s="73" t="str">
        <f>IF(NSi.SE[[#This Row],[Ker.4]]=1,100,IF(NSi.SE[[#This Row],[Ker.4]]=2,89,IF(NSi.SE[[#This Row],[Ker.4]]=3,79,IF(NSi.SE[[#This Row],[Ker.4]]=4,69,IF(NSi.SE[[#This Row],[Ker.4]]=5,0,"-")))))</f>
        <v>-</v>
      </c>
      <c r="CR24" s="73" t="str">
        <f>IF(NSi.SE[[#This Row],[Ped.4]]=1,100,IF(NSi.SE[[#This Row],[Ped.4]]=2,89,IF(NSi.SE[[#This Row],[Ped.4]]=3,79,IF(NSi.SE[[#This Row],[Ped.4]]=4,69,IF(NSi.SE[[#This Row],[Ped.4]]=5,0,"-")))))</f>
        <v>-</v>
      </c>
      <c r="CS24" s="73" t="str">
        <f>IF(NSi.SE[[#This Row],[Pro-A.4]]=1,100,IF(NSi.SE[[#This Row],[Pro-A.4]]=2,89,IF(NSi.SE[[#This Row],[Pro-A.4]]=3,79,IF(NSi.SE[[#This Row],[Pro-A.4]]=4,69,IF(NSi.SE[[#This Row],[Pro-A.4]]=5,0,"-")))))</f>
        <v>-</v>
      </c>
      <c r="CT24" s="74" t="str">
        <f>IF(NSi.SE[[#This Row],[KU.5]]="A",100,IF(NSi.SE[[#This Row],[KU.5]]="B",89,IF(NSi.SE[[#This Row],[KU.5]]="C",79,IF(NSi.SE[[#This Row],[KU.5]]="D",69,IF(NSi.SE[[#This Row],[KU.5]]="E",0,"-")))))</f>
        <v>-</v>
      </c>
      <c r="CU24" s="73" t="str">
        <f>IF(NSi.SE[[#This Row],[TJ.5]]=1,100,IF(NSi.SE[[#This Row],[TJ.5]]=2,89,IF(NSi.SE[[#This Row],[TJ.5]]=3,79,IF(NSi.SE[[#This Row],[TJ.5]]=4,69,IF(NSi.SE[[#This Row],[TJ.5]]=5,0,"-")))))</f>
        <v>-</v>
      </c>
      <c r="CV24" s="73" t="str">
        <f>IF(NSi.SE[[#This Row],[Ker.5]]=1,100,IF(NSi.SE[[#This Row],[Ker.5]]=2,89,IF(NSi.SE[[#This Row],[Ker.5]]=3,79,IF(NSi.SE[[#This Row],[Ker.5]]=4,69,IF(NSi.SE[[#This Row],[Ker.5]]=5,0,"-")))))</f>
        <v>-</v>
      </c>
      <c r="CW24" s="73" t="str">
        <f>IF(NSi.SE[[#This Row],[Ped.5]]=1,100,IF(NSi.SE[[#This Row],[Ped.5]]=2,89,IF(NSi.SE[[#This Row],[Ped.5]]=3,79,IF(NSi.SE[[#This Row],[Ped.5]]=4,69,IF(NSi.SE[[#This Row],[Ped.5]]=5,0,"-")))))</f>
        <v>-</v>
      </c>
      <c r="CX24" s="73" t="str">
        <f>IF(NSi.SE[[#This Row],[Pro-A.5]]=1,100,IF(NSi.SE[[#This Row],[Pro-A.5]]=2,89,IF(NSi.SE[[#This Row],[Pro-A.5]]=3,79,IF(NSi.SE[[#This Row],[Pro-A.5]]=4,69,IF(NSi.SE[[#This Row],[Pro-A.5]]=5,0,"-")))))</f>
        <v>-</v>
      </c>
      <c r="CY24" s="74" t="str">
        <f>IF(NSi.SE[[#This Row],[KU.6]]="A",100,IF(NSi.SE[[#This Row],[KU.6]]="B",89,IF(NSi.SE[[#This Row],[KU.6]]="C",79,IF(NSi.SE[[#This Row],[KU.6]]="D",69,IF(NSi.SE[[#This Row],[KU.6]]="E",0,"-")))))</f>
        <v>-</v>
      </c>
      <c r="CZ24" s="73" t="str">
        <f>IF(NSi.SE[[#This Row],[TJ.6]]=1,100,IF(NSi.SE[[#This Row],[TJ.6]]=2,89,IF(NSi.SE[[#This Row],[TJ.6]]=3,79,IF(NSi.SE[[#This Row],[TJ.6]]=4,69,IF(NSi.SE[[#This Row],[TJ.6]]=5,0,"-")))))</f>
        <v>-</v>
      </c>
      <c r="DA24" s="73" t="str">
        <f>IF(NSi.SE[[#This Row],[Ker.6]]=1,100,IF(NSi.SE[[#This Row],[Ker.6]]=2,89,IF(NSi.SE[[#This Row],[Ker.6]]=3,79,IF(NSi.SE[[#This Row],[Ker.6]]=4,69,IF(NSi.SE[[#This Row],[Ker.6]]=5,0,"-")))))</f>
        <v>-</v>
      </c>
      <c r="DB24" s="73" t="str">
        <f>IF(NSi.SE[[#This Row],[Ped.6]]=1,100,IF(NSi.SE[[#This Row],[Ped.6]]=2,89,IF(NSi.SE[[#This Row],[Ped.6]]=3,79,IF(NSi.SE[[#This Row],[Ped.6]]=4,69,IF(NSi.SE[[#This Row],[Ped.6]]=5,0,"-")))))</f>
        <v>-</v>
      </c>
      <c r="DC24" s="73" t="str">
        <f>IF(NSi.SE[[#This Row],[Pro-A.6]]=1,100,IF(NSi.SE[[#This Row],[Pro-A.6]]=2,89,IF(NSi.SE[[#This Row],[Pro-A.6]]=3,79,IF(NSi.SE[[#This Row],[Pro-A.6]]=4,69,IF(NSi.SE[[#This Row],[Pro-A.6]]=5,0,"-")))))</f>
        <v>-</v>
      </c>
      <c r="DD24" s="74" t="str">
        <f>IF(NSi.SE[[#This Row],[KU.7]]="A",100,IF(NSi.SE[[#This Row],[KU.7]]="B",89,IF(NSi.SE[[#This Row],[KU.7]]="C",79,IF(NSi.SE[[#This Row],[KU.7]]="D",69,IF(NSi.SE[[#This Row],[KU.7]]="E",0,"-")))))</f>
        <v>-</v>
      </c>
      <c r="DE24" s="73" t="str">
        <f>IF(NSi.SE[[#This Row],[TJ.7]]=1,100,IF(NSi.SE[[#This Row],[TJ.7]]=2,89,IF(NSi.SE[[#This Row],[TJ.7]]=3,79,IF(NSi.SE[[#This Row],[TJ.7]]=4,69,IF(NSi.SE[[#This Row],[TJ.7]]=5,0,"-")))))</f>
        <v>-</v>
      </c>
      <c r="DF24" s="73" t="str">
        <f>IF(NSi.SE[[#This Row],[Ker.7]]=1,100,IF(NSi.SE[[#This Row],[Ker.7]]=2,89,IF(NSi.SE[[#This Row],[Ker.7]]=3,79,IF(NSi.SE[[#This Row],[Ker.7]]=4,69,IF(NSi.SE[[#This Row],[Ker.7]]=5,0,"-")))))</f>
        <v>-</v>
      </c>
      <c r="DG24" s="73" t="str">
        <f>IF(NSi.SE[[#This Row],[Ped.7]]=1,100,IF(NSi.SE[[#This Row],[Ped.7]]=2,89,IF(NSi.SE[[#This Row],[Ped.7]]=3,79,IF(NSi.SE[[#This Row],[Ped.7]]=4,69,IF(NSi.SE[[#This Row],[Ped.7]]=5,0,"-")))))</f>
        <v>-</v>
      </c>
      <c r="DH24" s="73" t="str">
        <f>IF(NSi.SE[[#This Row],[Pro-A.7]]=1,100,IF(NSi.SE[[#This Row],[Pro-A.7]]=2,89,IF(NSi.SE[[#This Row],[Pro-A.7]]=3,79,IF(NSi.SE[[#This Row],[Pro-A.7]]=4,69,IF(NSi.SE[[#This Row],[Pro-A.7]]=5,0,"-")))))</f>
        <v>-</v>
      </c>
      <c r="DI24" s="74" t="str">
        <f>IF(NSi.SE[[#This Row],[KU.8]]="A",100,IF(NSi.SE[[#This Row],[KU.8]]="B",89,IF(NSi.SE[[#This Row],[KU.8]]="C",79,IF(NSi.SE[[#This Row],[KU.8]]="D",69,IF(NSi.SE[[#This Row],[KU.8]]="E",0,"-")))))</f>
        <v>-</v>
      </c>
      <c r="DJ24" s="73" t="str">
        <f>IF(NSi.SE[[#This Row],[TJ.8]]=1,100,IF(NSi.SE[[#This Row],[TJ.8]]=2,89,IF(NSi.SE[[#This Row],[TJ.8]]=3,79,IF(NSi.SE[[#This Row],[TJ.8]]=4,69,IF(NSi.SE[[#This Row],[TJ.8]]=5,0,"-")))))</f>
        <v>-</v>
      </c>
      <c r="DK24" s="73" t="str">
        <f>IF(NSi.SE[[#This Row],[Ker.8]]=1,100,IF(NSi.SE[[#This Row],[Ker.8]]=2,89,IF(NSi.SE[[#This Row],[Ker.8]]=3,79,IF(NSi.SE[[#This Row],[Ker.8]]=4,69,IF(NSi.SE[[#This Row],[Ker.8]]=5,0,"-")))))</f>
        <v>-</v>
      </c>
      <c r="DL24" s="73" t="str">
        <f>IF(NSi.SE[[#This Row],[Ped.8]]=1,100,IF(NSi.SE[[#This Row],[Ped.8]]=2,89,IF(NSi.SE[[#This Row],[Ped.8]]=3,79,IF(NSi.SE[[#This Row],[Ped.8]]=4,69,IF(NSi.SE[[#This Row],[Ped.8]]=5,0,"-")))))</f>
        <v>-</v>
      </c>
      <c r="DM24" s="73" t="str">
        <f>IF(NSi.SE[[#This Row],[Pro-A.8]]=1,100,IF(NSi.SE[[#This Row],[Pro-A.8]]=2,89,IF(NSi.SE[[#This Row],[Pro-A.8]]=3,79,IF(NSi.SE[[#This Row],[Pro-A.8]]=4,69,IF(NSi.SE[[#This Row],[Pro-A.8]]=5,0,"-")))))</f>
        <v>-</v>
      </c>
      <c r="DN24" s="74" t="str">
        <f>IF(NSi.SE[[#This Row],[KU.9]]="A",100,IF(NSi.SE[[#This Row],[KU.9]]="B",89,IF(NSi.SE[[#This Row],[KU.9]]="C",79,IF(NSi.SE[[#This Row],[KU.9]]="D",69,IF(NSi.SE[[#This Row],[KU.9]]="E",0,"-")))))</f>
        <v>-</v>
      </c>
      <c r="DO24" s="73" t="str">
        <f>IF(NSi.SE[[#This Row],[TJ.9]]=1,100,IF(NSi.SE[[#This Row],[TJ.9]]=2,89,IF(NSi.SE[[#This Row],[TJ.9]]=3,79,IF(NSi.SE[[#This Row],[TJ.9]]=4,69,IF(NSi.SE[[#This Row],[TJ.9]]=5,0,"-")))))</f>
        <v>-</v>
      </c>
      <c r="DP24" s="73" t="str">
        <f>IF(NSi.SE[[#This Row],[Ker.9]]=1,100,IF(NSi.SE[[#This Row],[Ker.9]]=2,89,IF(NSi.SE[[#This Row],[Ker.9]]=3,79,IF(NSi.SE[[#This Row],[Ker.9]]=4,69,IF(NSi.SE[[#This Row],[Ker.9]]=5,0,"-")))))</f>
        <v>-</v>
      </c>
      <c r="DQ24" s="73" t="str">
        <f>IF(NSi.SE[[#This Row],[Ped.9]]=1,100,IF(NSi.SE[[#This Row],[Ped.9]]=2,89,IF(NSi.SE[[#This Row],[Ped.9]]=3,79,IF(NSi.SE[[#This Row],[Ped.9]]=4,69,IF(NSi.SE[[#This Row],[Ped.9]]=5,0,"-")))))</f>
        <v>-</v>
      </c>
      <c r="DR24" s="73" t="str">
        <f>IF(NSi.SE[[#This Row],[Pro-A.9]]=1,100,IF(NSi.SE[[#This Row],[Pro-A.9]]=2,89,IF(NSi.SE[[#This Row],[Pro-A.9]]=3,79,IF(NSi.SE[[#This Row],[Pro-A.9]]=4,69,IF(NSi.SE[[#This Row],[Pro-A.9]]=5,0,"-")))))</f>
        <v>-</v>
      </c>
      <c r="DT2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5" spans="1:124" ht="50.1" customHeight="1" x14ac:dyDescent="0.3">
      <c r="A25" s="66" t="str">
        <f>IF(NSi.TS[[#This Row],[No]]=0,"",NSi.TS[[#This Row],[No]])</f>
        <v/>
      </c>
      <c r="B25" s="67" t="str">
        <f>IF(NSi.TS[[#This Row],[Nama Siswa]]=0,"",NSi.TS[[#This Row],[Nama Siswa]])</f>
        <v/>
      </c>
      <c r="C25" s="68" t="str">
        <f>IF(NSi.TS[[#This Row],[Nomor Induk]]=0,"",NSi.TS[[#This Row],[Nomor Induk]])</f>
        <v/>
      </c>
      <c r="D25" s="68" t="str">
        <f>IF(NSi.TS[[#This Row],[NISN]]=0,"",NSi.TS[[#This Row],[NISN]])</f>
        <v/>
      </c>
      <c r="E25" s="68" t="str">
        <f>IF(NSi.TS[[#This Row],[Jurusan]]=0,"",NSi.TS[[#This Row],[Jurusan]])</f>
        <v/>
      </c>
      <c r="F25" s="39" t="str">
        <f>NSi.TS[[#This Row],[Nsi.TS]]</f>
        <v/>
      </c>
      <c r="G25" s="39" t="str">
        <f>IFERROR(ROUND(AVERAGE(CSCR.S[#This Row]),0),"")</f>
        <v/>
      </c>
      <c r="H25" s="39" t="str">
        <f>IFERROR(ROUND(AVERAGE(NSi.SE[[#This Row],[Nsi.TS]:[NS.iS]]),0),"")</f>
        <v/>
      </c>
      <c r="I25" s="41" t="s">
        <v>102</v>
      </c>
      <c r="J25" s="45" t="s">
        <v>102</v>
      </c>
      <c r="K25" s="45" t="s">
        <v>102</v>
      </c>
      <c r="L25" s="45" t="s">
        <v>102</v>
      </c>
      <c r="M25" s="45" t="s">
        <v>102</v>
      </c>
      <c r="N25" s="41" t="s">
        <v>102</v>
      </c>
      <c r="O25" s="45" t="s">
        <v>102</v>
      </c>
      <c r="P25" s="45" t="s">
        <v>102</v>
      </c>
      <c r="Q25" s="45" t="s">
        <v>102</v>
      </c>
      <c r="R25" s="45" t="s">
        <v>102</v>
      </c>
      <c r="S25" s="41" t="s">
        <v>102</v>
      </c>
      <c r="T25" s="45" t="s">
        <v>102</v>
      </c>
      <c r="U25" s="45" t="s">
        <v>102</v>
      </c>
      <c r="V25" s="45" t="s">
        <v>102</v>
      </c>
      <c r="W25" s="45" t="s">
        <v>102</v>
      </c>
      <c r="X25" s="41" t="s">
        <v>102</v>
      </c>
      <c r="Y25" s="45" t="s">
        <v>102</v>
      </c>
      <c r="Z25" s="45" t="s">
        <v>102</v>
      </c>
      <c r="AA25" s="45" t="s">
        <v>102</v>
      </c>
      <c r="AB25" s="45" t="s">
        <v>102</v>
      </c>
      <c r="AC25" s="41" t="s">
        <v>102</v>
      </c>
      <c r="AD25" s="45" t="s">
        <v>102</v>
      </c>
      <c r="AE25" s="45" t="s">
        <v>102</v>
      </c>
      <c r="AF25" s="45" t="s">
        <v>102</v>
      </c>
      <c r="AG25" s="45" t="s">
        <v>102</v>
      </c>
      <c r="AH25" s="41" t="s">
        <v>102</v>
      </c>
      <c r="AI25" s="45" t="s">
        <v>102</v>
      </c>
      <c r="AJ25" s="45" t="s">
        <v>102</v>
      </c>
      <c r="AK25" s="45" t="s">
        <v>102</v>
      </c>
      <c r="AL25" s="45" t="s">
        <v>102</v>
      </c>
      <c r="AM25" s="41" t="s">
        <v>102</v>
      </c>
      <c r="AN25" s="45" t="s">
        <v>102</v>
      </c>
      <c r="AO25" s="45" t="s">
        <v>102</v>
      </c>
      <c r="AP25" s="45" t="s">
        <v>102</v>
      </c>
      <c r="AQ25" s="45" t="s">
        <v>102</v>
      </c>
      <c r="AR25" s="41" t="s">
        <v>102</v>
      </c>
      <c r="AS25" s="45" t="s">
        <v>102</v>
      </c>
      <c r="AT25" s="45" t="s">
        <v>102</v>
      </c>
      <c r="AU25" s="45" t="s">
        <v>102</v>
      </c>
      <c r="AV25" s="45" t="s">
        <v>102</v>
      </c>
      <c r="AW25" s="41" t="s">
        <v>102</v>
      </c>
      <c r="AX25" s="45" t="s">
        <v>102</v>
      </c>
      <c r="AY25" s="45" t="s">
        <v>102</v>
      </c>
      <c r="AZ25" s="45" t="s">
        <v>102</v>
      </c>
      <c r="BA25" s="45" t="s">
        <v>102</v>
      </c>
      <c r="BC25" s="10" t="str">
        <f>CONCATENATE(NSi.SE[[#This Row],[KU.1]],(IF(A.LoE.S[[#This Row],[LE.1]]="-","-",IF(A.LoE.S[[#This Row],[LE.1]]&gt;=90,1,IF(A.LoE.S[[#This Row],[LE.1]]&gt;=80,2,IF(A.LoE.S[[#This Row],[LE.1]]&gt;=70,3,IF(A.LoE.S[[#This Row],[LE.1]]&gt;=1,4,5)))))))</f>
        <v>--</v>
      </c>
      <c r="BD25" s="46" t="str">
        <f>CONCATENATE(NSi.SE[[#This Row],[KU.2]],(IF(A.LoE.S[[#This Row],[LE.2]]="-","-",IF(A.LoE.S[[#This Row],[LE.2]]&gt;=90,1,IF(A.LoE.S[[#This Row],[LE.2]]&gt;=80,2,IF(A.LoE.S[[#This Row],[LE.2]]&gt;=70,3,IF(A.LoE.S[[#This Row],[LE.2]]&gt;=1,4,5)))))))</f>
        <v>--</v>
      </c>
      <c r="BE25" s="46" t="str">
        <f>CONCATENATE(NSi.SE[[#This Row],[KU.3]],(IF(A.LoE.S[[#This Row],[LE.3]]="-","-",IF(A.LoE.S[[#This Row],[LE.3]]&gt;=90,1,IF(A.LoE.S[[#This Row],[LE.3]]&gt;=80,2,IF(A.LoE.S[[#This Row],[LE.3]]&gt;=70,3,IF(A.LoE.S[[#This Row],[LE.3]]&gt;=1,4,5)))))))</f>
        <v>--</v>
      </c>
      <c r="BF25" s="46" t="str">
        <f>CONCATENATE(NSi.SE[[#This Row],[KU.4]],(IF(A.LoE.S[[#This Row],[LE.4]]="-","-",IF(A.LoE.S[[#This Row],[LE.4]]&gt;=90,1,IF(A.LoE.S[[#This Row],[LE.4]]&gt;=80,2,IF(A.LoE.S[[#This Row],[LE.4]]&gt;=70,3,IF(A.LoE.S[[#This Row],[LE.4]]&gt;=1,4,5)))))))</f>
        <v>--</v>
      </c>
      <c r="BG25" s="46" t="str">
        <f>CONCATENATE(NSi.SE[[#This Row],[KU.5]],(IF(A.LoE.S[[#This Row],[LE.5]]="-","-",IF(A.LoE.S[[#This Row],[LE.5]]&gt;=90,1,IF(A.LoE.S[[#This Row],[LE.5]]&gt;=80,2,IF(A.LoE.S[[#This Row],[LE.5]]&gt;=70,3,IF(A.LoE.S[[#This Row],[LE.5]]&gt;=1,4,5)))))))</f>
        <v>--</v>
      </c>
      <c r="BH25" s="46" t="str">
        <f>CONCATENATE(NSi.SE[[#This Row],[KU.6]],(IF(A.LoE.S[[#This Row],[LE.6]]="-","-",IF(A.LoE.S[[#This Row],[LE.6]]&gt;=90,1,IF(A.LoE.S[[#This Row],[LE.6]]&gt;=80,2,IF(A.LoE.S[[#This Row],[LE.6]]&gt;=70,3,IF(A.LoE.S[[#This Row],[LE.6]]&gt;=1,4,5)))))))</f>
        <v>--</v>
      </c>
      <c r="BI25" s="46" t="str">
        <f>CONCATENATE(NSi.SE[[#This Row],[KU.7]],(IF(A.LoE.S[[#This Row],[LE.7]]="-","-",IF(A.LoE.S[[#This Row],[LE.7]]&gt;=90,1,IF(A.LoE.S[[#This Row],[LE.7]]&gt;=80,2,IF(A.LoE.S[[#This Row],[LE.7]]&gt;=70,3,IF(A.LoE.S[[#This Row],[LE.7]]&gt;=1,4,5)))))))</f>
        <v>--</v>
      </c>
      <c r="BJ25" s="46" t="str">
        <f>CONCATENATE(NSi.SE[[#This Row],[KU.8]],(IF(A.LoE.S[[#This Row],[LE.8]]="-","-",IF(A.LoE.S[[#This Row],[LE.8]]&gt;=90,1,IF(A.LoE.S[[#This Row],[LE.8]]&gt;=80,2,IF(A.LoE.S[[#This Row],[LE.8]]&gt;=70,3,IF(A.LoE.S[[#This Row],[LE.8]]&gt;=1,4,5)))))))</f>
        <v>--</v>
      </c>
      <c r="BK25" s="38" t="str">
        <f>CONCATENATE(NSi.SE[[#This Row],[KU.9]],(IF(A.LoE.S[[#This Row],[LE.9]]="-","-",IF(A.LoE.S[[#This Row],[LE.9]]&gt;=90,1,IF(A.LoE.S[[#This Row],[LE.9]]&gt;=80,2,IF(A.LoE.S[[#This Row],[LE.9]]&gt;=70,3,IF(A.LoE.S[[#This Row],[LE.9]]&gt;=1,4,5)))))))</f>
        <v>--</v>
      </c>
      <c r="BM25" s="35" t="str">
        <f>IFERROR(ROUND(AVERAGE(Con.Sk.S[[#This Row],[TJ.1]:[Pro-A.1]]),0),"-")</f>
        <v>-</v>
      </c>
      <c r="BN25" s="24" t="str">
        <f>IFERROR(ROUND(AVERAGE(Con.Sk.S[[#This Row],[TJ.2]:[Pro-A.2]]),0),"-")</f>
        <v>-</v>
      </c>
      <c r="BO25" s="24" t="str">
        <f>IFERROR(ROUND(AVERAGE(Con.Sk.S[[#This Row],[TJ.3]:[Pro-A.3]]),0),"-")</f>
        <v>-</v>
      </c>
      <c r="BP25" s="24" t="str">
        <f>IFERROR(ROUND(AVERAGE(Con.Sk.S[[#This Row],[TJ.4]:[Pro-A.4]]),0),"-")</f>
        <v>-</v>
      </c>
      <c r="BQ25" s="24" t="str">
        <f>IFERROR(ROUND(AVERAGE(Con.Sk.S[[#This Row],[TJ.5]:[Pro-A.5]]),0),"-")</f>
        <v>-</v>
      </c>
      <c r="BR25" s="24" t="str">
        <f>IFERROR(ROUND(AVERAGE(Con.Sk.S[[#This Row],[TJ.6]:[Pro-A.6]]),0),"-")</f>
        <v>-</v>
      </c>
      <c r="BS25" s="24" t="str">
        <f>IFERROR(ROUND(AVERAGE(Con.Sk.S[[#This Row],[TJ.7]:[Pro-A.7]]),0),"-")</f>
        <v>-</v>
      </c>
      <c r="BT25" s="24" t="str">
        <f>IFERROR(ROUND(AVERAGE(Con.Sk.S[[#This Row],[TJ.8]:[Pro-A.8]]),0),"-")</f>
        <v>-</v>
      </c>
      <c r="BU25" s="25" t="str">
        <f>IFERROR(ROUND(AVERAGE(Con.Sk.S[[#This Row],[TJ.9]:[Pro-A.9]]),0),"-")</f>
        <v>-</v>
      </c>
      <c r="BW25" s="47" t="str">
        <f>IFERROR(ROUND(AVERAGE(Con.Sk.S[[#This Row],[KU.1]],Con.Sk.S[[#This Row],[KU.2]],Con.Sk.S[[#This Row],[KU.3]],Con.Sk.S[[#This Row],[KU.4]],Con.Sk.S[[#This Row],[KU.5]],Con.Sk.S[[#This Row],[KU.6]],Con.Sk.S[[#This Row],[KU.7]],Con.Sk.S[[#This Row],[KU.8]],Con.Sk.S[[#This Row],[KU.9]]),0),"")</f>
        <v/>
      </c>
      <c r="BX25" s="48" t="str">
        <f>IFERROR(ROUND(AVERAGE(Con.Sk.S[[#This Row],[TJ.1]:[Pro-A.1]],Con.Sk.S[[#This Row],[TJ.2]:[Pro-A.2]],Con.Sk.S[[#This Row],[TJ.3]:[Pro-A.3]],Con.Sk.S[[#This Row],[TJ.4]:[Pro-A.4]],Con.Sk.S[[#This Row],[TJ.5]:[Pro-A.5]],Con.Sk.S[[#This Row],[TJ.6]:[Pro-A.6]],Con.Sk.S[[#This Row],[TJ.7]:[Pro-A.7]],Con.Sk.S[[#This Row],[TJ.8]:[Pro-A.8]],Con.Sk.S[[#This Row],[TJ.9]:[Pro-A.9]]),0),"")</f>
        <v/>
      </c>
      <c r="BY25" s="3"/>
      <c r="BZ25" s="73" t="str">
        <f>IF(NSi.SE[[#This Row],[KU.1]]="A",100,IF(NSi.SE[[#This Row],[KU.1]]="B",89,IF(NSi.SE[[#This Row],[KU.1]]="C",79,IF(NSi.SE[[#This Row],[KU.1]]="D",69,IF(NSi.SE[[#This Row],[KU.1]]="E",0,"-")))))</f>
        <v>-</v>
      </c>
      <c r="CA25" s="73" t="str">
        <f>IF(NSi.SE[[#This Row],[TJ.1]]=1,100,IF(NSi.SE[[#This Row],[TJ.1]]=2,89,IF(NSi.SE[[#This Row],[TJ.1]]=3,79,IF(NSi.SE[[#This Row],[TJ.1]]=4,69,IF(NSi.SE[[#This Row],[TJ.1]]=5,0,"-")))))</f>
        <v>-</v>
      </c>
      <c r="CB25" s="73" t="str">
        <f>IF(NSi.SE[[#This Row],[Ker.1]]=1,100,IF(NSi.SE[[#This Row],[Ker.1]]=2,89,IF(NSi.SE[[#This Row],[Ker.1]]=3,79,IF(NSi.SE[[#This Row],[Ker.1]]=4,69,IF(NSi.SE[[#This Row],[Ker.1]]=5,0,"-")))))</f>
        <v>-</v>
      </c>
      <c r="CC25" s="73" t="str">
        <f>IF(NSi.SE[[#This Row],[Ped.1]]=1,100,IF(NSi.SE[[#This Row],[Ped.1]]=2,89,IF(NSi.SE[[#This Row],[Ped.1]]=3,79,IF(NSi.SE[[#This Row],[Ped.1]]=4,69,IF(NSi.SE[[#This Row],[Ped.1]]=5,0,"-")))))</f>
        <v>-</v>
      </c>
      <c r="CD25" s="73" t="str">
        <f>IF(NSi.SE[[#This Row],[Pro-A.1]]=1,100,IF(NSi.SE[[#This Row],[Pro-A.1]]=2,89,IF(NSi.SE[[#This Row],[Pro-A.1]]=3,79,IF(NSi.SE[[#This Row],[Pro-A.1]]=4,69,IF(NSi.SE[[#This Row],[Pro-A.1]]=5,0,"-")))))</f>
        <v>-</v>
      </c>
      <c r="CE25" s="73" t="str">
        <f>IF(NSi.SE[[#This Row],[KU.2]]="A",100,IF(NSi.SE[[#This Row],[KU.2]]="B",89,IF(NSi.SE[[#This Row],[KU.2]]="C",79,IF(NSi.SE[[#This Row],[KU.2]]="D",69,IF(NSi.SE[[#This Row],[KU.2]]="E",0,"-")))))</f>
        <v>-</v>
      </c>
      <c r="CF25" s="73" t="str">
        <f>IF(NSi.SE[[#This Row],[TJ.2]]=1,100,IF(NSi.SE[[#This Row],[TJ.2]]=2,89,IF(NSi.SE[[#This Row],[TJ.2]]=3,79,IF(NSi.SE[[#This Row],[TJ.2]]=4,69,IF(NSi.SE[[#This Row],[TJ.2]]=5,0,"-")))))</f>
        <v>-</v>
      </c>
      <c r="CG25" s="73" t="str">
        <f>IF(NSi.SE[[#This Row],[Ker.2]]=1,100,IF(NSi.SE[[#This Row],[Ker.2]]=2,89,IF(NSi.SE[[#This Row],[Ker.2]]=3,79,IF(NSi.SE[[#This Row],[Ker.2]]=4,69,IF(NSi.SE[[#This Row],[Ker.2]]=5,0,"-")))))</f>
        <v>-</v>
      </c>
      <c r="CH25" s="73" t="str">
        <f>IF(NSi.SE[[#This Row],[Ped.2]]=1,100,IF(NSi.SE[[#This Row],[Ped.2]]=2,89,IF(NSi.SE[[#This Row],[Ped.2]]=3,79,IF(NSi.SE[[#This Row],[Ped.2]]=4,69,IF(NSi.SE[[#This Row],[Ped.2]]=5,0,"-")))))</f>
        <v>-</v>
      </c>
      <c r="CI25" s="73" t="str">
        <f>IF(NSi.SE[[#This Row],[Pro-A.2]]=1,100,IF(NSi.SE[[#This Row],[Pro-A.2]]=2,89,IF(NSi.SE[[#This Row],[Pro-A.2]]=3,79,IF(NSi.SE[[#This Row],[Pro-A.2]]=4,69,IF(NSi.SE[[#This Row],[Pro-A.2]]=5,0,"-")))))</f>
        <v>-</v>
      </c>
      <c r="CJ25" s="74" t="str">
        <f>IF(NSi.SE[[#This Row],[KU.3]]="A",100,IF(NSi.SE[[#This Row],[KU.3]]="B",89,IF(NSi.SE[[#This Row],[KU.3]]="C",79,IF(NSi.SE[[#This Row],[KU.3]]="D",69,IF(NSi.SE[[#This Row],[KU.3]]="E",0,"-")))))</f>
        <v>-</v>
      </c>
      <c r="CK25" s="73" t="str">
        <f>IF(NSi.SE[[#This Row],[TJ.3]]=1,100,IF(NSi.SE[[#This Row],[TJ.3]]=2,89,IF(NSi.SE[[#This Row],[TJ.3]]=3,79,IF(NSi.SE[[#This Row],[TJ.3]]=4,69,IF(NSi.SE[[#This Row],[TJ.3]]=5,0,"-")))))</f>
        <v>-</v>
      </c>
      <c r="CL25" s="73" t="str">
        <f>IF(NSi.SE[[#This Row],[Ker.3]]=1,100,IF(NSi.SE[[#This Row],[Ker.3]]=2,89,IF(NSi.SE[[#This Row],[Ker.3]]=3,79,IF(NSi.SE[[#This Row],[Ker.3]]=4,69,IF(NSi.SE[[#This Row],[Ker.3]]=5,0,"-")))))</f>
        <v>-</v>
      </c>
      <c r="CM25" s="73" t="str">
        <f>IF(NSi.SE[[#This Row],[Ped.3]]=1,100,IF(NSi.SE[[#This Row],[Ped.3]]=2,89,IF(NSi.SE[[#This Row],[Ped.3]]=3,79,IF(NSi.SE[[#This Row],[Ped.3]]=4,69,IF(NSi.SE[[#This Row],[Ped.3]]=5,0,"-")))))</f>
        <v>-</v>
      </c>
      <c r="CN25" s="73" t="str">
        <f>IF(NSi.SE[[#This Row],[Pro-A.3]]=1,100,IF(NSi.SE[[#This Row],[Pro-A.3]]=2,89,IF(NSi.SE[[#This Row],[Pro-A.3]]=3,79,IF(NSi.SE[[#This Row],[Pro-A.3]]=4,69,IF(NSi.SE[[#This Row],[Pro-A.3]]=5,0,"-")))))</f>
        <v>-</v>
      </c>
      <c r="CO25" s="74" t="str">
        <f>IF(NSi.SE[[#This Row],[KU.4]]="A",100,IF(NSi.SE[[#This Row],[KU.4]]="B",89,IF(NSi.SE[[#This Row],[KU.4]]="C",79,IF(NSi.SE[[#This Row],[KU.4]]="D",69,IF(NSi.SE[[#This Row],[KU.4]]="E",0,"-")))))</f>
        <v>-</v>
      </c>
      <c r="CP25" s="73" t="str">
        <f>IF(NSi.SE[[#This Row],[TJ.4]]=1,100,IF(NSi.SE[[#This Row],[TJ.4]]=2,89,IF(NSi.SE[[#This Row],[TJ.4]]=3,79,IF(NSi.SE[[#This Row],[TJ.4]]=4,69,IF(NSi.SE[[#This Row],[TJ.4]]=5,0,"-")))))</f>
        <v>-</v>
      </c>
      <c r="CQ25" s="73" t="str">
        <f>IF(NSi.SE[[#This Row],[Ker.4]]=1,100,IF(NSi.SE[[#This Row],[Ker.4]]=2,89,IF(NSi.SE[[#This Row],[Ker.4]]=3,79,IF(NSi.SE[[#This Row],[Ker.4]]=4,69,IF(NSi.SE[[#This Row],[Ker.4]]=5,0,"-")))))</f>
        <v>-</v>
      </c>
      <c r="CR25" s="73" t="str">
        <f>IF(NSi.SE[[#This Row],[Ped.4]]=1,100,IF(NSi.SE[[#This Row],[Ped.4]]=2,89,IF(NSi.SE[[#This Row],[Ped.4]]=3,79,IF(NSi.SE[[#This Row],[Ped.4]]=4,69,IF(NSi.SE[[#This Row],[Ped.4]]=5,0,"-")))))</f>
        <v>-</v>
      </c>
      <c r="CS25" s="73" t="str">
        <f>IF(NSi.SE[[#This Row],[Pro-A.4]]=1,100,IF(NSi.SE[[#This Row],[Pro-A.4]]=2,89,IF(NSi.SE[[#This Row],[Pro-A.4]]=3,79,IF(NSi.SE[[#This Row],[Pro-A.4]]=4,69,IF(NSi.SE[[#This Row],[Pro-A.4]]=5,0,"-")))))</f>
        <v>-</v>
      </c>
      <c r="CT25" s="74" t="str">
        <f>IF(NSi.SE[[#This Row],[KU.5]]="A",100,IF(NSi.SE[[#This Row],[KU.5]]="B",89,IF(NSi.SE[[#This Row],[KU.5]]="C",79,IF(NSi.SE[[#This Row],[KU.5]]="D",69,IF(NSi.SE[[#This Row],[KU.5]]="E",0,"-")))))</f>
        <v>-</v>
      </c>
      <c r="CU25" s="73" t="str">
        <f>IF(NSi.SE[[#This Row],[TJ.5]]=1,100,IF(NSi.SE[[#This Row],[TJ.5]]=2,89,IF(NSi.SE[[#This Row],[TJ.5]]=3,79,IF(NSi.SE[[#This Row],[TJ.5]]=4,69,IF(NSi.SE[[#This Row],[TJ.5]]=5,0,"-")))))</f>
        <v>-</v>
      </c>
      <c r="CV25" s="73" t="str">
        <f>IF(NSi.SE[[#This Row],[Ker.5]]=1,100,IF(NSi.SE[[#This Row],[Ker.5]]=2,89,IF(NSi.SE[[#This Row],[Ker.5]]=3,79,IF(NSi.SE[[#This Row],[Ker.5]]=4,69,IF(NSi.SE[[#This Row],[Ker.5]]=5,0,"-")))))</f>
        <v>-</v>
      </c>
      <c r="CW25" s="73" t="str">
        <f>IF(NSi.SE[[#This Row],[Ped.5]]=1,100,IF(NSi.SE[[#This Row],[Ped.5]]=2,89,IF(NSi.SE[[#This Row],[Ped.5]]=3,79,IF(NSi.SE[[#This Row],[Ped.5]]=4,69,IF(NSi.SE[[#This Row],[Ped.5]]=5,0,"-")))))</f>
        <v>-</v>
      </c>
      <c r="CX25" s="73" t="str">
        <f>IF(NSi.SE[[#This Row],[Pro-A.5]]=1,100,IF(NSi.SE[[#This Row],[Pro-A.5]]=2,89,IF(NSi.SE[[#This Row],[Pro-A.5]]=3,79,IF(NSi.SE[[#This Row],[Pro-A.5]]=4,69,IF(NSi.SE[[#This Row],[Pro-A.5]]=5,0,"-")))))</f>
        <v>-</v>
      </c>
      <c r="CY25" s="74" t="str">
        <f>IF(NSi.SE[[#This Row],[KU.6]]="A",100,IF(NSi.SE[[#This Row],[KU.6]]="B",89,IF(NSi.SE[[#This Row],[KU.6]]="C",79,IF(NSi.SE[[#This Row],[KU.6]]="D",69,IF(NSi.SE[[#This Row],[KU.6]]="E",0,"-")))))</f>
        <v>-</v>
      </c>
      <c r="CZ25" s="73" t="str">
        <f>IF(NSi.SE[[#This Row],[TJ.6]]=1,100,IF(NSi.SE[[#This Row],[TJ.6]]=2,89,IF(NSi.SE[[#This Row],[TJ.6]]=3,79,IF(NSi.SE[[#This Row],[TJ.6]]=4,69,IF(NSi.SE[[#This Row],[TJ.6]]=5,0,"-")))))</f>
        <v>-</v>
      </c>
      <c r="DA25" s="73" t="str">
        <f>IF(NSi.SE[[#This Row],[Ker.6]]=1,100,IF(NSi.SE[[#This Row],[Ker.6]]=2,89,IF(NSi.SE[[#This Row],[Ker.6]]=3,79,IF(NSi.SE[[#This Row],[Ker.6]]=4,69,IF(NSi.SE[[#This Row],[Ker.6]]=5,0,"-")))))</f>
        <v>-</v>
      </c>
      <c r="DB25" s="73" t="str">
        <f>IF(NSi.SE[[#This Row],[Ped.6]]=1,100,IF(NSi.SE[[#This Row],[Ped.6]]=2,89,IF(NSi.SE[[#This Row],[Ped.6]]=3,79,IF(NSi.SE[[#This Row],[Ped.6]]=4,69,IF(NSi.SE[[#This Row],[Ped.6]]=5,0,"-")))))</f>
        <v>-</v>
      </c>
      <c r="DC25" s="73" t="str">
        <f>IF(NSi.SE[[#This Row],[Pro-A.6]]=1,100,IF(NSi.SE[[#This Row],[Pro-A.6]]=2,89,IF(NSi.SE[[#This Row],[Pro-A.6]]=3,79,IF(NSi.SE[[#This Row],[Pro-A.6]]=4,69,IF(NSi.SE[[#This Row],[Pro-A.6]]=5,0,"-")))))</f>
        <v>-</v>
      </c>
      <c r="DD25" s="74" t="str">
        <f>IF(NSi.SE[[#This Row],[KU.7]]="A",100,IF(NSi.SE[[#This Row],[KU.7]]="B",89,IF(NSi.SE[[#This Row],[KU.7]]="C",79,IF(NSi.SE[[#This Row],[KU.7]]="D",69,IF(NSi.SE[[#This Row],[KU.7]]="E",0,"-")))))</f>
        <v>-</v>
      </c>
      <c r="DE25" s="73" t="str">
        <f>IF(NSi.SE[[#This Row],[TJ.7]]=1,100,IF(NSi.SE[[#This Row],[TJ.7]]=2,89,IF(NSi.SE[[#This Row],[TJ.7]]=3,79,IF(NSi.SE[[#This Row],[TJ.7]]=4,69,IF(NSi.SE[[#This Row],[TJ.7]]=5,0,"-")))))</f>
        <v>-</v>
      </c>
      <c r="DF25" s="73" t="str">
        <f>IF(NSi.SE[[#This Row],[Ker.7]]=1,100,IF(NSi.SE[[#This Row],[Ker.7]]=2,89,IF(NSi.SE[[#This Row],[Ker.7]]=3,79,IF(NSi.SE[[#This Row],[Ker.7]]=4,69,IF(NSi.SE[[#This Row],[Ker.7]]=5,0,"-")))))</f>
        <v>-</v>
      </c>
      <c r="DG25" s="73" t="str">
        <f>IF(NSi.SE[[#This Row],[Ped.7]]=1,100,IF(NSi.SE[[#This Row],[Ped.7]]=2,89,IF(NSi.SE[[#This Row],[Ped.7]]=3,79,IF(NSi.SE[[#This Row],[Ped.7]]=4,69,IF(NSi.SE[[#This Row],[Ped.7]]=5,0,"-")))))</f>
        <v>-</v>
      </c>
      <c r="DH25" s="73" t="str">
        <f>IF(NSi.SE[[#This Row],[Pro-A.7]]=1,100,IF(NSi.SE[[#This Row],[Pro-A.7]]=2,89,IF(NSi.SE[[#This Row],[Pro-A.7]]=3,79,IF(NSi.SE[[#This Row],[Pro-A.7]]=4,69,IF(NSi.SE[[#This Row],[Pro-A.7]]=5,0,"-")))))</f>
        <v>-</v>
      </c>
      <c r="DI25" s="74" t="str">
        <f>IF(NSi.SE[[#This Row],[KU.8]]="A",100,IF(NSi.SE[[#This Row],[KU.8]]="B",89,IF(NSi.SE[[#This Row],[KU.8]]="C",79,IF(NSi.SE[[#This Row],[KU.8]]="D",69,IF(NSi.SE[[#This Row],[KU.8]]="E",0,"-")))))</f>
        <v>-</v>
      </c>
      <c r="DJ25" s="73" t="str">
        <f>IF(NSi.SE[[#This Row],[TJ.8]]=1,100,IF(NSi.SE[[#This Row],[TJ.8]]=2,89,IF(NSi.SE[[#This Row],[TJ.8]]=3,79,IF(NSi.SE[[#This Row],[TJ.8]]=4,69,IF(NSi.SE[[#This Row],[TJ.8]]=5,0,"-")))))</f>
        <v>-</v>
      </c>
      <c r="DK25" s="73" t="str">
        <f>IF(NSi.SE[[#This Row],[Ker.8]]=1,100,IF(NSi.SE[[#This Row],[Ker.8]]=2,89,IF(NSi.SE[[#This Row],[Ker.8]]=3,79,IF(NSi.SE[[#This Row],[Ker.8]]=4,69,IF(NSi.SE[[#This Row],[Ker.8]]=5,0,"-")))))</f>
        <v>-</v>
      </c>
      <c r="DL25" s="73" t="str">
        <f>IF(NSi.SE[[#This Row],[Ped.8]]=1,100,IF(NSi.SE[[#This Row],[Ped.8]]=2,89,IF(NSi.SE[[#This Row],[Ped.8]]=3,79,IF(NSi.SE[[#This Row],[Ped.8]]=4,69,IF(NSi.SE[[#This Row],[Ped.8]]=5,0,"-")))))</f>
        <v>-</v>
      </c>
      <c r="DM25" s="73" t="str">
        <f>IF(NSi.SE[[#This Row],[Pro-A.8]]=1,100,IF(NSi.SE[[#This Row],[Pro-A.8]]=2,89,IF(NSi.SE[[#This Row],[Pro-A.8]]=3,79,IF(NSi.SE[[#This Row],[Pro-A.8]]=4,69,IF(NSi.SE[[#This Row],[Pro-A.8]]=5,0,"-")))))</f>
        <v>-</v>
      </c>
      <c r="DN25" s="74" t="str">
        <f>IF(NSi.SE[[#This Row],[KU.9]]="A",100,IF(NSi.SE[[#This Row],[KU.9]]="B",89,IF(NSi.SE[[#This Row],[KU.9]]="C",79,IF(NSi.SE[[#This Row],[KU.9]]="D",69,IF(NSi.SE[[#This Row],[KU.9]]="E",0,"-")))))</f>
        <v>-</v>
      </c>
      <c r="DO25" s="73" t="str">
        <f>IF(NSi.SE[[#This Row],[TJ.9]]=1,100,IF(NSi.SE[[#This Row],[TJ.9]]=2,89,IF(NSi.SE[[#This Row],[TJ.9]]=3,79,IF(NSi.SE[[#This Row],[TJ.9]]=4,69,IF(NSi.SE[[#This Row],[TJ.9]]=5,0,"-")))))</f>
        <v>-</v>
      </c>
      <c r="DP25" s="73" t="str">
        <f>IF(NSi.SE[[#This Row],[Ker.9]]=1,100,IF(NSi.SE[[#This Row],[Ker.9]]=2,89,IF(NSi.SE[[#This Row],[Ker.9]]=3,79,IF(NSi.SE[[#This Row],[Ker.9]]=4,69,IF(NSi.SE[[#This Row],[Ker.9]]=5,0,"-")))))</f>
        <v>-</v>
      </c>
      <c r="DQ25" s="73" t="str">
        <f>IF(NSi.SE[[#This Row],[Ped.9]]=1,100,IF(NSi.SE[[#This Row],[Ped.9]]=2,89,IF(NSi.SE[[#This Row],[Ped.9]]=3,79,IF(NSi.SE[[#This Row],[Ped.9]]=4,69,IF(NSi.SE[[#This Row],[Ped.9]]=5,0,"-")))))</f>
        <v>-</v>
      </c>
      <c r="DR25" s="73" t="str">
        <f>IF(NSi.SE[[#This Row],[Pro-A.9]]=1,100,IF(NSi.SE[[#This Row],[Pro-A.9]]=2,89,IF(NSi.SE[[#This Row],[Pro-A.9]]=3,79,IF(NSi.SE[[#This Row],[Pro-A.9]]=4,69,IF(NSi.SE[[#This Row],[Pro-A.9]]=5,0,"-")))))</f>
        <v>-</v>
      </c>
      <c r="DT2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6" spans="1:124" ht="50.1" customHeight="1" x14ac:dyDescent="0.3">
      <c r="A26" s="66" t="str">
        <f>IF(NSi.TS[[#This Row],[No]]=0,"",NSi.TS[[#This Row],[No]])</f>
        <v/>
      </c>
      <c r="B26" s="67" t="str">
        <f>IF(NSi.TS[[#This Row],[Nama Siswa]]=0,"",NSi.TS[[#This Row],[Nama Siswa]])</f>
        <v/>
      </c>
      <c r="C26" s="68" t="str">
        <f>IF(NSi.TS[[#This Row],[Nomor Induk]]=0,"",NSi.TS[[#This Row],[Nomor Induk]])</f>
        <v/>
      </c>
      <c r="D26" s="68" t="str">
        <f>IF(NSi.TS[[#This Row],[NISN]]=0,"",NSi.TS[[#This Row],[NISN]])</f>
        <v/>
      </c>
      <c r="E26" s="68" t="str">
        <f>IF(NSi.TS[[#This Row],[Jurusan]]=0,"",NSi.TS[[#This Row],[Jurusan]])</f>
        <v/>
      </c>
      <c r="F26" s="39" t="str">
        <f>NSi.TS[[#This Row],[Nsi.TS]]</f>
        <v/>
      </c>
      <c r="G26" s="39" t="str">
        <f>IFERROR(ROUND(AVERAGE(CSCR.S[#This Row]),0),"")</f>
        <v/>
      </c>
      <c r="H26" s="39" t="str">
        <f>IFERROR(ROUND(AVERAGE(NSi.SE[[#This Row],[Nsi.TS]:[NS.iS]]),0),"")</f>
        <v/>
      </c>
      <c r="I26" s="41" t="s">
        <v>102</v>
      </c>
      <c r="J26" s="45" t="s">
        <v>102</v>
      </c>
      <c r="K26" s="45" t="s">
        <v>102</v>
      </c>
      <c r="L26" s="45" t="s">
        <v>102</v>
      </c>
      <c r="M26" s="45" t="s">
        <v>102</v>
      </c>
      <c r="N26" s="41" t="s">
        <v>102</v>
      </c>
      <c r="O26" s="45" t="s">
        <v>102</v>
      </c>
      <c r="P26" s="45" t="s">
        <v>102</v>
      </c>
      <c r="Q26" s="45" t="s">
        <v>102</v>
      </c>
      <c r="R26" s="45" t="s">
        <v>102</v>
      </c>
      <c r="S26" s="41" t="s">
        <v>102</v>
      </c>
      <c r="T26" s="45" t="s">
        <v>102</v>
      </c>
      <c r="U26" s="45" t="s">
        <v>102</v>
      </c>
      <c r="V26" s="45" t="s">
        <v>102</v>
      </c>
      <c r="W26" s="45" t="s">
        <v>102</v>
      </c>
      <c r="X26" s="41" t="s">
        <v>102</v>
      </c>
      <c r="Y26" s="45" t="s">
        <v>102</v>
      </c>
      <c r="Z26" s="45" t="s">
        <v>102</v>
      </c>
      <c r="AA26" s="45" t="s">
        <v>102</v>
      </c>
      <c r="AB26" s="45" t="s">
        <v>102</v>
      </c>
      <c r="AC26" s="41" t="s">
        <v>102</v>
      </c>
      <c r="AD26" s="45" t="s">
        <v>102</v>
      </c>
      <c r="AE26" s="45" t="s">
        <v>102</v>
      </c>
      <c r="AF26" s="45" t="s">
        <v>102</v>
      </c>
      <c r="AG26" s="45" t="s">
        <v>102</v>
      </c>
      <c r="AH26" s="41" t="s">
        <v>102</v>
      </c>
      <c r="AI26" s="45" t="s">
        <v>102</v>
      </c>
      <c r="AJ26" s="45" t="s">
        <v>102</v>
      </c>
      <c r="AK26" s="45" t="s">
        <v>102</v>
      </c>
      <c r="AL26" s="45" t="s">
        <v>102</v>
      </c>
      <c r="AM26" s="41" t="s">
        <v>102</v>
      </c>
      <c r="AN26" s="45" t="s">
        <v>102</v>
      </c>
      <c r="AO26" s="45" t="s">
        <v>102</v>
      </c>
      <c r="AP26" s="45" t="s">
        <v>102</v>
      </c>
      <c r="AQ26" s="45" t="s">
        <v>102</v>
      </c>
      <c r="AR26" s="41" t="s">
        <v>102</v>
      </c>
      <c r="AS26" s="45" t="s">
        <v>102</v>
      </c>
      <c r="AT26" s="45" t="s">
        <v>102</v>
      </c>
      <c r="AU26" s="45" t="s">
        <v>102</v>
      </c>
      <c r="AV26" s="45" t="s">
        <v>102</v>
      </c>
      <c r="AW26" s="41" t="s">
        <v>102</v>
      </c>
      <c r="AX26" s="45" t="s">
        <v>102</v>
      </c>
      <c r="AY26" s="45" t="s">
        <v>102</v>
      </c>
      <c r="AZ26" s="45" t="s">
        <v>102</v>
      </c>
      <c r="BA26" s="45" t="s">
        <v>102</v>
      </c>
      <c r="BC26" s="10" t="str">
        <f>CONCATENATE(NSi.SE[[#This Row],[KU.1]],(IF(A.LoE.S[[#This Row],[LE.1]]="-","-",IF(A.LoE.S[[#This Row],[LE.1]]&gt;=90,1,IF(A.LoE.S[[#This Row],[LE.1]]&gt;=80,2,IF(A.LoE.S[[#This Row],[LE.1]]&gt;=70,3,IF(A.LoE.S[[#This Row],[LE.1]]&gt;=1,4,5)))))))</f>
        <v>--</v>
      </c>
      <c r="BD26" s="46" t="str">
        <f>CONCATENATE(NSi.SE[[#This Row],[KU.2]],(IF(A.LoE.S[[#This Row],[LE.2]]="-","-",IF(A.LoE.S[[#This Row],[LE.2]]&gt;=90,1,IF(A.LoE.S[[#This Row],[LE.2]]&gt;=80,2,IF(A.LoE.S[[#This Row],[LE.2]]&gt;=70,3,IF(A.LoE.S[[#This Row],[LE.2]]&gt;=1,4,5)))))))</f>
        <v>--</v>
      </c>
      <c r="BE26" s="46" t="str">
        <f>CONCATENATE(NSi.SE[[#This Row],[KU.3]],(IF(A.LoE.S[[#This Row],[LE.3]]="-","-",IF(A.LoE.S[[#This Row],[LE.3]]&gt;=90,1,IF(A.LoE.S[[#This Row],[LE.3]]&gt;=80,2,IF(A.LoE.S[[#This Row],[LE.3]]&gt;=70,3,IF(A.LoE.S[[#This Row],[LE.3]]&gt;=1,4,5)))))))</f>
        <v>--</v>
      </c>
      <c r="BF26" s="46" t="str">
        <f>CONCATENATE(NSi.SE[[#This Row],[KU.4]],(IF(A.LoE.S[[#This Row],[LE.4]]="-","-",IF(A.LoE.S[[#This Row],[LE.4]]&gt;=90,1,IF(A.LoE.S[[#This Row],[LE.4]]&gt;=80,2,IF(A.LoE.S[[#This Row],[LE.4]]&gt;=70,3,IF(A.LoE.S[[#This Row],[LE.4]]&gt;=1,4,5)))))))</f>
        <v>--</v>
      </c>
      <c r="BG26" s="46" t="str">
        <f>CONCATENATE(NSi.SE[[#This Row],[KU.5]],(IF(A.LoE.S[[#This Row],[LE.5]]="-","-",IF(A.LoE.S[[#This Row],[LE.5]]&gt;=90,1,IF(A.LoE.S[[#This Row],[LE.5]]&gt;=80,2,IF(A.LoE.S[[#This Row],[LE.5]]&gt;=70,3,IF(A.LoE.S[[#This Row],[LE.5]]&gt;=1,4,5)))))))</f>
        <v>--</v>
      </c>
      <c r="BH26" s="46" t="str">
        <f>CONCATENATE(NSi.SE[[#This Row],[KU.6]],(IF(A.LoE.S[[#This Row],[LE.6]]="-","-",IF(A.LoE.S[[#This Row],[LE.6]]&gt;=90,1,IF(A.LoE.S[[#This Row],[LE.6]]&gt;=80,2,IF(A.LoE.S[[#This Row],[LE.6]]&gt;=70,3,IF(A.LoE.S[[#This Row],[LE.6]]&gt;=1,4,5)))))))</f>
        <v>--</v>
      </c>
      <c r="BI26" s="46" t="str">
        <f>CONCATENATE(NSi.SE[[#This Row],[KU.7]],(IF(A.LoE.S[[#This Row],[LE.7]]="-","-",IF(A.LoE.S[[#This Row],[LE.7]]&gt;=90,1,IF(A.LoE.S[[#This Row],[LE.7]]&gt;=80,2,IF(A.LoE.S[[#This Row],[LE.7]]&gt;=70,3,IF(A.LoE.S[[#This Row],[LE.7]]&gt;=1,4,5)))))))</f>
        <v>--</v>
      </c>
      <c r="BJ26" s="46" t="str">
        <f>CONCATENATE(NSi.SE[[#This Row],[KU.8]],(IF(A.LoE.S[[#This Row],[LE.8]]="-","-",IF(A.LoE.S[[#This Row],[LE.8]]&gt;=90,1,IF(A.LoE.S[[#This Row],[LE.8]]&gt;=80,2,IF(A.LoE.S[[#This Row],[LE.8]]&gt;=70,3,IF(A.LoE.S[[#This Row],[LE.8]]&gt;=1,4,5)))))))</f>
        <v>--</v>
      </c>
      <c r="BK26" s="38" t="str">
        <f>CONCATENATE(NSi.SE[[#This Row],[KU.9]],(IF(A.LoE.S[[#This Row],[LE.9]]="-","-",IF(A.LoE.S[[#This Row],[LE.9]]&gt;=90,1,IF(A.LoE.S[[#This Row],[LE.9]]&gt;=80,2,IF(A.LoE.S[[#This Row],[LE.9]]&gt;=70,3,IF(A.LoE.S[[#This Row],[LE.9]]&gt;=1,4,5)))))))</f>
        <v>--</v>
      </c>
      <c r="BM26" s="35" t="str">
        <f>IFERROR(ROUND(AVERAGE(Con.Sk.S[[#This Row],[TJ.1]:[Pro-A.1]]),0),"-")</f>
        <v>-</v>
      </c>
      <c r="BN26" s="24" t="str">
        <f>IFERROR(ROUND(AVERAGE(Con.Sk.S[[#This Row],[TJ.2]:[Pro-A.2]]),0),"-")</f>
        <v>-</v>
      </c>
      <c r="BO26" s="24" t="str">
        <f>IFERROR(ROUND(AVERAGE(Con.Sk.S[[#This Row],[TJ.3]:[Pro-A.3]]),0),"-")</f>
        <v>-</v>
      </c>
      <c r="BP26" s="24" t="str">
        <f>IFERROR(ROUND(AVERAGE(Con.Sk.S[[#This Row],[TJ.4]:[Pro-A.4]]),0),"-")</f>
        <v>-</v>
      </c>
      <c r="BQ26" s="24" t="str">
        <f>IFERROR(ROUND(AVERAGE(Con.Sk.S[[#This Row],[TJ.5]:[Pro-A.5]]),0),"-")</f>
        <v>-</v>
      </c>
      <c r="BR26" s="24" t="str">
        <f>IFERROR(ROUND(AVERAGE(Con.Sk.S[[#This Row],[TJ.6]:[Pro-A.6]]),0),"-")</f>
        <v>-</v>
      </c>
      <c r="BS26" s="24" t="str">
        <f>IFERROR(ROUND(AVERAGE(Con.Sk.S[[#This Row],[TJ.7]:[Pro-A.7]]),0),"-")</f>
        <v>-</v>
      </c>
      <c r="BT26" s="24" t="str">
        <f>IFERROR(ROUND(AVERAGE(Con.Sk.S[[#This Row],[TJ.8]:[Pro-A.8]]),0),"-")</f>
        <v>-</v>
      </c>
      <c r="BU26" s="25" t="str">
        <f>IFERROR(ROUND(AVERAGE(Con.Sk.S[[#This Row],[TJ.9]:[Pro-A.9]]),0),"-")</f>
        <v>-</v>
      </c>
      <c r="BW26" s="47" t="str">
        <f>IFERROR(ROUND(AVERAGE(Con.Sk.S[[#This Row],[KU.1]],Con.Sk.S[[#This Row],[KU.2]],Con.Sk.S[[#This Row],[KU.3]],Con.Sk.S[[#This Row],[KU.4]],Con.Sk.S[[#This Row],[KU.5]],Con.Sk.S[[#This Row],[KU.6]],Con.Sk.S[[#This Row],[KU.7]],Con.Sk.S[[#This Row],[KU.8]],Con.Sk.S[[#This Row],[KU.9]]),0),"")</f>
        <v/>
      </c>
      <c r="BX26" s="48" t="str">
        <f>IFERROR(ROUND(AVERAGE(Con.Sk.S[[#This Row],[TJ.1]:[Pro-A.1]],Con.Sk.S[[#This Row],[TJ.2]:[Pro-A.2]],Con.Sk.S[[#This Row],[TJ.3]:[Pro-A.3]],Con.Sk.S[[#This Row],[TJ.4]:[Pro-A.4]],Con.Sk.S[[#This Row],[TJ.5]:[Pro-A.5]],Con.Sk.S[[#This Row],[TJ.6]:[Pro-A.6]],Con.Sk.S[[#This Row],[TJ.7]:[Pro-A.7]],Con.Sk.S[[#This Row],[TJ.8]:[Pro-A.8]],Con.Sk.S[[#This Row],[TJ.9]:[Pro-A.9]]),0),"")</f>
        <v/>
      </c>
      <c r="BY26" s="3"/>
      <c r="BZ26" s="73" t="str">
        <f>IF(NSi.SE[[#This Row],[KU.1]]="A",100,IF(NSi.SE[[#This Row],[KU.1]]="B",89,IF(NSi.SE[[#This Row],[KU.1]]="C",79,IF(NSi.SE[[#This Row],[KU.1]]="D",69,IF(NSi.SE[[#This Row],[KU.1]]="E",0,"-")))))</f>
        <v>-</v>
      </c>
      <c r="CA26" s="73" t="str">
        <f>IF(NSi.SE[[#This Row],[TJ.1]]=1,100,IF(NSi.SE[[#This Row],[TJ.1]]=2,89,IF(NSi.SE[[#This Row],[TJ.1]]=3,79,IF(NSi.SE[[#This Row],[TJ.1]]=4,69,IF(NSi.SE[[#This Row],[TJ.1]]=5,0,"-")))))</f>
        <v>-</v>
      </c>
      <c r="CB26" s="73" t="str">
        <f>IF(NSi.SE[[#This Row],[Ker.1]]=1,100,IF(NSi.SE[[#This Row],[Ker.1]]=2,89,IF(NSi.SE[[#This Row],[Ker.1]]=3,79,IF(NSi.SE[[#This Row],[Ker.1]]=4,69,IF(NSi.SE[[#This Row],[Ker.1]]=5,0,"-")))))</f>
        <v>-</v>
      </c>
      <c r="CC26" s="73" t="str">
        <f>IF(NSi.SE[[#This Row],[Ped.1]]=1,100,IF(NSi.SE[[#This Row],[Ped.1]]=2,89,IF(NSi.SE[[#This Row],[Ped.1]]=3,79,IF(NSi.SE[[#This Row],[Ped.1]]=4,69,IF(NSi.SE[[#This Row],[Ped.1]]=5,0,"-")))))</f>
        <v>-</v>
      </c>
      <c r="CD26" s="73" t="str">
        <f>IF(NSi.SE[[#This Row],[Pro-A.1]]=1,100,IF(NSi.SE[[#This Row],[Pro-A.1]]=2,89,IF(NSi.SE[[#This Row],[Pro-A.1]]=3,79,IF(NSi.SE[[#This Row],[Pro-A.1]]=4,69,IF(NSi.SE[[#This Row],[Pro-A.1]]=5,0,"-")))))</f>
        <v>-</v>
      </c>
      <c r="CE26" s="73" t="str">
        <f>IF(NSi.SE[[#This Row],[KU.2]]="A",100,IF(NSi.SE[[#This Row],[KU.2]]="B",89,IF(NSi.SE[[#This Row],[KU.2]]="C",79,IF(NSi.SE[[#This Row],[KU.2]]="D",69,IF(NSi.SE[[#This Row],[KU.2]]="E",0,"-")))))</f>
        <v>-</v>
      </c>
      <c r="CF26" s="73" t="str">
        <f>IF(NSi.SE[[#This Row],[TJ.2]]=1,100,IF(NSi.SE[[#This Row],[TJ.2]]=2,89,IF(NSi.SE[[#This Row],[TJ.2]]=3,79,IF(NSi.SE[[#This Row],[TJ.2]]=4,69,IF(NSi.SE[[#This Row],[TJ.2]]=5,0,"-")))))</f>
        <v>-</v>
      </c>
      <c r="CG26" s="73" t="str">
        <f>IF(NSi.SE[[#This Row],[Ker.2]]=1,100,IF(NSi.SE[[#This Row],[Ker.2]]=2,89,IF(NSi.SE[[#This Row],[Ker.2]]=3,79,IF(NSi.SE[[#This Row],[Ker.2]]=4,69,IF(NSi.SE[[#This Row],[Ker.2]]=5,0,"-")))))</f>
        <v>-</v>
      </c>
      <c r="CH26" s="73" t="str">
        <f>IF(NSi.SE[[#This Row],[Ped.2]]=1,100,IF(NSi.SE[[#This Row],[Ped.2]]=2,89,IF(NSi.SE[[#This Row],[Ped.2]]=3,79,IF(NSi.SE[[#This Row],[Ped.2]]=4,69,IF(NSi.SE[[#This Row],[Ped.2]]=5,0,"-")))))</f>
        <v>-</v>
      </c>
      <c r="CI26" s="73" t="str">
        <f>IF(NSi.SE[[#This Row],[Pro-A.2]]=1,100,IF(NSi.SE[[#This Row],[Pro-A.2]]=2,89,IF(NSi.SE[[#This Row],[Pro-A.2]]=3,79,IF(NSi.SE[[#This Row],[Pro-A.2]]=4,69,IF(NSi.SE[[#This Row],[Pro-A.2]]=5,0,"-")))))</f>
        <v>-</v>
      </c>
      <c r="CJ26" s="74" t="str">
        <f>IF(NSi.SE[[#This Row],[KU.3]]="A",100,IF(NSi.SE[[#This Row],[KU.3]]="B",89,IF(NSi.SE[[#This Row],[KU.3]]="C",79,IF(NSi.SE[[#This Row],[KU.3]]="D",69,IF(NSi.SE[[#This Row],[KU.3]]="E",0,"-")))))</f>
        <v>-</v>
      </c>
      <c r="CK26" s="73" t="str">
        <f>IF(NSi.SE[[#This Row],[TJ.3]]=1,100,IF(NSi.SE[[#This Row],[TJ.3]]=2,89,IF(NSi.SE[[#This Row],[TJ.3]]=3,79,IF(NSi.SE[[#This Row],[TJ.3]]=4,69,IF(NSi.SE[[#This Row],[TJ.3]]=5,0,"-")))))</f>
        <v>-</v>
      </c>
      <c r="CL26" s="73" t="str">
        <f>IF(NSi.SE[[#This Row],[Ker.3]]=1,100,IF(NSi.SE[[#This Row],[Ker.3]]=2,89,IF(NSi.SE[[#This Row],[Ker.3]]=3,79,IF(NSi.SE[[#This Row],[Ker.3]]=4,69,IF(NSi.SE[[#This Row],[Ker.3]]=5,0,"-")))))</f>
        <v>-</v>
      </c>
      <c r="CM26" s="73" t="str">
        <f>IF(NSi.SE[[#This Row],[Ped.3]]=1,100,IF(NSi.SE[[#This Row],[Ped.3]]=2,89,IF(NSi.SE[[#This Row],[Ped.3]]=3,79,IF(NSi.SE[[#This Row],[Ped.3]]=4,69,IF(NSi.SE[[#This Row],[Ped.3]]=5,0,"-")))))</f>
        <v>-</v>
      </c>
      <c r="CN26" s="73" t="str">
        <f>IF(NSi.SE[[#This Row],[Pro-A.3]]=1,100,IF(NSi.SE[[#This Row],[Pro-A.3]]=2,89,IF(NSi.SE[[#This Row],[Pro-A.3]]=3,79,IF(NSi.SE[[#This Row],[Pro-A.3]]=4,69,IF(NSi.SE[[#This Row],[Pro-A.3]]=5,0,"-")))))</f>
        <v>-</v>
      </c>
      <c r="CO26" s="74" t="str">
        <f>IF(NSi.SE[[#This Row],[KU.4]]="A",100,IF(NSi.SE[[#This Row],[KU.4]]="B",89,IF(NSi.SE[[#This Row],[KU.4]]="C",79,IF(NSi.SE[[#This Row],[KU.4]]="D",69,IF(NSi.SE[[#This Row],[KU.4]]="E",0,"-")))))</f>
        <v>-</v>
      </c>
      <c r="CP26" s="73" t="str">
        <f>IF(NSi.SE[[#This Row],[TJ.4]]=1,100,IF(NSi.SE[[#This Row],[TJ.4]]=2,89,IF(NSi.SE[[#This Row],[TJ.4]]=3,79,IF(NSi.SE[[#This Row],[TJ.4]]=4,69,IF(NSi.SE[[#This Row],[TJ.4]]=5,0,"-")))))</f>
        <v>-</v>
      </c>
      <c r="CQ26" s="73" t="str">
        <f>IF(NSi.SE[[#This Row],[Ker.4]]=1,100,IF(NSi.SE[[#This Row],[Ker.4]]=2,89,IF(NSi.SE[[#This Row],[Ker.4]]=3,79,IF(NSi.SE[[#This Row],[Ker.4]]=4,69,IF(NSi.SE[[#This Row],[Ker.4]]=5,0,"-")))))</f>
        <v>-</v>
      </c>
      <c r="CR26" s="73" t="str">
        <f>IF(NSi.SE[[#This Row],[Ped.4]]=1,100,IF(NSi.SE[[#This Row],[Ped.4]]=2,89,IF(NSi.SE[[#This Row],[Ped.4]]=3,79,IF(NSi.SE[[#This Row],[Ped.4]]=4,69,IF(NSi.SE[[#This Row],[Ped.4]]=5,0,"-")))))</f>
        <v>-</v>
      </c>
      <c r="CS26" s="73" t="str">
        <f>IF(NSi.SE[[#This Row],[Pro-A.4]]=1,100,IF(NSi.SE[[#This Row],[Pro-A.4]]=2,89,IF(NSi.SE[[#This Row],[Pro-A.4]]=3,79,IF(NSi.SE[[#This Row],[Pro-A.4]]=4,69,IF(NSi.SE[[#This Row],[Pro-A.4]]=5,0,"-")))))</f>
        <v>-</v>
      </c>
      <c r="CT26" s="74" t="str">
        <f>IF(NSi.SE[[#This Row],[KU.5]]="A",100,IF(NSi.SE[[#This Row],[KU.5]]="B",89,IF(NSi.SE[[#This Row],[KU.5]]="C",79,IF(NSi.SE[[#This Row],[KU.5]]="D",69,IF(NSi.SE[[#This Row],[KU.5]]="E",0,"-")))))</f>
        <v>-</v>
      </c>
      <c r="CU26" s="73" t="str">
        <f>IF(NSi.SE[[#This Row],[TJ.5]]=1,100,IF(NSi.SE[[#This Row],[TJ.5]]=2,89,IF(NSi.SE[[#This Row],[TJ.5]]=3,79,IF(NSi.SE[[#This Row],[TJ.5]]=4,69,IF(NSi.SE[[#This Row],[TJ.5]]=5,0,"-")))))</f>
        <v>-</v>
      </c>
      <c r="CV26" s="73" t="str">
        <f>IF(NSi.SE[[#This Row],[Ker.5]]=1,100,IF(NSi.SE[[#This Row],[Ker.5]]=2,89,IF(NSi.SE[[#This Row],[Ker.5]]=3,79,IF(NSi.SE[[#This Row],[Ker.5]]=4,69,IF(NSi.SE[[#This Row],[Ker.5]]=5,0,"-")))))</f>
        <v>-</v>
      </c>
      <c r="CW26" s="73" t="str">
        <f>IF(NSi.SE[[#This Row],[Ped.5]]=1,100,IF(NSi.SE[[#This Row],[Ped.5]]=2,89,IF(NSi.SE[[#This Row],[Ped.5]]=3,79,IF(NSi.SE[[#This Row],[Ped.5]]=4,69,IF(NSi.SE[[#This Row],[Ped.5]]=5,0,"-")))))</f>
        <v>-</v>
      </c>
      <c r="CX26" s="73" t="str">
        <f>IF(NSi.SE[[#This Row],[Pro-A.5]]=1,100,IF(NSi.SE[[#This Row],[Pro-A.5]]=2,89,IF(NSi.SE[[#This Row],[Pro-A.5]]=3,79,IF(NSi.SE[[#This Row],[Pro-A.5]]=4,69,IF(NSi.SE[[#This Row],[Pro-A.5]]=5,0,"-")))))</f>
        <v>-</v>
      </c>
      <c r="CY26" s="74" t="str">
        <f>IF(NSi.SE[[#This Row],[KU.6]]="A",100,IF(NSi.SE[[#This Row],[KU.6]]="B",89,IF(NSi.SE[[#This Row],[KU.6]]="C",79,IF(NSi.SE[[#This Row],[KU.6]]="D",69,IF(NSi.SE[[#This Row],[KU.6]]="E",0,"-")))))</f>
        <v>-</v>
      </c>
      <c r="CZ26" s="73" t="str">
        <f>IF(NSi.SE[[#This Row],[TJ.6]]=1,100,IF(NSi.SE[[#This Row],[TJ.6]]=2,89,IF(NSi.SE[[#This Row],[TJ.6]]=3,79,IF(NSi.SE[[#This Row],[TJ.6]]=4,69,IF(NSi.SE[[#This Row],[TJ.6]]=5,0,"-")))))</f>
        <v>-</v>
      </c>
      <c r="DA26" s="73" t="str">
        <f>IF(NSi.SE[[#This Row],[Ker.6]]=1,100,IF(NSi.SE[[#This Row],[Ker.6]]=2,89,IF(NSi.SE[[#This Row],[Ker.6]]=3,79,IF(NSi.SE[[#This Row],[Ker.6]]=4,69,IF(NSi.SE[[#This Row],[Ker.6]]=5,0,"-")))))</f>
        <v>-</v>
      </c>
      <c r="DB26" s="73" t="str">
        <f>IF(NSi.SE[[#This Row],[Ped.6]]=1,100,IF(NSi.SE[[#This Row],[Ped.6]]=2,89,IF(NSi.SE[[#This Row],[Ped.6]]=3,79,IF(NSi.SE[[#This Row],[Ped.6]]=4,69,IF(NSi.SE[[#This Row],[Ped.6]]=5,0,"-")))))</f>
        <v>-</v>
      </c>
      <c r="DC26" s="73" t="str">
        <f>IF(NSi.SE[[#This Row],[Pro-A.6]]=1,100,IF(NSi.SE[[#This Row],[Pro-A.6]]=2,89,IF(NSi.SE[[#This Row],[Pro-A.6]]=3,79,IF(NSi.SE[[#This Row],[Pro-A.6]]=4,69,IF(NSi.SE[[#This Row],[Pro-A.6]]=5,0,"-")))))</f>
        <v>-</v>
      </c>
      <c r="DD26" s="74" t="str">
        <f>IF(NSi.SE[[#This Row],[KU.7]]="A",100,IF(NSi.SE[[#This Row],[KU.7]]="B",89,IF(NSi.SE[[#This Row],[KU.7]]="C",79,IF(NSi.SE[[#This Row],[KU.7]]="D",69,IF(NSi.SE[[#This Row],[KU.7]]="E",0,"-")))))</f>
        <v>-</v>
      </c>
      <c r="DE26" s="73" t="str">
        <f>IF(NSi.SE[[#This Row],[TJ.7]]=1,100,IF(NSi.SE[[#This Row],[TJ.7]]=2,89,IF(NSi.SE[[#This Row],[TJ.7]]=3,79,IF(NSi.SE[[#This Row],[TJ.7]]=4,69,IF(NSi.SE[[#This Row],[TJ.7]]=5,0,"-")))))</f>
        <v>-</v>
      </c>
      <c r="DF26" s="73" t="str">
        <f>IF(NSi.SE[[#This Row],[Ker.7]]=1,100,IF(NSi.SE[[#This Row],[Ker.7]]=2,89,IF(NSi.SE[[#This Row],[Ker.7]]=3,79,IF(NSi.SE[[#This Row],[Ker.7]]=4,69,IF(NSi.SE[[#This Row],[Ker.7]]=5,0,"-")))))</f>
        <v>-</v>
      </c>
      <c r="DG26" s="73" t="str">
        <f>IF(NSi.SE[[#This Row],[Ped.7]]=1,100,IF(NSi.SE[[#This Row],[Ped.7]]=2,89,IF(NSi.SE[[#This Row],[Ped.7]]=3,79,IF(NSi.SE[[#This Row],[Ped.7]]=4,69,IF(NSi.SE[[#This Row],[Ped.7]]=5,0,"-")))))</f>
        <v>-</v>
      </c>
      <c r="DH26" s="73" t="str">
        <f>IF(NSi.SE[[#This Row],[Pro-A.7]]=1,100,IF(NSi.SE[[#This Row],[Pro-A.7]]=2,89,IF(NSi.SE[[#This Row],[Pro-A.7]]=3,79,IF(NSi.SE[[#This Row],[Pro-A.7]]=4,69,IF(NSi.SE[[#This Row],[Pro-A.7]]=5,0,"-")))))</f>
        <v>-</v>
      </c>
      <c r="DI26" s="74" t="str">
        <f>IF(NSi.SE[[#This Row],[KU.8]]="A",100,IF(NSi.SE[[#This Row],[KU.8]]="B",89,IF(NSi.SE[[#This Row],[KU.8]]="C",79,IF(NSi.SE[[#This Row],[KU.8]]="D",69,IF(NSi.SE[[#This Row],[KU.8]]="E",0,"-")))))</f>
        <v>-</v>
      </c>
      <c r="DJ26" s="73" t="str">
        <f>IF(NSi.SE[[#This Row],[TJ.8]]=1,100,IF(NSi.SE[[#This Row],[TJ.8]]=2,89,IF(NSi.SE[[#This Row],[TJ.8]]=3,79,IF(NSi.SE[[#This Row],[TJ.8]]=4,69,IF(NSi.SE[[#This Row],[TJ.8]]=5,0,"-")))))</f>
        <v>-</v>
      </c>
      <c r="DK26" s="73" t="str">
        <f>IF(NSi.SE[[#This Row],[Ker.8]]=1,100,IF(NSi.SE[[#This Row],[Ker.8]]=2,89,IF(NSi.SE[[#This Row],[Ker.8]]=3,79,IF(NSi.SE[[#This Row],[Ker.8]]=4,69,IF(NSi.SE[[#This Row],[Ker.8]]=5,0,"-")))))</f>
        <v>-</v>
      </c>
      <c r="DL26" s="73" t="str">
        <f>IF(NSi.SE[[#This Row],[Ped.8]]=1,100,IF(NSi.SE[[#This Row],[Ped.8]]=2,89,IF(NSi.SE[[#This Row],[Ped.8]]=3,79,IF(NSi.SE[[#This Row],[Ped.8]]=4,69,IF(NSi.SE[[#This Row],[Ped.8]]=5,0,"-")))))</f>
        <v>-</v>
      </c>
      <c r="DM26" s="73" t="str">
        <f>IF(NSi.SE[[#This Row],[Pro-A.8]]=1,100,IF(NSi.SE[[#This Row],[Pro-A.8]]=2,89,IF(NSi.SE[[#This Row],[Pro-A.8]]=3,79,IF(NSi.SE[[#This Row],[Pro-A.8]]=4,69,IF(NSi.SE[[#This Row],[Pro-A.8]]=5,0,"-")))))</f>
        <v>-</v>
      </c>
      <c r="DN26" s="74" t="str">
        <f>IF(NSi.SE[[#This Row],[KU.9]]="A",100,IF(NSi.SE[[#This Row],[KU.9]]="B",89,IF(NSi.SE[[#This Row],[KU.9]]="C",79,IF(NSi.SE[[#This Row],[KU.9]]="D",69,IF(NSi.SE[[#This Row],[KU.9]]="E",0,"-")))))</f>
        <v>-</v>
      </c>
      <c r="DO26" s="73" t="str">
        <f>IF(NSi.SE[[#This Row],[TJ.9]]=1,100,IF(NSi.SE[[#This Row],[TJ.9]]=2,89,IF(NSi.SE[[#This Row],[TJ.9]]=3,79,IF(NSi.SE[[#This Row],[TJ.9]]=4,69,IF(NSi.SE[[#This Row],[TJ.9]]=5,0,"-")))))</f>
        <v>-</v>
      </c>
      <c r="DP26" s="73" t="str">
        <f>IF(NSi.SE[[#This Row],[Ker.9]]=1,100,IF(NSi.SE[[#This Row],[Ker.9]]=2,89,IF(NSi.SE[[#This Row],[Ker.9]]=3,79,IF(NSi.SE[[#This Row],[Ker.9]]=4,69,IF(NSi.SE[[#This Row],[Ker.9]]=5,0,"-")))))</f>
        <v>-</v>
      </c>
      <c r="DQ26" s="73" t="str">
        <f>IF(NSi.SE[[#This Row],[Ped.9]]=1,100,IF(NSi.SE[[#This Row],[Ped.9]]=2,89,IF(NSi.SE[[#This Row],[Ped.9]]=3,79,IF(NSi.SE[[#This Row],[Ped.9]]=4,69,IF(NSi.SE[[#This Row],[Ped.9]]=5,0,"-")))))</f>
        <v>-</v>
      </c>
      <c r="DR26" s="73" t="str">
        <f>IF(NSi.SE[[#This Row],[Pro-A.9]]=1,100,IF(NSi.SE[[#This Row],[Pro-A.9]]=2,89,IF(NSi.SE[[#This Row],[Pro-A.9]]=3,79,IF(NSi.SE[[#This Row],[Pro-A.9]]=4,69,IF(NSi.SE[[#This Row],[Pro-A.9]]=5,0,"-")))))</f>
        <v>-</v>
      </c>
      <c r="DT2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7" spans="1:124" ht="50.1" customHeight="1" x14ac:dyDescent="0.3">
      <c r="A27" s="66" t="str">
        <f>IF(NSi.TS[[#This Row],[No]]=0,"",NSi.TS[[#This Row],[No]])</f>
        <v/>
      </c>
      <c r="B27" s="64" t="str">
        <f>IF(NSi.TS[[#This Row],[Nama Siswa]]=0,"",NSi.TS[[#This Row],[Nama Siswa]])</f>
        <v/>
      </c>
      <c r="C27" s="65" t="str">
        <f>IF(NSi.TS[[#This Row],[Nomor Induk]]=0,"",NSi.TS[[#This Row],[Nomor Induk]])</f>
        <v/>
      </c>
      <c r="D27" s="65" t="str">
        <f>IF(NSi.TS[[#This Row],[NISN]]=0,"",NSi.TS[[#This Row],[NISN]])</f>
        <v/>
      </c>
      <c r="E27" s="65" t="str">
        <f>IF(NSi.TS[[#This Row],[Jurusan]]=0,"",NSi.TS[[#This Row],[Jurusan]])</f>
        <v/>
      </c>
      <c r="F27" s="39" t="str">
        <f>NSi.TS[[#This Row],[Nsi.TS]]</f>
        <v/>
      </c>
      <c r="G27" s="39" t="str">
        <f>IFERROR(ROUND(AVERAGE(CSCR.S[#This Row]),0),"")</f>
        <v/>
      </c>
      <c r="H27" s="39" t="str">
        <f>IFERROR(ROUND(AVERAGE(NSi.SE[[#This Row],[Nsi.TS]:[NS.iS]]),0),"")</f>
        <v/>
      </c>
      <c r="I27" s="41" t="s">
        <v>102</v>
      </c>
      <c r="J27" s="45" t="s">
        <v>102</v>
      </c>
      <c r="K27" s="45" t="s">
        <v>102</v>
      </c>
      <c r="L27" s="45" t="s">
        <v>102</v>
      </c>
      <c r="M27" s="45" t="s">
        <v>102</v>
      </c>
      <c r="N27" s="41" t="s">
        <v>102</v>
      </c>
      <c r="O27" s="45" t="s">
        <v>102</v>
      </c>
      <c r="P27" s="45" t="s">
        <v>102</v>
      </c>
      <c r="Q27" s="45" t="s">
        <v>102</v>
      </c>
      <c r="R27" s="45" t="s">
        <v>102</v>
      </c>
      <c r="S27" s="41" t="s">
        <v>102</v>
      </c>
      <c r="T27" s="45" t="s">
        <v>102</v>
      </c>
      <c r="U27" s="45" t="s">
        <v>102</v>
      </c>
      <c r="V27" s="45" t="s">
        <v>102</v>
      </c>
      <c r="W27" s="45" t="s">
        <v>102</v>
      </c>
      <c r="X27" s="41" t="s">
        <v>102</v>
      </c>
      <c r="Y27" s="45" t="s">
        <v>102</v>
      </c>
      <c r="Z27" s="45" t="s">
        <v>102</v>
      </c>
      <c r="AA27" s="45" t="s">
        <v>102</v>
      </c>
      <c r="AB27" s="45" t="s">
        <v>102</v>
      </c>
      <c r="AC27" s="41" t="s">
        <v>102</v>
      </c>
      <c r="AD27" s="45" t="s">
        <v>102</v>
      </c>
      <c r="AE27" s="45" t="s">
        <v>102</v>
      </c>
      <c r="AF27" s="45" t="s">
        <v>102</v>
      </c>
      <c r="AG27" s="45" t="s">
        <v>102</v>
      </c>
      <c r="AH27" s="41" t="s">
        <v>102</v>
      </c>
      <c r="AI27" s="45" t="s">
        <v>102</v>
      </c>
      <c r="AJ27" s="45" t="s">
        <v>102</v>
      </c>
      <c r="AK27" s="45" t="s">
        <v>102</v>
      </c>
      <c r="AL27" s="45" t="s">
        <v>102</v>
      </c>
      <c r="AM27" s="41" t="s">
        <v>102</v>
      </c>
      <c r="AN27" s="45" t="s">
        <v>102</v>
      </c>
      <c r="AO27" s="45" t="s">
        <v>102</v>
      </c>
      <c r="AP27" s="45" t="s">
        <v>102</v>
      </c>
      <c r="AQ27" s="45" t="s">
        <v>102</v>
      </c>
      <c r="AR27" s="41" t="s">
        <v>102</v>
      </c>
      <c r="AS27" s="45" t="s">
        <v>102</v>
      </c>
      <c r="AT27" s="45" t="s">
        <v>102</v>
      </c>
      <c r="AU27" s="45" t="s">
        <v>102</v>
      </c>
      <c r="AV27" s="45" t="s">
        <v>102</v>
      </c>
      <c r="AW27" s="41" t="s">
        <v>102</v>
      </c>
      <c r="AX27" s="45" t="s">
        <v>102</v>
      </c>
      <c r="AY27" s="45" t="s">
        <v>102</v>
      </c>
      <c r="AZ27" s="45" t="s">
        <v>102</v>
      </c>
      <c r="BA27" s="45" t="s">
        <v>102</v>
      </c>
      <c r="BC27" s="10" t="str">
        <f>CONCATENATE(NSi.SE[[#This Row],[KU.1]],(IF(A.LoE.S[[#This Row],[LE.1]]="-","-",IF(A.LoE.S[[#This Row],[LE.1]]&gt;=90,1,IF(A.LoE.S[[#This Row],[LE.1]]&gt;=80,2,IF(A.LoE.S[[#This Row],[LE.1]]&gt;=70,3,IF(A.LoE.S[[#This Row],[LE.1]]&gt;=1,4,5)))))))</f>
        <v>--</v>
      </c>
      <c r="BD27" s="46" t="str">
        <f>CONCATENATE(NSi.SE[[#This Row],[KU.2]],(IF(A.LoE.S[[#This Row],[LE.2]]="-","-",IF(A.LoE.S[[#This Row],[LE.2]]&gt;=90,1,IF(A.LoE.S[[#This Row],[LE.2]]&gt;=80,2,IF(A.LoE.S[[#This Row],[LE.2]]&gt;=70,3,IF(A.LoE.S[[#This Row],[LE.2]]&gt;=1,4,5)))))))</f>
        <v>--</v>
      </c>
      <c r="BE27" s="46" t="str">
        <f>CONCATENATE(NSi.SE[[#This Row],[KU.3]],(IF(A.LoE.S[[#This Row],[LE.3]]="-","-",IF(A.LoE.S[[#This Row],[LE.3]]&gt;=90,1,IF(A.LoE.S[[#This Row],[LE.3]]&gt;=80,2,IF(A.LoE.S[[#This Row],[LE.3]]&gt;=70,3,IF(A.LoE.S[[#This Row],[LE.3]]&gt;=1,4,5)))))))</f>
        <v>--</v>
      </c>
      <c r="BF27" s="46" t="str">
        <f>CONCATENATE(NSi.SE[[#This Row],[KU.4]],(IF(A.LoE.S[[#This Row],[LE.4]]="-","-",IF(A.LoE.S[[#This Row],[LE.4]]&gt;=90,1,IF(A.LoE.S[[#This Row],[LE.4]]&gt;=80,2,IF(A.LoE.S[[#This Row],[LE.4]]&gt;=70,3,IF(A.LoE.S[[#This Row],[LE.4]]&gt;=1,4,5)))))))</f>
        <v>--</v>
      </c>
      <c r="BG27" s="46" t="str">
        <f>CONCATENATE(NSi.SE[[#This Row],[KU.5]],(IF(A.LoE.S[[#This Row],[LE.5]]="-","-",IF(A.LoE.S[[#This Row],[LE.5]]&gt;=90,1,IF(A.LoE.S[[#This Row],[LE.5]]&gt;=80,2,IF(A.LoE.S[[#This Row],[LE.5]]&gt;=70,3,IF(A.LoE.S[[#This Row],[LE.5]]&gt;=1,4,5)))))))</f>
        <v>--</v>
      </c>
      <c r="BH27" s="46" t="str">
        <f>CONCATENATE(NSi.SE[[#This Row],[KU.6]],(IF(A.LoE.S[[#This Row],[LE.6]]="-","-",IF(A.LoE.S[[#This Row],[LE.6]]&gt;=90,1,IF(A.LoE.S[[#This Row],[LE.6]]&gt;=80,2,IF(A.LoE.S[[#This Row],[LE.6]]&gt;=70,3,IF(A.LoE.S[[#This Row],[LE.6]]&gt;=1,4,5)))))))</f>
        <v>--</v>
      </c>
      <c r="BI27" s="46" t="str">
        <f>CONCATENATE(NSi.SE[[#This Row],[KU.7]],(IF(A.LoE.S[[#This Row],[LE.7]]="-","-",IF(A.LoE.S[[#This Row],[LE.7]]&gt;=90,1,IF(A.LoE.S[[#This Row],[LE.7]]&gt;=80,2,IF(A.LoE.S[[#This Row],[LE.7]]&gt;=70,3,IF(A.LoE.S[[#This Row],[LE.7]]&gt;=1,4,5)))))))</f>
        <v>--</v>
      </c>
      <c r="BJ27" s="46" t="str">
        <f>CONCATENATE(NSi.SE[[#This Row],[KU.8]],(IF(A.LoE.S[[#This Row],[LE.8]]="-","-",IF(A.LoE.S[[#This Row],[LE.8]]&gt;=90,1,IF(A.LoE.S[[#This Row],[LE.8]]&gt;=80,2,IF(A.LoE.S[[#This Row],[LE.8]]&gt;=70,3,IF(A.LoE.S[[#This Row],[LE.8]]&gt;=1,4,5)))))))</f>
        <v>--</v>
      </c>
      <c r="BK27" s="38" t="str">
        <f>CONCATENATE(NSi.SE[[#This Row],[KU.9]],(IF(A.LoE.S[[#This Row],[LE.9]]="-","-",IF(A.LoE.S[[#This Row],[LE.9]]&gt;=90,1,IF(A.LoE.S[[#This Row],[LE.9]]&gt;=80,2,IF(A.LoE.S[[#This Row],[LE.9]]&gt;=70,3,IF(A.LoE.S[[#This Row],[LE.9]]&gt;=1,4,5)))))))</f>
        <v>--</v>
      </c>
      <c r="BM27" s="35" t="str">
        <f>IFERROR(ROUND(AVERAGE(Con.Sk.S[[#This Row],[TJ.1]:[Pro-A.1]]),0),"-")</f>
        <v>-</v>
      </c>
      <c r="BN27" s="24" t="str">
        <f>IFERROR(ROUND(AVERAGE(Con.Sk.S[[#This Row],[TJ.2]:[Pro-A.2]]),0),"-")</f>
        <v>-</v>
      </c>
      <c r="BO27" s="24" t="str">
        <f>IFERROR(ROUND(AVERAGE(Con.Sk.S[[#This Row],[TJ.3]:[Pro-A.3]]),0),"-")</f>
        <v>-</v>
      </c>
      <c r="BP27" s="24" t="str">
        <f>IFERROR(ROUND(AVERAGE(Con.Sk.S[[#This Row],[TJ.4]:[Pro-A.4]]),0),"-")</f>
        <v>-</v>
      </c>
      <c r="BQ27" s="24" t="str">
        <f>IFERROR(ROUND(AVERAGE(Con.Sk.S[[#This Row],[TJ.5]:[Pro-A.5]]),0),"-")</f>
        <v>-</v>
      </c>
      <c r="BR27" s="24" t="str">
        <f>IFERROR(ROUND(AVERAGE(Con.Sk.S[[#This Row],[TJ.6]:[Pro-A.6]]),0),"-")</f>
        <v>-</v>
      </c>
      <c r="BS27" s="24" t="str">
        <f>IFERROR(ROUND(AVERAGE(Con.Sk.S[[#This Row],[TJ.7]:[Pro-A.7]]),0),"-")</f>
        <v>-</v>
      </c>
      <c r="BT27" s="24" t="str">
        <f>IFERROR(ROUND(AVERAGE(Con.Sk.S[[#This Row],[TJ.8]:[Pro-A.8]]),0),"-")</f>
        <v>-</v>
      </c>
      <c r="BU27" s="25" t="str">
        <f>IFERROR(ROUND(AVERAGE(Con.Sk.S[[#This Row],[TJ.9]:[Pro-A.9]]),0),"-")</f>
        <v>-</v>
      </c>
      <c r="BW27" s="35" t="str">
        <f>IFERROR(ROUND(AVERAGE(Con.Sk.S[[#This Row],[KU.1]],Con.Sk.S[[#This Row],[KU.2]],Con.Sk.S[[#This Row],[KU.3]],Con.Sk.S[[#This Row],[KU.4]],Con.Sk.S[[#This Row],[KU.5]],Con.Sk.S[[#This Row],[KU.6]],Con.Sk.S[[#This Row],[KU.7]],Con.Sk.S[[#This Row],[KU.8]],Con.Sk.S[[#This Row],[KU.9]]),0),"")</f>
        <v/>
      </c>
      <c r="BX27" s="25" t="str">
        <f>IFERROR(ROUND(AVERAGE(Con.Sk.S[[#This Row],[TJ.1]:[Pro-A.1]],Con.Sk.S[[#This Row],[TJ.2]:[Pro-A.2]],Con.Sk.S[[#This Row],[TJ.3]:[Pro-A.3]],Con.Sk.S[[#This Row],[TJ.4]:[Pro-A.4]],Con.Sk.S[[#This Row],[TJ.5]:[Pro-A.5]],Con.Sk.S[[#This Row],[TJ.6]:[Pro-A.6]],Con.Sk.S[[#This Row],[TJ.7]:[Pro-A.7]],Con.Sk.S[[#This Row],[TJ.8]:[Pro-A.8]],Con.Sk.S[[#This Row],[TJ.9]:[Pro-A.9]]),0),"")</f>
        <v/>
      </c>
      <c r="BY27" s="3"/>
      <c r="BZ27" s="75" t="str">
        <f>IF(NSi.SE[[#This Row],[KU.1]]="A",100,IF(NSi.SE[[#This Row],[KU.1]]="B",89,IF(NSi.SE[[#This Row],[KU.1]]="C",79,IF(NSi.SE[[#This Row],[KU.1]]="D",69,IF(NSi.SE[[#This Row],[KU.1]]="E",0,"-")))))</f>
        <v>-</v>
      </c>
      <c r="CA27" s="73" t="str">
        <f>IF(NSi.SE[[#This Row],[TJ.1]]=1,100,IF(NSi.SE[[#This Row],[TJ.1]]=2,89,IF(NSi.SE[[#This Row],[TJ.1]]=3,79,IF(NSi.SE[[#This Row],[TJ.1]]=4,69,IF(NSi.SE[[#This Row],[TJ.1]]=5,0,"-")))))</f>
        <v>-</v>
      </c>
      <c r="CB27" s="73" t="str">
        <f>IF(NSi.SE[[#This Row],[Ker.1]]=1,100,IF(NSi.SE[[#This Row],[Ker.1]]=2,89,IF(NSi.SE[[#This Row],[Ker.1]]=3,79,IF(NSi.SE[[#This Row],[Ker.1]]=4,69,IF(NSi.SE[[#This Row],[Ker.1]]=5,0,"-")))))</f>
        <v>-</v>
      </c>
      <c r="CC27" s="73" t="str">
        <f>IF(NSi.SE[[#This Row],[Ped.1]]=1,100,IF(NSi.SE[[#This Row],[Ped.1]]=2,89,IF(NSi.SE[[#This Row],[Ped.1]]=3,79,IF(NSi.SE[[#This Row],[Ped.1]]=4,69,IF(NSi.SE[[#This Row],[Ped.1]]=5,0,"-")))))</f>
        <v>-</v>
      </c>
      <c r="CD27" s="73" t="str">
        <f>IF(NSi.SE[[#This Row],[Pro-A.1]]=1,100,IF(NSi.SE[[#This Row],[Pro-A.1]]=2,89,IF(NSi.SE[[#This Row],[Pro-A.1]]=3,79,IF(NSi.SE[[#This Row],[Pro-A.1]]=4,69,IF(NSi.SE[[#This Row],[Pro-A.1]]=5,0,"-")))))</f>
        <v>-</v>
      </c>
      <c r="CE27" s="73" t="str">
        <f>IF(NSi.SE[[#This Row],[KU.2]]="A",100,IF(NSi.SE[[#This Row],[KU.2]]="B",89,IF(NSi.SE[[#This Row],[KU.2]]="C",79,IF(NSi.SE[[#This Row],[KU.2]]="D",69,IF(NSi.SE[[#This Row],[KU.2]]="E",0,"-")))))</f>
        <v>-</v>
      </c>
      <c r="CF27" s="73" t="str">
        <f>IF(NSi.SE[[#This Row],[TJ.2]]=1,100,IF(NSi.SE[[#This Row],[TJ.2]]=2,89,IF(NSi.SE[[#This Row],[TJ.2]]=3,79,IF(NSi.SE[[#This Row],[TJ.2]]=4,69,IF(NSi.SE[[#This Row],[TJ.2]]=5,0,"-")))))</f>
        <v>-</v>
      </c>
      <c r="CG27" s="73" t="str">
        <f>IF(NSi.SE[[#This Row],[Ker.2]]=1,100,IF(NSi.SE[[#This Row],[Ker.2]]=2,89,IF(NSi.SE[[#This Row],[Ker.2]]=3,79,IF(NSi.SE[[#This Row],[Ker.2]]=4,69,IF(NSi.SE[[#This Row],[Ker.2]]=5,0,"-")))))</f>
        <v>-</v>
      </c>
      <c r="CH27" s="73" t="str">
        <f>IF(NSi.SE[[#This Row],[Ped.2]]=1,100,IF(NSi.SE[[#This Row],[Ped.2]]=2,89,IF(NSi.SE[[#This Row],[Ped.2]]=3,79,IF(NSi.SE[[#This Row],[Ped.2]]=4,69,IF(NSi.SE[[#This Row],[Ped.2]]=5,0,"-")))))</f>
        <v>-</v>
      </c>
      <c r="CI27" s="73" t="str">
        <f>IF(NSi.SE[[#This Row],[Pro-A.2]]=1,100,IF(NSi.SE[[#This Row],[Pro-A.2]]=2,89,IF(NSi.SE[[#This Row],[Pro-A.2]]=3,79,IF(NSi.SE[[#This Row],[Pro-A.2]]=4,69,IF(NSi.SE[[#This Row],[Pro-A.2]]=5,0,"-")))))</f>
        <v>-</v>
      </c>
      <c r="CJ27" s="76" t="str">
        <f>IF(NSi.SE[[#This Row],[KU.3]]="A",100,IF(NSi.SE[[#This Row],[KU.3]]="B",89,IF(NSi.SE[[#This Row],[KU.3]]="C",79,IF(NSi.SE[[#This Row],[KU.3]]="D",69,IF(NSi.SE[[#This Row],[KU.3]]="E",0,"-")))))</f>
        <v>-</v>
      </c>
      <c r="CK27" s="73" t="str">
        <f>IF(NSi.SE[[#This Row],[TJ.3]]=1,100,IF(NSi.SE[[#This Row],[TJ.3]]=2,89,IF(NSi.SE[[#This Row],[TJ.3]]=3,79,IF(NSi.SE[[#This Row],[TJ.3]]=4,69,IF(NSi.SE[[#This Row],[TJ.3]]=5,0,"-")))))</f>
        <v>-</v>
      </c>
      <c r="CL27" s="73" t="str">
        <f>IF(NSi.SE[[#This Row],[Ker.3]]=1,100,IF(NSi.SE[[#This Row],[Ker.3]]=2,89,IF(NSi.SE[[#This Row],[Ker.3]]=3,79,IF(NSi.SE[[#This Row],[Ker.3]]=4,69,IF(NSi.SE[[#This Row],[Ker.3]]=5,0,"-")))))</f>
        <v>-</v>
      </c>
      <c r="CM27" s="73" t="str">
        <f>IF(NSi.SE[[#This Row],[Ped.3]]=1,100,IF(NSi.SE[[#This Row],[Ped.3]]=2,89,IF(NSi.SE[[#This Row],[Ped.3]]=3,79,IF(NSi.SE[[#This Row],[Ped.3]]=4,69,IF(NSi.SE[[#This Row],[Ped.3]]=5,0,"-")))))</f>
        <v>-</v>
      </c>
      <c r="CN27" s="73" t="str">
        <f>IF(NSi.SE[[#This Row],[Pro-A.3]]=1,100,IF(NSi.SE[[#This Row],[Pro-A.3]]=2,89,IF(NSi.SE[[#This Row],[Pro-A.3]]=3,79,IF(NSi.SE[[#This Row],[Pro-A.3]]=4,69,IF(NSi.SE[[#This Row],[Pro-A.3]]=5,0,"-")))))</f>
        <v>-</v>
      </c>
      <c r="CO27" s="76" t="str">
        <f>IF(NSi.SE[[#This Row],[KU.4]]="A",100,IF(NSi.SE[[#This Row],[KU.4]]="B",89,IF(NSi.SE[[#This Row],[KU.4]]="C",79,IF(NSi.SE[[#This Row],[KU.4]]="D",69,IF(NSi.SE[[#This Row],[KU.4]]="E",0,"-")))))</f>
        <v>-</v>
      </c>
      <c r="CP27" s="73" t="str">
        <f>IF(NSi.SE[[#This Row],[TJ.4]]=1,100,IF(NSi.SE[[#This Row],[TJ.4]]=2,89,IF(NSi.SE[[#This Row],[TJ.4]]=3,79,IF(NSi.SE[[#This Row],[TJ.4]]=4,69,IF(NSi.SE[[#This Row],[TJ.4]]=5,0,"-")))))</f>
        <v>-</v>
      </c>
      <c r="CQ27" s="73" t="str">
        <f>IF(NSi.SE[[#This Row],[Ker.4]]=1,100,IF(NSi.SE[[#This Row],[Ker.4]]=2,89,IF(NSi.SE[[#This Row],[Ker.4]]=3,79,IF(NSi.SE[[#This Row],[Ker.4]]=4,69,IF(NSi.SE[[#This Row],[Ker.4]]=5,0,"-")))))</f>
        <v>-</v>
      </c>
      <c r="CR27" s="73" t="str">
        <f>IF(NSi.SE[[#This Row],[Ped.4]]=1,100,IF(NSi.SE[[#This Row],[Ped.4]]=2,89,IF(NSi.SE[[#This Row],[Ped.4]]=3,79,IF(NSi.SE[[#This Row],[Ped.4]]=4,69,IF(NSi.SE[[#This Row],[Ped.4]]=5,0,"-")))))</f>
        <v>-</v>
      </c>
      <c r="CS27" s="73" t="str">
        <f>IF(NSi.SE[[#This Row],[Pro-A.4]]=1,100,IF(NSi.SE[[#This Row],[Pro-A.4]]=2,89,IF(NSi.SE[[#This Row],[Pro-A.4]]=3,79,IF(NSi.SE[[#This Row],[Pro-A.4]]=4,69,IF(NSi.SE[[#This Row],[Pro-A.4]]=5,0,"-")))))</f>
        <v>-</v>
      </c>
      <c r="CT27" s="76" t="str">
        <f>IF(NSi.SE[[#This Row],[KU.5]]="A",100,IF(NSi.SE[[#This Row],[KU.5]]="B",89,IF(NSi.SE[[#This Row],[KU.5]]="C",79,IF(NSi.SE[[#This Row],[KU.5]]="D",69,IF(NSi.SE[[#This Row],[KU.5]]="E",0,"-")))))</f>
        <v>-</v>
      </c>
      <c r="CU27" s="73" t="str">
        <f>IF(NSi.SE[[#This Row],[TJ.5]]=1,100,IF(NSi.SE[[#This Row],[TJ.5]]=2,89,IF(NSi.SE[[#This Row],[TJ.5]]=3,79,IF(NSi.SE[[#This Row],[TJ.5]]=4,69,IF(NSi.SE[[#This Row],[TJ.5]]=5,0,"-")))))</f>
        <v>-</v>
      </c>
      <c r="CV27" s="73" t="str">
        <f>IF(NSi.SE[[#This Row],[Ker.5]]=1,100,IF(NSi.SE[[#This Row],[Ker.5]]=2,89,IF(NSi.SE[[#This Row],[Ker.5]]=3,79,IF(NSi.SE[[#This Row],[Ker.5]]=4,69,IF(NSi.SE[[#This Row],[Ker.5]]=5,0,"-")))))</f>
        <v>-</v>
      </c>
      <c r="CW27" s="73" t="str">
        <f>IF(NSi.SE[[#This Row],[Ped.5]]=1,100,IF(NSi.SE[[#This Row],[Ped.5]]=2,89,IF(NSi.SE[[#This Row],[Ped.5]]=3,79,IF(NSi.SE[[#This Row],[Ped.5]]=4,69,IF(NSi.SE[[#This Row],[Ped.5]]=5,0,"-")))))</f>
        <v>-</v>
      </c>
      <c r="CX27" s="73" t="str">
        <f>IF(NSi.SE[[#This Row],[Pro-A.5]]=1,100,IF(NSi.SE[[#This Row],[Pro-A.5]]=2,89,IF(NSi.SE[[#This Row],[Pro-A.5]]=3,79,IF(NSi.SE[[#This Row],[Pro-A.5]]=4,69,IF(NSi.SE[[#This Row],[Pro-A.5]]=5,0,"-")))))</f>
        <v>-</v>
      </c>
      <c r="CY27" s="76" t="str">
        <f>IF(NSi.SE[[#This Row],[KU.6]]="A",100,IF(NSi.SE[[#This Row],[KU.6]]="B",89,IF(NSi.SE[[#This Row],[KU.6]]="C",79,IF(NSi.SE[[#This Row],[KU.6]]="D",69,IF(NSi.SE[[#This Row],[KU.6]]="E",0,"-")))))</f>
        <v>-</v>
      </c>
      <c r="CZ27" s="73" t="str">
        <f>IF(NSi.SE[[#This Row],[TJ.6]]=1,100,IF(NSi.SE[[#This Row],[TJ.6]]=2,89,IF(NSi.SE[[#This Row],[TJ.6]]=3,79,IF(NSi.SE[[#This Row],[TJ.6]]=4,69,IF(NSi.SE[[#This Row],[TJ.6]]=5,0,"-")))))</f>
        <v>-</v>
      </c>
      <c r="DA27" s="73" t="str">
        <f>IF(NSi.SE[[#This Row],[Ker.6]]=1,100,IF(NSi.SE[[#This Row],[Ker.6]]=2,89,IF(NSi.SE[[#This Row],[Ker.6]]=3,79,IF(NSi.SE[[#This Row],[Ker.6]]=4,69,IF(NSi.SE[[#This Row],[Ker.6]]=5,0,"-")))))</f>
        <v>-</v>
      </c>
      <c r="DB27" s="73" t="str">
        <f>IF(NSi.SE[[#This Row],[Ped.6]]=1,100,IF(NSi.SE[[#This Row],[Ped.6]]=2,89,IF(NSi.SE[[#This Row],[Ped.6]]=3,79,IF(NSi.SE[[#This Row],[Ped.6]]=4,69,IF(NSi.SE[[#This Row],[Ped.6]]=5,0,"-")))))</f>
        <v>-</v>
      </c>
      <c r="DC27" s="73" t="str">
        <f>IF(NSi.SE[[#This Row],[Pro-A.6]]=1,100,IF(NSi.SE[[#This Row],[Pro-A.6]]=2,89,IF(NSi.SE[[#This Row],[Pro-A.6]]=3,79,IF(NSi.SE[[#This Row],[Pro-A.6]]=4,69,IF(NSi.SE[[#This Row],[Pro-A.6]]=5,0,"-")))))</f>
        <v>-</v>
      </c>
      <c r="DD27" s="76" t="str">
        <f>IF(NSi.SE[[#This Row],[KU.7]]="A",100,IF(NSi.SE[[#This Row],[KU.7]]="B",89,IF(NSi.SE[[#This Row],[KU.7]]="C",79,IF(NSi.SE[[#This Row],[KU.7]]="D",69,IF(NSi.SE[[#This Row],[KU.7]]="E",0,"-")))))</f>
        <v>-</v>
      </c>
      <c r="DE27" s="73" t="str">
        <f>IF(NSi.SE[[#This Row],[TJ.7]]=1,100,IF(NSi.SE[[#This Row],[TJ.7]]=2,89,IF(NSi.SE[[#This Row],[TJ.7]]=3,79,IF(NSi.SE[[#This Row],[TJ.7]]=4,69,IF(NSi.SE[[#This Row],[TJ.7]]=5,0,"-")))))</f>
        <v>-</v>
      </c>
      <c r="DF27" s="73" t="str">
        <f>IF(NSi.SE[[#This Row],[Ker.7]]=1,100,IF(NSi.SE[[#This Row],[Ker.7]]=2,89,IF(NSi.SE[[#This Row],[Ker.7]]=3,79,IF(NSi.SE[[#This Row],[Ker.7]]=4,69,IF(NSi.SE[[#This Row],[Ker.7]]=5,0,"-")))))</f>
        <v>-</v>
      </c>
      <c r="DG27" s="73" t="str">
        <f>IF(NSi.SE[[#This Row],[Ped.7]]=1,100,IF(NSi.SE[[#This Row],[Ped.7]]=2,89,IF(NSi.SE[[#This Row],[Ped.7]]=3,79,IF(NSi.SE[[#This Row],[Ped.7]]=4,69,IF(NSi.SE[[#This Row],[Ped.7]]=5,0,"-")))))</f>
        <v>-</v>
      </c>
      <c r="DH27" s="73" t="str">
        <f>IF(NSi.SE[[#This Row],[Pro-A.7]]=1,100,IF(NSi.SE[[#This Row],[Pro-A.7]]=2,89,IF(NSi.SE[[#This Row],[Pro-A.7]]=3,79,IF(NSi.SE[[#This Row],[Pro-A.7]]=4,69,IF(NSi.SE[[#This Row],[Pro-A.7]]=5,0,"-")))))</f>
        <v>-</v>
      </c>
      <c r="DI27" s="76" t="str">
        <f>IF(NSi.SE[[#This Row],[KU.8]]="A",100,IF(NSi.SE[[#This Row],[KU.8]]="B",89,IF(NSi.SE[[#This Row],[KU.8]]="C",79,IF(NSi.SE[[#This Row],[KU.8]]="D",69,IF(NSi.SE[[#This Row],[KU.8]]="E",0,"-")))))</f>
        <v>-</v>
      </c>
      <c r="DJ27" s="73" t="str">
        <f>IF(NSi.SE[[#This Row],[TJ.8]]=1,100,IF(NSi.SE[[#This Row],[TJ.8]]=2,89,IF(NSi.SE[[#This Row],[TJ.8]]=3,79,IF(NSi.SE[[#This Row],[TJ.8]]=4,69,IF(NSi.SE[[#This Row],[TJ.8]]=5,0,"-")))))</f>
        <v>-</v>
      </c>
      <c r="DK27" s="73" t="str">
        <f>IF(NSi.SE[[#This Row],[Ker.8]]=1,100,IF(NSi.SE[[#This Row],[Ker.8]]=2,89,IF(NSi.SE[[#This Row],[Ker.8]]=3,79,IF(NSi.SE[[#This Row],[Ker.8]]=4,69,IF(NSi.SE[[#This Row],[Ker.8]]=5,0,"-")))))</f>
        <v>-</v>
      </c>
      <c r="DL27" s="73" t="str">
        <f>IF(NSi.SE[[#This Row],[Ped.8]]=1,100,IF(NSi.SE[[#This Row],[Ped.8]]=2,89,IF(NSi.SE[[#This Row],[Ped.8]]=3,79,IF(NSi.SE[[#This Row],[Ped.8]]=4,69,IF(NSi.SE[[#This Row],[Ped.8]]=5,0,"-")))))</f>
        <v>-</v>
      </c>
      <c r="DM27" s="73" t="str">
        <f>IF(NSi.SE[[#This Row],[Pro-A.8]]=1,100,IF(NSi.SE[[#This Row],[Pro-A.8]]=2,89,IF(NSi.SE[[#This Row],[Pro-A.8]]=3,79,IF(NSi.SE[[#This Row],[Pro-A.8]]=4,69,IF(NSi.SE[[#This Row],[Pro-A.8]]=5,0,"-")))))</f>
        <v>-</v>
      </c>
      <c r="DN27" s="76" t="str">
        <f>IF(NSi.SE[[#This Row],[KU.9]]="A",100,IF(NSi.SE[[#This Row],[KU.9]]="B",89,IF(NSi.SE[[#This Row],[KU.9]]="C",79,IF(NSi.SE[[#This Row],[KU.9]]="D",69,IF(NSi.SE[[#This Row],[KU.9]]="E",0,"-")))))</f>
        <v>-</v>
      </c>
      <c r="DO27" s="73" t="str">
        <f>IF(NSi.SE[[#This Row],[TJ.9]]=1,100,IF(NSi.SE[[#This Row],[TJ.9]]=2,89,IF(NSi.SE[[#This Row],[TJ.9]]=3,79,IF(NSi.SE[[#This Row],[TJ.9]]=4,69,IF(NSi.SE[[#This Row],[TJ.9]]=5,0,"-")))))</f>
        <v>-</v>
      </c>
      <c r="DP27" s="73" t="str">
        <f>IF(NSi.SE[[#This Row],[Ker.9]]=1,100,IF(NSi.SE[[#This Row],[Ker.9]]=2,89,IF(NSi.SE[[#This Row],[Ker.9]]=3,79,IF(NSi.SE[[#This Row],[Ker.9]]=4,69,IF(NSi.SE[[#This Row],[Ker.9]]=5,0,"-")))))</f>
        <v>-</v>
      </c>
      <c r="DQ27" s="73" t="str">
        <f>IF(NSi.SE[[#This Row],[Ped.9]]=1,100,IF(NSi.SE[[#This Row],[Ped.9]]=2,89,IF(NSi.SE[[#This Row],[Ped.9]]=3,79,IF(NSi.SE[[#This Row],[Ped.9]]=4,69,IF(NSi.SE[[#This Row],[Ped.9]]=5,0,"-")))))</f>
        <v>-</v>
      </c>
      <c r="DR27" s="73" t="str">
        <f>IF(NSi.SE[[#This Row],[Pro-A.9]]=1,100,IF(NSi.SE[[#This Row],[Pro-A.9]]=2,89,IF(NSi.SE[[#This Row],[Pro-A.9]]=3,79,IF(NSi.SE[[#This Row],[Pro-A.9]]=4,69,IF(NSi.SE[[#This Row],[Pro-A.9]]=5,0,"-")))))</f>
        <v>-</v>
      </c>
      <c r="DT27" s="78"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sheetData>
  <sheetProtection selectLockedCells="1"/>
  <dataConsolidate/>
  <mergeCells count="10">
    <mergeCell ref="AI1:AL1"/>
    <mergeCell ref="AN1:AQ1"/>
    <mergeCell ref="AS1:AV1"/>
    <mergeCell ref="AX1:BA1"/>
    <mergeCell ref="A1:H1"/>
    <mergeCell ref="J1:M1"/>
    <mergeCell ref="O1:R1"/>
    <mergeCell ref="T1:W1"/>
    <mergeCell ref="Y1:AB1"/>
    <mergeCell ref="AD1:AG1"/>
  </mergeCells>
  <conditionalFormatting sqref="A4:E27">
    <cfRule type="notContainsBlanks" dxfId="211" priority="4">
      <formula>LEN(TRIM(A4))&gt;0</formula>
    </cfRule>
  </conditionalFormatting>
  <conditionalFormatting sqref="F3:H27">
    <cfRule type="iconSet" priority="3">
      <iconSet>
        <cfvo type="percent" val="0"/>
        <cfvo type="num" val="50"/>
        <cfvo type="num" val="70"/>
      </iconSet>
    </cfRule>
  </conditionalFormatting>
  <conditionalFormatting sqref="DT3:DT27">
    <cfRule type="notContainsBlanks" dxfId="210" priority="2">
      <formula>LEN(TRIM(DT3))&gt;0</formula>
    </cfRule>
  </conditionalFormatting>
  <conditionalFormatting sqref="A3:E3">
    <cfRule type="notContainsBlanks" dxfId="209" priority="1">
      <formula>LEN(TRIM(A3))&gt;0</formula>
    </cfRule>
  </conditionalFormatting>
  <dataValidations count="11">
    <dataValidation type="list" showInputMessage="1" showErrorMessage="1" promptTitle="Level of Effort (Tanggung Jawab)" prompt="1 = Excellent Effort_x000a_2 = Good Effort_x000a_3 = Satisfactory Effort_x000a_4 = Poor Effort_x000a_5 = No Effort" sqref="AX3:AX27 O3:O27 T3:T27 Y3:Y27 AD3:AD27 AI3:AI27 AN3:AN27 AS3:AS27 J3:J27" xr:uid="{6EC011F6-3D39-49FB-902F-FC090A082478}">
      <formula1>"-, 1, 2, 3, 4, 5"</formula1>
    </dataValidation>
    <dataValidation type="list" showInputMessage="1" showErrorMessage="1" promptTitle="Level of Effort (Kerjasama)" prompt="1 = Excellent Effort_x000a_2 = Good Effort_x000a_3 = Satisfactory Effort_x000a_4 = Poor Effort_x000a_5 = No Effort" sqref="AY3:AY27 P3:P27 U3:U27 Z3:Z27 AE3:AE27 AJ3:AJ27 AO3:AO27 AT3:AT27 K3:K27" xr:uid="{E3039D3E-0262-4CBF-8EE4-886E6045501B}">
      <formula1>"-, 1, 2, 3, 4, 5"</formula1>
    </dataValidation>
    <dataValidation type="list" showInputMessage="1" showErrorMessage="1" promptTitle="Level of Effort (Peduli)" prompt="1 = Excellent Effort_x000a_2 = Good Effort_x000a_3 = Satisfactory Effort_x000a_4 = Poor Effort_x000a_5 = No Effort" sqref="AZ3:AZ27 Q3:Q27 V3:V27 AA3:AA27 AF3:AF27 AK3:AK27 AP3:AP27 AU3:AU27 L3:L27" xr:uid="{B58C2D62-AB28-433B-913F-455489ADFEEC}">
      <formula1>"-, 1, 2, 3, 4, 5"</formula1>
    </dataValidation>
    <dataValidation type="list" showInputMessage="1" showErrorMessage="1" promptTitle="Level of Effort (Pro-Aktif)" prompt="1 = Excellent Effort_x000a_2 = Good Effort_x000a_3 = Satisfactory Effort_x000a_4 = Poor Effort_x000a_5 = No Effort" sqref="BA3:BA27 R3:R27 W3:W27 AB3:AB27 AG3:AG27 AL3:AL27 AQ3:AQ27 AV3:AV27 M3:M27" xr:uid="{B7EC5160-37EF-4C2C-9383-29B5C09442E9}">
      <formula1>"-, 1, 2, 3, 4, 5"</formula1>
    </dataValidation>
    <dataValidation allowBlank="1" showInputMessage="1" showErrorMessage="1" prompt="Nilai Weekly Report Cambridge untuk Mid Semester" sqref="BC3:BK27" xr:uid="{AD202729-F144-414E-B08D-2DD56C0508CE}"/>
    <dataValidation allowBlank="1" showInputMessage="1" showErrorMessage="1" prompt="Nilai Sikap Tengah Semester" sqref="F3:F27" xr:uid="{B27EEBA9-550A-430D-8314-2F1317766F32}"/>
    <dataValidation type="list" showInputMessage="1" showErrorMessage="1" promptTitle="Knowledge &amp; Understanding" prompt="A = Excellent_x000a_B = Good_x000a_C = Satisfactory_x000a_D = Poor_x000a_E = No Understanding" sqref="N3:N27 S3:S27 X3:X27 AC3:AC27 AH3:AH27 AM3:AM27 AR3:AR27 AW3:AW27 I3:I27" xr:uid="{119DF71D-390F-4B5E-9CDD-0D1660492B98}">
      <formula1>"-, A, B, C, D, E"</formula1>
    </dataValidation>
    <dataValidation allowBlank="1" showInputMessage="1" showErrorMessage="1" prompt="Isilah dengan tanggal pengisian" sqref="J1:M1 O1:R1 T1:W1 Y1:AB1 AD1:AG1 AI1:AL1 AN1:AQ1 AS1:AV1 AX1:BA1" xr:uid="{6F359984-23CF-48D2-9950-112EE8660A04}"/>
    <dataValidation allowBlank="1" showInputMessage="1" showErrorMessage="1" prompt="Nilai Sikap Semester" sqref="G3:G27" xr:uid="{A45C0123-88A6-4A47-B036-995805B85966}"/>
    <dataValidation allowBlank="1" showInputMessage="1" showErrorMessage="1" prompt="Nilai Sikap Semester (Raport)" sqref="H3:H27" xr:uid="{49010E78-DBFD-4E22-B7D7-C4646B6FD32F}"/>
    <dataValidation allowBlank="1" showInputMessage="1" showErrorMessage="1" prompt="Mata Pelajaran" sqref="A1:H1" xr:uid="{4B149253-D469-43E1-9A80-206BB912DC44}"/>
  </dataValidations>
  <pageMargins left="0.7" right="0.7" top="0.75" bottom="0.75" header="0.3" footer="0.3"/>
  <pageSetup orientation="portrait" horizontalDpi="360" verticalDpi="360"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B399-1BC8-4315-BC04-7EFEEADD7F10}">
  <sheetPr>
    <tabColor theme="7" tint="0.39997558519241921"/>
  </sheetPr>
  <dimension ref="A1:AE28"/>
  <sheetViews>
    <sheetView showGridLines="0" zoomScale="85" zoomScaleNormal="85" workbookViewId="0">
      <selection activeCell="Q4" sqref="Q4"/>
    </sheetView>
  </sheetViews>
  <sheetFormatPr defaultColWidth="9.109375" defaultRowHeight="14.4" x14ac:dyDescent="0.3"/>
  <cols>
    <col min="1" max="1" width="8.109375" style="3" bestFit="1" customWidth="1"/>
    <col min="2" max="2" width="50.6640625" style="3" customWidth="1"/>
    <col min="3" max="5" width="20.6640625" style="3" customWidth="1"/>
    <col min="6" max="6" width="19.109375" style="3" bestFit="1" customWidth="1"/>
    <col min="7" max="15" width="9.5546875" style="3" bestFit="1" customWidth="1"/>
    <col min="16" max="16" width="10.5546875" style="3" bestFit="1" customWidth="1"/>
    <col min="17" max="19" width="12.109375" style="3" bestFit="1" customWidth="1"/>
    <col min="20" max="22" width="12.33203125" style="3" bestFit="1" customWidth="1"/>
    <col min="23" max="23" width="14.44140625" style="3" bestFit="1" customWidth="1"/>
    <col min="24" max="24" width="9" style="3" bestFit="1" customWidth="1"/>
    <col min="25" max="25" width="12.88671875" style="3" bestFit="1" customWidth="1"/>
    <col min="26" max="26" width="14.109375" style="3" bestFit="1" customWidth="1"/>
    <col min="27" max="27" width="73.6640625" style="3" customWidth="1"/>
    <col min="28" max="28" width="9.109375" style="3"/>
    <col min="29" max="29" width="50.6640625" style="55" customWidth="1"/>
    <col min="30" max="31" width="37.88671875" style="54" customWidth="1"/>
    <col min="32" max="16384" width="9.109375" style="3"/>
  </cols>
  <sheetData>
    <row r="1" spans="1:31" x14ac:dyDescent="0.3">
      <c r="A1" s="79"/>
      <c r="B1" s="79"/>
      <c r="C1" s="79"/>
      <c r="D1" s="79"/>
      <c r="E1" s="79"/>
      <c r="F1" s="79"/>
      <c r="Q1" s="97" t="s">
        <v>142</v>
      </c>
      <c r="R1" s="97"/>
      <c r="S1" s="97"/>
      <c r="T1" s="97"/>
      <c r="U1" s="97"/>
      <c r="V1" s="97"/>
    </row>
    <row r="2" spans="1:31" x14ac:dyDescent="0.3">
      <c r="A2" s="79"/>
      <c r="B2" s="79"/>
      <c r="C2" s="79"/>
      <c r="D2" s="79"/>
      <c r="E2" s="79"/>
      <c r="F2" s="79"/>
      <c r="G2" s="96" t="s">
        <v>104</v>
      </c>
      <c r="H2" s="96"/>
      <c r="I2" s="96"/>
      <c r="J2" s="96"/>
      <c r="K2" s="96"/>
      <c r="L2" s="96"/>
      <c r="M2" s="96"/>
      <c r="N2" s="96"/>
      <c r="O2" s="96"/>
      <c r="P2" s="96"/>
      <c r="Q2" s="17">
        <v>100</v>
      </c>
      <c r="R2" s="17">
        <v>0</v>
      </c>
      <c r="S2" s="17">
        <v>0</v>
      </c>
      <c r="T2" s="18">
        <v>1</v>
      </c>
      <c r="U2" s="18">
        <v>0</v>
      </c>
      <c r="V2" s="18">
        <v>0</v>
      </c>
      <c r="W2" s="96" t="s">
        <v>105</v>
      </c>
      <c r="X2" s="96"/>
      <c r="Y2" s="96"/>
      <c r="Z2" s="96"/>
    </row>
    <row r="3" spans="1:31" x14ac:dyDescent="0.3">
      <c r="A3" s="3" t="s">
        <v>31</v>
      </c>
      <c r="B3" s="3" t="s">
        <v>32</v>
      </c>
      <c r="C3" s="3" t="s">
        <v>33</v>
      </c>
      <c r="D3" s="3" t="s">
        <v>34</v>
      </c>
      <c r="E3" s="80" t="s">
        <v>35</v>
      </c>
      <c r="F3" s="19" t="s">
        <v>143</v>
      </c>
      <c r="G3" s="4" t="s">
        <v>106</v>
      </c>
      <c r="H3" s="4" t="s">
        <v>107</v>
      </c>
      <c r="I3" s="4" t="s">
        <v>108</v>
      </c>
      <c r="J3" s="4" t="s">
        <v>109</v>
      </c>
      <c r="K3" s="4" t="s">
        <v>110</v>
      </c>
      <c r="L3" s="4" t="s">
        <v>111</v>
      </c>
      <c r="M3" s="4" t="s">
        <v>112</v>
      </c>
      <c r="N3" s="4" t="s">
        <v>113</v>
      </c>
      <c r="O3" s="4" t="s">
        <v>114</v>
      </c>
      <c r="P3" s="4" t="s">
        <v>115</v>
      </c>
      <c r="Q3" s="6" t="s">
        <v>116</v>
      </c>
      <c r="R3" s="6" t="s">
        <v>117</v>
      </c>
      <c r="S3" s="6" t="s">
        <v>118</v>
      </c>
      <c r="T3" s="5" t="s">
        <v>119</v>
      </c>
      <c r="U3" s="5" t="s">
        <v>120</v>
      </c>
      <c r="V3" s="5" t="s">
        <v>121</v>
      </c>
      <c r="W3" s="4" t="s">
        <v>144</v>
      </c>
      <c r="X3" s="12" t="s">
        <v>145</v>
      </c>
      <c r="Y3" s="13" t="s">
        <v>146</v>
      </c>
      <c r="Z3" s="7" t="s">
        <v>125</v>
      </c>
      <c r="AA3" s="21" t="s">
        <v>147</v>
      </c>
      <c r="AC3" s="56" t="s">
        <v>148</v>
      </c>
      <c r="AD3" s="58" t="s">
        <v>149</v>
      </c>
      <c r="AE3" s="57" t="s">
        <v>150</v>
      </c>
    </row>
    <row r="4" spans="1:31" ht="50.1" customHeight="1" x14ac:dyDescent="0.3">
      <c r="A4" s="69">
        <f>IF('NS (Mid.S)'!A3=0,"",'NS (Mid.S)'!A3)</f>
        <v>1</v>
      </c>
      <c r="B4" s="70" t="str">
        <f>IF('NS (Mid.S)'!B3=0,"",'NS (Mid.S)'!B3)</f>
        <v/>
      </c>
      <c r="C4" s="69" t="str">
        <f>IF('NS (Mid.S)'!C3=0,"",'NS (Mid.S)'!C3)</f>
        <v/>
      </c>
      <c r="D4" s="69" t="str">
        <f>IF('NS (Mid.S)'!D3=0,"",'NS (Mid.S)'!D3)</f>
        <v/>
      </c>
      <c r="E4" s="69" t="str">
        <f>IF('NS (Mid.S)'!E3=0,"",'NS (Mid.S)'!E3)</f>
        <v/>
      </c>
      <c r="F4" s="20" t="str">
        <f>Mid.S[[#This Row],[Rata2 NP]]</f>
        <v/>
      </c>
      <c r="G4" s="15"/>
      <c r="H4" s="15"/>
      <c r="I4" s="15"/>
      <c r="J4" s="15"/>
      <c r="K4" s="15"/>
      <c r="L4" s="15"/>
      <c r="M4" s="15"/>
      <c r="N4" s="15"/>
      <c r="O4" s="15"/>
      <c r="P4" s="15"/>
      <c r="Q4" s="16"/>
      <c r="R4" s="16"/>
      <c r="S4" s="16"/>
      <c r="T4" s="9">
        <f>IFERROR(ROUND((Sem[[#This Row],[Paper 1]]/$Q$2*100)*$T$2,0),"")</f>
        <v>0</v>
      </c>
      <c r="U4" s="9" t="str">
        <f>IFERROR(ROUND((Sem[[#This Row],[Paper 2]]/$R$2*100)*$U$2,0),"")</f>
        <v/>
      </c>
      <c r="V4" s="9" t="str">
        <f>IFERROR(ROUND((Sem[[#This Row],[Paper 3]]/$S$2*100)*$V$2,0),"")</f>
        <v/>
      </c>
      <c r="W4" s="8" t="str">
        <f>IFERROR(ROUND(AVERAGE(Sem[[#This Row],[Rata2 NP Mid.S]:[NP 10]]),0),"")</f>
        <v/>
      </c>
      <c r="X4" s="9" t="str">
        <f>IFERROR(IF(SUM(Sem[[#This Row],[Nilai P1]:[Nilai P3]])=0,"",SUM(Sem[[#This Row],[Nilai P1]:[Nilai P3]])),"")</f>
        <v/>
      </c>
      <c r="Y4" s="14" t="str">
        <f>IFERROR(ROUND(((Mid.S[[#This Row],[NTS]]*1)+(Sem[[#This Row],[NS]]*2)+(Sem[[#This Row],[Rata2 NP2]]*7))/10,0),"")</f>
        <v/>
      </c>
      <c r="Z4" s="11" t="str">
        <f>IF(Sem[[#This Row],[NRap.S]]="","Belum Terukur",IF(Sem[[#This Row],[NRap.S]]&gt;=92,"A",IF(Sem[[#This Row],[NRap.S]]&gt;=83,"B",IF(Sem[[#This Row],[NRap.S]]&gt;=75,"C","D"))))</f>
        <v>Belum Terukur</v>
      </c>
      <c r="AA4" s="22" t="str">
        <f t="shared" ref="AA4:AA9" si="0">CONCATENATE("Siswa menunjukkan kemampuannya ",AE4,"dalam ",$AC$4)</f>
        <v xml:space="preserve">Siswa menunjukkan kemampuannya namun masih memerlukan bimbingan dalam </v>
      </c>
      <c r="AC4" s="100"/>
      <c r="AD4" s="59" t="s">
        <v>151</v>
      </c>
      <c r="AE4" s="60" t="str">
        <f>IF(Sem[[#This Row],[Predikat]]="A",$AD$4,IF(Sem[[#This Row],[Predikat]]="B",$AD$5,IF(Sem[[#This Row],[Predikat]]="C",$AD$6,$AD$7)))</f>
        <v xml:space="preserve">namun masih memerlukan bimbingan </v>
      </c>
    </row>
    <row r="5" spans="1:31" ht="50.1" customHeight="1" x14ac:dyDescent="0.3">
      <c r="A5" s="69">
        <f>IF('NS (Mid.S)'!A4=0,"",'NS (Mid.S)'!A4)</f>
        <v>2</v>
      </c>
      <c r="B5" s="70" t="str">
        <f>IF('NS (Mid.S)'!B4=0,"",'NS (Mid.S)'!B4)</f>
        <v/>
      </c>
      <c r="C5" s="69" t="str">
        <f>IF('NS (Mid.S)'!C4=0,"",'NS (Mid.S)'!C4)</f>
        <v/>
      </c>
      <c r="D5" s="69" t="str">
        <f>IF('NS (Mid.S)'!D4=0,"",'NS (Mid.S)'!D4)</f>
        <v/>
      </c>
      <c r="E5" s="69" t="str">
        <f>IF('NS (Mid.S)'!E4=0,"",'NS (Mid.S)'!E4)</f>
        <v/>
      </c>
      <c r="F5" s="20" t="str">
        <f>Mid.S[[#This Row],[Rata2 NP]]</f>
        <v/>
      </c>
      <c r="G5" s="15"/>
      <c r="H5" s="15"/>
      <c r="I5" s="15"/>
      <c r="J5" s="15"/>
      <c r="K5" s="15"/>
      <c r="L5" s="15"/>
      <c r="M5" s="15"/>
      <c r="N5" s="15"/>
      <c r="O5" s="15"/>
      <c r="P5" s="15"/>
      <c r="Q5" s="16"/>
      <c r="R5" s="16"/>
      <c r="S5" s="16"/>
      <c r="T5" s="9">
        <f>IFERROR(ROUND((Sem[[#This Row],[Paper 1]]/$Q$2*100)*$T$2,0),"")</f>
        <v>0</v>
      </c>
      <c r="U5" s="9" t="str">
        <f>IFERROR(ROUND((Sem[[#This Row],[Paper 2]]/$R$2*100)*$U$2,0),"")</f>
        <v/>
      </c>
      <c r="V5" s="9" t="str">
        <f>IFERROR(ROUND((Sem[[#This Row],[Paper 3]]/$S$2*100)*$V$2,0),"")</f>
        <v/>
      </c>
      <c r="W5" s="8" t="str">
        <f>IFERROR(ROUND(AVERAGE(Sem[[#This Row],[Rata2 NP Mid.S]:[NP 10]]),0),"")</f>
        <v/>
      </c>
      <c r="X5" s="9" t="str">
        <f>IFERROR(IF(SUM(Sem[[#This Row],[Nilai P1]:[Nilai P3]])=0,"",SUM(Sem[[#This Row],[Nilai P1]:[Nilai P3]])),"")</f>
        <v/>
      </c>
      <c r="Y5" s="14" t="str">
        <f>IFERROR(ROUND(((Mid.S[[#This Row],[NTS]]*1)+(Sem[[#This Row],[NS]]*2)+(Sem[[#This Row],[Rata2 NP2]]*7))/10,0),"")</f>
        <v/>
      </c>
      <c r="Z5" s="11" t="str">
        <f>IF(Sem[[#This Row],[NRap.S]]="","Belum Terukur",IF(Sem[[#This Row],[NRap.S]]&gt;=92,"A",IF(Sem[[#This Row],[NRap.S]]&gt;=83,"B",IF(Sem[[#This Row],[NRap.S]]&gt;=75,"C","D"))))</f>
        <v>Belum Terukur</v>
      </c>
      <c r="AA5" s="22" t="str">
        <f t="shared" si="0"/>
        <v xml:space="preserve">Siswa menunjukkan kemampuannya namun masih memerlukan bimbingan dalam </v>
      </c>
      <c r="AC5" s="100"/>
      <c r="AD5" s="59" t="s">
        <v>152</v>
      </c>
      <c r="AE5" s="60" t="str">
        <f>IF(Sem[[#This Row],[Predikat]]="A",$AD$4,IF(Sem[[#This Row],[Predikat]]="B",$AD$5,IF(Sem[[#This Row],[Predikat]]="C",$AD$6,$AD$7)))</f>
        <v xml:space="preserve">namun masih memerlukan bimbingan </v>
      </c>
    </row>
    <row r="6" spans="1:31" ht="50.1" customHeight="1" x14ac:dyDescent="0.3">
      <c r="A6" s="69">
        <f>IF('NS (Mid.S)'!A5=0,"",'NS (Mid.S)'!A5)</f>
        <v>3</v>
      </c>
      <c r="B6" s="70" t="str">
        <f>IF('NS (Mid.S)'!B5=0,"",'NS (Mid.S)'!B5)</f>
        <v/>
      </c>
      <c r="C6" s="69" t="str">
        <f>IF('NS (Mid.S)'!C5=0,"",'NS (Mid.S)'!C5)</f>
        <v/>
      </c>
      <c r="D6" s="69" t="str">
        <f>IF('NS (Mid.S)'!D5=0,"",'NS (Mid.S)'!D5)</f>
        <v/>
      </c>
      <c r="E6" s="69" t="str">
        <f>IF('NS (Mid.S)'!E5=0,"",'NS (Mid.S)'!E5)</f>
        <v/>
      </c>
      <c r="F6" s="20" t="str">
        <f>Mid.S[[#This Row],[Rata2 NP]]</f>
        <v/>
      </c>
      <c r="G6" s="15"/>
      <c r="H6" s="15"/>
      <c r="I6" s="15"/>
      <c r="J6" s="15"/>
      <c r="K6" s="15"/>
      <c r="L6" s="15"/>
      <c r="M6" s="15"/>
      <c r="N6" s="15"/>
      <c r="O6" s="15"/>
      <c r="P6" s="15"/>
      <c r="Q6" s="16"/>
      <c r="R6" s="16"/>
      <c r="S6" s="16"/>
      <c r="T6" s="9">
        <f>IFERROR(ROUND((Sem[[#This Row],[Paper 1]]/$Q$2*100)*$T$2,0),"")</f>
        <v>0</v>
      </c>
      <c r="U6" s="9" t="str">
        <f>IFERROR(ROUND((Sem[[#This Row],[Paper 2]]/$R$2*100)*$U$2,0),"")</f>
        <v/>
      </c>
      <c r="V6" s="9" t="str">
        <f>IFERROR(ROUND((Sem[[#This Row],[Paper 3]]/$S$2*100)*$V$2,0),"")</f>
        <v/>
      </c>
      <c r="W6" s="8" t="str">
        <f>IFERROR(ROUND(AVERAGE(Sem[[#This Row],[Rata2 NP Mid.S]:[NP 10]]),0),"")</f>
        <v/>
      </c>
      <c r="X6" s="9" t="str">
        <f>IFERROR(IF(SUM(Sem[[#This Row],[Nilai P1]:[Nilai P3]])=0,"",SUM(Sem[[#This Row],[Nilai P1]:[Nilai P3]])),"")</f>
        <v/>
      </c>
      <c r="Y6" s="14" t="str">
        <f>IFERROR(ROUND(((Mid.S[[#This Row],[NTS]]*1)+(Sem[[#This Row],[NS]]*2)+(Sem[[#This Row],[Rata2 NP2]]*7))/10,0),"")</f>
        <v/>
      </c>
      <c r="Z6" s="11" t="str">
        <f>IF(Sem[[#This Row],[NRap.S]]="","Belum Terukur",IF(Sem[[#This Row],[NRap.S]]&gt;=92,"A",IF(Sem[[#This Row],[NRap.S]]&gt;=83,"B",IF(Sem[[#This Row],[NRap.S]]&gt;=75,"C","D"))))</f>
        <v>Belum Terukur</v>
      </c>
      <c r="AA6" s="22" t="str">
        <f t="shared" si="0"/>
        <v xml:space="preserve">Siswa menunjukkan kemampuannya namun masih memerlukan bimbingan dalam </v>
      </c>
      <c r="AC6" s="100"/>
      <c r="AD6" s="59" t="s">
        <v>153</v>
      </c>
      <c r="AE6" s="60" t="str">
        <f>IF(Sem[[#This Row],[Predikat]]="A",$AD$4,IF(Sem[[#This Row],[Predikat]]="B",$AD$5,IF(Sem[[#This Row],[Predikat]]="C",$AD$6,$AD$7)))</f>
        <v xml:space="preserve">namun masih memerlukan bimbingan </v>
      </c>
    </row>
    <row r="7" spans="1:31" ht="50.1" customHeight="1" x14ac:dyDescent="0.3">
      <c r="A7" s="69">
        <f>IF('NS (Mid.S)'!A6=0,"",'NS (Mid.S)'!A6)</f>
        <v>4</v>
      </c>
      <c r="B7" s="70" t="str">
        <f>IF('NS (Mid.S)'!B6=0,"",'NS (Mid.S)'!B6)</f>
        <v/>
      </c>
      <c r="C7" s="69" t="str">
        <f>IF('NS (Mid.S)'!C6=0,"",'NS (Mid.S)'!C6)</f>
        <v/>
      </c>
      <c r="D7" s="69" t="str">
        <f>IF('NS (Mid.S)'!D6=0,"",'NS (Mid.S)'!D6)</f>
        <v/>
      </c>
      <c r="E7" s="69" t="str">
        <f>IF('NS (Mid.S)'!E6=0,"",'NS (Mid.S)'!E6)</f>
        <v/>
      </c>
      <c r="F7" s="20" t="str">
        <f>Mid.S[[#This Row],[Rata2 NP]]</f>
        <v/>
      </c>
      <c r="G7" s="15"/>
      <c r="H7" s="15"/>
      <c r="I7" s="15"/>
      <c r="J7" s="15"/>
      <c r="K7" s="15"/>
      <c r="L7" s="15"/>
      <c r="M7" s="15"/>
      <c r="N7" s="15"/>
      <c r="O7" s="15"/>
      <c r="P7" s="15"/>
      <c r="Q7" s="16"/>
      <c r="R7" s="16"/>
      <c r="S7" s="16"/>
      <c r="T7" s="9">
        <f>IFERROR(ROUND((Sem[[#This Row],[Paper 1]]/$Q$2*100)*$T$2,0),"")</f>
        <v>0</v>
      </c>
      <c r="U7" s="9" t="str">
        <f>IFERROR(ROUND((Sem[[#This Row],[Paper 2]]/$R$2*100)*$U$2,0),"")</f>
        <v/>
      </c>
      <c r="V7" s="9" t="str">
        <f>IFERROR(ROUND((Sem[[#This Row],[Paper 3]]/$S$2*100)*$V$2,0),"")</f>
        <v/>
      </c>
      <c r="W7" s="8" t="str">
        <f>IFERROR(ROUND(AVERAGE(Sem[[#This Row],[Rata2 NP Mid.S]:[NP 10]]),0),"")</f>
        <v/>
      </c>
      <c r="X7" s="9" t="str">
        <f>IFERROR(IF(SUM(Sem[[#This Row],[Nilai P1]:[Nilai P3]])=0,"",SUM(Sem[[#This Row],[Nilai P1]:[Nilai P3]])),"")</f>
        <v/>
      </c>
      <c r="Y7" s="14" t="str">
        <f>IFERROR(ROUND(((Mid.S[[#This Row],[NTS]]*1)+(Sem[[#This Row],[NS]]*2)+(Sem[[#This Row],[Rata2 NP2]]*7))/10,0),"")</f>
        <v/>
      </c>
      <c r="Z7" s="11" t="str">
        <f>IF(Sem[[#This Row],[NRap.S]]="","Belum Terukur",IF(Sem[[#This Row],[NRap.S]]&gt;=92,"A",IF(Sem[[#This Row],[NRap.S]]&gt;=83,"B",IF(Sem[[#This Row],[NRap.S]]&gt;=75,"C","D"))))</f>
        <v>Belum Terukur</v>
      </c>
      <c r="AA7" s="22" t="str">
        <f t="shared" si="0"/>
        <v xml:space="preserve">Siswa menunjukkan kemampuannya namun masih memerlukan bimbingan dalam </v>
      </c>
      <c r="AC7" s="100"/>
      <c r="AD7" s="59" t="s">
        <v>154</v>
      </c>
      <c r="AE7" s="60" t="str">
        <f>IF(Sem[[#This Row],[Predikat]]="A",$AD$4,IF(Sem[[#This Row],[Predikat]]="B",$AD$5,IF(Sem[[#This Row],[Predikat]]="C",$AD$6,$AD$7)))</f>
        <v xml:space="preserve">namun masih memerlukan bimbingan </v>
      </c>
    </row>
    <row r="8" spans="1:31" ht="50.1" customHeight="1" x14ac:dyDescent="0.3">
      <c r="A8" s="69">
        <f>IF('NS (Mid.S)'!A7=0,"",'NS (Mid.S)'!A7)</f>
        <v>5</v>
      </c>
      <c r="B8" s="70" t="str">
        <f>IF('NS (Mid.S)'!B7=0,"",'NS (Mid.S)'!B7)</f>
        <v/>
      </c>
      <c r="C8" s="69" t="str">
        <f>IF('NS (Mid.S)'!C7=0,"",'NS (Mid.S)'!C7)</f>
        <v/>
      </c>
      <c r="D8" s="69" t="str">
        <f>IF('NS (Mid.S)'!D7=0,"",'NS (Mid.S)'!D7)</f>
        <v/>
      </c>
      <c r="E8" s="69" t="str">
        <f>IF('NS (Mid.S)'!E7=0,"",'NS (Mid.S)'!E7)</f>
        <v/>
      </c>
      <c r="F8" s="20" t="str">
        <f>Mid.S[[#This Row],[Rata2 NP]]</f>
        <v/>
      </c>
      <c r="G8" s="15"/>
      <c r="H8" s="15"/>
      <c r="I8" s="15"/>
      <c r="J8" s="15"/>
      <c r="K8" s="15"/>
      <c r="L8" s="15"/>
      <c r="M8" s="15"/>
      <c r="N8" s="15"/>
      <c r="O8" s="15"/>
      <c r="P8" s="15"/>
      <c r="Q8" s="16"/>
      <c r="R8" s="16"/>
      <c r="S8" s="16"/>
      <c r="T8" s="9">
        <f>IFERROR(ROUND((Sem[[#This Row],[Paper 1]]/$Q$2*100)*$T$2,0),"")</f>
        <v>0</v>
      </c>
      <c r="U8" s="9" t="str">
        <f>IFERROR(ROUND((Sem[[#This Row],[Paper 2]]/$R$2*100)*$U$2,0),"")</f>
        <v/>
      </c>
      <c r="V8" s="9" t="str">
        <f>IFERROR(ROUND((Sem[[#This Row],[Paper 3]]/$S$2*100)*$V$2,0),"")</f>
        <v/>
      </c>
      <c r="W8" s="8" t="str">
        <f>IFERROR(ROUND(AVERAGE(Sem[[#This Row],[Rata2 NP Mid.S]:[NP 10]]),0),"")</f>
        <v/>
      </c>
      <c r="X8" s="9" t="str">
        <f>IFERROR(IF(SUM(Sem[[#This Row],[Nilai P1]:[Nilai P3]])=0,"",SUM(Sem[[#This Row],[Nilai P1]:[Nilai P3]])),"")</f>
        <v/>
      </c>
      <c r="Y8" s="14" t="str">
        <f>IFERROR(ROUND(((Mid.S[[#This Row],[NTS]]*1)+(Sem[[#This Row],[NS]]*2)+(Sem[[#This Row],[Rata2 NP2]]*7))/10,0),"")</f>
        <v/>
      </c>
      <c r="Z8" s="11" t="str">
        <f>IF(Sem[[#This Row],[NRap.S]]="","Belum Terukur",IF(Sem[[#This Row],[NRap.S]]&gt;=92,"A",IF(Sem[[#This Row],[NRap.S]]&gt;=83,"B",IF(Sem[[#This Row],[NRap.S]]&gt;=75,"C","D"))))</f>
        <v>Belum Terukur</v>
      </c>
      <c r="AA8" s="22" t="str">
        <f t="shared" si="0"/>
        <v xml:space="preserve">Siswa menunjukkan kemampuannya namun masih memerlukan bimbingan dalam </v>
      </c>
      <c r="AC8" s="100"/>
      <c r="AD8" s="101"/>
      <c r="AE8" s="60" t="str">
        <f>IF(Sem[[#This Row],[Predikat]]="A",$AD$4,IF(Sem[[#This Row],[Predikat]]="B",$AD$5,IF(Sem[[#This Row],[Predikat]]="C",$AD$6,$AD$7)))</f>
        <v xml:space="preserve">namun masih memerlukan bimbingan </v>
      </c>
    </row>
    <row r="9" spans="1:31" ht="50.1" customHeight="1" x14ac:dyDescent="0.3">
      <c r="A9" s="69">
        <f>IF('NS (Mid.S)'!A8=0,"",'NS (Mid.S)'!A8)</f>
        <v>6</v>
      </c>
      <c r="B9" s="70" t="str">
        <f>IF('NS (Mid.S)'!B8=0,"",'NS (Mid.S)'!B8)</f>
        <v/>
      </c>
      <c r="C9" s="69" t="str">
        <f>IF('NS (Mid.S)'!C8=0,"",'NS (Mid.S)'!C8)</f>
        <v/>
      </c>
      <c r="D9" s="69" t="str">
        <f>IF('NS (Mid.S)'!D8=0,"",'NS (Mid.S)'!D8)</f>
        <v/>
      </c>
      <c r="E9" s="69" t="str">
        <f>IF('NS (Mid.S)'!E8=0,"",'NS (Mid.S)'!E8)</f>
        <v/>
      </c>
      <c r="F9" s="20" t="str">
        <f>Mid.S[[#This Row],[Rata2 NP]]</f>
        <v/>
      </c>
      <c r="G9" s="15"/>
      <c r="H9" s="15"/>
      <c r="I9" s="15"/>
      <c r="J9" s="15"/>
      <c r="K9" s="15"/>
      <c r="L9" s="15"/>
      <c r="M9" s="15"/>
      <c r="N9" s="15"/>
      <c r="O9" s="15"/>
      <c r="P9" s="15"/>
      <c r="Q9" s="16"/>
      <c r="R9" s="16"/>
      <c r="S9" s="16"/>
      <c r="T9" s="9">
        <f>IFERROR(ROUND((Sem[[#This Row],[Paper 1]]/$Q$2*100)*$T$2,0),"")</f>
        <v>0</v>
      </c>
      <c r="U9" s="9" t="str">
        <f>IFERROR(ROUND((Sem[[#This Row],[Paper 2]]/$R$2*100)*$U$2,0),"")</f>
        <v/>
      </c>
      <c r="V9" s="9" t="str">
        <f>IFERROR(ROUND((Sem[[#This Row],[Paper 3]]/$S$2*100)*$V$2,0),"")</f>
        <v/>
      </c>
      <c r="W9" s="8" t="str">
        <f>IFERROR(ROUND(AVERAGE(Sem[[#This Row],[Rata2 NP Mid.S]:[NP 10]]),0),"")</f>
        <v/>
      </c>
      <c r="X9" s="9" t="str">
        <f>IFERROR(IF(SUM(Sem[[#This Row],[Nilai P1]:[Nilai P3]])=0,"",SUM(Sem[[#This Row],[Nilai P1]:[Nilai P3]])),"")</f>
        <v/>
      </c>
      <c r="Y9" s="14" t="str">
        <f>IFERROR(ROUND(((Mid.S[[#This Row],[NTS]]*1)+(Sem[[#This Row],[NS]]*2)+(Sem[[#This Row],[Rata2 NP2]]*7))/10,0),"")</f>
        <v/>
      </c>
      <c r="Z9" s="11" t="str">
        <f>IF(Sem[[#This Row],[NRap.S]]="","Belum Terukur",IF(Sem[[#This Row],[NRap.S]]&gt;=92,"A",IF(Sem[[#This Row],[NRap.S]]&gt;=83,"B",IF(Sem[[#This Row],[NRap.S]]&gt;=75,"C","D"))))</f>
        <v>Belum Terukur</v>
      </c>
      <c r="AA9" s="22" t="str">
        <f t="shared" si="0"/>
        <v xml:space="preserve">Siswa menunjukkan kemampuannya namun masih memerlukan bimbingan dalam </v>
      </c>
      <c r="AC9" s="100"/>
      <c r="AD9" s="102"/>
      <c r="AE9" s="60" t="str">
        <f>IF(Sem[[#This Row],[Predikat]]="A",$AD$4,IF(Sem[[#This Row],[Predikat]]="B",$AD$5,IF(Sem[[#This Row],[Predikat]]="C",$AD$6,$AD$7)))</f>
        <v xml:space="preserve">namun masih memerlukan bimbingan </v>
      </c>
    </row>
    <row r="10" spans="1:31" ht="50.1" customHeight="1" x14ac:dyDescent="0.3">
      <c r="A10" s="69">
        <f>IF('NS (Mid.S)'!A9=0,"",'NS (Mid.S)'!A9)</f>
        <v>7</v>
      </c>
      <c r="B10" s="70" t="str">
        <f>IF('NS (Mid.S)'!B9=0,"",'NS (Mid.S)'!B9)</f>
        <v/>
      </c>
      <c r="C10" s="69" t="str">
        <f>IF('NS (Mid.S)'!C9=0,"",'NS (Mid.S)'!C9)</f>
        <v/>
      </c>
      <c r="D10" s="69" t="str">
        <f>IF('NS (Mid.S)'!D9=0,"",'NS (Mid.S)'!D9)</f>
        <v/>
      </c>
      <c r="E10" s="69" t="str">
        <f>IF('NS (Mid.S)'!E9=0,"",'NS (Mid.S)'!E9)</f>
        <v/>
      </c>
      <c r="F10" s="20" t="str">
        <f>Mid.S[[#This Row],[Rata2 NP]]</f>
        <v/>
      </c>
      <c r="G10" s="15"/>
      <c r="H10" s="15"/>
      <c r="I10" s="15"/>
      <c r="J10" s="15"/>
      <c r="K10" s="15"/>
      <c r="L10" s="15"/>
      <c r="M10" s="15"/>
      <c r="N10" s="15"/>
      <c r="O10" s="15"/>
      <c r="P10" s="15"/>
      <c r="Q10" s="16"/>
      <c r="R10" s="16"/>
      <c r="S10" s="16"/>
      <c r="T10" s="9">
        <f>IFERROR(ROUND((Sem[[#This Row],[Paper 1]]/$Q$2*100)*$T$2,0),"")</f>
        <v>0</v>
      </c>
      <c r="U10" s="9" t="str">
        <f>IFERROR(ROUND((Sem[[#This Row],[Paper 2]]/$R$2*100)*$U$2,0),"")</f>
        <v/>
      </c>
      <c r="V10" s="9" t="str">
        <f>IFERROR(ROUND((Sem[[#This Row],[Paper 3]]/$S$2*100)*$V$2,0),"")</f>
        <v/>
      </c>
      <c r="W10" s="8" t="str">
        <f>IFERROR(ROUND(AVERAGE(Sem[[#This Row],[Rata2 NP Mid.S]:[NP 10]]),0),"")</f>
        <v/>
      </c>
      <c r="X10" s="9" t="str">
        <f>IFERROR(IF(SUM(Sem[[#This Row],[Nilai P1]:[Nilai P3]])=0,"",SUM(Sem[[#This Row],[Nilai P1]:[Nilai P3]])),"")</f>
        <v/>
      </c>
      <c r="Y10" s="14" t="str">
        <f>IFERROR(ROUND(((Mid.S[[#This Row],[NTS]]*1)+(Sem[[#This Row],[NS]]*2)+(Sem[[#This Row],[Rata2 NP2]]*7))/10,0),"")</f>
        <v/>
      </c>
      <c r="Z10" s="11" t="str">
        <f>IF(Sem[[#This Row],[NRap.S]]="","Belum Terukur",IF(Sem[[#This Row],[NRap.S]]&gt;=92,"A",IF(Sem[[#This Row],[NRap.S]]&gt;=83,"B",IF(Sem[[#This Row],[NRap.S]]&gt;=75,"C","D"))))</f>
        <v>Belum Terukur</v>
      </c>
      <c r="AA10" s="22" t="str">
        <f t="shared" ref="AA10:AA28" si="1">CONCATENATE("Siswa menunjukkan kemampuannya ",AE10,"dalam ",$AC$4)</f>
        <v xml:space="preserve">Siswa menunjukkan kemampuannya namun masih memerlukan bimbingan dalam </v>
      </c>
      <c r="AC10" s="100"/>
      <c r="AD10" s="102"/>
      <c r="AE10" s="60" t="str">
        <f>IF(Sem[[#This Row],[Predikat]]="A",$AD$4,IF(Sem[[#This Row],[Predikat]]="B",$AD$5,IF(Sem[[#This Row],[Predikat]]="C",$AD$6,$AD$7)))</f>
        <v xml:space="preserve">namun masih memerlukan bimbingan </v>
      </c>
    </row>
    <row r="11" spans="1:31" ht="50.1" customHeight="1" x14ac:dyDescent="0.3">
      <c r="A11" s="69">
        <f>IF('NS (Mid.S)'!A10=0,"",'NS (Mid.S)'!A10)</f>
        <v>8</v>
      </c>
      <c r="B11" s="70" t="str">
        <f>IF('NS (Mid.S)'!B10=0,"",'NS (Mid.S)'!B10)</f>
        <v/>
      </c>
      <c r="C11" s="69" t="str">
        <f>IF('NS (Mid.S)'!C10=0,"",'NS (Mid.S)'!C10)</f>
        <v/>
      </c>
      <c r="D11" s="69" t="str">
        <f>IF('NS (Mid.S)'!D10=0,"",'NS (Mid.S)'!D10)</f>
        <v/>
      </c>
      <c r="E11" s="69" t="str">
        <f>IF('NS (Mid.S)'!E10=0,"",'NS (Mid.S)'!E10)</f>
        <v/>
      </c>
      <c r="F11" s="20" t="str">
        <f>Mid.S[[#This Row],[Rata2 NP]]</f>
        <v/>
      </c>
      <c r="G11" s="15"/>
      <c r="H11" s="15"/>
      <c r="I11" s="15"/>
      <c r="J11" s="15"/>
      <c r="K11" s="15"/>
      <c r="L11" s="15"/>
      <c r="M11" s="15"/>
      <c r="N11" s="15"/>
      <c r="O11" s="15"/>
      <c r="P11" s="15"/>
      <c r="Q11" s="16"/>
      <c r="R11" s="16"/>
      <c r="S11" s="16"/>
      <c r="T11" s="9">
        <f>IFERROR(ROUND((Sem[[#This Row],[Paper 1]]/$Q$2*100)*$T$2,0),"")</f>
        <v>0</v>
      </c>
      <c r="U11" s="9" t="str">
        <f>IFERROR(ROUND((Sem[[#This Row],[Paper 2]]/$R$2*100)*$U$2,0),"")</f>
        <v/>
      </c>
      <c r="V11" s="9" t="str">
        <f>IFERROR(ROUND((Sem[[#This Row],[Paper 3]]/$S$2*100)*$V$2,0),"")</f>
        <v/>
      </c>
      <c r="W11" s="8" t="str">
        <f>IFERROR(ROUND(AVERAGE(Sem[[#This Row],[Rata2 NP Mid.S]:[NP 10]]),0),"")</f>
        <v/>
      </c>
      <c r="X11" s="9" t="str">
        <f>IFERROR(IF(SUM(Sem[[#This Row],[Nilai P1]:[Nilai P3]])=0,"",SUM(Sem[[#This Row],[Nilai P1]:[Nilai P3]])),"")</f>
        <v/>
      </c>
      <c r="Y11" s="14" t="str">
        <f>IFERROR(ROUND(((Mid.S[[#This Row],[NTS]]*1)+(Sem[[#This Row],[NS]]*2)+(Sem[[#This Row],[Rata2 NP2]]*7))/10,0),"")</f>
        <v/>
      </c>
      <c r="Z11" s="11" t="str">
        <f>IF(Sem[[#This Row],[NRap.S]]="","Belum Terukur",IF(Sem[[#This Row],[NRap.S]]&gt;=92,"A",IF(Sem[[#This Row],[NRap.S]]&gt;=83,"B",IF(Sem[[#This Row],[NRap.S]]&gt;=75,"C","D"))))</f>
        <v>Belum Terukur</v>
      </c>
      <c r="AA11" s="22" t="str">
        <f t="shared" si="1"/>
        <v xml:space="preserve">Siswa menunjukkan kemampuannya namun masih memerlukan bimbingan dalam </v>
      </c>
      <c r="AC11" s="100"/>
      <c r="AD11" s="102"/>
      <c r="AE11" s="60" t="str">
        <f>IF(Sem[[#This Row],[Predikat]]="A",$AD$4,IF(Sem[[#This Row],[Predikat]]="B",$AD$5,IF(Sem[[#This Row],[Predikat]]="C",$AD$6,$AD$7)))</f>
        <v xml:space="preserve">namun masih memerlukan bimbingan </v>
      </c>
    </row>
    <row r="12" spans="1:31" ht="50.1" customHeight="1" x14ac:dyDescent="0.3">
      <c r="A12" s="69">
        <f>IF('NS (Mid.S)'!A11=0,"",'NS (Mid.S)'!A11)</f>
        <v>9</v>
      </c>
      <c r="B12" s="70" t="str">
        <f>IF('NS (Mid.S)'!B11=0,"",'NS (Mid.S)'!B11)</f>
        <v/>
      </c>
      <c r="C12" s="69" t="str">
        <f>IF('NS (Mid.S)'!C11=0,"",'NS (Mid.S)'!C11)</f>
        <v/>
      </c>
      <c r="D12" s="69" t="str">
        <f>IF('NS (Mid.S)'!D11=0,"",'NS (Mid.S)'!D11)</f>
        <v/>
      </c>
      <c r="E12" s="69" t="str">
        <f>IF('NS (Mid.S)'!E11=0,"",'NS (Mid.S)'!E11)</f>
        <v/>
      </c>
      <c r="F12" s="20" t="str">
        <f>Mid.S[[#This Row],[Rata2 NP]]</f>
        <v/>
      </c>
      <c r="G12" s="15"/>
      <c r="H12" s="15"/>
      <c r="I12" s="15"/>
      <c r="J12" s="15"/>
      <c r="K12" s="15"/>
      <c r="L12" s="15"/>
      <c r="M12" s="15"/>
      <c r="N12" s="15"/>
      <c r="O12" s="15"/>
      <c r="P12" s="15"/>
      <c r="Q12" s="16"/>
      <c r="R12" s="16"/>
      <c r="S12" s="16"/>
      <c r="T12" s="9">
        <f>IFERROR(ROUND((Sem[[#This Row],[Paper 1]]/$Q$2*100)*$T$2,0),"")</f>
        <v>0</v>
      </c>
      <c r="U12" s="9" t="str">
        <f>IFERROR(ROUND((Sem[[#This Row],[Paper 2]]/$R$2*100)*$U$2,0),"")</f>
        <v/>
      </c>
      <c r="V12" s="9" t="str">
        <f>IFERROR(ROUND((Sem[[#This Row],[Paper 3]]/$S$2*100)*$V$2,0),"")</f>
        <v/>
      </c>
      <c r="W12" s="8" t="str">
        <f>IFERROR(ROUND(AVERAGE(Sem[[#This Row],[Rata2 NP Mid.S]:[NP 10]]),0),"")</f>
        <v/>
      </c>
      <c r="X12" s="9" t="str">
        <f>IFERROR(IF(SUM(Sem[[#This Row],[Nilai P1]:[Nilai P3]])=0,"",SUM(Sem[[#This Row],[Nilai P1]:[Nilai P3]])),"")</f>
        <v/>
      </c>
      <c r="Y12" s="14" t="str">
        <f>IFERROR(ROUND(((Mid.S[[#This Row],[NTS]]*1)+(Sem[[#This Row],[NS]]*2)+(Sem[[#This Row],[Rata2 NP2]]*7))/10,0),"")</f>
        <v/>
      </c>
      <c r="Z12" s="11" t="str">
        <f>IF(Sem[[#This Row],[NRap.S]]="","Belum Terukur",IF(Sem[[#This Row],[NRap.S]]&gt;=92,"A",IF(Sem[[#This Row],[NRap.S]]&gt;=83,"B",IF(Sem[[#This Row],[NRap.S]]&gt;=75,"C","D"))))</f>
        <v>Belum Terukur</v>
      </c>
      <c r="AA12" s="22" t="str">
        <f t="shared" si="1"/>
        <v xml:space="preserve">Siswa menunjukkan kemampuannya namun masih memerlukan bimbingan dalam </v>
      </c>
      <c r="AC12" s="100"/>
      <c r="AD12" s="102"/>
      <c r="AE12" s="60" t="str">
        <f>IF(Sem[[#This Row],[Predikat]]="A",$AD$4,IF(Sem[[#This Row],[Predikat]]="B",$AD$5,IF(Sem[[#This Row],[Predikat]]="C",$AD$6,$AD$7)))</f>
        <v xml:space="preserve">namun masih memerlukan bimbingan </v>
      </c>
    </row>
    <row r="13" spans="1:31" ht="50.1" customHeight="1" x14ac:dyDescent="0.3">
      <c r="A13" s="69">
        <f>IF('NS (Mid.S)'!A12=0,"",'NS (Mid.S)'!A12)</f>
        <v>10</v>
      </c>
      <c r="B13" s="70" t="str">
        <f>IF('NS (Mid.S)'!B12=0,"",'NS (Mid.S)'!B12)</f>
        <v/>
      </c>
      <c r="C13" s="69" t="str">
        <f>IF('NS (Mid.S)'!C12=0,"",'NS (Mid.S)'!C12)</f>
        <v/>
      </c>
      <c r="D13" s="69" t="str">
        <f>IF('NS (Mid.S)'!D12=0,"",'NS (Mid.S)'!D12)</f>
        <v/>
      </c>
      <c r="E13" s="69" t="str">
        <f>IF('NS (Mid.S)'!E12=0,"",'NS (Mid.S)'!E12)</f>
        <v/>
      </c>
      <c r="F13" s="20" t="str">
        <f>Mid.S[[#This Row],[Rata2 NP]]</f>
        <v/>
      </c>
      <c r="G13" s="15"/>
      <c r="H13" s="15"/>
      <c r="I13" s="15"/>
      <c r="J13" s="15"/>
      <c r="K13" s="15"/>
      <c r="L13" s="15"/>
      <c r="M13" s="15"/>
      <c r="N13" s="15"/>
      <c r="O13" s="15"/>
      <c r="P13" s="15"/>
      <c r="Q13" s="16"/>
      <c r="R13" s="16"/>
      <c r="S13" s="16"/>
      <c r="T13" s="9">
        <f>IFERROR(ROUND((Sem[[#This Row],[Paper 1]]/$Q$2*100)*$T$2,0),"")</f>
        <v>0</v>
      </c>
      <c r="U13" s="9" t="str">
        <f>IFERROR(ROUND((Sem[[#This Row],[Paper 2]]/$R$2*100)*$U$2,0),"")</f>
        <v/>
      </c>
      <c r="V13" s="9" t="str">
        <f>IFERROR(ROUND((Sem[[#This Row],[Paper 3]]/$S$2*100)*$V$2,0),"")</f>
        <v/>
      </c>
      <c r="W13" s="8" t="str">
        <f>IFERROR(ROUND(AVERAGE(Sem[[#This Row],[Rata2 NP Mid.S]:[NP 10]]),0),"")</f>
        <v/>
      </c>
      <c r="X13" s="9" t="str">
        <f>IFERROR(IF(SUM(Sem[[#This Row],[Nilai P1]:[Nilai P3]])=0,"",SUM(Sem[[#This Row],[Nilai P1]:[Nilai P3]])),"")</f>
        <v/>
      </c>
      <c r="Y13" s="14" t="str">
        <f>IFERROR(ROUND(((Mid.S[[#This Row],[NTS]]*1)+(Sem[[#This Row],[NS]]*2)+(Sem[[#This Row],[Rata2 NP2]]*7))/10,0),"")</f>
        <v/>
      </c>
      <c r="Z13" s="11" t="str">
        <f>IF(Sem[[#This Row],[NRap.S]]="","Belum Terukur",IF(Sem[[#This Row],[NRap.S]]&gt;=92,"A",IF(Sem[[#This Row],[NRap.S]]&gt;=83,"B",IF(Sem[[#This Row],[NRap.S]]&gt;=75,"C","D"))))</f>
        <v>Belum Terukur</v>
      </c>
      <c r="AA13" s="22" t="str">
        <f t="shared" si="1"/>
        <v xml:space="preserve">Siswa menunjukkan kemampuannya namun masih memerlukan bimbingan dalam </v>
      </c>
      <c r="AC13" s="100"/>
      <c r="AD13" s="102"/>
      <c r="AE13" s="60" t="str">
        <f>IF(Sem[[#This Row],[Predikat]]="A",$AD$4,IF(Sem[[#This Row],[Predikat]]="B",$AD$5,IF(Sem[[#This Row],[Predikat]]="C",$AD$6,$AD$7)))</f>
        <v xml:space="preserve">namun masih memerlukan bimbingan </v>
      </c>
    </row>
    <row r="14" spans="1:31" ht="50.1" customHeight="1" x14ac:dyDescent="0.3">
      <c r="A14" s="69" t="str">
        <f>IF('NS (Mid.S)'!A13=0,"",'NS (Mid.S)'!A13)</f>
        <v/>
      </c>
      <c r="B14" s="70" t="str">
        <f>IF('NS (Mid.S)'!B13=0,"",'NS (Mid.S)'!B13)</f>
        <v/>
      </c>
      <c r="C14" s="69" t="str">
        <f>IF('NS (Mid.S)'!C13=0,"",'NS (Mid.S)'!C13)</f>
        <v/>
      </c>
      <c r="D14" s="69" t="str">
        <f>IF('NS (Mid.S)'!D13=0,"",'NS (Mid.S)'!D13)</f>
        <v/>
      </c>
      <c r="E14" s="69" t="str">
        <f>IF('NS (Mid.S)'!E13=0,"",'NS (Mid.S)'!E13)</f>
        <v/>
      </c>
      <c r="F14" s="20" t="str">
        <f>Mid.S[[#This Row],[Rata2 NP]]</f>
        <v/>
      </c>
      <c r="G14" s="15"/>
      <c r="H14" s="15"/>
      <c r="I14" s="15"/>
      <c r="J14" s="15"/>
      <c r="K14" s="15"/>
      <c r="L14" s="15"/>
      <c r="M14" s="15"/>
      <c r="N14" s="15"/>
      <c r="O14" s="15"/>
      <c r="P14" s="15"/>
      <c r="Q14" s="16"/>
      <c r="R14" s="16"/>
      <c r="S14" s="16"/>
      <c r="T14" s="9">
        <f>IFERROR(ROUND((Sem[[#This Row],[Paper 1]]/$Q$2*100)*$T$2,0),"")</f>
        <v>0</v>
      </c>
      <c r="U14" s="9" t="str">
        <f>IFERROR(ROUND((Sem[[#This Row],[Paper 2]]/$R$2*100)*$U$2,0),"")</f>
        <v/>
      </c>
      <c r="V14" s="9" t="str">
        <f>IFERROR(ROUND((Sem[[#This Row],[Paper 3]]/$S$2*100)*$V$2,0),"")</f>
        <v/>
      </c>
      <c r="W14" s="8" t="str">
        <f>IFERROR(ROUND(AVERAGE(Sem[[#This Row],[Rata2 NP Mid.S]:[NP 10]]),0),"")</f>
        <v/>
      </c>
      <c r="X14" s="9" t="str">
        <f>IFERROR(IF(SUM(Sem[[#This Row],[Nilai P1]:[Nilai P3]])=0,"",SUM(Sem[[#This Row],[Nilai P1]:[Nilai P3]])),"")</f>
        <v/>
      </c>
      <c r="Y14" s="14" t="str">
        <f>IFERROR(ROUND(((Mid.S[[#This Row],[NTS]]*1)+(Sem[[#This Row],[NS]]*2)+(Sem[[#This Row],[Rata2 NP2]]*7))/10,0),"")</f>
        <v/>
      </c>
      <c r="Z14" s="11" t="str">
        <f>IF(Sem[[#This Row],[NRap.S]]="","Belum Terukur",IF(Sem[[#This Row],[NRap.S]]&gt;=92,"A",IF(Sem[[#This Row],[NRap.S]]&gt;=83,"B",IF(Sem[[#This Row],[NRap.S]]&gt;=75,"C","D"))))</f>
        <v>Belum Terukur</v>
      </c>
      <c r="AA14" s="22" t="str">
        <f t="shared" si="1"/>
        <v xml:space="preserve">Siswa menunjukkan kemampuannya namun masih memerlukan bimbingan dalam </v>
      </c>
      <c r="AC14" s="100"/>
      <c r="AD14" s="102"/>
      <c r="AE14" s="60" t="str">
        <f>IF(Sem[[#This Row],[Predikat]]="A",$AD$4,IF(Sem[[#This Row],[Predikat]]="B",$AD$5,IF(Sem[[#This Row],[Predikat]]="C",$AD$6,$AD$7)))</f>
        <v xml:space="preserve">namun masih memerlukan bimbingan </v>
      </c>
    </row>
    <row r="15" spans="1:31" ht="50.1" customHeight="1" x14ac:dyDescent="0.3">
      <c r="A15" s="69" t="str">
        <f>IF('NS (Mid.S)'!A14=0,"",'NS (Mid.S)'!A14)</f>
        <v/>
      </c>
      <c r="B15" s="70" t="str">
        <f>IF('NS (Mid.S)'!B14=0,"",'NS (Mid.S)'!B14)</f>
        <v/>
      </c>
      <c r="C15" s="69" t="str">
        <f>IF('NS (Mid.S)'!C14=0,"",'NS (Mid.S)'!C14)</f>
        <v/>
      </c>
      <c r="D15" s="69" t="str">
        <f>IF('NS (Mid.S)'!D14=0,"",'NS (Mid.S)'!D14)</f>
        <v/>
      </c>
      <c r="E15" s="69" t="str">
        <f>IF('NS (Mid.S)'!E14=0,"",'NS (Mid.S)'!E14)</f>
        <v/>
      </c>
      <c r="F15" s="20" t="str">
        <f>Mid.S[[#This Row],[Rata2 NP]]</f>
        <v/>
      </c>
      <c r="G15" s="15"/>
      <c r="H15" s="15"/>
      <c r="I15" s="15"/>
      <c r="J15" s="15"/>
      <c r="K15" s="15"/>
      <c r="L15" s="15"/>
      <c r="M15" s="15"/>
      <c r="N15" s="15"/>
      <c r="O15" s="15"/>
      <c r="P15" s="15"/>
      <c r="Q15" s="16"/>
      <c r="R15" s="16"/>
      <c r="S15" s="16"/>
      <c r="T15" s="9">
        <f>IFERROR(ROUND((Sem[[#This Row],[Paper 1]]/$Q$2*100)*$T$2,0),"")</f>
        <v>0</v>
      </c>
      <c r="U15" s="9" t="str">
        <f>IFERROR(ROUND((Sem[[#This Row],[Paper 2]]/$R$2*100)*$U$2,0),"")</f>
        <v/>
      </c>
      <c r="V15" s="9" t="str">
        <f>IFERROR(ROUND((Sem[[#This Row],[Paper 3]]/$S$2*100)*$V$2,0),"")</f>
        <v/>
      </c>
      <c r="W15" s="8" t="str">
        <f>IFERROR(ROUND(AVERAGE(Sem[[#This Row],[Rata2 NP Mid.S]:[NP 10]]),0),"")</f>
        <v/>
      </c>
      <c r="X15" s="9" t="str">
        <f>IFERROR(IF(SUM(Sem[[#This Row],[Nilai P1]:[Nilai P3]])=0,"",SUM(Sem[[#This Row],[Nilai P1]:[Nilai P3]])),"")</f>
        <v/>
      </c>
      <c r="Y15" s="14" t="str">
        <f>IFERROR(ROUND(((Mid.S[[#This Row],[NTS]]*1)+(Sem[[#This Row],[NS]]*2)+(Sem[[#This Row],[Rata2 NP2]]*7))/10,0),"")</f>
        <v/>
      </c>
      <c r="Z15" s="11" t="str">
        <f>IF(Sem[[#This Row],[NRap.S]]="","Belum Terukur",IF(Sem[[#This Row],[NRap.S]]&gt;=92,"A",IF(Sem[[#This Row],[NRap.S]]&gt;=83,"B",IF(Sem[[#This Row],[NRap.S]]&gt;=75,"C","D"))))</f>
        <v>Belum Terukur</v>
      </c>
      <c r="AA15" s="22" t="str">
        <f t="shared" si="1"/>
        <v xml:space="preserve">Siswa menunjukkan kemampuannya namun masih memerlukan bimbingan dalam </v>
      </c>
      <c r="AC15" s="100"/>
      <c r="AD15" s="102"/>
      <c r="AE15" s="60" t="str">
        <f>IF(Sem[[#This Row],[Predikat]]="A",$AD$4,IF(Sem[[#This Row],[Predikat]]="B",$AD$5,IF(Sem[[#This Row],[Predikat]]="C",$AD$6,$AD$7)))</f>
        <v xml:space="preserve">namun masih memerlukan bimbingan </v>
      </c>
    </row>
    <row r="16" spans="1:31" ht="50.1" customHeight="1" x14ac:dyDescent="0.3">
      <c r="A16" s="69" t="str">
        <f>IF('NS (Mid.S)'!A15=0,"",'NS (Mid.S)'!A15)</f>
        <v/>
      </c>
      <c r="B16" s="70" t="str">
        <f>IF('NS (Mid.S)'!B15=0,"",'NS (Mid.S)'!B15)</f>
        <v/>
      </c>
      <c r="C16" s="69" t="str">
        <f>IF('NS (Mid.S)'!C15=0,"",'NS (Mid.S)'!C15)</f>
        <v/>
      </c>
      <c r="D16" s="69" t="str">
        <f>IF('NS (Mid.S)'!D15=0,"",'NS (Mid.S)'!D15)</f>
        <v/>
      </c>
      <c r="E16" s="69" t="str">
        <f>IF('NS (Mid.S)'!E15=0,"",'NS (Mid.S)'!E15)</f>
        <v/>
      </c>
      <c r="F16" s="20" t="str">
        <f>Mid.S[[#This Row],[Rata2 NP]]</f>
        <v/>
      </c>
      <c r="G16" s="15"/>
      <c r="H16" s="15"/>
      <c r="I16" s="15"/>
      <c r="J16" s="15"/>
      <c r="K16" s="15"/>
      <c r="L16" s="15"/>
      <c r="M16" s="15"/>
      <c r="N16" s="15"/>
      <c r="O16" s="15"/>
      <c r="P16" s="15"/>
      <c r="Q16" s="16"/>
      <c r="R16" s="16"/>
      <c r="S16" s="16"/>
      <c r="T16" s="9">
        <f>IFERROR(ROUND((Sem[[#This Row],[Paper 1]]/$Q$2*100)*$T$2,0),"")</f>
        <v>0</v>
      </c>
      <c r="U16" s="9" t="str">
        <f>IFERROR(ROUND((Sem[[#This Row],[Paper 2]]/$R$2*100)*$U$2,0),"")</f>
        <v/>
      </c>
      <c r="V16" s="9" t="str">
        <f>IFERROR(ROUND((Sem[[#This Row],[Paper 3]]/$S$2*100)*$V$2,0),"")</f>
        <v/>
      </c>
      <c r="W16" s="8" t="str">
        <f>IFERROR(ROUND(AVERAGE(Sem[[#This Row],[Rata2 NP Mid.S]:[NP 10]]),0),"")</f>
        <v/>
      </c>
      <c r="X16" s="9" t="str">
        <f>IFERROR(IF(SUM(Sem[[#This Row],[Nilai P1]:[Nilai P3]])=0,"",SUM(Sem[[#This Row],[Nilai P1]:[Nilai P3]])),"")</f>
        <v/>
      </c>
      <c r="Y16" s="14" t="str">
        <f>IFERROR(ROUND(((Mid.S[[#This Row],[NTS]]*1)+(Sem[[#This Row],[NS]]*2)+(Sem[[#This Row],[Rata2 NP2]]*7))/10,0),"")</f>
        <v/>
      </c>
      <c r="Z16" s="11" t="str">
        <f>IF(Sem[[#This Row],[NRap.S]]="","Belum Terukur",IF(Sem[[#This Row],[NRap.S]]&gt;=92,"A",IF(Sem[[#This Row],[NRap.S]]&gt;=83,"B",IF(Sem[[#This Row],[NRap.S]]&gt;=75,"C","D"))))</f>
        <v>Belum Terukur</v>
      </c>
      <c r="AA16" s="22" t="str">
        <f t="shared" si="1"/>
        <v xml:space="preserve">Siswa menunjukkan kemampuannya namun masih memerlukan bimbingan dalam </v>
      </c>
      <c r="AC16" s="100"/>
      <c r="AD16" s="102"/>
      <c r="AE16" s="60" t="str">
        <f>IF(Sem[[#This Row],[Predikat]]="A",$AD$4,IF(Sem[[#This Row],[Predikat]]="B",$AD$5,IF(Sem[[#This Row],[Predikat]]="C",$AD$6,$AD$7)))</f>
        <v xml:space="preserve">namun masih memerlukan bimbingan </v>
      </c>
    </row>
    <row r="17" spans="1:31" ht="50.1" customHeight="1" x14ac:dyDescent="0.3">
      <c r="A17" s="69" t="str">
        <f>IF('NS (Mid.S)'!A16=0,"",'NS (Mid.S)'!A16)</f>
        <v/>
      </c>
      <c r="B17" s="70" t="str">
        <f>IF('NS (Mid.S)'!B16=0,"",'NS (Mid.S)'!B16)</f>
        <v/>
      </c>
      <c r="C17" s="69" t="str">
        <f>IF('NS (Mid.S)'!C16=0,"",'NS (Mid.S)'!C16)</f>
        <v/>
      </c>
      <c r="D17" s="69" t="str">
        <f>IF('NS (Mid.S)'!D16=0,"",'NS (Mid.S)'!D16)</f>
        <v/>
      </c>
      <c r="E17" s="69" t="str">
        <f>IF('NS (Mid.S)'!E16=0,"",'NS (Mid.S)'!E16)</f>
        <v/>
      </c>
      <c r="F17" s="20" t="str">
        <f>Mid.S[[#This Row],[Rata2 NP]]</f>
        <v/>
      </c>
      <c r="G17" s="15"/>
      <c r="H17" s="15"/>
      <c r="I17" s="15"/>
      <c r="J17" s="15"/>
      <c r="K17" s="15"/>
      <c r="L17" s="15"/>
      <c r="M17" s="15"/>
      <c r="N17" s="15"/>
      <c r="O17" s="15"/>
      <c r="P17" s="15"/>
      <c r="Q17" s="16"/>
      <c r="R17" s="16"/>
      <c r="S17" s="16"/>
      <c r="T17" s="9">
        <f>IFERROR(ROUND((Sem[[#This Row],[Paper 1]]/$Q$2*100)*$T$2,0),"")</f>
        <v>0</v>
      </c>
      <c r="U17" s="9" t="str">
        <f>IFERROR(ROUND((Sem[[#This Row],[Paper 2]]/$R$2*100)*$U$2,0),"")</f>
        <v/>
      </c>
      <c r="V17" s="9" t="str">
        <f>IFERROR(ROUND((Sem[[#This Row],[Paper 3]]/$S$2*100)*$V$2,0),"")</f>
        <v/>
      </c>
      <c r="W17" s="8" t="str">
        <f>IFERROR(ROUND(AVERAGE(Sem[[#This Row],[Rata2 NP Mid.S]:[NP 10]]),0),"")</f>
        <v/>
      </c>
      <c r="X17" s="9" t="str">
        <f>IFERROR(IF(SUM(Sem[[#This Row],[Nilai P1]:[Nilai P3]])=0,"",SUM(Sem[[#This Row],[Nilai P1]:[Nilai P3]])),"")</f>
        <v/>
      </c>
      <c r="Y17" s="14" t="str">
        <f>IFERROR(ROUND(((Mid.S[[#This Row],[NTS]]*1)+(Sem[[#This Row],[NS]]*2)+(Sem[[#This Row],[Rata2 NP2]]*7))/10,0),"")</f>
        <v/>
      </c>
      <c r="Z17" s="11" t="str">
        <f>IF(Sem[[#This Row],[NRap.S]]="","Belum Terukur",IF(Sem[[#This Row],[NRap.S]]&gt;=92,"A",IF(Sem[[#This Row],[NRap.S]]&gt;=83,"B",IF(Sem[[#This Row],[NRap.S]]&gt;=75,"C","D"))))</f>
        <v>Belum Terukur</v>
      </c>
      <c r="AA17" s="22" t="str">
        <f t="shared" si="1"/>
        <v xml:space="preserve">Siswa menunjukkan kemampuannya namun masih memerlukan bimbingan dalam </v>
      </c>
      <c r="AC17" s="100"/>
      <c r="AD17" s="102"/>
      <c r="AE17" s="60" t="str">
        <f>IF(Sem[[#This Row],[Predikat]]="A",$AD$4,IF(Sem[[#This Row],[Predikat]]="B",$AD$5,IF(Sem[[#This Row],[Predikat]]="C",$AD$6,$AD$7)))</f>
        <v xml:space="preserve">namun masih memerlukan bimbingan </v>
      </c>
    </row>
    <row r="18" spans="1:31" ht="50.1" customHeight="1" x14ac:dyDescent="0.3">
      <c r="A18" s="69" t="str">
        <f>IF('NS (Mid.S)'!A17=0,"",'NS (Mid.S)'!A17)</f>
        <v/>
      </c>
      <c r="B18" s="70" t="str">
        <f>IF('NS (Mid.S)'!B17=0,"",'NS (Mid.S)'!B17)</f>
        <v/>
      </c>
      <c r="C18" s="69" t="str">
        <f>IF('NS (Mid.S)'!C17=0,"",'NS (Mid.S)'!C17)</f>
        <v/>
      </c>
      <c r="D18" s="69" t="str">
        <f>IF('NS (Mid.S)'!D17=0,"",'NS (Mid.S)'!D17)</f>
        <v/>
      </c>
      <c r="E18" s="69" t="str">
        <f>IF('NS (Mid.S)'!E17=0,"",'NS (Mid.S)'!E17)</f>
        <v/>
      </c>
      <c r="F18" s="20" t="str">
        <f>Mid.S[[#This Row],[Rata2 NP]]</f>
        <v/>
      </c>
      <c r="G18" s="15"/>
      <c r="H18" s="15"/>
      <c r="I18" s="15"/>
      <c r="J18" s="15"/>
      <c r="K18" s="15"/>
      <c r="L18" s="15"/>
      <c r="M18" s="15"/>
      <c r="N18" s="15"/>
      <c r="O18" s="15"/>
      <c r="P18" s="15"/>
      <c r="Q18" s="16"/>
      <c r="R18" s="16"/>
      <c r="S18" s="16"/>
      <c r="T18" s="9">
        <f>IFERROR(ROUND((Sem[[#This Row],[Paper 1]]/$Q$2*100)*$T$2,0),"")</f>
        <v>0</v>
      </c>
      <c r="U18" s="9" t="str">
        <f>IFERROR(ROUND((Sem[[#This Row],[Paper 2]]/$R$2*100)*$U$2,0),"")</f>
        <v/>
      </c>
      <c r="V18" s="9" t="str">
        <f>IFERROR(ROUND((Sem[[#This Row],[Paper 3]]/$S$2*100)*$V$2,0),"")</f>
        <v/>
      </c>
      <c r="W18" s="8" t="str">
        <f>IFERROR(ROUND(AVERAGE(Sem[[#This Row],[Rata2 NP Mid.S]:[NP 10]]),0),"")</f>
        <v/>
      </c>
      <c r="X18" s="9" t="str">
        <f>IFERROR(IF(SUM(Sem[[#This Row],[Nilai P1]:[Nilai P3]])=0,"",SUM(Sem[[#This Row],[Nilai P1]:[Nilai P3]])),"")</f>
        <v/>
      </c>
      <c r="Y18" s="14" t="str">
        <f>IFERROR(ROUND(((Mid.S[[#This Row],[NTS]]*1)+(Sem[[#This Row],[NS]]*2)+(Sem[[#This Row],[Rata2 NP2]]*7))/10,0),"")</f>
        <v/>
      </c>
      <c r="Z18" s="11" t="str">
        <f>IF(Sem[[#This Row],[NRap.S]]="","Belum Terukur",IF(Sem[[#This Row],[NRap.S]]&gt;=92,"A",IF(Sem[[#This Row],[NRap.S]]&gt;=83,"B",IF(Sem[[#This Row],[NRap.S]]&gt;=75,"C","D"))))</f>
        <v>Belum Terukur</v>
      </c>
      <c r="AA18" s="22" t="str">
        <f t="shared" si="1"/>
        <v xml:space="preserve">Siswa menunjukkan kemampuannya namun masih memerlukan bimbingan dalam </v>
      </c>
      <c r="AC18" s="100"/>
      <c r="AD18" s="102"/>
      <c r="AE18" s="60" t="str">
        <f>IF(Sem[[#This Row],[Predikat]]="A",$AD$4,IF(Sem[[#This Row],[Predikat]]="B",$AD$5,IF(Sem[[#This Row],[Predikat]]="C",$AD$6,$AD$7)))</f>
        <v xml:space="preserve">namun masih memerlukan bimbingan </v>
      </c>
    </row>
    <row r="19" spans="1:31" ht="50.1" customHeight="1" x14ac:dyDescent="0.3">
      <c r="A19" s="69" t="str">
        <f>IF('NS (Mid.S)'!A18=0,"",'NS (Mid.S)'!A18)</f>
        <v/>
      </c>
      <c r="B19" s="70" t="str">
        <f>IF('NS (Mid.S)'!B18=0,"",'NS (Mid.S)'!B18)</f>
        <v/>
      </c>
      <c r="C19" s="69" t="str">
        <f>IF('NS (Mid.S)'!C18=0,"",'NS (Mid.S)'!C18)</f>
        <v/>
      </c>
      <c r="D19" s="69" t="str">
        <f>IF('NS (Mid.S)'!D18=0,"",'NS (Mid.S)'!D18)</f>
        <v/>
      </c>
      <c r="E19" s="69" t="str">
        <f>IF('NS (Mid.S)'!E18=0,"",'NS (Mid.S)'!E18)</f>
        <v/>
      </c>
      <c r="F19" s="20" t="str">
        <f>Mid.S[[#This Row],[Rata2 NP]]</f>
        <v/>
      </c>
      <c r="G19" s="15"/>
      <c r="H19" s="15"/>
      <c r="I19" s="15"/>
      <c r="J19" s="15"/>
      <c r="K19" s="15"/>
      <c r="L19" s="15"/>
      <c r="M19" s="15"/>
      <c r="N19" s="15"/>
      <c r="O19" s="15"/>
      <c r="P19" s="15"/>
      <c r="Q19" s="16"/>
      <c r="R19" s="16"/>
      <c r="S19" s="16"/>
      <c r="T19" s="9">
        <f>IFERROR(ROUND((Sem[[#This Row],[Paper 1]]/$Q$2*100)*$T$2,0),"")</f>
        <v>0</v>
      </c>
      <c r="U19" s="9" t="str">
        <f>IFERROR(ROUND((Sem[[#This Row],[Paper 2]]/$R$2*100)*$U$2,0),"")</f>
        <v/>
      </c>
      <c r="V19" s="9" t="str">
        <f>IFERROR(ROUND((Sem[[#This Row],[Paper 3]]/$S$2*100)*$V$2,0),"")</f>
        <v/>
      </c>
      <c r="W19" s="8" t="str">
        <f>IFERROR(ROUND(AVERAGE(Sem[[#This Row],[Rata2 NP Mid.S]:[NP 10]]),0),"")</f>
        <v/>
      </c>
      <c r="X19" s="9" t="str">
        <f>IFERROR(IF(SUM(Sem[[#This Row],[Nilai P1]:[Nilai P3]])=0,"",SUM(Sem[[#This Row],[Nilai P1]:[Nilai P3]])),"")</f>
        <v/>
      </c>
      <c r="Y19" s="14" t="str">
        <f>IFERROR(ROUND(((Mid.S[[#This Row],[NTS]]*1)+(Sem[[#This Row],[NS]]*2)+(Sem[[#This Row],[Rata2 NP2]]*7))/10,0),"")</f>
        <v/>
      </c>
      <c r="Z19" s="11" t="str">
        <f>IF(Sem[[#This Row],[NRap.S]]="","Belum Terukur",IF(Sem[[#This Row],[NRap.S]]&gt;=92,"A",IF(Sem[[#This Row],[NRap.S]]&gt;=83,"B",IF(Sem[[#This Row],[NRap.S]]&gt;=75,"C","D"))))</f>
        <v>Belum Terukur</v>
      </c>
      <c r="AA19" s="22" t="str">
        <f t="shared" si="1"/>
        <v xml:space="preserve">Siswa menunjukkan kemampuannya namun masih memerlukan bimbingan dalam </v>
      </c>
      <c r="AC19" s="100"/>
      <c r="AD19" s="102"/>
      <c r="AE19" s="60" t="str">
        <f>IF(Sem[[#This Row],[Predikat]]="A",$AD$4,IF(Sem[[#This Row],[Predikat]]="B",$AD$5,IF(Sem[[#This Row],[Predikat]]="C",$AD$6,$AD$7)))</f>
        <v xml:space="preserve">namun masih memerlukan bimbingan </v>
      </c>
    </row>
    <row r="20" spans="1:31" ht="50.1" customHeight="1" x14ac:dyDescent="0.3">
      <c r="A20" s="69" t="str">
        <f>IF('NS (Mid.S)'!A19=0,"",'NS (Mid.S)'!A19)</f>
        <v/>
      </c>
      <c r="B20" s="70" t="str">
        <f>IF('NS (Mid.S)'!B19=0,"",'NS (Mid.S)'!B19)</f>
        <v/>
      </c>
      <c r="C20" s="69" t="str">
        <f>IF('NS (Mid.S)'!C19=0,"",'NS (Mid.S)'!C19)</f>
        <v/>
      </c>
      <c r="D20" s="69" t="str">
        <f>IF('NS (Mid.S)'!D19=0,"",'NS (Mid.S)'!D19)</f>
        <v/>
      </c>
      <c r="E20" s="69" t="str">
        <f>IF('NS (Mid.S)'!E19=0,"",'NS (Mid.S)'!E19)</f>
        <v/>
      </c>
      <c r="F20" s="20" t="str">
        <f>Mid.S[[#This Row],[Rata2 NP]]</f>
        <v/>
      </c>
      <c r="G20" s="15"/>
      <c r="H20" s="15"/>
      <c r="I20" s="15"/>
      <c r="J20" s="15"/>
      <c r="K20" s="15"/>
      <c r="L20" s="15"/>
      <c r="M20" s="15"/>
      <c r="N20" s="15"/>
      <c r="O20" s="15"/>
      <c r="P20" s="15"/>
      <c r="Q20" s="16"/>
      <c r="R20" s="16"/>
      <c r="S20" s="16"/>
      <c r="T20" s="9">
        <f>IFERROR(ROUND((Sem[[#This Row],[Paper 1]]/$Q$2*100)*$T$2,0),"")</f>
        <v>0</v>
      </c>
      <c r="U20" s="9" t="str">
        <f>IFERROR(ROUND((Sem[[#This Row],[Paper 2]]/$R$2*100)*$U$2,0),"")</f>
        <v/>
      </c>
      <c r="V20" s="9" t="str">
        <f>IFERROR(ROUND((Sem[[#This Row],[Paper 3]]/$S$2*100)*$V$2,0),"")</f>
        <v/>
      </c>
      <c r="W20" s="8" t="str">
        <f>IFERROR(ROUND(AVERAGE(Sem[[#This Row],[Rata2 NP Mid.S]:[NP 10]]),0),"")</f>
        <v/>
      </c>
      <c r="X20" s="9" t="str">
        <f>IFERROR(IF(SUM(Sem[[#This Row],[Nilai P1]:[Nilai P3]])=0,"",SUM(Sem[[#This Row],[Nilai P1]:[Nilai P3]])),"")</f>
        <v/>
      </c>
      <c r="Y20" s="14" t="str">
        <f>IFERROR(ROUND(((Mid.S[[#This Row],[NTS]]*1)+(Sem[[#This Row],[NS]]*2)+(Sem[[#This Row],[Rata2 NP2]]*7))/10,0),"")</f>
        <v/>
      </c>
      <c r="Z20" s="11" t="str">
        <f>IF(Sem[[#This Row],[NRap.S]]="","Belum Terukur",IF(Sem[[#This Row],[NRap.S]]&gt;=92,"A",IF(Sem[[#This Row],[NRap.S]]&gt;=83,"B",IF(Sem[[#This Row],[NRap.S]]&gt;=75,"C","D"))))</f>
        <v>Belum Terukur</v>
      </c>
      <c r="AA20" s="22" t="str">
        <f t="shared" si="1"/>
        <v xml:space="preserve">Siswa menunjukkan kemampuannya namun masih memerlukan bimbingan dalam </v>
      </c>
      <c r="AC20" s="100"/>
      <c r="AD20" s="102"/>
      <c r="AE20" s="60" t="str">
        <f>IF(Sem[[#This Row],[Predikat]]="A",$AD$4,IF(Sem[[#This Row],[Predikat]]="B",$AD$5,IF(Sem[[#This Row],[Predikat]]="C",$AD$6,$AD$7)))</f>
        <v xml:space="preserve">namun masih memerlukan bimbingan </v>
      </c>
    </row>
    <row r="21" spans="1:31" ht="50.1" customHeight="1" x14ac:dyDescent="0.3">
      <c r="A21" s="69" t="str">
        <f>IF('NS (Mid.S)'!A20=0,"",'NS (Mid.S)'!A20)</f>
        <v/>
      </c>
      <c r="B21" s="70" t="str">
        <f>IF('NS (Mid.S)'!B20=0,"",'NS (Mid.S)'!B20)</f>
        <v/>
      </c>
      <c r="C21" s="69" t="str">
        <f>IF('NS (Mid.S)'!C20=0,"",'NS (Mid.S)'!C20)</f>
        <v/>
      </c>
      <c r="D21" s="69" t="str">
        <f>IF('NS (Mid.S)'!D20=0,"",'NS (Mid.S)'!D20)</f>
        <v/>
      </c>
      <c r="E21" s="69" t="str">
        <f>IF('NS (Mid.S)'!E20=0,"",'NS (Mid.S)'!E20)</f>
        <v/>
      </c>
      <c r="F21" s="20" t="str">
        <f>Mid.S[[#This Row],[Rata2 NP]]</f>
        <v/>
      </c>
      <c r="G21" s="15"/>
      <c r="H21" s="15"/>
      <c r="I21" s="15"/>
      <c r="J21" s="15"/>
      <c r="K21" s="15"/>
      <c r="L21" s="15"/>
      <c r="M21" s="15"/>
      <c r="N21" s="15"/>
      <c r="O21" s="15"/>
      <c r="P21" s="15"/>
      <c r="Q21" s="16"/>
      <c r="R21" s="16"/>
      <c r="S21" s="16"/>
      <c r="T21" s="9">
        <f>IFERROR(ROUND((Sem[[#This Row],[Paper 1]]/$Q$2*100)*$T$2,0),"")</f>
        <v>0</v>
      </c>
      <c r="U21" s="9" t="str">
        <f>IFERROR(ROUND((Sem[[#This Row],[Paper 2]]/$R$2*100)*$U$2,0),"")</f>
        <v/>
      </c>
      <c r="V21" s="9" t="str">
        <f>IFERROR(ROUND((Sem[[#This Row],[Paper 3]]/$S$2*100)*$V$2,0),"")</f>
        <v/>
      </c>
      <c r="W21" s="8" t="str">
        <f>IFERROR(ROUND(AVERAGE(Sem[[#This Row],[Rata2 NP Mid.S]:[NP 10]]),0),"")</f>
        <v/>
      </c>
      <c r="X21" s="9" t="str">
        <f>IFERROR(IF(SUM(Sem[[#This Row],[Nilai P1]:[Nilai P3]])=0,"",SUM(Sem[[#This Row],[Nilai P1]:[Nilai P3]])),"")</f>
        <v/>
      </c>
      <c r="Y21" s="14" t="str">
        <f>IFERROR(ROUND(((Mid.S[[#This Row],[NTS]]*1)+(Sem[[#This Row],[NS]]*2)+(Sem[[#This Row],[Rata2 NP2]]*7))/10,0),"")</f>
        <v/>
      </c>
      <c r="Z21" s="11" t="str">
        <f>IF(Sem[[#This Row],[NRap.S]]="","Belum Terukur",IF(Sem[[#This Row],[NRap.S]]&gt;=92,"A",IF(Sem[[#This Row],[NRap.S]]&gt;=83,"B",IF(Sem[[#This Row],[NRap.S]]&gt;=75,"C","D"))))</f>
        <v>Belum Terukur</v>
      </c>
      <c r="AA21" s="22" t="str">
        <f t="shared" si="1"/>
        <v xml:space="preserve">Siswa menunjukkan kemampuannya namun masih memerlukan bimbingan dalam </v>
      </c>
      <c r="AC21" s="100"/>
      <c r="AD21" s="102"/>
      <c r="AE21" s="60" t="str">
        <f>IF(Sem[[#This Row],[Predikat]]="A",$AD$4,IF(Sem[[#This Row],[Predikat]]="B",$AD$5,IF(Sem[[#This Row],[Predikat]]="C",$AD$6,$AD$7)))</f>
        <v xml:space="preserve">namun masih memerlukan bimbingan </v>
      </c>
    </row>
    <row r="22" spans="1:31" ht="50.1" customHeight="1" x14ac:dyDescent="0.3">
      <c r="A22" s="69" t="str">
        <f>IF('NS (Mid.S)'!A21=0,"",'NS (Mid.S)'!A21)</f>
        <v/>
      </c>
      <c r="B22" s="70" t="str">
        <f>IF('NS (Mid.S)'!B21=0,"",'NS (Mid.S)'!B21)</f>
        <v/>
      </c>
      <c r="C22" s="69" t="str">
        <f>IF('NS (Mid.S)'!C21=0,"",'NS (Mid.S)'!C21)</f>
        <v/>
      </c>
      <c r="D22" s="69" t="str">
        <f>IF('NS (Mid.S)'!D21=0,"",'NS (Mid.S)'!D21)</f>
        <v/>
      </c>
      <c r="E22" s="69" t="str">
        <f>IF('NS (Mid.S)'!E21=0,"",'NS (Mid.S)'!E21)</f>
        <v/>
      </c>
      <c r="F22" s="20" t="str">
        <f>Mid.S[[#This Row],[Rata2 NP]]</f>
        <v/>
      </c>
      <c r="G22" s="15"/>
      <c r="H22" s="15"/>
      <c r="I22" s="15"/>
      <c r="J22" s="15"/>
      <c r="K22" s="15"/>
      <c r="L22" s="15"/>
      <c r="M22" s="15"/>
      <c r="N22" s="15"/>
      <c r="O22" s="15"/>
      <c r="P22" s="15"/>
      <c r="Q22" s="16"/>
      <c r="R22" s="16"/>
      <c r="S22" s="16"/>
      <c r="T22" s="9">
        <f>IFERROR(ROUND((Sem[[#This Row],[Paper 1]]/$Q$2*100)*$T$2,0),"")</f>
        <v>0</v>
      </c>
      <c r="U22" s="9" t="str">
        <f>IFERROR(ROUND((Sem[[#This Row],[Paper 2]]/$R$2*100)*$U$2,0),"")</f>
        <v/>
      </c>
      <c r="V22" s="9" t="str">
        <f>IFERROR(ROUND((Sem[[#This Row],[Paper 3]]/$S$2*100)*$V$2,0),"")</f>
        <v/>
      </c>
      <c r="W22" s="8" t="str">
        <f>IFERROR(ROUND(AVERAGE(Sem[[#This Row],[Rata2 NP Mid.S]:[NP 10]]),0),"")</f>
        <v/>
      </c>
      <c r="X22" s="9" t="str">
        <f>IFERROR(IF(SUM(Sem[[#This Row],[Nilai P1]:[Nilai P3]])=0,"",SUM(Sem[[#This Row],[Nilai P1]:[Nilai P3]])),"")</f>
        <v/>
      </c>
      <c r="Y22" s="14" t="str">
        <f>IFERROR(ROUND(((Mid.S[[#This Row],[NTS]]*1)+(Sem[[#This Row],[NS]]*2)+(Sem[[#This Row],[Rata2 NP2]]*7))/10,0),"")</f>
        <v/>
      </c>
      <c r="Z22" s="11" t="str">
        <f>IF(Sem[[#This Row],[NRap.S]]="","Belum Terukur",IF(Sem[[#This Row],[NRap.S]]&gt;=92,"A",IF(Sem[[#This Row],[NRap.S]]&gt;=83,"B",IF(Sem[[#This Row],[NRap.S]]&gt;=75,"C","D"))))</f>
        <v>Belum Terukur</v>
      </c>
      <c r="AA22" s="22" t="str">
        <f t="shared" si="1"/>
        <v xml:space="preserve">Siswa menunjukkan kemampuannya namun masih memerlukan bimbingan dalam </v>
      </c>
      <c r="AC22" s="100"/>
      <c r="AD22" s="102"/>
      <c r="AE22" s="60" t="str">
        <f>IF(Sem[[#This Row],[Predikat]]="A",$AD$4,IF(Sem[[#This Row],[Predikat]]="B",$AD$5,IF(Sem[[#This Row],[Predikat]]="C",$AD$6,$AD$7)))</f>
        <v xml:space="preserve">namun masih memerlukan bimbingan </v>
      </c>
    </row>
    <row r="23" spans="1:31" ht="50.1" customHeight="1" x14ac:dyDescent="0.3">
      <c r="A23" s="69" t="str">
        <f>IF('NS (Mid.S)'!A22=0,"",'NS (Mid.S)'!A22)</f>
        <v/>
      </c>
      <c r="B23" s="70" t="str">
        <f>IF('NS (Mid.S)'!B22=0,"",'NS (Mid.S)'!B22)</f>
        <v/>
      </c>
      <c r="C23" s="69" t="str">
        <f>IF('NS (Mid.S)'!C22=0,"",'NS (Mid.S)'!C22)</f>
        <v/>
      </c>
      <c r="D23" s="69" t="str">
        <f>IF('NS (Mid.S)'!D22=0,"",'NS (Mid.S)'!D22)</f>
        <v/>
      </c>
      <c r="E23" s="69" t="str">
        <f>IF('NS (Mid.S)'!E22=0,"",'NS (Mid.S)'!E22)</f>
        <v/>
      </c>
      <c r="F23" s="20" t="str">
        <f>Mid.S[[#This Row],[Rata2 NP]]</f>
        <v/>
      </c>
      <c r="G23" s="15"/>
      <c r="H23" s="15"/>
      <c r="I23" s="15"/>
      <c r="J23" s="15"/>
      <c r="K23" s="15"/>
      <c r="L23" s="15"/>
      <c r="M23" s="15"/>
      <c r="N23" s="15"/>
      <c r="O23" s="15"/>
      <c r="P23" s="15"/>
      <c r="Q23" s="16"/>
      <c r="R23" s="16"/>
      <c r="S23" s="16"/>
      <c r="T23" s="9">
        <f>IFERROR(ROUND((Sem[[#This Row],[Paper 1]]/$Q$2*100)*$T$2,0),"")</f>
        <v>0</v>
      </c>
      <c r="U23" s="9" t="str">
        <f>IFERROR(ROUND((Sem[[#This Row],[Paper 2]]/$R$2*100)*$U$2,0),"")</f>
        <v/>
      </c>
      <c r="V23" s="9" t="str">
        <f>IFERROR(ROUND((Sem[[#This Row],[Paper 3]]/$S$2*100)*$V$2,0),"")</f>
        <v/>
      </c>
      <c r="W23" s="8" t="str">
        <f>IFERROR(ROUND(AVERAGE(Sem[[#This Row],[Rata2 NP Mid.S]:[NP 10]]),0),"")</f>
        <v/>
      </c>
      <c r="X23" s="9" t="str">
        <f>IFERROR(IF(SUM(Sem[[#This Row],[Nilai P1]:[Nilai P3]])=0,"",SUM(Sem[[#This Row],[Nilai P1]:[Nilai P3]])),"")</f>
        <v/>
      </c>
      <c r="Y23" s="14" t="str">
        <f>IFERROR(ROUND(((Mid.S[[#This Row],[NTS]]*1)+(Sem[[#This Row],[NS]]*2)+(Sem[[#This Row],[Rata2 NP2]]*7))/10,0),"")</f>
        <v/>
      </c>
      <c r="Z23" s="11" t="str">
        <f>IF(Sem[[#This Row],[NRap.S]]="","Belum Terukur",IF(Sem[[#This Row],[NRap.S]]&gt;=92,"A",IF(Sem[[#This Row],[NRap.S]]&gt;=83,"B",IF(Sem[[#This Row],[NRap.S]]&gt;=75,"C","D"))))</f>
        <v>Belum Terukur</v>
      </c>
      <c r="AA23" s="22" t="str">
        <f t="shared" si="1"/>
        <v xml:space="preserve">Siswa menunjukkan kemampuannya namun masih memerlukan bimbingan dalam </v>
      </c>
      <c r="AC23" s="100"/>
      <c r="AD23" s="102"/>
      <c r="AE23" s="60" t="str">
        <f>IF(Sem[[#This Row],[Predikat]]="A",$AD$4,IF(Sem[[#This Row],[Predikat]]="B",$AD$5,IF(Sem[[#This Row],[Predikat]]="C",$AD$6,$AD$7)))</f>
        <v xml:space="preserve">namun masih memerlukan bimbingan </v>
      </c>
    </row>
    <row r="24" spans="1:31" ht="50.1" customHeight="1" x14ac:dyDescent="0.3">
      <c r="A24" s="69" t="str">
        <f>IF('NS (Mid.S)'!A23=0,"",'NS (Mid.S)'!A23)</f>
        <v/>
      </c>
      <c r="B24" s="70" t="str">
        <f>IF('NS (Mid.S)'!B23=0,"",'NS (Mid.S)'!B23)</f>
        <v/>
      </c>
      <c r="C24" s="69" t="str">
        <f>IF('NS (Mid.S)'!C23=0,"",'NS (Mid.S)'!C23)</f>
        <v/>
      </c>
      <c r="D24" s="69" t="str">
        <f>IF('NS (Mid.S)'!D23=0,"",'NS (Mid.S)'!D23)</f>
        <v/>
      </c>
      <c r="E24" s="69" t="str">
        <f>IF('NS (Mid.S)'!E23=0,"",'NS (Mid.S)'!E23)</f>
        <v/>
      </c>
      <c r="F24" s="20" t="str">
        <f>Mid.S[[#This Row],[Rata2 NP]]</f>
        <v/>
      </c>
      <c r="G24" s="15"/>
      <c r="H24" s="15"/>
      <c r="I24" s="15"/>
      <c r="J24" s="15"/>
      <c r="K24" s="15"/>
      <c r="L24" s="15"/>
      <c r="M24" s="15"/>
      <c r="N24" s="15"/>
      <c r="O24" s="15"/>
      <c r="P24" s="15"/>
      <c r="Q24" s="16"/>
      <c r="R24" s="16"/>
      <c r="S24" s="16"/>
      <c r="T24" s="9">
        <f>IFERROR(ROUND((Sem[[#This Row],[Paper 1]]/$Q$2*100)*$T$2,0),"")</f>
        <v>0</v>
      </c>
      <c r="U24" s="9" t="str">
        <f>IFERROR(ROUND((Sem[[#This Row],[Paper 2]]/$R$2*100)*$U$2,0),"")</f>
        <v/>
      </c>
      <c r="V24" s="9" t="str">
        <f>IFERROR(ROUND((Sem[[#This Row],[Paper 3]]/$S$2*100)*$V$2,0),"")</f>
        <v/>
      </c>
      <c r="W24" s="8" t="str">
        <f>IFERROR(ROUND(AVERAGE(Sem[[#This Row],[Rata2 NP Mid.S]:[NP 10]]),0),"")</f>
        <v/>
      </c>
      <c r="X24" s="9" t="str">
        <f>IFERROR(IF(SUM(Sem[[#This Row],[Nilai P1]:[Nilai P3]])=0,"",SUM(Sem[[#This Row],[Nilai P1]:[Nilai P3]])),"")</f>
        <v/>
      </c>
      <c r="Y24" s="14" t="str">
        <f>IFERROR(ROUND(((Mid.S[[#This Row],[NTS]]*1)+(Sem[[#This Row],[NS]]*2)+(Sem[[#This Row],[Rata2 NP2]]*7))/10,0),"")</f>
        <v/>
      </c>
      <c r="Z24" s="11" t="str">
        <f>IF(Sem[[#This Row],[NRap.S]]="","Belum Terukur",IF(Sem[[#This Row],[NRap.S]]&gt;=92,"A",IF(Sem[[#This Row],[NRap.S]]&gt;=83,"B",IF(Sem[[#This Row],[NRap.S]]&gt;=75,"C","D"))))</f>
        <v>Belum Terukur</v>
      </c>
      <c r="AA24" s="22" t="str">
        <f t="shared" si="1"/>
        <v xml:space="preserve">Siswa menunjukkan kemampuannya namun masih memerlukan bimbingan dalam </v>
      </c>
      <c r="AC24" s="100"/>
      <c r="AD24" s="102"/>
      <c r="AE24" s="60" t="str">
        <f>IF(Sem[[#This Row],[Predikat]]="A",$AD$4,IF(Sem[[#This Row],[Predikat]]="B",$AD$5,IF(Sem[[#This Row],[Predikat]]="C",$AD$6,$AD$7)))</f>
        <v xml:space="preserve">namun masih memerlukan bimbingan </v>
      </c>
    </row>
    <row r="25" spans="1:31" ht="50.1" customHeight="1" x14ac:dyDescent="0.3">
      <c r="A25" s="69" t="str">
        <f>IF('NS (Mid.S)'!A24=0,"",'NS (Mid.S)'!A24)</f>
        <v/>
      </c>
      <c r="B25" s="70" t="str">
        <f>IF('NS (Mid.S)'!B24=0,"",'NS (Mid.S)'!B24)</f>
        <v/>
      </c>
      <c r="C25" s="69" t="str">
        <f>IF('NS (Mid.S)'!C24=0,"",'NS (Mid.S)'!C24)</f>
        <v/>
      </c>
      <c r="D25" s="69" t="str">
        <f>IF('NS (Mid.S)'!D24=0,"",'NS (Mid.S)'!D24)</f>
        <v/>
      </c>
      <c r="E25" s="69" t="str">
        <f>IF('NS (Mid.S)'!E24=0,"",'NS (Mid.S)'!E24)</f>
        <v/>
      </c>
      <c r="F25" s="20" t="str">
        <f>Mid.S[[#This Row],[Rata2 NP]]</f>
        <v/>
      </c>
      <c r="G25" s="15"/>
      <c r="H25" s="15"/>
      <c r="I25" s="15"/>
      <c r="J25" s="15"/>
      <c r="K25" s="15"/>
      <c r="L25" s="15"/>
      <c r="M25" s="15"/>
      <c r="N25" s="15"/>
      <c r="O25" s="15"/>
      <c r="P25" s="15"/>
      <c r="Q25" s="16"/>
      <c r="R25" s="16"/>
      <c r="S25" s="16"/>
      <c r="T25" s="9">
        <f>IFERROR(ROUND((Sem[[#This Row],[Paper 1]]/$Q$2*100)*$T$2,0),"")</f>
        <v>0</v>
      </c>
      <c r="U25" s="9" t="str">
        <f>IFERROR(ROUND((Sem[[#This Row],[Paper 2]]/$R$2*100)*$U$2,0),"")</f>
        <v/>
      </c>
      <c r="V25" s="9" t="str">
        <f>IFERROR(ROUND((Sem[[#This Row],[Paper 3]]/$S$2*100)*$V$2,0),"")</f>
        <v/>
      </c>
      <c r="W25" s="8" t="str">
        <f>IFERROR(ROUND(AVERAGE(Sem[[#This Row],[Rata2 NP Mid.S]:[NP 10]]),0),"")</f>
        <v/>
      </c>
      <c r="X25" s="9" t="str">
        <f>IFERROR(IF(SUM(Sem[[#This Row],[Nilai P1]:[Nilai P3]])=0,"",SUM(Sem[[#This Row],[Nilai P1]:[Nilai P3]])),"")</f>
        <v/>
      </c>
      <c r="Y25" s="14" t="str">
        <f>IFERROR(ROUND(((Mid.S[[#This Row],[NTS]]*1)+(Sem[[#This Row],[NS]]*2)+(Sem[[#This Row],[Rata2 NP2]]*7))/10,0),"")</f>
        <v/>
      </c>
      <c r="Z25" s="11" t="str">
        <f>IF(Sem[[#This Row],[NRap.S]]="","Belum Terukur",IF(Sem[[#This Row],[NRap.S]]&gt;=92,"A",IF(Sem[[#This Row],[NRap.S]]&gt;=83,"B",IF(Sem[[#This Row],[NRap.S]]&gt;=75,"C","D"))))</f>
        <v>Belum Terukur</v>
      </c>
      <c r="AA25" s="22" t="str">
        <f t="shared" si="1"/>
        <v xml:space="preserve">Siswa menunjukkan kemampuannya namun masih memerlukan bimbingan dalam </v>
      </c>
      <c r="AC25" s="100"/>
      <c r="AD25" s="102"/>
      <c r="AE25" s="60" t="str">
        <f>IF(Sem[[#This Row],[Predikat]]="A",$AD$4,IF(Sem[[#This Row],[Predikat]]="B",$AD$5,IF(Sem[[#This Row],[Predikat]]="C",$AD$6,$AD$7)))</f>
        <v xml:space="preserve">namun masih memerlukan bimbingan </v>
      </c>
    </row>
    <row r="26" spans="1:31" ht="50.1" customHeight="1" x14ac:dyDescent="0.3">
      <c r="A26" s="69" t="str">
        <f>IF('NS (Mid.S)'!A25=0,"",'NS (Mid.S)'!A25)</f>
        <v/>
      </c>
      <c r="B26" s="70" t="str">
        <f>IF('NS (Mid.S)'!B25=0,"",'NS (Mid.S)'!B25)</f>
        <v/>
      </c>
      <c r="C26" s="69" t="str">
        <f>IF('NS (Mid.S)'!C25=0,"",'NS (Mid.S)'!C25)</f>
        <v/>
      </c>
      <c r="D26" s="69" t="str">
        <f>IF('NS (Mid.S)'!D25=0,"",'NS (Mid.S)'!D25)</f>
        <v/>
      </c>
      <c r="E26" s="69" t="str">
        <f>IF('NS (Mid.S)'!E25=0,"",'NS (Mid.S)'!E25)</f>
        <v/>
      </c>
      <c r="F26" s="20" t="str">
        <f>Mid.S[[#This Row],[Rata2 NP]]</f>
        <v/>
      </c>
      <c r="G26" s="15"/>
      <c r="H26" s="15"/>
      <c r="I26" s="15"/>
      <c r="J26" s="15"/>
      <c r="K26" s="15"/>
      <c r="L26" s="15"/>
      <c r="M26" s="15"/>
      <c r="N26" s="15"/>
      <c r="O26" s="15"/>
      <c r="P26" s="15"/>
      <c r="Q26" s="16"/>
      <c r="R26" s="16"/>
      <c r="S26" s="16"/>
      <c r="T26" s="9">
        <f>IFERROR(ROUND((Sem[[#This Row],[Paper 1]]/$Q$2*100)*$T$2,0),"")</f>
        <v>0</v>
      </c>
      <c r="U26" s="9" t="str">
        <f>IFERROR(ROUND((Sem[[#This Row],[Paper 2]]/$R$2*100)*$U$2,0),"")</f>
        <v/>
      </c>
      <c r="V26" s="9" t="str">
        <f>IFERROR(ROUND((Sem[[#This Row],[Paper 3]]/$S$2*100)*$V$2,0),"")</f>
        <v/>
      </c>
      <c r="W26" s="8" t="str">
        <f>IFERROR(ROUND(AVERAGE(Sem[[#This Row],[Rata2 NP Mid.S]:[NP 10]]),0),"")</f>
        <v/>
      </c>
      <c r="X26" s="9" t="str">
        <f>IFERROR(IF(SUM(Sem[[#This Row],[Nilai P1]:[Nilai P3]])=0,"",SUM(Sem[[#This Row],[Nilai P1]:[Nilai P3]])),"")</f>
        <v/>
      </c>
      <c r="Y26" s="14" t="str">
        <f>IFERROR(ROUND(((Mid.S[[#This Row],[NTS]]*1)+(Sem[[#This Row],[NS]]*2)+(Sem[[#This Row],[Rata2 NP2]]*7))/10,0),"")</f>
        <v/>
      </c>
      <c r="Z26" s="11" t="str">
        <f>IF(Sem[[#This Row],[NRap.S]]="","Belum Terukur",IF(Sem[[#This Row],[NRap.S]]&gt;=92,"A",IF(Sem[[#This Row],[NRap.S]]&gt;=83,"B",IF(Sem[[#This Row],[NRap.S]]&gt;=75,"C","D"))))</f>
        <v>Belum Terukur</v>
      </c>
      <c r="AA26" s="22" t="str">
        <f t="shared" si="1"/>
        <v xml:space="preserve">Siswa menunjukkan kemampuannya namun masih memerlukan bimbingan dalam </v>
      </c>
      <c r="AC26" s="100"/>
      <c r="AD26" s="102"/>
      <c r="AE26" s="60" t="str">
        <f>IF(Sem[[#This Row],[Predikat]]="A",$AD$4,IF(Sem[[#This Row],[Predikat]]="B",$AD$5,IF(Sem[[#This Row],[Predikat]]="C",$AD$6,$AD$7)))</f>
        <v xml:space="preserve">namun masih memerlukan bimbingan </v>
      </c>
    </row>
    <row r="27" spans="1:31" ht="50.1" customHeight="1" x14ac:dyDescent="0.3">
      <c r="A27" s="69" t="str">
        <f>IF('NS (Mid.S)'!A26=0,"",'NS (Mid.S)'!A26)</f>
        <v/>
      </c>
      <c r="B27" s="70" t="str">
        <f>IF('NS (Mid.S)'!B26=0,"",'NS (Mid.S)'!B26)</f>
        <v/>
      </c>
      <c r="C27" s="69" t="str">
        <f>IF('NS (Mid.S)'!C26=0,"",'NS (Mid.S)'!C26)</f>
        <v/>
      </c>
      <c r="D27" s="69" t="str">
        <f>IF('NS (Mid.S)'!D26=0,"",'NS (Mid.S)'!D26)</f>
        <v/>
      </c>
      <c r="E27" s="69" t="str">
        <f>IF('NS (Mid.S)'!E26=0,"",'NS (Mid.S)'!E26)</f>
        <v/>
      </c>
      <c r="F27" s="20" t="str">
        <f>Mid.S[[#This Row],[Rata2 NP]]</f>
        <v/>
      </c>
      <c r="G27" s="15"/>
      <c r="H27" s="15"/>
      <c r="I27" s="15"/>
      <c r="J27" s="15"/>
      <c r="K27" s="15"/>
      <c r="L27" s="15"/>
      <c r="M27" s="15"/>
      <c r="N27" s="15"/>
      <c r="O27" s="15"/>
      <c r="P27" s="15"/>
      <c r="Q27" s="16"/>
      <c r="R27" s="16"/>
      <c r="S27" s="16"/>
      <c r="T27" s="9">
        <f>IFERROR(ROUND((Sem[[#This Row],[Paper 1]]/$Q$2*100)*$T$2,0),"")</f>
        <v>0</v>
      </c>
      <c r="U27" s="9" t="str">
        <f>IFERROR(ROUND((Sem[[#This Row],[Paper 2]]/$R$2*100)*$U$2,0),"")</f>
        <v/>
      </c>
      <c r="V27" s="9" t="str">
        <f>IFERROR(ROUND((Sem[[#This Row],[Paper 3]]/$S$2*100)*$V$2,0),"")</f>
        <v/>
      </c>
      <c r="W27" s="8" t="str">
        <f>IFERROR(ROUND(AVERAGE(Sem[[#This Row],[Rata2 NP Mid.S]:[NP 10]]),0),"")</f>
        <v/>
      </c>
      <c r="X27" s="9" t="str">
        <f>IFERROR(IF(SUM(Sem[[#This Row],[Nilai P1]:[Nilai P3]])=0,"",SUM(Sem[[#This Row],[Nilai P1]:[Nilai P3]])),"")</f>
        <v/>
      </c>
      <c r="Y27" s="14" t="str">
        <f>IFERROR(ROUND(((Mid.S[[#This Row],[NTS]]*1)+(Sem[[#This Row],[NS]]*2)+(Sem[[#This Row],[Rata2 NP2]]*7))/10,0),"")</f>
        <v/>
      </c>
      <c r="Z27" s="11" t="str">
        <f>IF(Sem[[#This Row],[NRap.S]]="","Belum Terukur",IF(Sem[[#This Row],[NRap.S]]&gt;=92,"A",IF(Sem[[#This Row],[NRap.S]]&gt;=83,"B",IF(Sem[[#This Row],[NRap.S]]&gt;=75,"C","D"))))</f>
        <v>Belum Terukur</v>
      </c>
      <c r="AA27" s="22" t="str">
        <f t="shared" si="1"/>
        <v xml:space="preserve">Siswa menunjukkan kemampuannya namun masih memerlukan bimbingan dalam </v>
      </c>
      <c r="AC27" s="100"/>
      <c r="AD27" s="102"/>
      <c r="AE27" s="60" t="str">
        <f>IF(Sem[[#This Row],[Predikat]]="A",$AD$4,IF(Sem[[#This Row],[Predikat]]="B",$AD$5,IF(Sem[[#This Row],[Predikat]]="C",$AD$6,$AD$7)))</f>
        <v xml:space="preserve">namun masih memerlukan bimbingan </v>
      </c>
    </row>
    <row r="28" spans="1:31" ht="50.1" customHeight="1" x14ac:dyDescent="0.3">
      <c r="A28" s="69" t="str">
        <f>IF('NS (Mid.S)'!A27=0,"",'NS (Mid.S)'!A27)</f>
        <v/>
      </c>
      <c r="B28" s="70" t="str">
        <f>IF('NS (Mid.S)'!B27=0,"",'NS (Mid.S)'!B27)</f>
        <v/>
      </c>
      <c r="C28" s="69" t="str">
        <f>IF('NS (Mid.S)'!C27=0,"",'NS (Mid.S)'!C27)</f>
        <v/>
      </c>
      <c r="D28" s="69" t="str">
        <f>IF('NS (Mid.S)'!D27=0,"",'NS (Mid.S)'!D27)</f>
        <v/>
      </c>
      <c r="E28" s="69" t="str">
        <f>IF('NS (Mid.S)'!E27=0,"",'NS (Mid.S)'!E27)</f>
        <v/>
      </c>
      <c r="F28" s="20" t="str">
        <f>Mid.S[[#This Row],[Rata2 NP]]</f>
        <v/>
      </c>
      <c r="G28" s="15"/>
      <c r="H28" s="15"/>
      <c r="I28" s="15"/>
      <c r="J28" s="15"/>
      <c r="K28" s="15"/>
      <c r="L28" s="15"/>
      <c r="M28" s="15"/>
      <c r="N28" s="15"/>
      <c r="O28" s="15"/>
      <c r="P28" s="15"/>
      <c r="Q28" s="16"/>
      <c r="R28" s="16"/>
      <c r="S28" s="16"/>
      <c r="T28" s="9">
        <f>IFERROR(ROUND((Sem[[#This Row],[Paper 1]]/$Q$2*100)*$T$2,0),"")</f>
        <v>0</v>
      </c>
      <c r="U28" s="9" t="str">
        <f>IFERROR(ROUND((Sem[[#This Row],[Paper 2]]/$R$2*100)*$U$2,0),"")</f>
        <v/>
      </c>
      <c r="V28" s="9" t="str">
        <f>IFERROR(ROUND((Sem[[#This Row],[Paper 3]]/$S$2*100)*$V$2,0),"")</f>
        <v/>
      </c>
      <c r="W28" s="8" t="str">
        <f>IFERROR(ROUND(AVERAGE(Sem[[#This Row],[Rata2 NP Mid.S]:[NP 10]]),0),"")</f>
        <v/>
      </c>
      <c r="X28" s="9" t="str">
        <f>IFERROR(IF(SUM(Sem[[#This Row],[Nilai P1]:[Nilai P3]])=0,"",SUM(Sem[[#This Row],[Nilai P1]:[Nilai P3]])),"")</f>
        <v/>
      </c>
      <c r="Y28" s="14" t="str">
        <f>IFERROR(ROUND(((Mid.S[[#This Row],[NTS]]*1)+(Sem[[#This Row],[NS]]*2)+(Sem[[#This Row],[Rata2 NP2]]*7))/10,0),"")</f>
        <v/>
      </c>
      <c r="Z28" s="11" t="str">
        <f>IF(Sem[[#This Row],[NRap.S]]="","Belum Terukur",IF(Sem[[#This Row],[NRap.S]]&gt;=92,"A",IF(Sem[[#This Row],[NRap.S]]&gt;=83,"B",IF(Sem[[#This Row],[NRap.S]]&gt;=75,"C","D"))))</f>
        <v>Belum Terukur</v>
      </c>
      <c r="AA28" s="22" t="str">
        <f t="shared" si="1"/>
        <v xml:space="preserve">Siswa menunjukkan kemampuannya namun masih memerlukan bimbingan dalam </v>
      </c>
      <c r="AC28" s="100"/>
      <c r="AD28" s="103"/>
      <c r="AE28" s="60" t="str">
        <f>IF(Sem[[#This Row],[Predikat]]="A",$AD$4,IF(Sem[[#This Row],[Predikat]]="B",$AD$5,IF(Sem[[#This Row],[Predikat]]="C",$AD$6,$AD$7)))</f>
        <v xml:space="preserve">namun masih memerlukan bimbingan </v>
      </c>
    </row>
  </sheetData>
  <sheetProtection selectLockedCells="1"/>
  <mergeCells count="5">
    <mergeCell ref="Q1:V1"/>
    <mergeCell ref="G2:P2"/>
    <mergeCell ref="W2:Z2"/>
    <mergeCell ref="AC4:AC28"/>
    <mergeCell ref="AD8:AD28"/>
  </mergeCells>
  <phoneticPr fontId="5" type="noConversion"/>
  <conditionalFormatting sqref="A4:E28">
    <cfRule type="notContainsBlanks" dxfId="60" priority="1">
      <formula>LEN(TRIM(A4))&gt;0</formula>
    </cfRule>
  </conditionalFormatting>
  <conditionalFormatting sqref="F4:Y28">
    <cfRule type="iconSet" priority="2">
      <iconSet>
        <cfvo type="percent" val="0"/>
        <cfvo type="num" val="50"/>
        <cfvo type="num" val="70"/>
      </iconSet>
    </cfRule>
  </conditionalFormatting>
  <dataValidations count="9">
    <dataValidation type="whole" operator="lessThanOrEqual" allowBlank="1" showInputMessage="1" showErrorMessage="1" sqref="S4:S28" xr:uid="{AEA02DB2-00D0-47D3-932A-943D21350199}">
      <formula1>$S$2</formula1>
    </dataValidation>
    <dataValidation type="whole" operator="lessThanOrEqual" allowBlank="1" showInputMessage="1" showErrorMessage="1" sqref="R4:R28" xr:uid="{AB365A0C-DB04-4460-8F2E-23B85FE48D0A}">
      <formula1>$R$2</formula1>
    </dataValidation>
    <dataValidation type="whole" operator="lessThanOrEqual" allowBlank="1" showInputMessage="1" showErrorMessage="1" sqref="Q4:Q28" xr:uid="{95E10482-1430-42ED-B087-496CE91A9847}">
      <formula1>$Q$2</formula1>
    </dataValidation>
    <dataValidation allowBlank="1" showInputMessage="1" showErrorMessage="1" prompt="Rata-Rata Tengah/Mid Semester untuk Nilai Pengetahuan" sqref="F4:F28" xr:uid="{72997030-AC10-425B-A2EC-8711406062D1}"/>
    <dataValidation allowBlank="1" showInputMessage="1" showErrorMessage="1" prompt="Rata-Rata Nilai Pengetahuan Semester" sqref="W4:W28" xr:uid="{766F6767-5145-4693-8B4D-5E97D738AB95}"/>
    <dataValidation allowBlank="1" showInputMessage="1" showErrorMessage="1" prompt="Nilai Ujian Pengetahuan dari Paper 1, 2, dan 3" sqref="X4:X28" xr:uid="{8C49A3C2-3C41-4370-AACF-770AAA623E70}"/>
    <dataValidation allowBlank="1" showInputMessage="1" showErrorMessage="1" prompt="Nilai Pengetahuan untuk Raport di Akhir Semester" sqref="Y4:AA28" xr:uid="{F4A10425-4113-4726-B795-617A700E012F}"/>
    <dataValidation allowBlank="1" showInputMessage="1" showErrorMessage="1" prompt="Isilah dengan KD yang diajarkan di semester ini dengan diawali kata kerja yang ingin dicapai untuk siswa/peserta didik" sqref="AC4:AC28" xr:uid="{8E8AE21B-7334-4979-8148-ED4F1EF2F08B}"/>
    <dataValidation allowBlank="1" showInputMessage="1" showErrorMessage="1" prompt="Nilai Konversi yang diambil dari Predikat A, B, C, atau D" sqref="AE4:AE28" xr:uid="{5209981E-D4CE-40E1-AA49-A9CCCC942EF7}"/>
  </dataValidations>
  <pageMargins left="0.7" right="0.7" top="0.75" bottom="0.75" header="0.3" footer="0.3"/>
  <pageSetup orientation="portrait" horizontalDpi="360" verticalDpi="36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BDBF-CD2D-4B52-9BF8-24E6ED67E223}">
  <sheetPr>
    <tabColor theme="3"/>
  </sheetPr>
  <dimension ref="A1:W27"/>
  <sheetViews>
    <sheetView showGridLines="0" topLeftCell="J1" zoomScale="85" zoomScaleNormal="85" workbookViewId="0">
      <selection activeCell="E10" sqref="E10"/>
    </sheetView>
  </sheetViews>
  <sheetFormatPr defaultColWidth="9.109375" defaultRowHeight="14.4" x14ac:dyDescent="0.3"/>
  <cols>
    <col min="1" max="1" width="8.109375" style="3" bestFit="1" customWidth="1"/>
    <col min="2" max="2" width="50.6640625" style="3" customWidth="1"/>
    <col min="3" max="5" width="20.6640625" style="3" customWidth="1"/>
    <col min="6" max="6" width="17.6640625" style="3" bestFit="1" customWidth="1"/>
    <col min="7" max="15" width="9.5546875" style="3" bestFit="1" customWidth="1"/>
    <col min="16" max="16" width="10.5546875" style="3" bestFit="1" customWidth="1"/>
    <col min="17" max="18" width="17.44140625" style="3" customWidth="1"/>
    <col min="19" max="19" width="73.6640625" style="3" customWidth="1"/>
    <col min="20" max="20" width="9.109375" style="3"/>
    <col min="21" max="21" width="50.6640625" style="55" customWidth="1"/>
    <col min="22" max="23" width="37.88671875" style="54" hidden="1" customWidth="1"/>
    <col min="24" max="16384" width="9.109375" style="3"/>
  </cols>
  <sheetData>
    <row r="1" spans="1:23" x14ac:dyDescent="0.3">
      <c r="A1" s="79"/>
      <c r="B1" s="79"/>
      <c r="C1" s="79"/>
      <c r="D1" s="79"/>
      <c r="E1" s="79"/>
      <c r="F1" s="79"/>
      <c r="G1" s="96" t="s">
        <v>126</v>
      </c>
      <c r="H1" s="96"/>
      <c r="I1" s="96"/>
      <c r="J1" s="96"/>
      <c r="K1" s="96"/>
      <c r="L1" s="96"/>
      <c r="M1" s="96"/>
      <c r="N1" s="96"/>
      <c r="O1" s="96"/>
      <c r="P1" s="96"/>
      <c r="Q1" s="96" t="s">
        <v>105</v>
      </c>
      <c r="R1" s="96"/>
    </row>
    <row r="2" spans="1:23" x14ac:dyDescent="0.3">
      <c r="A2" s="1" t="s">
        <v>31</v>
      </c>
      <c r="B2" s="2" t="s">
        <v>32</v>
      </c>
      <c r="C2" s="2" t="s">
        <v>33</v>
      </c>
      <c r="D2" s="2" t="s">
        <v>34</v>
      </c>
      <c r="E2" s="80" t="s">
        <v>35</v>
      </c>
      <c r="F2" s="19" t="s">
        <v>155</v>
      </c>
      <c r="G2" s="4" t="s">
        <v>127</v>
      </c>
      <c r="H2" s="4" t="s">
        <v>128</v>
      </c>
      <c r="I2" s="4" t="s">
        <v>129</v>
      </c>
      <c r="J2" s="4" t="s">
        <v>130</v>
      </c>
      <c r="K2" s="4" t="s">
        <v>131</v>
      </c>
      <c r="L2" s="4" t="s">
        <v>132</v>
      </c>
      <c r="M2" s="4" t="s">
        <v>133</v>
      </c>
      <c r="N2" s="4" t="s">
        <v>134</v>
      </c>
      <c r="O2" s="4" t="s">
        <v>135</v>
      </c>
      <c r="P2" s="4" t="s">
        <v>136</v>
      </c>
      <c r="Q2" s="42" t="s">
        <v>137</v>
      </c>
      <c r="R2" s="7" t="s">
        <v>125</v>
      </c>
      <c r="S2" s="21" t="s">
        <v>147</v>
      </c>
      <c r="U2" s="56" t="s">
        <v>148</v>
      </c>
      <c r="V2" s="58" t="s">
        <v>149</v>
      </c>
      <c r="W2" s="57" t="s">
        <v>150</v>
      </c>
    </row>
    <row r="3" spans="1:23" ht="50.1" customHeight="1" x14ac:dyDescent="0.3">
      <c r="A3" s="10">
        <f>IF(NSi.TS[[#This Row],[No]]=0,"",NSi.TS[[#This Row],[No]])</f>
        <v>1</v>
      </c>
      <c r="B3" s="49" t="str">
        <f>IF(NSi.TS[[#This Row],[Nama Siswa]]=0,"",NSi.TS[[#This Row],[Nama Siswa]])</f>
        <v/>
      </c>
      <c r="C3" s="10" t="str">
        <f>IF(NSi.TS[[#This Row],[Nomor Induk]]=0,"",NSi.TS[[#This Row],[Nomor Induk]])</f>
        <v/>
      </c>
      <c r="D3" s="10" t="str">
        <f>IF(NSi.TS[[#This Row],[NISN]]=0,"",NSi.TS[[#This Row],[NISN]])</f>
        <v/>
      </c>
      <c r="E3" s="10" t="str">
        <f>IF(NSi.TS[[#This Row],[Jurusan]]=0,"",NSi.TS[[#This Row],[Jurusan]])</f>
        <v/>
      </c>
      <c r="F3" s="43">
        <f>K.Mid.S[[#This Row],[Rata2 NK]]</f>
        <v>0</v>
      </c>
      <c r="G3" s="15"/>
      <c r="H3" s="15"/>
      <c r="I3" s="15"/>
      <c r="J3" s="15"/>
      <c r="K3" s="15"/>
      <c r="L3" s="15"/>
      <c r="M3" s="15"/>
      <c r="N3" s="15"/>
      <c r="O3" s="15"/>
      <c r="P3" s="15"/>
      <c r="Q3" s="20">
        <f>IFERROR(ROUND(AVERAGE(K.Sem[[#This Row],[Rata2 Mid.NK]:[NK 10]]),0),"")</f>
        <v>0</v>
      </c>
      <c r="R3" s="11" t="str">
        <f>IF(K.Sem[[#This Row],[Rata2 NK]]="","Belum Terukur",IF(K.Sem[[#This Row],[Rata2 NK]]&gt;=92,"A",IF(K.Sem[[#This Row],[Rata2 NK]]&gt;=83,"B",IF(K.Sem[[#This Row],[Rata2 NK]]&gt;=75,"C","D"))))</f>
        <v>D</v>
      </c>
      <c r="S3" s="61" t="str">
        <f>CONCATENATE("Siswa menunjukkan kemampuannya ",W3,"dalam ",$AC$4)</f>
        <v xml:space="preserve">Siswa menunjukkan kemampuannya namun masih memerlukan bimbingan dalam </v>
      </c>
      <c r="U3" s="100"/>
      <c r="V3" s="59" t="s">
        <v>151</v>
      </c>
      <c r="W3" s="60" t="str">
        <f>IF(K.Sem[[#This Row],[Predikat]]="A",$V$3,IF(K.Sem[[#This Row],[Predikat]]="B",$V$4,IF(K.Sem[[#This Row],[Predikat]]="C",$V$5,$V$6)))</f>
        <v xml:space="preserve">namun masih memerlukan bimbingan </v>
      </c>
    </row>
    <row r="4" spans="1:23" ht="50.1" customHeight="1" x14ac:dyDescent="0.3">
      <c r="A4" s="10">
        <f>IF(NSi.TS[[#This Row],[No]]=0,"",NSi.TS[[#This Row],[No]])</f>
        <v>2</v>
      </c>
      <c r="B4" s="49" t="str">
        <f>IF(NSi.TS[[#This Row],[Nama Siswa]]=0,"",NSi.TS[[#This Row],[Nama Siswa]])</f>
        <v/>
      </c>
      <c r="C4" s="10" t="str">
        <f>IF(NSi.TS[[#This Row],[Nomor Induk]]=0,"",NSi.TS[[#This Row],[Nomor Induk]])</f>
        <v/>
      </c>
      <c r="D4" s="10" t="str">
        <f>IF(NSi.TS[[#This Row],[NISN]]=0,"",NSi.TS[[#This Row],[NISN]])</f>
        <v/>
      </c>
      <c r="E4" s="10" t="str">
        <f>IF(NSi.TS[[#This Row],[Jurusan]]=0,"",NSi.TS[[#This Row],[Jurusan]])</f>
        <v/>
      </c>
      <c r="F4" s="43">
        <f>K.Mid.S[[#This Row],[Rata2 NK]]</f>
        <v>0</v>
      </c>
      <c r="G4" s="15"/>
      <c r="H4" s="15"/>
      <c r="I4" s="15"/>
      <c r="J4" s="15"/>
      <c r="K4" s="15"/>
      <c r="L4" s="15"/>
      <c r="M4" s="15"/>
      <c r="N4" s="15"/>
      <c r="O4" s="15"/>
      <c r="P4" s="15"/>
      <c r="Q4" s="20">
        <f>IFERROR(ROUND(AVERAGE(K.Sem[[#This Row],[Rata2 Mid.NK]:[NK 10]]),0),"")</f>
        <v>0</v>
      </c>
      <c r="R4" s="11" t="str">
        <f>IF(K.Sem[[#This Row],[Rata2 NK]]="","Belum Terukur",IF(K.Sem[[#This Row],[Rata2 NK]]&gt;=92,"A",IF(K.Sem[[#This Row],[Rata2 NK]]&gt;=83,"B",IF(K.Sem[[#This Row],[Rata2 NK]]&gt;=75,"C","D"))))</f>
        <v>D</v>
      </c>
      <c r="S4" s="22" t="str">
        <f>CONCATENATE("Siswa menunjukkan kemampuannya ",W4,"dalam ",$AC$4)</f>
        <v xml:space="preserve">Siswa menunjukkan kemampuannya namun masih memerlukan bimbingan dalam </v>
      </c>
      <c r="U4" s="100"/>
      <c r="V4" s="59" t="s">
        <v>152</v>
      </c>
      <c r="W4" s="60" t="str">
        <f>IF(K.Sem[[#This Row],[Predikat]]="A",$V$3,IF(K.Sem[[#This Row],[Predikat]]="B",$V$4,IF(K.Sem[[#This Row],[Predikat]]="C",$V$5,$V$6)))</f>
        <v xml:space="preserve">namun masih memerlukan bimbingan </v>
      </c>
    </row>
    <row r="5" spans="1:23" ht="50.1" customHeight="1" x14ac:dyDescent="0.3">
      <c r="A5" s="10">
        <f>IF(NSi.TS[[#This Row],[No]]=0,"",NSi.TS[[#This Row],[No]])</f>
        <v>3</v>
      </c>
      <c r="B5" s="49" t="str">
        <f>IF(NSi.TS[[#This Row],[Nama Siswa]]=0,"",NSi.TS[[#This Row],[Nama Siswa]])</f>
        <v/>
      </c>
      <c r="C5" s="10" t="str">
        <f>IF(NSi.TS[[#This Row],[Nomor Induk]]=0,"",NSi.TS[[#This Row],[Nomor Induk]])</f>
        <v/>
      </c>
      <c r="D5" s="10" t="str">
        <f>IF(NSi.TS[[#This Row],[NISN]]=0,"",NSi.TS[[#This Row],[NISN]])</f>
        <v/>
      </c>
      <c r="E5" s="10" t="str">
        <f>IF(NSi.TS[[#This Row],[Jurusan]]=0,"",NSi.TS[[#This Row],[Jurusan]])</f>
        <v/>
      </c>
      <c r="F5" s="43">
        <f>K.Mid.S[[#This Row],[Rata2 NK]]</f>
        <v>0</v>
      </c>
      <c r="G5" s="15"/>
      <c r="H5" s="15"/>
      <c r="I5" s="15"/>
      <c r="J5" s="15"/>
      <c r="K5" s="15"/>
      <c r="L5" s="15"/>
      <c r="M5" s="15"/>
      <c r="N5" s="15"/>
      <c r="O5" s="15"/>
      <c r="P5" s="15"/>
      <c r="Q5" s="20">
        <f>IFERROR(ROUND(AVERAGE(K.Sem[[#This Row],[Rata2 Mid.NK]:[NK 10]]),0),"")</f>
        <v>0</v>
      </c>
      <c r="R5" s="11" t="str">
        <f>IF(K.Sem[[#This Row],[Rata2 NK]]="","Belum Terukur",IF(K.Sem[[#This Row],[Rata2 NK]]&gt;=92,"A",IF(K.Sem[[#This Row],[Rata2 NK]]&gt;=83,"B",IF(K.Sem[[#This Row],[Rata2 NK]]&gt;=75,"C","D"))))</f>
        <v>D</v>
      </c>
      <c r="S5" s="61" t="str">
        <f>CONCATENATE("Siswa menunjukkan kemampuannya ",W5,"dalam ",$AC$4)</f>
        <v xml:space="preserve">Siswa menunjukkan kemampuannya namun masih memerlukan bimbingan dalam </v>
      </c>
      <c r="U5" s="100"/>
      <c r="V5" s="59" t="s">
        <v>153</v>
      </c>
      <c r="W5" s="60" t="str">
        <f>IF(K.Sem[[#This Row],[Predikat]]="A",$V$3,IF(K.Sem[[#This Row],[Predikat]]="B",$V$4,IF(K.Sem[[#This Row],[Predikat]]="C",$V$5,$V$6)))</f>
        <v xml:space="preserve">namun masih memerlukan bimbingan </v>
      </c>
    </row>
    <row r="6" spans="1:23" ht="50.1" customHeight="1" x14ac:dyDescent="0.3">
      <c r="A6" s="10">
        <f>IF(NSi.TS[[#This Row],[No]]=0,"",NSi.TS[[#This Row],[No]])</f>
        <v>4</v>
      </c>
      <c r="B6" s="49" t="str">
        <f>IF(NSi.TS[[#This Row],[Nama Siswa]]=0,"",NSi.TS[[#This Row],[Nama Siswa]])</f>
        <v/>
      </c>
      <c r="C6" s="10" t="str">
        <f>IF(NSi.TS[[#This Row],[Nomor Induk]]=0,"",NSi.TS[[#This Row],[Nomor Induk]])</f>
        <v/>
      </c>
      <c r="D6" s="10" t="str">
        <f>IF(NSi.TS[[#This Row],[NISN]]=0,"",NSi.TS[[#This Row],[NISN]])</f>
        <v/>
      </c>
      <c r="E6" s="10" t="str">
        <f>IF(NSi.TS[[#This Row],[Jurusan]]=0,"",NSi.TS[[#This Row],[Jurusan]])</f>
        <v/>
      </c>
      <c r="F6" s="43">
        <f>K.Mid.S[[#This Row],[Rata2 NK]]</f>
        <v>0</v>
      </c>
      <c r="G6" s="15"/>
      <c r="H6" s="15"/>
      <c r="I6" s="15"/>
      <c r="J6" s="15"/>
      <c r="K6" s="15"/>
      <c r="L6" s="15"/>
      <c r="M6" s="15"/>
      <c r="N6" s="15"/>
      <c r="O6" s="15"/>
      <c r="P6" s="15"/>
      <c r="Q6" s="20">
        <f>IFERROR(ROUND(AVERAGE(K.Sem[[#This Row],[Rata2 Mid.NK]:[NK 10]]),0),"")</f>
        <v>0</v>
      </c>
      <c r="R6" s="11" t="str">
        <f>IF(K.Sem[[#This Row],[Rata2 NK]]="","Belum Terukur",IF(K.Sem[[#This Row],[Rata2 NK]]&gt;=92,"A",IF(K.Sem[[#This Row],[Rata2 NK]]&gt;=83,"B",IF(K.Sem[[#This Row],[Rata2 NK]]&gt;=75,"C","D"))))</f>
        <v>D</v>
      </c>
      <c r="S6" s="61" t="str">
        <f t="shared" ref="S6:S27" si="0">CONCATENATE("Siswa menunjukkan kemampuannya ",W6,"dalam ",$AC$4)</f>
        <v xml:space="preserve">Siswa menunjukkan kemampuannya namun masih memerlukan bimbingan dalam </v>
      </c>
      <c r="U6" s="100"/>
      <c r="V6" s="59" t="s">
        <v>154</v>
      </c>
      <c r="W6" s="60" t="str">
        <f>IF(K.Sem[[#This Row],[Predikat]]="A",$V$3,IF(K.Sem[[#This Row],[Predikat]]="B",$V$4,IF(K.Sem[[#This Row],[Predikat]]="C",$V$5,$V$6)))</f>
        <v xml:space="preserve">namun masih memerlukan bimbingan </v>
      </c>
    </row>
    <row r="7" spans="1:23" ht="50.1" customHeight="1" x14ac:dyDescent="0.3">
      <c r="A7" s="10">
        <f>IF(NSi.TS[[#This Row],[No]]=0,"",NSi.TS[[#This Row],[No]])</f>
        <v>5</v>
      </c>
      <c r="B7" s="49" t="str">
        <f>IF(NSi.TS[[#This Row],[Nama Siswa]]=0,"",NSi.TS[[#This Row],[Nama Siswa]])</f>
        <v/>
      </c>
      <c r="C7" s="10" t="str">
        <f>IF(NSi.TS[[#This Row],[Nomor Induk]]=0,"",NSi.TS[[#This Row],[Nomor Induk]])</f>
        <v/>
      </c>
      <c r="D7" s="10" t="str">
        <f>IF(NSi.TS[[#This Row],[NISN]]=0,"",NSi.TS[[#This Row],[NISN]])</f>
        <v/>
      </c>
      <c r="E7" s="10" t="str">
        <f>IF(NSi.TS[[#This Row],[Jurusan]]=0,"",NSi.TS[[#This Row],[Jurusan]])</f>
        <v/>
      </c>
      <c r="F7" s="43">
        <f>K.Mid.S[[#This Row],[Rata2 NK]]</f>
        <v>0</v>
      </c>
      <c r="G7" s="15"/>
      <c r="H7" s="15"/>
      <c r="I7" s="15"/>
      <c r="J7" s="15"/>
      <c r="K7" s="15"/>
      <c r="L7" s="15"/>
      <c r="M7" s="15"/>
      <c r="N7" s="15"/>
      <c r="O7" s="15"/>
      <c r="P7" s="15"/>
      <c r="Q7" s="20">
        <f>IFERROR(ROUND(AVERAGE(K.Sem[[#This Row],[Rata2 Mid.NK]:[NK 10]]),0),"")</f>
        <v>0</v>
      </c>
      <c r="R7" s="11" t="str">
        <f>IF(K.Sem[[#This Row],[Rata2 NK]]="","Belum Terukur",IF(K.Sem[[#This Row],[Rata2 NK]]&gt;=92,"A",IF(K.Sem[[#This Row],[Rata2 NK]]&gt;=83,"B",IF(K.Sem[[#This Row],[Rata2 NK]]&gt;=75,"C","D"))))</f>
        <v>D</v>
      </c>
      <c r="S7" s="61" t="str">
        <f t="shared" si="0"/>
        <v xml:space="preserve">Siswa menunjukkan kemampuannya namun masih memerlukan bimbingan dalam </v>
      </c>
      <c r="U7" s="100"/>
      <c r="V7" s="101"/>
      <c r="W7" s="60" t="str">
        <f>IF(K.Sem[[#This Row],[Predikat]]="A",$V$3,IF(K.Sem[[#This Row],[Predikat]]="B",$V$4,IF(K.Sem[[#This Row],[Predikat]]="C",$V$5,$V$6)))</f>
        <v xml:space="preserve">namun masih memerlukan bimbingan </v>
      </c>
    </row>
    <row r="8" spans="1:23" ht="50.1" customHeight="1" x14ac:dyDescent="0.3">
      <c r="A8" s="10">
        <f>IF(NSi.TS[[#This Row],[No]]=0,"",NSi.TS[[#This Row],[No]])</f>
        <v>6</v>
      </c>
      <c r="B8" s="49" t="str">
        <f>IF(NSi.TS[[#This Row],[Nama Siswa]]=0,"",NSi.TS[[#This Row],[Nama Siswa]])</f>
        <v/>
      </c>
      <c r="C8" s="10" t="str">
        <f>IF(NSi.TS[[#This Row],[Nomor Induk]]=0,"",NSi.TS[[#This Row],[Nomor Induk]])</f>
        <v/>
      </c>
      <c r="D8" s="10" t="str">
        <f>IF(NSi.TS[[#This Row],[NISN]]=0,"",NSi.TS[[#This Row],[NISN]])</f>
        <v/>
      </c>
      <c r="E8" s="10" t="str">
        <f>IF(NSi.TS[[#This Row],[Jurusan]]=0,"",NSi.TS[[#This Row],[Jurusan]])</f>
        <v/>
      </c>
      <c r="F8" s="43">
        <f>K.Mid.S[[#This Row],[Rata2 NK]]</f>
        <v>0</v>
      </c>
      <c r="G8" s="15"/>
      <c r="H8" s="15"/>
      <c r="I8" s="15"/>
      <c r="J8" s="15"/>
      <c r="K8" s="15"/>
      <c r="L8" s="15"/>
      <c r="M8" s="15"/>
      <c r="N8" s="15"/>
      <c r="O8" s="15"/>
      <c r="P8" s="15"/>
      <c r="Q8" s="20">
        <f>IFERROR(ROUND(AVERAGE(K.Sem[[#This Row],[Rata2 Mid.NK]:[NK 10]]),0),"")</f>
        <v>0</v>
      </c>
      <c r="R8" s="11" t="str">
        <f>IF(K.Sem[[#This Row],[Rata2 NK]]="","Belum Terukur",IF(K.Sem[[#This Row],[Rata2 NK]]&gt;=92,"A",IF(K.Sem[[#This Row],[Rata2 NK]]&gt;=83,"B",IF(K.Sem[[#This Row],[Rata2 NK]]&gt;=75,"C","D"))))</f>
        <v>D</v>
      </c>
      <c r="S8" s="61" t="str">
        <f t="shared" si="0"/>
        <v xml:space="preserve">Siswa menunjukkan kemampuannya namun masih memerlukan bimbingan dalam </v>
      </c>
      <c r="U8" s="100"/>
      <c r="V8" s="102"/>
      <c r="W8" s="60" t="str">
        <f>IF(K.Sem[[#This Row],[Predikat]]="A",$V$3,IF(K.Sem[[#This Row],[Predikat]]="B",$V$4,IF(K.Sem[[#This Row],[Predikat]]="C",$V$5,$V$6)))</f>
        <v xml:space="preserve">namun masih memerlukan bimbingan </v>
      </c>
    </row>
    <row r="9" spans="1:23" ht="50.1" customHeight="1" x14ac:dyDescent="0.3">
      <c r="A9" s="10">
        <f>IF(NSi.TS[[#This Row],[No]]=0,"",NSi.TS[[#This Row],[No]])</f>
        <v>7</v>
      </c>
      <c r="B9" s="49" t="str">
        <f>IF(NSi.TS[[#This Row],[Nama Siswa]]=0,"",NSi.TS[[#This Row],[Nama Siswa]])</f>
        <v/>
      </c>
      <c r="C9" s="10" t="str">
        <f>IF(NSi.TS[[#This Row],[Nomor Induk]]=0,"",NSi.TS[[#This Row],[Nomor Induk]])</f>
        <v/>
      </c>
      <c r="D9" s="10" t="str">
        <f>IF(NSi.TS[[#This Row],[NISN]]=0,"",NSi.TS[[#This Row],[NISN]])</f>
        <v/>
      </c>
      <c r="E9" s="10" t="str">
        <f>IF(NSi.TS[[#This Row],[Jurusan]]=0,"",NSi.TS[[#This Row],[Jurusan]])</f>
        <v/>
      </c>
      <c r="F9" s="43">
        <f>K.Mid.S[[#This Row],[Rata2 NK]]</f>
        <v>0</v>
      </c>
      <c r="G9" s="15"/>
      <c r="H9" s="15"/>
      <c r="I9" s="15"/>
      <c r="J9" s="15"/>
      <c r="K9" s="15"/>
      <c r="L9" s="15"/>
      <c r="M9" s="15"/>
      <c r="N9" s="15"/>
      <c r="O9" s="15"/>
      <c r="P9" s="15"/>
      <c r="Q9" s="20">
        <f>IFERROR(ROUND(AVERAGE(K.Sem[[#This Row],[Rata2 Mid.NK]:[NK 10]]),0),"")</f>
        <v>0</v>
      </c>
      <c r="R9" s="11" t="str">
        <f>IF(K.Sem[[#This Row],[Rata2 NK]]="","Belum Terukur",IF(K.Sem[[#This Row],[Rata2 NK]]&gt;=92,"A",IF(K.Sem[[#This Row],[Rata2 NK]]&gt;=83,"B",IF(K.Sem[[#This Row],[Rata2 NK]]&gt;=75,"C","D"))))</f>
        <v>D</v>
      </c>
      <c r="S9" s="61" t="str">
        <f t="shared" si="0"/>
        <v xml:space="preserve">Siswa menunjukkan kemampuannya namun masih memerlukan bimbingan dalam </v>
      </c>
      <c r="U9" s="100"/>
      <c r="V9" s="102"/>
      <c r="W9" s="60" t="str">
        <f>IF(K.Sem[[#This Row],[Predikat]]="A",$V$3,IF(K.Sem[[#This Row],[Predikat]]="B",$V$4,IF(K.Sem[[#This Row],[Predikat]]="C",$V$5,$V$6)))</f>
        <v xml:space="preserve">namun masih memerlukan bimbingan </v>
      </c>
    </row>
    <row r="10" spans="1:23" ht="50.1" customHeight="1" x14ac:dyDescent="0.3">
      <c r="A10" s="10">
        <f>IF(NSi.TS[[#This Row],[No]]=0,"",NSi.TS[[#This Row],[No]])</f>
        <v>8</v>
      </c>
      <c r="B10" s="49" t="str">
        <f>IF(NSi.TS[[#This Row],[Nama Siswa]]=0,"",NSi.TS[[#This Row],[Nama Siswa]])</f>
        <v/>
      </c>
      <c r="C10" s="10" t="str">
        <f>IF(NSi.TS[[#This Row],[Nomor Induk]]=0,"",NSi.TS[[#This Row],[Nomor Induk]])</f>
        <v/>
      </c>
      <c r="D10" s="10" t="str">
        <f>IF(NSi.TS[[#This Row],[NISN]]=0,"",NSi.TS[[#This Row],[NISN]])</f>
        <v/>
      </c>
      <c r="E10" s="10" t="str">
        <f>IF(NSi.TS[[#This Row],[Jurusan]]=0,"",NSi.TS[[#This Row],[Jurusan]])</f>
        <v/>
      </c>
      <c r="F10" s="43">
        <f>K.Mid.S[[#This Row],[Rata2 NK]]</f>
        <v>0</v>
      </c>
      <c r="G10" s="15"/>
      <c r="H10" s="15"/>
      <c r="I10" s="15"/>
      <c r="J10" s="15"/>
      <c r="K10" s="15"/>
      <c r="L10" s="15"/>
      <c r="M10" s="15"/>
      <c r="N10" s="15"/>
      <c r="O10" s="15"/>
      <c r="P10" s="15"/>
      <c r="Q10" s="20">
        <f>IFERROR(ROUND(AVERAGE(K.Sem[[#This Row],[Rata2 Mid.NK]:[NK 10]]),0),"")</f>
        <v>0</v>
      </c>
      <c r="R10" s="11" t="str">
        <f>IF(K.Sem[[#This Row],[Rata2 NK]]="","Belum Terukur",IF(K.Sem[[#This Row],[Rata2 NK]]&gt;=92,"A",IF(K.Sem[[#This Row],[Rata2 NK]]&gt;=83,"B",IF(K.Sem[[#This Row],[Rata2 NK]]&gt;=75,"C","D"))))</f>
        <v>D</v>
      </c>
      <c r="S10" s="61" t="str">
        <f t="shared" si="0"/>
        <v xml:space="preserve">Siswa menunjukkan kemampuannya namun masih memerlukan bimbingan dalam </v>
      </c>
      <c r="U10" s="100"/>
      <c r="V10" s="102"/>
      <c r="W10" s="60" t="str">
        <f>IF(K.Sem[[#This Row],[Predikat]]="A",$V$3,IF(K.Sem[[#This Row],[Predikat]]="B",$V$4,IF(K.Sem[[#This Row],[Predikat]]="C",$V$5,$V$6)))</f>
        <v xml:space="preserve">namun masih memerlukan bimbingan </v>
      </c>
    </row>
    <row r="11" spans="1:23" ht="50.1" customHeight="1" x14ac:dyDescent="0.3">
      <c r="A11" s="10">
        <f>IF(NSi.TS[[#This Row],[No]]=0,"",NSi.TS[[#This Row],[No]])</f>
        <v>9</v>
      </c>
      <c r="B11" s="49" t="str">
        <f>IF(NSi.TS[[#This Row],[Nama Siswa]]=0,"",NSi.TS[[#This Row],[Nama Siswa]])</f>
        <v/>
      </c>
      <c r="C11" s="10" t="str">
        <f>IF(NSi.TS[[#This Row],[Nomor Induk]]=0,"",NSi.TS[[#This Row],[Nomor Induk]])</f>
        <v/>
      </c>
      <c r="D11" s="10" t="str">
        <f>IF(NSi.TS[[#This Row],[NISN]]=0,"",NSi.TS[[#This Row],[NISN]])</f>
        <v/>
      </c>
      <c r="E11" s="10" t="str">
        <f>IF(NSi.TS[[#This Row],[Jurusan]]=0,"",NSi.TS[[#This Row],[Jurusan]])</f>
        <v/>
      </c>
      <c r="F11" s="43">
        <f>K.Mid.S[[#This Row],[Rata2 NK]]</f>
        <v>0</v>
      </c>
      <c r="G11" s="15"/>
      <c r="H11" s="15"/>
      <c r="I11" s="15"/>
      <c r="J11" s="15"/>
      <c r="K11" s="15"/>
      <c r="L11" s="15"/>
      <c r="M11" s="15"/>
      <c r="N11" s="15"/>
      <c r="O11" s="15"/>
      <c r="P11" s="15"/>
      <c r="Q11" s="20">
        <f>IFERROR(ROUND(AVERAGE(K.Sem[[#This Row],[Rata2 Mid.NK]:[NK 10]]),0),"")</f>
        <v>0</v>
      </c>
      <c r="R11" s="11" t="str">
        <f>IF(K.Sem[[#This Row],[Rata2 NK]]="","Belum Terukur",IF(K.Sem[[#This Row],[Rata2 NK]]&gt;=92,"A",IF(K.Sem[[#This Row],[Rata2 NK]]&gt;=83,"B",IF(K.Sem[[#This Row],[Rata2 NK]]&gt;=75,"C","D"))))</f>
        <v>D</v>
      </c>
      <c r="S11" s="61" t="str">
        <f t="shared" si="0"/>
        <v xml:space="preserve">Siswa menunjukkan kemampuannya namun masih memerlukan bimbingan dalam </v>
      </c>
      <c r="U11" s="100"/>
      <c r="V11" s="102"/>
      <c r="W11" s="60" t="str">
        <f>IF(K.Sem[[#This Row],[Predikat]]="A",$V$3,IF(K.Sem[[#This Row],[Predikat]]="B",$V$4,IF(K.Sem[[#This Row],[Predikat]]="C",$V$5,$V$6)))</f>
        <v xml:space="preserve">namun masih memerlukan bimbingan </v>
      </c>
    </row>
    <row r="12" spans="1:23" ht="50.1" customHeight="1" x14ac:dyDescent="0.3">
      <c r="A12" s="10">
        <f>IF(NSi.TS[[#This Row],[No]]=0,"",NSi.TS[[#This Row],[No]])</f>
        <v>10</v>
      </c>
      <c r="B12" s="49" t="str">
        <f>IF(NSi.TS[[#This Row],[Nama Siswa]]=0,"",NSi.TS[[#This Row],[Nama Siswa]])</f>
        <v/>
      </c>
      <c r="C12" s="10" t="str">
        <f>IF(NSi.TS[[#This Row],[Nomor Induk]]=0,"",NSi.TS[[#This Row],[Nomor Induk]])</f>
        <v/>
      </c>
      <c r="D12" s="10" t="str">
        <f>IF(NSi.TS[[#This Row],[NISN]]=0,"",NSi.TS[[#This Row],[NISN]])</f>
        <v/>
      </c>
      <c r="E12" s="10" t="str">
        <f>IF(NSi.TS[[#This Row],[Jurusan]]=0,"",NSi.TS[[#This Row],[Jurusan]])</f>
        <v/>
      </c>
      <c r="F12" s="43">
        <f>K.Mid.S[[#This Row],[Rata2 NK]]</f>
        <v>0</v>
      </c>
      <c r="G12" s="15"/>
      <c r="H12" s="15"/>
      <c r="I12" s="15"/>
      <c r="J12" s="15"/>
      <c r="K12" s="15"/>
      <c r="L12" s="15"/>
      <c r="M12" s="15"/>
      <c r="N12" s="15"/>
      <c r="O12" s="15"/>
      <c r="P12" s="15"/>
      <c r="Q12" s="20">
        <f>IFERROR(ROUND(AVERAGE(K.Sem[[#This Row],[Rata2 Mid.NK]:[NK 10]]),0),"")</f>
        <v>0</v>
      </c>
      <c r="R12" s="11" t="str">
        <f>IF(K.Sem[[#This Row],[Rata2 NK]]="","Belum Terukur",IF(K.Sem[[#This Row],[Rata2 NK]]&gt;=92,"A",IF(K.Sem[[#This Row],[Rata2 NK]]&gt;=83,"B",IF(K.Sem[[#This Row],[Rata2 NK]]&gt;=75,"C","D"))))</f>
        <v>D</v>
      </c>
      <c r="S12" s="61" t="str">
        <f t="shared" si="0"/>
        <v xml:space="preserve">Siswa menunjukkan kemampuannya namun masih memerlukan bimbingan dalam </v>
      </c>
      <c r="U12" s="100"/>
      <c r="V12" s="102"/>
      <c r="W12" s="60" t="str">
        <f>IF(K.Sem[[#This Row],[Predikat]]="A",$V$3,IF(K.Sem[[#This Row],[Predikat]]="B",$V$4,IF(K.Sem[[#This Row],[Predikat]]="C",$V$5,$V$6)))</f>
        <v xml:space="preserve">namun masih memerlukan bimbingan </v>
      </c>
    </row>
    <row r="13" spans="1:23" ht="50.1" customHeight="1" x14ac:dyDescent="0.3">
      <c r="A13" s="10" t="str">
        <f>IF(NSi.TS[[#This Row],[No]]=0,"",NSi.TS[[#This Row],[No]])</f>
        <v/>
      </c>
      <c r="B13" s="49" t="str">
        <f>IF(NSi.TS[[#This Row],[Nama Siswa]]=0,"",NSi.TS[[#This Row],[Nama Siswa]])</f>
        <v/>
      </c>
      <c r="C13" s="10" t="str">
        <f>IF(NSi.TS[[#This Row],[Nomor Induk]]=0,"",NSi.TS[[#This Row],[Nomor Induk]])</f>
        <v/>
      </c>
      <c r="D13" s="10" t="str">
        <f>IF(NSi.TS[[#This Row],[NISN]]=0,"",NSi.TS[[#This Row],[NISN]])</f>
        <v/>
      </c>
      <c r="E13" s="10" t="str">
        <f>IF(NSi.TS[[#This Row],[Jurusan]]=0,"",NSi.TS[[#This Row],[Jurusan]])</f>
        <v/>
      </c>
      <c r="F13" s="43" t="str">
        <f>K.Mid.S[[#This Row],[Rata2 NK]]</f>
        <v/>
      </c>
      <c r="G13" s="15"/>
      <c r="H13" s="15"/>
      <c r="I13" s="15"/>
      <c r="J13" s="15"/>
      <c r="K13" s="15"/>
      <c r="L13" s="15"/>
      <c r="M13" s="15"/>
      <c r="N13" s="15"/>
      <c r="O13" s="15"/>
      <c r="P13" s="15"/>
      <c r="Q13" s="20" t="str">
        <f>IFERROR(ROUND(AVERAGE(K.Sem[[#This Row],[Rata2 Mid.NK]:[NK 10]]),0),"")</f>
        <v/>
      </c>
      <c r="R13" s="11" t="str">
        <f>IF(K.Sem[[#This Row],[Rata2 NK]]="","Belum Terukur",IF(K.Sem[[#This Row],[Rata2 NK]]&gt;=92,"A",IF(K.Sem[[#This Row],[Rata2 NK]]&gt;=83,"B",IF(K.Sem[[#This Row],[Rata2 NK]]&gt;=75,"C","D"))))</f>
        <v>Belum Terukur</v>
      </c>
      <c r="S13" s="61" t="str">
        <f t="shared" si="0"/>
        <v xml:space="preserve">Siswa menunjukkan kemampuannya namun masih memerlukan bimbingan dalam </v>
      </c>
      <c r="U13" s="100"/>
      <c r="V13" s="102"/>
      <c r="W13" s="60" t="str">
        <f>IF(K.Sem[[#This Row],[Predikat]]="A",$V$3,IF(K.Sem[[#This Row],[Predikat]]="B",$V$4,IF(K.Sem[[#This Row],[Predikat]]="C",$V$5,$V$6)))</f>
        <v xml:space="preserve">namun masih memerlukan bimbingan </v>
      </c>
    </row>
    <row r="14" spans="1:23" ht="50.1" customHeight="1" x14ac:dyDescent="0.3">
      <c r="A14" s="10" t="str">
        <f>IF(NSi.TS[[#This Row],[No]]=0,"",NSi.TS[[#This Row],[No]])</f>
        <v/>
      </c>
      <c r="B14" s="49" t="str">
        <f>IF(NSi.TS[[#This Row],[Nama Siswa]]=0,"",NSi.TS[[#This Row],[Nama Siswa]])</f>
        <v/>
      </c>
      <c r="C14" s="10" t="str">
        <f>IF(NSi.TS[[#This Row],[Nomor Induk]]=0,"",NSi.TS[[#This Row],[Nomor Induk]])</f>
        <v/>
      </c>
      <c r="D14" s="10" t="str">
        <f>IF(NSi.TS[[#This Row],[NISN]]=0,"",NSi.TS[[#This Row],[NISN]])</f>
        <v/>
      </c>
      <c r="E14" s="10" t="str">
        <f>IF(NSi.TS[[#This Row],[Jurusan]]=0,"",NSi.TS[[#This Row],[Jurusan]])</f>
        <v/>
      </c>
      <c r="F14" s="43" t="str">
        <f>K.Mid.S[[#This Row],[Rata2 NK]]</f>
        <v/>
      </c>
      <c r="G14" s="15"/>
      <c r="H14" s="15"/>
      <c r="I14" s="15"/>
      <c r="J14" s="15"/>
      <c r="K14" s="15"/>
      <c r="L14" s="15"/>
      <c r="M14" s="15"/>
      <c r="N14" s="15"/>
      <c r="O14" s="15"/>
      <c r="P14" s="15"/>
      <c r="Q14" s="20" t="str">
        <f>IFERROR(ROUND(AVERAGE(K.Sem[[#This Row],[Rata2 Mid.NK]:[NK 10]]),0),"")</f>
        <v/>
      </c>
      <c r="R14" s="11" t="str">
        <f>IF(K.Sem[[#This Row],[Rata2 NK]]="","Belum Terukur",IF(K.Sem[[#This Row],[Rata2 NK]]&gt;=92,"A",IF(K.Sem[[#This Row],[Rata2 NK]]&gt;=83,"B",IF(K.Sem[[#This Row],[Rata2 NK]]&gt;=75,"C","D"))))</f>
        <v>Belum Terukur</v>
      </c>
      <c r="S14" s="61" t="str">
        <f t="shared" si="0"/>
        <v xml:space="preserve">Siswa menunjukkan kemampuannya namun masih memerlukan bimbingan dalam </v>
      </c>
      <c r="U14" s="100"/>
      <c r="V14" s="102"/>
      <c r="W14" s="60" t="str">
        <f>IF(K.Sem[[#This Row],[Predikat]]="A",$V$3,IF(K.Sem[[#This Row],[Predikat]]="B",$V$4,IF(K.Sem[[#This Row],[Predikat]]="C",$V$5,$V$6)))</f>
        <v xml:space="preserve">namun masih memerlukan bimbingan </v>
      </c>
    </row>
    <row r="15" spans="1:23" ht="50.1" customHeight="1" x14ac:dyDescent="0.3">
      <c r="A15" s="10" t="str">
        <f>IF(NSi.TS[[#This Row],[No]]=0,"",NSi.TS[[#This Row],[No]])</f>
        <v/>
      </c>
      <c r="B15" s="49" t="str">
        <f>IF(NSi.TS[[#This Row],[Nama Siswa]]=0,"",NSi.TS[[#This Row],[Nama Siswa]])</f>
        <v/>
      </c>
      <c r="C15" s="10" t="str">
        <f>IF(NSi.TS[[#This Row],[Nomor Induk]]=0,"",NSi.TS[[#This Row],[Nomor Induk]])</f>
        <v/>
      </c>
      <c r="D15" s="10" t="str">
        <f>IF(NSi.TS[[#This Row],[NISN]]=0,"",NSi.TS[[#This Row],[NISN]])</f>
        <v/>
      </c>
      <c r="E15" s="10" t="str">
        <f>IF(NSi.TS[[#This Row],[Jurusan]]=0,"",NSi.TS[[#This Row],[Jurusan]])</f>
        <v/>
      </c>
      <c r="F15" s="43" t="str">
        <f>K.Mid.S[[#This Row],[Rata2 NK]]</f>
        <v/>
      </c>
      <c r="G15" s="15"/>
      <c r="H15" s="15"/>
      <c r="I15" s="15"/>
      <c r="J15" s="15"/>
      <c r="K15" s="15"/>
      <c r="L15" s="15"/>
      <c r="M15" s="15"/>
      <c r="N15" s="15"/>
      <c r="O15" s="15"/>
      <c r="P15" s="15"/>
      <c r="Q15" s="20" t="str">
        <f>IFERROR(ROUND(AVERAGE(K.Sem[[#This Row],[Rata2 Mid.NK]:[NK 10]]),0),"")</f>
        <v/>
      </c>
      <c r="R15" s="11" t="str">
        <f>IF(K.Sem[[#This Row],[Rata2 NK]]="","Belum Terukur",IF(K.Sem[[#This Row],[Rata2 NK]]&gt;=92,"A",IF(K.Sem[[#This Row],[Rata2 NK]]&gt;=83,"B",IF(K.Sem[[#This Row],[Rata2 NK]]&gt;=75,"C","D"))))</f>
        <v>Belum Terukur</v>
      </c>
      <c r="S15" s="61" t="str">
        <f t="shared" si="0"/>
        <v xml:space="preserve">Siswa menunjukkan kemampuannya namun masih memerlukan bimbingan dalam </v>
      </c>
      <c r="U15" s="100"/>
      <c r="V15" s="102"/>
      <c r="W15" s="60" t="str">
        <f>IF(K.Sem[[#This Row],[Predikat]]="A",$V$3,IF(K.Sem[[#This Row],[Predikat]]="B",$V$4,IF(K.Sem[[#This Row],[Predikat]]="C",$V$5,$V$6)))</f>
        <v xml:space="preserve">namun masih memerlukan bimbingan </v>
      </c>
    </row>
    <row r="16" spans="1:23" ht="50.1" customHeight="1" x14ac:dyDescent="0.3">
      <c r="A16" s="10" t="str">
        <f>IF(NSi.TS[[#This Row],[No]]=0,"",NSi.TS[[#This Row],[No]])</f>
        <v/>
      </c>
      <c r="B16" s="49" t="str">
        <f>IF(NSi.TS[[#This Row],[Nama Siswa]]=0,"",NSi.TS[[#This Row],[Nama Siswa]])</f>
        <v/>
      </c>
      <c r="C16" s="10" t="str">
        <f>IF(NSi.TS[[#This Row],[Nomor Induk]]=0,"",NSi.TS[[#This Row],[Nomor Induk]])</f>
        <v/>
      </c>
      <c r="D16" s="10" t="str">
        <f>IF(NSi.TS[[#This Row],[NISN]]=0,"",NSi.TS[[#This Row],[NISN]])</f>
        <v/>
      </c>
      <c r="E16" s="10" t="str">
        <f>IF(NSi.TS[[#This Row],[Jurusan]]=0,"",NSi.TS[[#This Row],[Jurusan]])</f>
        <v/>
      </c>
      <c r="F16" s="43" t="str">
        <f>K.Mid.S[[#This Row],[Rata2 NK]]</f>
        <v/>
      </c>
      <c r="G16" s="15"/>
      <c r="H16" s="15"/>
      <c r="I16" s="15"/>
      <c r="J16" s="15"/>
      <c r="K16" s="15"/>
      <c r="L16" s="15"/>
      <c r="M16" s="15"/>
      <c r="N16" s="15"/>
      <c r="O16" s="15"/>
      <c r="P16" s="15"/>
      <c r="Q16" s="20" t="str">
        <f>IFERROR(ROUND(AVERAGE(K.Sem[[#This Row],[Rata2 Mid.NK]:[NK 10]]),0),"")</f>
        <v/>
      </c>
      <c r="R16" s="11" t="str">
        <f>IF(K.Sem[[#This Row],[Rata2 NK]]="","Belum Terukur",IF(K.Sem[[#This Row],[Rata2 NK]]&gt;=92,"A",IF(K.Sem[[#This Row],[Rata2 NK]]&gt;=83,"B",IF(K.Sem[[#This Row],[Rata2 NK]]&gt;=75,"C","D"))))</f>
        <v>Belum Terukur</v>
      </c>
      <c r="S16" s="61" t="str">
        <f t="shared" si="0"/>
        <v xml:space="preserve">Siswa menunjukkan kemampuannya namun masih memerlukan bimbingan dalam </v>
      </c>
      <c r="U16" s="100"/>
      <c r="V16" s="102"/>
      <c r="W16" s="60" t="str">
        <f>IF(K.Sem[[#This Row],[Predikat]]="A",$V$3,IF(K.Sem[[#This Row],[Predikat]]="B",$V$4,IF(K.Sem[[#This Row],[Predikat]]="C",$V$5,$V$6)))</f>
        <v xml:space="preserve">namun masih memerlukan bimbingan </v>
      </c>
    </row>
    <row r="17" spans="1:23" ht="50.1" customHeight="1" x14ac:dyDescent="0.3">
      <c r="A17" s="10" t="str">
        <f>IF(NSi.TS[[#This Row],[No]]=0,"",NSi.TS[[#This Row],[No]])</f>
        <v/>
      </c>
      <c r="B17" s="49" t="str">
        <f>IF(NSi.TS[[#This Row],[Nama Siswa]]=0,"",NSi.TS[[#This Row],[Nama Siswa]])</f>
        <v/>
      </c>
      <c r="C17" s="10" t="str">
        <f>IF(NSi.TS[[#This Row],[Nomor Induk]]=0,"",NSi.TS[[#This Row],[Nomor Induk]])</f>
        <v/>
      </c>
      <c r="D17" s="10" t="str">
        <f>IF(NSi.TS[[#This Row],[NISN]]=0,"",NSi.TS[[#This Row],[NISN]])</f>
        <v/>
      </c>
      <c r="E17" s="10" t="str">
        <f>IF(NSi.TS[[#This Row],[Jurusan]]=0,"",NSi.TS[[#This Row],[Jurusan]])</f>
        <v/>
      </c>
      <c r="F17" s="43" t="str">
        <f>K.Mid.S[[#This Row],[Rata2 NK]]</f>
        <v/>
      </c>
      <c r="G17" s="15"/>
      <c r="H17" s="15"/>
      <c r="I17" s="15"/>
      <c r="J17" s="15"/>
      <c r="K17" s="15"/>
      <c r="L17" s="15"/>
      <c r="M17" s="15"/>
      <c r="N17" s="15"/>
      <c r="O17" s="15"/>
      <c r="P17" s="15"/>
      <c r="Q17" s="20" t="str">
        <f>IFERROR(ROUND(AVERAGE(K.Sem[[#This Row],[Rata2 Mid.NK]:[NK 10]]),0),"")</f>
        <v/>
      </c>
      <c r="R17" s="11" t="str">
        <f>IF(K.Sem[[#This Row],[Rata2 NK]]="","Belum Terukur",IF(K.Sem[[#This Row],[Rata2 NK]]&gt;=92,"A",IF(K.Sem[[#This Row],[Rata2 NK]]&gt;=83,"B",IF(K.Sem[[#This Row],[Rata2 NK]]&gt;=75,"C","D"))))</f>
        <v>Belum Terukur</v>
      </c>
      <c r="S17" s="61" t="str">
        <f t="shared" si="0"/>
        <v xml:space="preserve">Siswa menunjukkan kemampuannya namun masih memerlukan bimbingan dalam </v>
      </c>
      <c r="U17" s="100"/>
      <c r="V17" s="102"/>
      <c r="W17" s="60" t="str">
        <f>IF(K.Sem[[#This Row],[Predikat]]="A",$V$3,IF(K.Sem[[#This Row],[Predikat]]="B",$V$4,IF(K.Sem[[#This Row],[Predikat]]="C",$V$5,$V$6)))</f>
        <v xml:space="preserve">namun masih memerlukan bimbingan </v>
      </c>
    </row>
    <row r="18" spans="1:23" ht="50.1" customHeight="1" x14ac:dyDescent="0.3">
      <c r="A18" s="10" t="str">
        <f>IF(NSi.TS[[#This Row],[No]]=0,"",NSi.TS[[#This Row],[No]])</f>
        <v/>
      </c>
      <c r="B18" s="49" t="str">
        <f>IF(NSi.TS[[#This Row],[Nama Siswa]]=0,"",NSi.TS[[#This Row],[Nama Siswa]])</f>
        <v/>
      </c>
      <c r="C18" s="10" t="str">
        <f>IF(NSi.TS[[#This Row],[Nomor Induk]]=0,"",NSi.TS[[#This Row],[Nomor Induk]])</f>
        <v/>
      </c>
      <c r="D18" s="10" t="str">
        <f>IF(NSi.TS[[#This Row],[NISN]]=0,"",NSi.TS[[#This Row],[NISN]])</f>
        <v/>
      </c>
      <c r="E18" s="10" t="str">
        <f>IF(NSi.TS[[#This Row],[Jurusan]]=0,"",NSi.TS[[#This Row],[Jurusan]])</f>
        <v/>
      </c>
      <c r="F18" s="43" t="str">
        <f>K.Mid.S[[#This Row],[Rata2 NK]]</f>
        <v/>
      </c>
      <c r="G18" s="15"/>
      <c r="H18" s="15"/>
      <c r="I18" s="15"/>
      <c r="J18" s="15"/>
      <c r="K18" s="15"/>
      <c r="L18" s="15"/>
      <c r="M18" s="15"/>
      <c r="N18" s="15"/>
      <c r="O18" s="15"/>
      <c r="P18" s="15"/>
      <c r="Q18" s="20" t="str">
        <f>IFERROR(ROUND(AVERAGE(K.Sem[[#This Row],[Rata2 Mid.NK]:[NK 10]]),0),"")</f>
        <v/>
      </c>
      <c r="R18" s="11" t="str">
        <f>IF(K.Sem[[#This Row],[Rata2 NK]]="","Belum Terukur",IF(K.Sem[[#This Row],[Rata2 NK]]&gt;=92,"A",IF(K.Sem[[#This Row],[Rata2 NK]]&gt;=83,"B",IF(K.Sem[[#This Row],[Rata2 NK]]&gt;=75,"C","D"))))</f>
        <v>Belum Terukur</v>
      </c>
      <c r="S18" s="61" t="str">
        <f t="shared" si="0"/>
        <v xml:space="preserve">Siswa menunjukkan kemampuannya namun masih memerlukan bimbingan dalam </v>
      </c>
      <c r="U18" s="100"/>
      <c r="V18" s="102"/>
      <c r="W18" s="60" t="str">
        <f>IF(K.Sem[[#This Row],[Predikat]]="A",$V$3,IF(K.Sem[[#This Row],[Predikat]]="B",$V$4,IF(K.Sem[[#This Row],[Predikat]]="C",$V$5,$V$6)))</f>
        <v xml:space="preserve">namun masih memerlukan bimbingan </v>
      </c>
    </row>
    <row r="19" spans="1:23" ht="50.1" customHeight="1" x14ac:dyDescent="0.3">
      <c r="A19" s="10" t="str">
        <f>IF(NSi.TS[[#This Row],[No]]=0,"",NSi.TS[[#This Row],[No]])</f>
        <v/>
      </c>
      <c r="B19" s="49" t="str">
        <f>IF(NSi.TS[[#This Row],[Nama Siswa]]=0,"",NSi.TS[[#This Row],[Nama Siswa]])</f>
        <v/>
      </c>
      <c r="C19" s="10" t="str">
        <f>IF(NSi.TS[[#This Row],[Nomor Induk]]=0,"",NSi.TS[[#This Row],[Nomor Induk]])</f>
        <v/>
      </c>
      <c r="D19" s="10" t="str">
        <f>IF(NSi.TS[[#This Row],[NISN]]=0,"",NSi.TS[[#This Row],[NISN]])</f>
        <v/>
      </c>
      <c r="E19" s="10" t="str">
        <f>IF(NSi.TS[[#This Row],[Jurusan]]=0,"",NSi.TS[[#This Row],[Jurusan]])</f>
        <v/>
      </c>
      <c r="F19" s="43" t="str">
        <f>K.Mid.S[[#This Row],[Rata2 NK]]</f>
        <v/>
      </c>
      <c r="G19" s="15"/>
      <c r="H19" s="15"/>
      <c r="I19" s="15"/>
      <c r="J19" s="15"/>
      <c r="K19" s="15"/>
      <c r="L19" s="15"/>
      <c r="M19" s="15"/>
      <c r="N19" s="15"/>
      <c r="O19" s="15"/>
      <c r="P19" s="15"/>
      <c r="Q19" s="20" t="str">
        <f>IFERROR(ROUND(AVERAGE(K.Sem[[#This Row],[Rata2 Mid.NK]:[NK 10]]),0),"")</f>
        <v/>
      </c>
      <c r="R19" s="11" t="str">
        <f>IF(K.Sem[[#This Row],[Rata2 NK]]="","Belum Terukur",IF(K.Sem[[#This Row],[Rata2 NK]]&gt;=92,"A",IF(K.Sem[[#This Row],[Rata2 NK]]&gt;=83,"B",IF(K.Sem[[#This Row],[Rata2 NK]]&gt;=75,"C","D"))))</f>
        <v>Belum Terukur</v>
      </c>
      <c r="S19" s="61" t="str">
        <f t="shared" si="0"/>
        <v xml:space="preserve">Siswa menunjukkan kemampuannya namun masih memerlukan bimbingan dalam </v>
      </c>
      <c r="U19" s="100"/>
      <c r="V19" s="102"/>
      <c r="W19" s="60" t="str">
        <f>IF(K.Sem[[#This Row],[Predikat]]="A",$V$3,IF(K.Sem[[#This Row],[Predikat]]="B",$V$4,IF(K.Sem[[#This Row],[Predikat]]="C",$V$5,$V$6)))</f>
        <v xml:space="preserve">namun masih memerlukan bimbingan </v>
      </c>
    </row>
    <row r="20" spans="1:23" ht="50.1" customHeight="1" x14ac:dyDescent="0.3">
      <c r="A20" s="10" t="str">
        <f>IF(NSi.TS[[#This Row],[No]]=0,"",NSi.TS[[#This Row],[No]])</f>
        <v/>
      </c>
      <c r="B20" s="49" t="str">
        <f>IF(NSi.TS[[#This Row],[Nama Siswa]]=0,"",NSi.TS[[#This Row],[Nama Siswa]])</f>
        <v/>
      </c>
      <c r="C20" s="10" t="str">
        <f>IF(NSi.TS[[#This Row],[Nomor Induk]]=0,"",NSi.TS[[#This Row],[Nomor Induk]])</f>
        <v/>
      </c>
      <c r="D20" s="10" t="str">
        <f>IF(NSi.TS[[#This Row],[NISN]]=0,"",NSi.TS[[#This Row],[NISN]])</f>
        <v/>
      </c>
      <c r="E20" s="10" t="str">
        <f>IF(NSi.TS[[#This Row],[Jurusan]]=0,"",NSi.TS[[#This Row],[Jurusan]])</f>
        <v/>
      </c>
      <c r="F20" s="43" t="str">
        <f>K.Mid.S[[#This Row],[Rata2 NK]]</f>
        <v/>
      </c>
      <c r="G20" s="15"/>
      <c r="H20" s="15"/>
      <c r="I20" s="15"/>
      <c r="J20" s="15"/>
      <c r="K20" s="15"/>
      <c r="L20" s="15"/>
      <c r="M20" s="15"/>
      <c r="N20" s="15"/>
      <c r="O20" s="15"/>
      <c r="P20" s="15"/>
      <c r="Q20" s="20" t="str">
        <f>IFERROR(ROUND(AVERAGE(K.Sem[[#This Row],[Rata2 Mid.NK]:[NK 10]]),0),"")</f>
        <v/>
      </c>
      <c r="R20" s="11" t="str">
        <f>IF(K.Sem[[#This Row],[Rata2 NK]]="","Belum Terukur",IF(K.Sem[[#This Row],[Rata2 NK]]&gt;=92,"A",IF(K.Sem[[#This Row],[Rata2 NK]]&gt;=83,"B",IF(K.Sem[[#This Row],[Rata2 NK]]&gt;=75,"C","D"))))</f>
        <v>Belum Terukur</v>
      </c>
      <c r="S20" s="61" t="str">
        <f t="shared" si="0"/>
        <v xml:space="preserve">Siswa menunjukkan kemampuannya namun masih memerlukan bimbingan dalam </v>
      </c>
      <c r="U20" s="100"/>
      <c r="V20" s="102"/>
      <c r="W20" s="60" t="str">
        <f>IF(K.Sem[[#This Row],[Predikat]]="A",$V$3,IF(K.Sem[[#This Row],[Predikat]]="B",$V$4,IF(K.Sem[[#This Row],[Predikat]]="C",$V$5,$V$6)))</f>
        <v xml:space="preserve">namun masih memerlukan bimbingan </v>
      </c>
    </row>
    <row r="21" spans="1:23" ht="50.1" customHeight="1" x14ac:dyDescent="0.3">
      <c r="A21" s="10" t="str">
        <f>IF(NSi.TS[[#This Row],[No]]=0,"",NSi.TS[[#This Row],[No]])</f>
        <v/>
      </c>
      <c r="B21" s="49" t="str">
        <f>IF(NSi.TS[[#This Row],[Nama Siswa]]=0,"",NSi.TS[[#This Row],[Nama Siswa]])</f>
        <v/>
      </c>
      <c r="C21" s="10" t="str">
        <f>IF(NSi.TS[[#This Row],[Nomor Induk]]=0,"",NSi.TS[[#This Row],[Nomor Induk]])</f>
        <v/>
      </c>
      <c r="D21" s="10" t="str">
        <f>IF(NSi.TS[[#This Row],[NISN]]=0,"",NSi.TS[[#This Row],[NISN]])</f>
        <v/>
      </c>
      <c r="E21" s="10" t="str">
        <f>IF(NSi.TS[[#This Row],[Jurusan]]=0,"",NSi.TS[[#This Row],[Jurusan]])</f>
        <v/>
      </c>
      <c r="F21" s="43" t="str">
        <f>K.Mid.S[[#This Row],[Rata2 NK]]</f>
        <v/>
      </c>
      <c r="G21" s="15"/>
      <c r="H21" s="15"/>
      <c r="I21" s="15"/>
      <c r="J21" s="15"/>
      <c r="K21" s="15"/>
      <c r="L21" s="15"/>
      <c r="M21" s="15"/>
      <c r="N21" s="15"/>
      <c r="O21" s="15"/>
      <c r="P21" s="15"/>
      <c r="Q21" s="20" t="str">
        <f>IFERROR(ROUND(AVERAGE(K.Sem[[#This Row],[Rata2 Mid.NK]:[NK 10]]),0),"")</f>
        <v/>
      </c>
      <c r="R21" s="11" t="str">
        <f>IF(K.Sem[[#This Row],[Rata2 NK]]="","Belum Terukur",IF(K.Sem[[#This Row],[Rata2 NK]]&gt;=92,"A",IF(K.Sem[[#This Row],[Rata2 NK]]&gt;=83,"B",IF(K.Sem[[#This Row],[Rata2 NK]]&gt;=75,"C","D"))))</f>
        <v>Belum Terukur</v>
      </c>
      <c r="S21" s="61" t="str">
        <f t="shared" si="0"/>
        <v xml:space="preserve">Siswa menunjukkan kemampuannya namun masih memerlukan bimbingan dalam </v>
      </c>
      <c r="U21" s="100"/>
      <c r="V21" s="102"/>
      <c r="W21" s="60" t="str">
        <f>IF(K.Sem[[#This Row],[Predikat]]="A",$V$3,IF(K.Sem[[#This Row],[Predikat]]="B",$V$4,IF(K.Sem[[#This Row],[Predikat]]="C",$V$5,$V$6)))</f>
        <v xml:space="preserve">namun masih memerlukan bimbingan </v>
      </c>
    </row>
    <row r="22" spans="1:23" ht="50.1" customHeight="1" x14ac:dyDescent="0.3">
      <c r="A22" s="10" t="str">
        <f>IF(NSi.TS[[#This Row],[No]]=0,"",NSi.TS[[#This Row],[No]])</f>
        <v/>
      </c>
      <c r="B22" s="49" t="str">
        <f>IF(NSi.TS[[#This Row],[Nama Siswa]]=0,"",NSi.TS[[#This Row],[Nama Siswa]])</f>
        <v/>
      </c>
      <c r="C22" s="10" t="str">
        <f>IF(NSi.TS[[#This Row],[Nomor Induk]]=0,"",NSi.TS[[#This Row],[Nomor Induk]])</f>
        <v/>
      </c>
      <c r="D22" s="10" t="str">
        <f>IF(NSi.TS[[#This Row],[NISN]]=0,"",NSi.TS[[#This Row],[NISN]])</f>
        <v/>
      </c>
      <c r="E22" s="10" t="str">
        <f>IF(NSi.TS[[#This Row],[Jurusan]]=0,"",NSi.TS[[#This Row],[Jurusan]])</f>
        <v/>
      </c>
      <c r="F22" s="43" t="str">
        <f>K.Mid.S[[#This Row],[Rata2 NK]]</f>
        <v/>
      </c>
      <c r="G22" s="15"/>
      <c r="H22" s="15"/>
      <c r="I22" s="15"/>
      <c r="J22" s="15"/>
      <c r="K22" s="15"/>
      <c r="L22" s="15"/>
      <c r="M22" s="15"/>
      <c r="N22" s="15"/>
      <c r="O22" s="15"/>
      <c r="P22" s="15"/>
      <c r="Q22" s="20" t="str">
        <f>IFERROR(ROUND(AVERAGE(K.Sem[[#This Row],[Rata2 Mid.NK]:[NK 10]]),0),"")</f>
        <v/>
      </c>
      <c r="R22" s="11" t="str">
        <f>IF(K.Sem[[#This Row],[Rata2 NK]]="","Belum Terukur",IF(K.Sem[[#This Row],[Rata2 NK]]&gt;=92,"A",IF(K.Sem[[#This Row],[Rata2 NK]]&gt;=83,"B",IF(K.Sem[[#This Row],[Rata2 NK]]&gt;=75,"C","D"))))</f>
        <v>Belum Terukur</v>
      </c>
      <c r="S22" s="61" t="str">
        <f t="shared" si="0"/>
        <v xml:space="preserve">Siswa menunjukkan kemampuannya namun masih memerlukan bimbingan dalam </v>
      </c>
      <c r="U22" s="100"/>
      <c r="V22" s="102"/>
      <c r="W22" s="60" t="str">
        <f>IF(K.Sem[[#This Row],[Predikat]]="A",$V$3,IF(K.Sem[[#This Row],[Predikat]]="B",$V$4,IF(K.Sem[[#This Row],[Predikat]]="C",$V$5,$V$6)))</f>
        <v xml:space="preserve">namun masih memerlukan bimbingan </v>
      </c>
    </row>
    <row r="23" spans="1:23" ht="50.1" customHeight="1" x14ac:dyDescent="0.3">
      <c r="A23" s="10" t="str">
        <f>IF(NSi.TS[[#This Row],[No]]=0,"",NSi.TS[[#This Row],[No]])</f>
        <v/>
      </c>
      <c r="B23" s="49" t="str">
        <f>IF(NSi.TS[[#This Row],[Nama Siswa]]=0,"",NSi.TS[[#This Row],[Nama Siswa]])</f>
        <v/>
      </c>
      <c r="C23" s="10" t="str">
        <f>IF(NSi.TS[[#This Row],[Nomor Induk]]=0,"",NSi.TS[[#This Row],[Nomor Induk]])</f>
        <v/>
      </c>
      <c r="D23" s="10" t="str">
        <f>IF(NSi.TS[[#This Row],[NISN]]=0,"",NSi.TS[[#This Row],[NISN]])</f>
        <v/>
      </c>
      <c r="E23" s="10" t="str">
        <f>IF(NSi.TS[[#This Row],[Jurusan]]=0,"",NSi.TS[[#This Row],[Jurusan]])</f>
        <v/>
      </c>
      <c r="F23" s="43" t="str">
        <f>K.Mid.S[[#This Row],[Rata2 NK]]</f>
        <v/>
      </c>
      <c r="G23" s="15"/>
      <c r="H23" s="15"/>
      <c r="I23" s="15"/>
      <c r="J23" s="15"/>
      <c r="K23" s="15"/>
      <c r="L23" s="15"/>
      <c r="M23" s="15"/>
      <c r="N23" s="15"/>
      <c r="O23" s="15"/>
      <c r="P23" s="15"/>
      <c r="Q23" s="20" t="str">
        <f>IFERROR(ROUND(AVERAGE(K.Sem[[#This Row],[Rata2 Mid.NK]:[NK 10]]),0),"")</f>
        <v/>
      </c>
      <c r="R23" s="11" t="str">
        <f>IF(K.Sem[[#This Row],[Rata2 NK]]="","Belum Terukur",IF(K.Sem[[#This Row],[Rata2 NK]]&gt;=92,"A",IF(K.Sem[[#This Row],[Rata2 NK]]&gt;=83,"B",IF(K.Sem[[#This Row],[Rata2 NK]]&gt;=75,"C","D"))))</f>
        <v>Belum Terukur</v>
      </c>
      <c r="S23" s="61" t="str">
        <f t="shared" si="0"/>
        <v xml:space="preserve">Siswa menunjukkan kemampuannya namun masih memerlukan bimbingan dalam </v>
      </c>
      <c r="U23" s="100"/>
      <c r="V23" s="102"/>
      <c r="W23" s="60" t="str">
        <f>IF(K.Sem[[#This Row],[Predikat]]="A",$V$3,IF(K.Sem[[#This Row],[Predikat]]="B",$V$4,IF(K.Sem[[#This Row],[Predikat]]="C",$V$5,$V$6)))</f>
        <v xml:space="preserve">namun masih memerlukan bimbingan </v>
      </c>
    </row>
    <row r="24" spans="1:23" ht="50.1" customHeight="1" x14ac:dyDescent="0.3">
      <c r="A24" s="10" t="str">
        <f>IF(NSi.TS[[#This Row],[No]]=0,"",NSi.TS[[#This Row],[No]])</f>
        <v/>
      </c>
      <c r="B24" s="49" t="str">
        <f>IF(NSi.TS[[#This Row],[Nama Siswa]]=0,"",NSi.TS[[#This Row],[Nama Siswa]])</f>
        <v/>
      </c>
      <c r="C24" s="10" t="str">
        <f>IF(NSi.TS[[#This Row],[Nomor Induk]]=0,"",NSi.TS[[#This Row],[Nomor Induk]])</f>
        <v/>
      </c>
      <c r="D24" s="10" t="str">
        <f>IF(NSi.TS[[#This Row],[NISN]]=0,"",NSi.TS[[#This Row],[NISN]])</f>
        <v/>
      </c>
      <c r="E24" s="10" t="str">
        <f>IF(NSi.TS[[#This Row],[Jurusan]]=0,"",NSi.TS[[#This Row],[Jurusan]])</f>
        <v/>
      </c>
      <c r="F24" s="43" t="str">
        <f>K.Mid.S[[#This Row],[Rata2 NK]]</f>
        <v/>
      </c>
      <c r="G24" s="15"/>
      <c r="H24" s="15"/>
      <c r="I24" s="15"/>
      <c r="J24" s="15"/>
      <c r="K24" s="15"/>
      <c r="L24" s="15"/>
      <c r="M24" s="15"/>
      <c r="N24" s="15"/>
      <c r="O24" s="15"/>
      <c r="P24" s="15"/>
      <c r="Q24" s="20" t="str">
        <f>IFERROR(ROUND(AVERAGE(K.Sem[[#This Row],[Rata2 Mid.NK]:[NK 10]]),0),"")</f>
        <v/>
      </c>
      <c r="R24" s="11" t="str">
        <f>IF(K.Sem[[#This Row],[Rata2 NK]]="","Belum Terukur",IF(K.Sem[[#This Row],[Rata2 NK]]&gt;=92,"A",IF(K.Sem[[#This Row],[Rata2 NK]]&gt;=83,"B",IF(K.Sem[[#This Row],[Rata2 NK]]&gt;=75,"C","D"))))</f>
        <v>Belum Terukur</v>
      </c>
      <c r="S24" s="61" t="str">
        <f t="shared" si="0"/>
        <v xml:space="preserve">Siswa menunjukkan kemampuannya namun masih memerlukan bimbingan dalam </v>
      </c>
      <c r="U24" s="100"/>
      <c r="V24" s="102"/>
      <c r="W24" s="60" t="str">
        <f>IF(K.Sem[[#This Row],[Predikat]]="A",$V$3,IF(K.Sem[[#This Row],[Predikat]]="B",$V$4,IF(K.Sem[[#This Row],[Predikat]]="C",$V$5,$V$6)))</f>
        <v xml:space="preserve">namun masih memerlukan bimbingan </v>
      </c>
    </row>
    <row r="25" spans="1:23" ht="50.1" customHeight="1" x14ac:dyDescent="0.3">
      <c r="A25" s="10" t="str">
        <f>IF(NSi.TS[[#This Row],[No]]=0,"",NSi.TS[[#This Row],[No]])</f>
        <v/>
      </c>
      <c r="B25" s="49" t="str">
        <f>IF(NSi.TS[[#This Row],[Nama Siswa]]=0,"",NSi.TS[[#This Row],[Nama Siswa]])</f>
        <v/>
      </c>
      <c r="C25" s="10" t="str">
        <f>IF(NSi.TS[[#This Row],[Nomor Induk]]=0,"",NSi.TS[[#This Row],[Nomor Induk]])</f>
        <v/>
      </c>
      <c r="D25" s="10" t="str">
        <f>IF(NSi.TS[[#This Row],[NISN]]=0,"",NSi.TS[[#This Row],[NISN]])</f>
        <v/>
      </c>
      <c r="E25" s="10" t="str">
        <f>IF(NSi.TS[[#This Row],[Jurusan]]=0,"",NSi.TS[[#This Row],[Jurusan]])</f>
        <v/>
      </c>
      <c r="F25" s="43" t="str">
        <f>K.Mid.S[[#This Row],[Rata2 NK]]</f>
        <v/>
      </c>
      <c r="G25" s="15"/>
      <c r="H25" s="15"/>
      <c r="I25" s="15"/>
      <c r="J25" s="15"/>
      <c r="K25" s="15"/>
      <c r="L25" s="15"/>
      <c r="M25" s="15"/>
      <c r="N25" s="15"/>
      <c r="O25" s="15"/>
      <c r="P25" s="15"/>
      <c r="Q25" s="20" t="str">
        <f>IFERROR(ROUND(AVERAGE(K.Sem[[#This Row],[Rata2 Mid.NK]:[NK 10]]),0),"")</f>
        <v/>
      </c>
      <c r="R25" s="11" t="str">
        <f>IF(K.Sem[[#This Row],[Rata2 NK]]="","Belum Terukur",IF(K.Sem[[#This Row],[Rata2 NK]]&gt;=92,"A",IF(K.Sem[[#This Row],[Rata2 NK]]&gt;=83,"B",IF(K.Sem[[#This Row],[Rata2 NK]]&gt;=75,"C","D"))))</f>
        <v>Belum Terukur</v>
      </c>
      <c r="S25" s="61" t="str">
        <f t="shared" si="0"/>
        <v xml:space="preserve">Siswa menunjukkan kemampuannya namun masih memerlukan bimbingan dalam </v>
      </c>
      <c r="U25" s="100"/>
      <c r="V25" s="102"/>
      <c r="W25" s="60" t="str">
        <f>IF(K.Sem[[#This Row],[Predikat]]="A",$V$3,IF(K.Sem[[#This Row],[Predikat]]="B",$V$4,IF(K.Sem[[#This Row],[Predikat]]="C",$V$5,$V$6)))</f>
        <v xml:space="preserve">namun masih memerlukan bimbingan </v>
      </c>
    </row>
    <row r="26" spans="1:23" ht="50.1" customHeight="1" x14ac:dyDescent="0.3">
      <c r="A26" s="10" t="str">
        <f>IF(NSi.TS[[#This Row],[No]]=0,"",NSi.TS[[#This Row],[No]])</f>
        <v/>
      </c>
      <c r="B26" s="49" t="str">
        <f>IF(NSi.TS[[#This Row],[Nama Siswa]]=0,"",NSi.TS[[#This Row],[Nama Siswa]])</f>
        <v/>
      </c>
      <c r="C26" s="10" t="str">
        <f>IF(NSi.TS[[#This Row],[Nomor Induk]]=0,"",NSi.TS[[#This Row],[Nomor Induk]])</f>
        <v/>
      </c>
      <c r="D26" s="10" t="str">
        <f>IF(NSi.TS[[#This Row],[NISN]]=0,"",NSi.TS[[#This Row],[NISN]])</f>
        <v/>
      </c>
      <c r="E26" s="10" t="str">
        <f>IF(NSi.TS[[#This Row],[Jurusan]]=0,"",NSi.TS[[#This Row],[Jurusan]])</f>
        <v/>
      </c>
      <c r="F26" s="43" t="str">
        <f>K.Mid.S[[#This Row],[Rata2 NK]]</f>
        <v/>
      </c>
      <c r="G26" s="15"/>
      <c r="H26" s="15"/>
      <c r="I26" s="15"/>
      <c r="J26" s="15"/>
      <c r="K26" s="15"/>
      <c r="L26" s="15"/>
      <c r="M26" s="15"/>
      <c r="N26" s="15"/>
      <c r="O26" s="15"/>
      <c r="P26" s="15"/>
      <c r="Q26" s="20" t="str">
        <f>IFERROR(ROUND(AVERAGE(K.Sem[[#This Row],[Rata2 Mid.NK]:[NK 10]]),0),"")</f>
        <v/>
      </c>
      <c r="R26" s="11" t="str">
        <f>IF(K.Sem[[#This Row],[Rata2 NK]]="","Belum Terukur",IF(K.Sem[[#This Row],[Rata2 NK]]&gt;=92,"A",IF(K.Sem[[#This Row],[Rata2 NK]]&gt;=83,"B",IF(K.Sem[[#This Row],[Rata2 NK]]&gt;=75,"C","D"))))</f>
        <v>Belum Terukur</v>
      </c>
      <c r="S26" s="61" t="str">
        <f t="shared" si="0"/>
        <v xml:space="preserve">Siswa menunjukkan kemampuannya namun masih memerlukan bimbingan dalam </v>
      </c>
      <c r="U26" s="100"/>
      <c r="V26" s="102"/>
      <c r="W26" s="60" t="str">
        <f>IF(K.Sem[[#This Row],[Predikat]]="A",$V$3,IF(K.Sem[[#This Row],[Predikat]]="B",$V$4,IF(K.Sem[[#This Row],[Predikat]]="C",$V$5,$V$6)))</f>
        <v xml:space="preserve">namun masih memerlukan bimbingan </v>
      </c>
    </row>
    <row r="27" spans="1:23" ht="50.1" customHeight="1" x14ac:dyDescent="0.3">
      <c r="A27" s="10" t="str">
        <f>IF(NSi.TS[[#This Row],[No]]=0,"",NSi.TS[[#This Row],[No]])</f>
        <v/>
      </c>
      <c r="B27" s="49" t="str">
        <f>IF(NSi.TS[[#This Row],[Nama Siswa]]=0,"",NSi.TS[[#This Row],[Nama Siswa]])</f>
        <v/>
      </c>
      <c r="C27" s="10" t="str">
        <f>IF(NSi.TS[[#This Row],[Nomor Induk]]=0,"",NSi.TS[[#This Row],[Nomor Induk]])</f>
        <v/>
      </c>
      <c r="D27" s="10" t="str">
        <f>IF(NSi.TS[[#This Row],[NISN]]=0,"",NSi.TS[[#This Row],[NISN]])</f>
        <v/>
      </c>
      <c r="E27" s="10" t="str">
        <f>IF(NSi.TS[[#This Row],[Jurusan]]=0,"",NSi.TS[[#This Row],[Jurusan]])</f>
        <v/>
      </c>
      <c r="F27" s="43" t="str">
        <f>K.Mid.S[[#This Row],[Rata2 NK]]</f>
        <v/>
      </c>
      <c r="G27" s="15"/>
      <c r="H27" s="15"/>
      <c r="I27" s="15"/>
      <c r="J27" s="15"/>
      <c r="K27" s="15"/>
      <c r="L27" s="15"/>
      <c r="M27" s="15"/>
      <c r="N27" s="15"/>
      <c r="O27" s="15"/>
      <c r="P27" s="15"/>
      <c r="Q27" s="20" t="str">
        <f>IFERROR(ROUND(AVERAGE(K.Sem[[#This Row],[Rata2 Mid.NK]:[NK 10]]),0),"")</f>
        <v/>
      </c>
      <c r="R27" s="11" t="str">
        <f>IF(K.Sem[[#This Row],[Rata2 NK]]="","Belum Terukur",IF(K.Sem[[#This Row],[Rata2 NK]]&gt;=92,"A",IF(K.Sem[[#This Row],[Rata2 NK]]&gt;=83,"B",IF(K.Sem[[#This Row],[Rata2 NK]]&gt;=75,"C","D"))))</f>
        <v>Belum Terukur</v>
      </c>
      <c r="S27" s="61" t="str">
        <f t="shared" si="0"/>
        <v xml:space="preserve">Siswa menunjukkan kemampuannya namun masih memerlukan bimbingan dalam </v>
      </c>
      <c r="U27" s="100"/>
      <c r="V27" s="103"/>
      <c r="W27" s="60" t="str">
        <f>IF(K.Sem[[#This Row],[Predikat]]="A",$V$3,IF(K.Sem[[#This Row],[Predikat]]="B",$V$4,IF(K.Sem[[#This Row],[Predikat]]="C",$V$5,$V$6)))</f>
        <v xml:space="preserve">namun masih memerlukan bimbingan </v>
      </c>
    </row>
  </sheetData>
  <sheetProtection selectLockedCells="1"/>
  <mergeCells count="4">
    <mergeCell ref="U3:U27"/>
    <mergeCell ref="V7:V27"/>
    <mergeCell ref="G1:P1"/>
    <mergeCell ref="Q1:R1"/>
  </mergeCells>
  <phoneticPr fontId="5" type="noConversion"/>
  <conditionalFormatting sqref="A3:E27">
    <cfRule type="notContainsBlanks" dxfId="27" priority="1">
      <formula>LEN(TRIM(A3))&gt;0</formula>
    </cfRule>
  </conditionalFormatting>
  <conditionalFormatting sqref="F3:Q27">
    <cfRule type="iconSet" priority="2">
      <iconSet>
        <cfvo type="percent" val="0"/>
        <cfvo type="num" val="50"/>
        <cfvo type="num" val="70"/>
      </iconSet>
    </cfRule>
  </conditionalFormatting>
  <dataValidations count="5">
    <dataValidation allowBlank="1" showInputMessage="1" showErrorMessage="1" prompt="Rata-Rata Nilai Tengah Semester untuk Nilai Keterampilan" sqref="F3:F27" xr:uid="{EB9D0940-2DC6-4ED2-B669-F7D4609ACE36}"/>
    <dataValidation allowBlank="1" showInputMessage="1" showErrorMessage="1" prompt="Rata-Rata Nilai Semester untuk Nilai Keterampilan" sqref="Q3:Q27" xr:uid="{36C9ED58-15E4-4C67-A5A8-4836B7A1079C}"/>
    <dataValidation allowBlank="1" showInputMessage="1" showErrorMessage="1" prompt="Nilai Konversi yang diambil dari Predikat A, B, C, atau D" sqref="W3:W27" xr:uid="{AAFB146C-1CA2-4CD1-B7AD-BAC1EA05255C}"/>
    <dataValidation allowBlank="1" showInputMessage="1" showErrorMessage="1" prompt="Isilah dengan KD yang diajarkan di semester ini dengan diawali kata kerja yang ingin dicapai untuk siswa/peserta didik" sqref="U3:U27" xr:uid="{7F9138BB-8041-46AF-9793-16A81155EF99}"/>
    <dataValidation allowBlank="1" showInputMessage="1" showErrorMessage="1" prompt="Nilai Keterampilan untuk Raport di Akhir Semester" sqref="R3:S27" xr:uid="{C9616C1A-229D-43FF-B509-A9EF1672258A}"/>
  </dataValidations>
  <pageMargins left="0.7" right="0.7" top="0.75" bottom="0.75" header="0.3" footer="0.3"/>
  <pageSetup orientation="portrait" horizontalDpi="360" verticalDpi="36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2 u Q T 6 n M 7 x e n A A A A + A A A A B I A H A B D b 2 5 m a W c v U G F j a 2 F n Z S 5 4 b W w g o h g A K K A U A A A A A A A A A A A A A A A A A A A A A A A A A A A A h Y 8 x D o I w G E a v Q r r T F g Q V 8 l M G V 0 l M i M a 1 g Q q N U A w t l r s 5 e C S v I I m i b o 7 f y x v e 9 7 j d I R 3 b x r m K X s t O J c j D F D l C F V 0 p V Z W g w Z z c N U o Z 7 H h x 5 p V w J l n p e N R l g m p j L j E h 1 l p s F 7 j r K + J T 6 p F j t s 2 L W r Q c f W T 5 X 3 a l 0 o a r Q i A G h 1 c M 8 / E q x O E y i H A U e E B m D J l U X 8 W f i j E F 8 g N h M z R m 6 A U T y t 3 n Q O Y J 5 P 2 C P Q F Q S w M E F A A C A A g A k 2 u Q 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N r k E 8 o i k e 4 D g A A A B E A A A A T A B w A R m 9 y b X V s Y X M v U 2 V j d G l v b j E u b S C i G A A o o B Q A A A A A A A A A A A A A A A A A A A A A A A A A A A A r T k 0 u y c z P U w i G 0 I b W A F B L A Q I t A B Q A A g A I A J N r k E + p z O 8 X p w A A A P g A A A A S A A A A A A A A A A A A A A A A A A A A A A B D b 2 5 m a W c v U G F j a 2 F n Z S 5 4 b W x Q S w E C L Q A U A A I A C A C T a 5 B P D 8 r p q 6 Q A A A D p A A A A E w A A A A A A A A A A A A A A A A D z A A A A W 0 N v b n R l b n R f V H l w Z X N d L n h t b F B L A Q I t A B Q A A g A I A J N r k E 8 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5 F k 2 U k 6 F 4 Q Y 5 b J x V A q Q 4 C A A A A A A I A A A A A A B B m A A A A A Q A A I A A A A C z P k A G 7 m S Z l S j 4 M u q l 6 A p H Z o b U i 9 a p L e g g T 6 E D T / E v 4 A A A A A A 6 A A A A A A g A A I A A A A A D g y 0 l M b L R o e d j h C S i s A v R a T K 9 z V m G L h 9 c j N g Z S P h K 5 U A A A A J I t J m 4 S 3 c r v A N e 3 Q W t t T n 9 6 N q C F t M E K t j C + g F 7 3 f G n g Y R z m 0 V e 3 9 A u f Y n V Q y V 7 x c w V l x T D f N + M b 0 0 A o T c f 9 p u 9 Y Y m L b B k 6 p l G 3 t z h U T g 7 k O Q A A A A H Z U m 3 y b k i 9 j e k R X 0 q 3 F q H o C l o H Z A 0 X n + d d m M 7 b 8 u K C o d i A w r 4 P 0 2 b Z + + y D b h y C w t X E V b 6 / w L + n B x / S o V F 6 v t a M = < / D a t a M a s h u p > 
</file>

<file path=customXml/itemProps1.xml><?xml version="1.0" encoding="utf-8"?>
<ds:datastoreItem xmlns:ds="http://schemas.openxmlformats.org/officeDocument/2006/customXml" ds:itemID="{9B5E041D-1CF7-40F6-B22E-FE5509BF83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vt:lpstr>
      <vt:lpstr>NS (Mid.S)</vt:lpstr>
      <vt:lpstr>NP (Mid.S)</vt:lpstr>
      <vt:lpstr>NK (Mid.S)</vt:lpstr>
      <vt:lpstr>NS (S)</vt:lpstr>
      <vt:lpstr>NP (S)</vt:lpstr>
      <vt:lpstr>NK (S)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Iswahyudhi Rahman</dc:creator>
  <cp:keywords/>
  <dc:description/>
  <cp:lastModifiedBy>ASUS</cp:lastModifiedBy>
  <cp:revision/>
  <dcterms:created xsi:type="dcterms:W3CDTF">2019-12-12T06:57:46Z</dcterms:created>
  <dcterms:modified xsi:type="dcterms:W3CDTF">2023-02-28T04:12:46Z</dcterms:modified>
  <cp:category/>
  <cp:contentStatus/>
</cp:coreProperties>
</file>