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jalee/Documents/Northwestern/475 - Project Management/Module 8 EVA/"/>
    </mc:Choice>
  </mc:AlternateContent>
  <xr:revisionPtr revIDLastSave="0" documentId="13_ncr:1_{714E91E8-0F5F-EF4B-AAAD-17B85D7489FD}" xr6:coauthVersionLast="43" xr6:coauthVersionMax="43" xr10:uidLastSave="{00000000-0000-0000-0000-000000000000}"/>
  <bookViews>
    <workbookView xWindow="0" yWindow="460" windowWidth="33600" windowHeight="19460" activeTab="4" xr2:uid="{EE4EF277-8627-D84A-9D05-026AF67EAC17}"/>
  </bookViews>
  <sheets>
    <sheet name="EVA" sheetId="1" r:id="rId1"/>
    <sheet name="EVA 6 Periods" sheetId="2" r:id="rId2"/>
    <sheet name="Status Report" sheetId="3" r:id="rId3"/>
    <sheet name="Final Question 4" sheetId="4" r:id="rId4"/>
    <sheet name="Final Quest 4 statu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4" i="5" l="1"/>
  <c r="H14" i="5"/>
  <c r="G14" i="5"/>
  <c r="F14" i="5" s="1"/>
  <c r="L11" i="5"/>
  <c r="H11" i="5"/>
  <c r="D14" i="5" s="1"/>
  <c r="I88" i="4"/>
  <c r="J87" i="4"/>
  <c r="H87" i="4"/>
  <c r="M87" i="4" s="1"/>
  <c r="N86" i="4"/>
  <c r="M86" i="4"/>
  <c r="L86" i="4"/>
  <c r="J86" i="4"/>
  <c r="H86" i="4"/>
  <c r="K86" i="4" s="1"/>
  <c r="J85" i="4"/>
  <c r="J88" i="4" s="1"/>
  <c r="H85" i="4"/>
  <c r="N85" i="4" s="1"/>
  <c r="H84" i="4"/>
  <c r="M84" i="4" s="1"/>
  <c r="N83" i="4"/>
  <c r="M83" i="4"/>
  <c r="L83" i="4"/>
  <c r="K83" i="4"/>
  <c r="N82" i="4"/>
  <c r="M82" i="4"/>
  <c r="L82" i="4"/>
  <c r="K82" i="4"/>
  <c r="H81" i="4"/>
  <c r="L81" i="4" s="1"/>
  <c r="N80" i="4"/>
  <c r="M80" i="4"/>
  <c r="L80" i="4"/>
  <c r="K80" i="4"/>
  <c r="N79" i="4"/>
  <c r="M79" i="4"/>
  <c r="L79" i="4"/>
  <c r="K79" i="4"/>
  <c r="N78" i="4"/>
  <c r="M78" i="4"/>
  <c r="L78" i="4"/>
  <c r="K78" i="4"/>
  <c r="N77" i="4"/>
  <c r="M77" i="4"/>
  <c r="L77" i="4"/>
  <c r="K77" i="4"/>
  <c r="J72" i="4"/>
  <c r="I72" i="4"/>
  <c r="J71" i="4"/>
  <c r="H71" i="4"/>
  <c r="N71" i="4" s="1"/>
  <c r="J70" i="4"/>
  <c r="H70" i="4"/>
  <c r="M70" i="4" s="1"/>
  <c r="N69" i="4"/>
  <c r="M69" i="4"/>
  <c r="K69" i="4"/>
  <c r="J69" i="4"/>
  <c r="H69" i="4"/>
  <c r="L69" i="4" s="1"/>
  <c r="J68" i="4"/>
  <c r="H68" i="4"/>
  <c r="L68" i="4" s="1"/>
  <c r="N67" i="4"/>
  <c r="M67" i="4"/>
  <c r="L67" i="4"/>
  <c r="K67" i="4"/>
  <c r="N66" i="4"/>
  <c r="M66" i="4"/>
  <c r="L66" i="4"/>
  <c r="K66" i="4"/>
  <c r="J65" i="4"/>
  <c r="H65" i="4"/>
  <c r="H72" i="4" s="1"/>
  <c r="N64" i="4"/>
  <c r="M64" i="4"/>
  <c r="L64" i="4"/>
  <c r="K64" i="4"/>
  <c r="N63" i="4"/>
  <c r="M63" i="4"/>
  <c r="L63" i="4"/>
  <c r="K63" i="4"/>
  <c r="N62" i="4"/>
  <c r="M62" i="4"/>
  <c r="L62" i="4"/>
  <c r="K62" i="4"/>
  <c r="N61" i="4"/>
  <c r="M61" i="4"/>
  <c r="L61" i="4"/>
  <c r="K61" i="4"/>
  <c r="I56" i="4"/>
  <c r="H56" i="4"/>
  <c r="M56" i="4" s="1"/>
  <c r="N55" i="4"/>
  <c r="L55" i="4"/>
  <c r="J55" i="4"/>
  <c r="H55" i="4"/>
  <c r="M55" i="4" s="1"/>
  <c r="J54" i="4"/>
  <c r="H54" i="4"/>
  <c r="K54" i="4" s="1"/>
  <c r="J53" i="4"/>
  <c r="J56" i="4" s="1"/>
  <c r="H53" i="4"/>
  <c r="N53" i="4" s="1"/>
  <c r="N52" i="4"/>
  <c r="M52" i="4"/>
  <c r="L52" i="4"/>
  <c r="K52" i="4"/>
  <c r="N51" i="4"/>
  <c r="M51" i="4"/>
  <c r="L51" i="4"/>
  <c r="K51" i="4"/>
  <c r="J50" i="4"/>
  <c r="H50" i="4"/>
  <c r="L50" i="4" s="1"/>
  <c r="N49" i="4"/>
  <c r="M49" i="4"/>
  <c r="L49" i="4"/>
  <c r="H49" i="4"/>
  <c r="K49" i="4" s="1"/>
  <c r="N48" i="4"/>
  <c r="M48" i="4"/>
  <c r="L48" i="4"/>
  <c r="K48" i="4"/>
  <c r="N47" i="4"/>
  <c r="M47" i="4"/>
  <c r="L47" i="4"/>
  <c r="K47" i="4"/>
  <c r="N46" i="4"/>
  <c r="M46" i="4"/>
  <c r="L46" i="4"/>
  <c r="K46" i="4"/>
  <c r="I41" i="4"/>
  <c r="J40" i="4"/>
  <c r="H40" i="4"/>
  <c r="M40" i="4" s="1"/>
  <c r="N39" i="4"/>
  <c r="M39" i="4"/>
  <c r="L39" i="4"/>
  <c r="K39" i="4"/>
  <c r="N38" i="4"/>
  <c r="M38" i="4"/>
  <c r="L38" i="4"/>
  <c r="K38" i="4"/>
  <c r="J38" i="4"/>
  <c r="M37" i="4"/>
  <c r="J37" i="4"/>
  <c r="H37" i="4"/>
  <c r="L37" i="4" s="1"/>
  <c r="J36" i="4"/>
  <c r="J41" i="4" s="1"/>
  <c r="H36" i="4"/>
  <c r="M36" i="4" s="1"/>
  <c r="N35" i="4"/>
  <c r="M35" i="4"/>
  <c r="L35" i="4"/>
  <c r="K35" i="4"/>
  <c r="N34" i="4"/>
  <c r="M34" i="4"/>
  <c r="L34" i="4"/>
  <c r="K34" i="4"/>
  <c r="N33" i="4"/>
  <c r="M33" i="4"/>
  <c r="L33" i="4"/>
  <c r="K33" i="4"/>
  <c r="I28" i="4"/>
  <c r="J27" i="4"/>
  <c r="H27" i="4"/>
  <c r="K27" i="4" s="1"/>
  <c r="J26" i="4"/>
  <c r="H26" i="4"/>
  <c r="L26" i="4" s="1"/>
  <c r="N25" i="4"/>
  <c r="J25" i="4"/>
  <c r="J28" i="4" s="1"/>
  <c r="H25" i="4"/>
  <c r="M25" i="4" s="1"/>
  <c r="N24" i="4"/>
  <c r="M24" i="4"/>
  <c r="L24" i="4"/>
  <c r="K24" i="4"/>
  <c r="N23" i="4"/>
  <c r="M23" i="4"/>
  <c r="L23" i="4"/>
  <c r="K23" i="4"/>
  <c r="N22" i="4"/>
  <c r="M22" i="4"/>
  <c r="L22" i="4"/>
  <c r="K22" i="4"/>
  <c r="J17" i="4"/>
  <c r="I17" i="4"/>
  <c r="H17" i="4"/>
  <c r="N16" i="4"/>
  <c r="M16" i="4"/>
  <c r="L16" i="4"/>
  <c r="L17" i="4" s="1"/>
  <c r="K16" i="4"/>
  <c r="K17" i="4" s="1"/>
  <c r="I14" i="5" l="1"/>
  <c r="E14" i="5"/>
  <c r="N17" i="4"/>
  <c r="K72" i="4"/>
  <c r="N72" i="4"/>
  <c r="M72" i="4"/>
  <c r="K36" i="4"/>
  <c r="K41" i="4" s="1"/>
  <c r="K84" i="4"/>
  <c r="K88" i="4" s="1"/>
  <c r="L84" i="4"/>
  <c r="L88" i="4" s="1"/>
  <c r="L53" i="4"/>
  <c r="L56" i="4" s="1"/>
  <c r="K53" i="4"/>
  <c r="N54" i="4"/>
  <c r="K65" i="4"/>
  <c r="M68" i="4"/>
  <c r="K71" i="4"/>
  <c r="L85" i="4"/>
  <c r="K70" i="4"/>
  <c r="N36" i="4"/>
  <c r="N84" i="4"/>
  <c r="M50" i="4"/>
  <c r="N56" i="4"/>
  <c r="N70" i="4"/>
  <c r="N87" i="4"/>
  <c r="K85" i="4"/>
  <c r="M27" i="4"/>
  <c r="N37" i="4"/>
  <c r="H41" i="4"/>
  <c r="L65" i="4"/>
  <c r="N68" i="4"/>
  <c r="L71" i="4"/>
  <c r="M85" i="4"/>
  <c r="L36" i="4"/>
  <c r="L41" i="4" s="1"/>
  <c r="K87" i="4"/>
  <c r="L87" i="4"/>
  <c r="H88" i="4"/>
  <c r="L27" i="4"/>
  <c r="N27" i="4"/>
  <c r="M65" i="4"/>
  <c r="M71" i="4"/>
  <c r="M26" i="4"/>
  <c r="L70" i="4"/>
  <c r="L72" i="4" s="1"/>
  <c r="K37" i="4"/>
  <c r="N50" i="4"/>
  <c r="K68" i="4"/>
  <c r="M81" i="4"/>
  <c r="N40" i="4"/>
  <c r="K25" i="4"/>
  <c r="H28" i="4"/>
  <c r="K55" i="4"/>
  <c r="N65" i="4"/>
  <c r="M53" i="4"/>
  <c r="N26" i="4"/>
  <c r="K81" i="4"/>
  <c r="N81" i="4"/>
  <c r="K26" i="4"/>
  <c r="K50" i="4"/>
  <c r="K56" i="4" s="1"/>
  <c r="K40" i="4"/>
  <c r="L40" i="4"/>
  <c r="L25" i="4"/>
  <c r="L28" i="4" s="1"/>
  <c r="L11" i="3"/>
  <c r="N14" i="3"/>
  <c r="H11" i="3"/>
  <c r="D14" i="3" s="1"/>
  <c r="G14" i="3"/>
  <c r="F14" i="3" s="1"/>
  <c r="H14" i="3"/>
  <c r="H84" i="2"/>
  <c r="J85" i="2"/>
  <c r="J88" i="2" s="1"/>
  <c r="H85" i="2"/>
  <c r="N85" i="2" s="1"/>
  <c r="H86" i="2"/>
  <c r="M86" i="2" s="1"/>
  <c r="J86" i="2"/>
  <c r="J87" i="2"/>
  <c r="H87" i="2"/>
  <c r="H70" i="2"/>
  <c r="N70" i="2" s="1"/>
  <c r="H71" i="2"/>
  <c r="N71" i="2" s="1"/>
  <c r="J71" i="2"/>
  <c r="J70" i="2"/>
  <c r="H69" i="2"/>
  <c r="K69" i="2" s="1"/>
  <c r="H68" i="2"/>
  <c r="J68" i="2"/>
  <c r="J69" i="2"/>
  <c r="H65" i="2"/>
  <c r="J65" i="2"/>
  <c r="J72" i="2" s="1"/>
  <c r="H55" i="2"/>
  <c r="M55" i="2" s="1"/>
  <c r="J55" i="2"/>
  <c r="J54" i="2"/>
  <c r="H54" i="2" s="1"/>
  <c r="N54" i="2" s="1"/>
  <c r="J53" i="2"/>
  <c r="J56" i="2" s="1"/>
  <c r="H53" i="2"/>
  <c r="N53" i="2" s="1"/>
  <c r="H50" i="2"/>
  <c r="J50" i="2"/>
  <c r="J36" i="2"/>
  <c r="H40" i="2"/>
  <c r="J40" i="2"/>
  <c r="H37" i="2"/>
  <c r="H36" i="2"/>
  <c r="J38" i="2"/>
  <c r="N38" i="2"/>
  <c r="J37" i="2"/>
  <c r="H27" i="2"/>
  <c r="J27" i="2"/>
  <c r="N27" i="2" s="1"/>
  <c r="H26" i="2"/>
  <c r="K26" i="2" s="1"/>
  <c r="J26" i="2"/>
  <c r="J28" i="2" s="1"/>
  <c r="N25" i="2"/>
  <c r="H25" i="2"/>
  <c r="J25" i="2"/>
  <c r="I88" i="2"/>
  <c r="I72" i="2"/>
  <c r="I56" i="2"/>
  <c r="I41" i="2"/>
  <c r="N87" i="2"/>
  <c r="M84" i="2"/>
  <c r="N83" i="2"/>
  <c r="M83" i="2"/>
  <c r="L83" i="2"/>
  <c r="K83" i="2"/>
  <c r="N82" i="2"/>
  <c r="M82" i="2"/>
  <c r="L82" i="2"/>
  <c r="K82" i="2"/>
  <c r="H81" i="2"/>
  <c r="L81" i="2" s="1"/>
  <c r="N80" i="2"/>
  <c r="M80" i="2"/>
  <c r="L80" i="2"/>
  <c r="K80" i="2"/>
  <c r="N79" i="2"/>
  <c r="M79" i="2"/>
  <c r="L79" i="2"/>
  <c r="K79" i="2"/>
  <c r="N78" i="2"/>
  <c r="M78" i="2"/>
  <c r="L78" i="2"/>
  <c r="K78" i="2"/>
  <c r="N77" i="2"/>
  <c r="M77" i="2"/>
  <c r="L77" i="2"/>
  <c r="K77" i="2"/>
  <c r="M68" i="2"/>
  <c r="N67" i="2"/>
  <c r="M67" i="2"/>
  <c r="L67" i="2"/>
  <c r="K67" i="2"/>
  <c r="N66" i="2"/>
  <c r="M66" i="2"/>
  <c r="L66" i="2"/>
  <c r="K66" i="2"/>
  <c r="K65" i="2"/>
  <c r="N64" i="2"/>
  <c r="M64" i="2"/>
  <c r="L64" i="2"/>
  <c r="K64" i="2"/>
  <c r="N63" i="2"/>
  <c r="M63" i="2"/>
  <c r="L63" i="2"/>
  <c r="K63" i="2"/>
  <c r="N62" i="2"/>
  <c r="M62" i="2"/>
  <c r="L62" i="2"/>
  <c r="K62" i="2"/>
  <c r="N61" i="2"/>
  <c r="M61" i="2"/>
  <c r="L61" i="2"/>
  <c r="K61" i="2"/>
  <c r="N52" i="2"/>
  <c r="M52" i="2"/>
  <c r="L52" i="2"/>
  <c r="K52" i="2"/>
  <c r="N51" i="2"/>
  <c r="M51" i="2"/>
  <c r="L51" i="2"/>
  <c r="K51" i="2"/>
  <c r="L50" i="2"/>
  <c r="H49" i="2"/>
  <c r="L49" i="2" s="1"/>
  <c r="N48" i="2"/>
  <c r="M48" i="2"/>
  <c r="L48" i="2"/>
  <c r="K48" i="2"/>
  <c r="N47" i="2"/>
  <c r="M47" i="2"/>
  <c r="L47" i="2"/>
  <c r="K47" i="2"/>
  <c r="N46" i="2"/>
  <c r="M46" i="2"/>
  <c r="L46" i="2"/>
  <c r="K46" i="2"/>
  <c r="I28" i="2"/>
  <c r="N40" i="2"/>
  <c r="N39" i="2"/>
  <c r="M39" i="2"/>
  <c r="L39" i="2"/>
  <c r="K39" i="2"/>
  <c r="M38" i="2"/>
  <c r="K38" i="2"/>
  <c r="K37" i="2"/>
  <c r="N36" i="2"/>
  <c r="N35" i="2"/>
  <c r="M35" i="2"/>
  <c r="L35" i="2"/>
  <c r="K35" i="2"/>
  <c r="N34" i="2"/>
  <c r="M34" i="2"/>
  <c r="L34" i="2"/>
  <c r="K34" i="2"/>
  <c r="N33" i="2"/>
  <c r="M33" i="2"/>
  <c r="L33" i="2"/>
  <c r="K33" i="2"/>
  <c r="L25" i="2"/>
  <c r="N24" i="2"/>
  <c r="M24" i="2"/>
  <c r="L24" i="2"/>
  <c r="K24" i="2"/>
  <c r="N23" i="2"/>
  <c r="M23" i="2"/>
  <c r="L23" i="2"/>
  <c r="K23" i="2"/>
  <c r="N22" i="2"/>
  <c r="M22" i="2"/>
  <c r="L22" i="2"/>
  <c r="K22" i="2"/>
  <c r="J17" i="2"/>
  <c r="I17" i="2"/>
  <c r="H17" i="2"/>
  <c r="N16" i="2"/>
  <c r="M16" i="2"/>
  <c r="L16" i="2"/>
  <c r="L17" i="2" s="1"/>
  <c r="K16" i="2"/>
  <c r="K17" i="2" s="1"/>
  <c r="G143" i="1"/>
  <c r="D142" i="1"/>
  <c r="G142" i="1" s="1"/>
  <c r="D141" i="1"/>
  <c r="G141" i="1" s="1"/>
  <c r="D140" i="1"/>
  <c r="J140" i="1" s="1"/>
  <c r="D139" i="1"/>
  <c r="J139" i="1" s="1"/>
  <c r="D138" i="1"/>
  <c r="I138" i="1" s="1"/>
  <c r="D137" i="1"/>
  <c r="J137" i="1" s="1"/>
  <c r="J136" i="1"/>
  <c r="I136" i="1"/>
  <c r="H136" i="1"/>
  <c r="G136" i="1"/>
  <c r="J135" i="1"/>
  <c r="I135" i="1"/>
  <c r="H135" i="1"/>
  <c r="G135" i="1"/>
  <c r="D134" i="1"/>
  <c r="J134" i="1" s="1"/>
  <c r="J133" i="1"/>
  <c r="I133" i="1"/>
  <c r="H133" i="1"/>
  <c r="G133" i="1"/>
  <c r="J132" i="1"/>
  <c r="I132" i="1"/>
  <c r="H132" i="1"/>
  <c r="G132" i="1"/>
  <c r="J131" i="1"/>
  <c r="I131" i="1"/>
  <c r="H131" i="1"/>
  <c r="G131" i="1"/>
  <c r="J130" i="1"/>
  <c r="I130" i="1"/>
  <c r="H130" i="1"/>
  <c r="G130" i="1"/>
  <c r="D125" i="1"/>
  <c r="G125" i="1" s="1"/>
  <c r="D124" i="1"/>
  <c r="G124" i="1" s="1"/>
  <c r="D123" i="1"/>
  <c r="G123" i="1" s="1"/>
  <c r="D122" i="1"/>
  <c r="J122" i="1" s="1"/>
  <c r="D121" i="1"/>
  <c r="J121" i="1" s="1"/>
  <c r="D120" i="1"/>
  <c r="H120" i="1" s="1"/>
  <c r="I119" i="1"/>
  <c r="D119" i="1"/>
  <c r="L119" i="1" s="1"/>
  <c r="J118" i="1"/>
  <c r="I118" i="1"/>
  <c r="H118" i="1"/>
  <c r="G118" i="1"/>
  <c r="J117" i="1"/>
  <c r="I117" i="1"/>
  <c r="H117" i="1"/>
  <c r="G117" i="1"/>
  <c r="I116" i="1"/>
  <c r="G116" i="1"/>
  <c r="D116" i="1"/>
  <c r="J116" i="1" s="1"/>
  <c r="J115" i="1"/>
  <c r="I115" i="1"/>
  <c r="H115" i="1"/>
  <c r="G115" i="1"/>
  <c r="J114" i="1"/>
  <c r="I114" i="1"/>
  <c r="H114" i="1"/>
  <c r="G114" i="1"/>
  <c r="J113" i="1"/>
  <c r="I113" i="1"/>
  <c r="H113" i="1"/>
  <c r="G113" i="1"/>
  <c r="J112" i="1"/>
  <c r="I112" i="1"/>
  <c r="H112" i="1"/>
  <c r="G112" i="1"/>
  <c r="D105" i="1"/>
  <c r="G105" i="1" s="1"/>
  <c r="D104" i="1"/>
  <c r="G104" i="1" s="1"/>
  <c r="D103" i="1"/>
  <c r="G103" i="1" s="1"/>
  <c r="D102" i="1"/>
  <c r="J102" i="1" s="1"/>
  <c r="D101" i="1"/>
  <c r="H101" i="1" s="1"/>
  <c r="D100" i="1"/>
  <c r="J100" i="1" s="1"/>
  <c r="D99" i="1"/>
  <c r="J99" i="1" s="1"/>
  <c r="J98" i="1"/>
  <c r="I98" i="1"/>
  <c r="H98" i="1"/>
  <c r="G98" i="1"/>
  <c r="J97" i="1"/>
  <c r="I97" i="1"/>
  <c r="H97" i="1"/>
  <c r="G97" i="1"/>
  <c r="J96" i="1"/>
  <c r="I96" i="1"/>
  <c r="H96" i="1"/>
  <c r="D96" i="1"/>
  <c r="G96" i="1" s="1"/>
  <c r="D95" i="1"/>
  <c r="J95" i="1" s="1"/>
  <c r="J94" i="1"/>
  <c r="I94" i="1"/>
  <c r="H94" i="1"/>
  <c r="G94" i="1"/>
  <c r="J93" i="1"/>
  <c r="I93" i="1"/>
  <c r="H93" i="1"/>
  <c r="G93" i="1"/>
  <c r="J92" i="1"/>
  <c r="I92" i="1"/>
  <c r="H92" i="1"/>
  <c r="G92" i="1"/>
  <c r="D86" i="1"/>
  <c r="G86" i="1" s="1"/>
  <c r="D85" i="1"/>
  <c r="G85" i="1" s="1"/>
  <c r="D84" i="1"/>
  <c r="G84" i="1" s="1"/>
  <c r="D83" i="1"/>
  <c r="G83" i="1" s="1"/>
  <c r="D82" i="1"/>
  <c r="J82" i="1" s="1"/>
  <c r="J81" i="1"/>
  <c r="D81" i="1"/>
  <c r="G81" i="1" s="1"/>
  <c r="D80" i="1"/>
  <c r="J80" i="1" s="1"/>
  <c r="J79" i="1"/>
  <c r="I79" i="1"/>
  <c r="H79" i="1"/>
  <c r="G79" i="1"/>
  <c r="J78" i="1"/>
  <c r="I78" i="1"/>
  <c r="H78" i="1"/>
  <c r="G78" i="1"/>
  <c r="D77" i="1"/>
  <c r="J77" i="1" s="1"/>
  <c r="D76" i="1"/>
  <c r="J76" i="1" s="1"/>
  <c r="J75" i="1"/>
  <c r="I75" i="1"/>
  <c r="H75" i="1"/>
  <c r="G75" i="1"/>
  <c r="J74" i="1"/>
  <c r="I74" i="1"/>
  <c r="H74" i="1"/>
  <c r="G74" i="1"/>
  <c r="J73" i="1"/>
  <c r="I73" i="1"/>
  <c r="H73" i="1"/>
  <c r="G73" i="1"/>
  <c r="D67" i="1"/>
  <c r="J67" i="1" s="1"/>
  <c r="D66" i="1"/>
  <c r="J66" i="1" s="1"/>
  <c r="D65" i="1"/>
  <c r="J65" i="1" s="1"/>
  <c r="D64" i="1"/>
  <c r="G64" i="1" s="1"/>
  <c r="D63" i="1"/>
  <c r="J63" i="1" s="1"/>
  <c r="D62" i="1"/>
  <c r="J62" i="1" s="1"/>
  <c r="D61" i="1"/>
  <c r="G61" i="1" s="1"/>
  <c r="D60" i="1"/>
  <c r="J60" i="1" s="1"/>
  <c r="D59" i="1"/>
  <c r="J59" i="1" s="1"/>
  <c r="D58" i="1"/>
  <c r="J58" i="1" s="1"/>
  <c r="D57" i="1"/>
  <c r="J57" i="1" s="1"/>
  <c r="J56" i="1"/>
  <c r="I56" i="1"/>
  <c r="H56" i="1"/>
  <c r="G56" i="1"/>
  <c r="J55" i="1"/>
  <c r="I55" i="1"/>
  <c r="H55" i="1"/>
  <c r="G55" i="1"/>
  <c r="J54" i="1"/>
  <c r="I54" i="1"/>
  <c r="H54" i="1"/>
  <c r="G54" i="1"/>
  <c r="J47" i="1"/>
  <c r="D47" i="1"/>
  <c r="G47" i="1" s="1"/>
  <c r="D46" i="1"/>
  <c r="J46" i="1" s="1"/>
  <c r="D45" i="1"/>
  <c r="J45" i="1" s="1"/>
  <c r="D44" i="1"/>
  <c r="J44" i="1" s="1"/>
  <c r="D43" i="1"/>
  <c r="J43" i="1" s="1"/>
  <c r="D42" i="1"/>
  <c r="J42" i="1" s="1"/>
  <c r="D41" i="1"/>
  <c r="G41" i="1" s="1"/>
  <c r="D40" i="1"/>
  <c r="J40" i="1" s="1"/>
  <c r="D39" i="1"/>
  <c r="J39" i="1" s="1"/>
  <c r="D38" i="1"/>
  <c r="J38" i="1" s="1"/>
  <c r="D37" i="1"/>
  <c r="J37" i="1" s="1"/>
  <c r="D36" i="1"/>
  <c r="J36" i="1" s="1"/>
  <c r="D35" i="1"/>
  <c r="G35" i="1" s="1"/>
  <c r="J34" i="1"/>
  <c r="I34" i="1"/>
  <c r="H34" i="1"/>
  <c r="G34"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K28" i="1"/>
  <c r="J28" i="1"/>
  <c r="I28" i="1"/>
  <c r="H28" i="1"/>
  <c r="G28" i="1"/>
  <c r="F28" i="1"/>
  <c r="F29" i="1" s="1"/>
  <c r="G29" i="1" s="1"/>
  <c r="H29" i="1" s="1"/>
  <c r="I29" i="1" s="1"/>
  <c r="J29" i="1" s="1"/>
  <c r="K29" i="1" s="1"/>
  <c r="L29" i="1" s="1"/>
  <c r="M29" i="1" s="1"/>
  <c r="N29" i="1" s="1"/>
  <c r="O29" i="1" s="1"/>
  <c r="E28" i="1"/>
  <c r="N41" i="4" l="1"/>
  <c r="M41" i="4"/>
  <c r="N28" i="4"/>
  <c r="M28" i="4"/>
  <c r="N88" i="4"/>
  <c r="M88" i="4"/>
  <c r="K28" i="4"/>
  <c r="G122" i="1"/>
  <c r="H122" i="1"/>
  <c r="I122" i="1"/>
  <c r="G60" i="1"/>
  <c r="G82" i="1"/>
  <c r="P29" i="1"/>
  <c r="G37" i="1"/>
  <c r="G66" i="1"/>
  <c r="G101" i="1"/>
  <c r="L99" i="1"/>
  <c r="G119" i="1"/>
  <c r="G46" i="1"/>
  <c r="H119" i="1"/>
  <c r="J64" i="1"/>
  <c r="J119" i="1"/>
  <c r="J35" i="1"/>
  <c r="E14" i="3"/>
  <c r="I14" i="3"/>
  <c r="J41" i="2"/>
  <c r="L38" i="2"/>
  <c r="N26" i="2"/>
  <c r="H72" i="2"/>
  <c r="H56" i="2"/>
  <c r="H41" i="2"/>
  <c r="H88" i="2"/>
  <c r="M81" i="2"/>
  <c r="N81" i="2"/>
  <c r="L65" i="2"/>
  <c r="K84" i="2"/>
  <c r="N65" i="2"/>
  <c r="M65" i="2"/>
  <c r="N84" i="2"/>
  <c r="K81" i="2"/>
  <c r="K85" i="2"/>
  <c r="L85" i="2"/>
  <c r="M85" i="2"/>
  <c r="N86" i="2"/>
  <c r="K86" i="2"/>
  <c r="K87" i="2"/>
  <c r="L87" i="2"/>
  <c r="L86" i="2"/>
  <c r="L84" i="2"/>
  <c r="M87" i="2"/>
  <c r="N68" i="2"/>
  <c r="K71" i="2"/>
  <c r="L69" i="2"/>
  <c r="M69" i="2"/>
  <c r="N69" i="2"/>
  <c r="K70" i="2"/>
  <c r="L70" i="2"/>
  <c r="M70" i="2"/>
  <c r="K68" i="2"/>
  <c r="L71" i="2"/>
  <c r="L68" i="2"/>
  <c r="M71" i="2"/>
  <c r="N55" i="2"/>
  <c r="M49" i="2"/>
  <c r="K53" i="2"/>
  <c r="K49" i="2"/>
  <c r="N49" i="2"/>
  <c r="L53" i="2"/>
  <c r="M53" i="2"/>
  <c r="K54" i="2"/>
  <c r="M50" i="2"/>
  <c r="N50" i="2"/>
  <c r="K50" i="2"/>
  <c r="K55" i="2"/>
  <c r="L55" i="2"/>
  <c r="H28" i="2"/>
  <c r="M37" i="2"/>
  <c r="N37" i="2"/>
  <c r="L37" i="2"/>
  <c r="M40" i="2"/>
  <c r="L27" i="2"/>
  <c r="K36" i="2"/>
  <c r="L36" i="2"/>
  <c r="M36" i="2"/>
  <c r="K40" i="2"/>
  <c r="L40" i="2"/>
  <c r="N17" i="2"/>
  <c r="M26" i="2"/>
  <c r="M25" i="2"/>
  <c r="K25" i="2"/>
  <c r="L26" i="2"/>
  <c r="K27" i="2"/>
  <c r="M27" i="2"/>
  <c r="Q29" i="1"/>
  <c r="R29" i="1" s="1"/>
  <c r="S29" i="1" s="1"/>
  <c r="T29" i="1" s="1"/>
  <c r="U29" i="1" s="1"/>
  <c r="V29" i="1" s="1"/>
  <c r="W29" i="1" s="1"/>
  <c r="X29" i="1" s="1"/>
  <c r="Y29" i="1" s="1"/>
  <c r="Z29" i="1" s="1"/>
  <c r="AA29" i="1" s="1"/>
  <c r="AB29" i="1" s="1"/>
  <c r="AC29" i="1" s="1"/>
  <c r="AD29" i="1" s="1"/>
  <c r="AE29" i="1" s="1"/>
  <c r="AF29" i="1" s="1"/>
  <c r="AG29" i="1" s="1"/>
  <c r="AH29" i="1" s="1"/>
  <c r="AI29" i="1" s="1"/>
  <c r="AJ29" i="1" s="1"/>
  <c r="AK29" i="1" s="1"/>
  <c r="AL29" i="1" s="1"/>
  <c r="AM29" i="1" s="1"/>
  <c r="AN29" i="1" s="1"/>
  <c r="AO29" i="1" s="1"/>
  <c r="AP29" i="1" s="1"/>
  <c r="AQ29" i="1" s="1"/>
  <c r="AR29" i="1" s="1"/>
  <c r="AS29" i="1" s="1"/>
  <c r="AT29" i="1" s="1"/>
  <c r="AU29" i="1" s="1"/>
  <c r="J138" i="1"/>
  <c r="G36" i="1"/>
  <c r="J41" i="1"/>
  <c r="G57" i="1"/>
  <c r="G65" i="1"/>
  <c r="G100" i="1"/>
  <c r="G139" i="1"/>
  <c r="H139" i="1"/>
  <c r="G42" i="1"/>
  <c r="I57" i="1"/>
  <c r="H116" i="1"/>
  <c r="I139" i="1"/>
  <c r="G140" i="1"/>
  <c r="G137" i="1"/>
  <c r="H140" i="1"/>
  <c r="H137" i="1"/>
  <c r="I140" i="1"/>
  <c r="G120" i="1"/>
  <c r="G38" i="1"/>
  <c r="H58" i="1"/>
  <c r="G67" i="1"/>
  <c r="I120" i="1"/>
  <c r="G62" i="1"/>
  <c r="J120" i="1"/>
  <c r="G95" i="1"/>
  <c r="I137" i="1"/>
  <c r="H57" i="1"/>
  <c r="G43" i="1"/>
  <c r="G58" i="1"/>
  <c r="J61" i="1"/>
  <c r="G76" i="1"/>
  <c r="I101" i="1"/>
  <c r="H76" i="1"/>
  <c r="J101" i="1"/>
  <c r="I58" i="1"/>
  <c r="I76" i="1"/>
  <c r="M59" i="1" s="1"/>
  <c r="N59" i="1" s="1"/>
  <c r="G44" i="1"/>
  <c r="G102" i="1"/>
  <c r="G39" i="1"/>
  <c r="G80" i="1"/>
  <c r="H95" i="1"/>
  <c r="G121" i="1"/>
  <c r="G134" i="1"/>
  <c r="G59" i="1"/>
  <c r="G63" i="1"/>
  <c r="G77" i="1"/>
  <c r="H80" i="1"/>
  <c r="I95" i="1"/>
  <c r="M78" i="1" s="1"/>
  <c r="N78" i="1" s="1"/>
  <c r="G99" i="1"/>
  <c r="H121" i="1"/>
  <c r="H134" i="1"/>
  <c r="G45" i="1"/>
  <c r="H59" i="1"/>
  <c r="H77" i="1"/>
  <c r="I80" i="1"/>
  <c r="H99" i="1"/>
  <c r="I121" i="1"/>
  <c r="I134" i="1"/>
  <c r="G138" i="1"/>
  <c r="H138" i="1"/>
  <c r="G40" i="1"/>
  <c r="I59" i="1"/>
  <c r="I77" i="1"/>
  <c r="I99" i="1"/>
  <c r="N56" i="2" l="1"/>
  <c r="M56" i="2"/>
  <c r="N41" i="2"/>
  <c r="M41" i="2"/>
  <c r="M28" i="2"/>
  <c r="N28" i="2"/>
  <c r="N88" i="2"/>
  <c r="M88" i="2"/>
  <c r="N72" i="2"/>
  <c r="M72" i="2"/>
  <c r="K72" i="2"/>
  <c r="L72" i="2"/>
  <c r="K41" i="2"/>
  <c r="K56" i="2"/>
  <c r="L88" i="2"/>
  <c r="L41" i="2"/>
  <c r="K88" i="2"/>
  <c r="L56" i="2"/>
  <c r="L28" i="2"/>
  <c r="K28" i="2"/>
</calcChain>
</file>

<file path=xl/sharedStrings.xml><?xml version="1.0" encoding="utf-8"?>
<sst xmlns="http://schemas.openxmlformats.org/spreadsheetml/2006/main" count="613" uniqueCount="157">
  <si>
    <t>ACTIVITY ID</t>
  </si>
  <si>
    <t>DURATION</t>
  </si>
  <si>
    <t>TASK NAME</t>
  </si>
  <si>
    <t>BUDGET (PV)</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</si>
  <si>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</si>
  <si>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</si>
  <si>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</si>
  <si>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</si>
  <si>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</si>
  <si>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</si>
  <si>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</si>
  <si>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</si>
  <si>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</si>
  <si>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</si>
  <si>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</si>
  <si>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</si>
  <si>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</si>
  <si>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</si>
  <si>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</si>
  <si>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</si>
  <si>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</si>
  <si>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</si>
  <si>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</si>
  <si>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</si>
  <si>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</si>
  <si>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</si>
  <si>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</si>
  <si>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</si>
  <si>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</si>
  <si>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</si>
  <si>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</si>
  <si>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</si>
  <si>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</si>
  <si>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</si>
  <si>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</si>
  <si>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</si>
  <si>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</si>
  <si>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</si>
  <si>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</si>
  <si>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</si>
  <si>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</si>
  <si>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</si>
  <si>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</si>
  <si>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</si>
  <si>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</si>
  <si>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</si>
  <si>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AA</t>
  </si>
  <si>
    <t>Project Charter</t>
  </si>
  <si>
    <t>A</t>
  </si>
  <si>
    <t>Create Data Tables</t>
  </si>
  <si>
    <t>B</t>
  </si>
  <si>
    <t>Convert Algorithm to Python</t>
  </si>
  <si>
    <t>C</t>
  </si>
  <si>
    <t>Wire Frame App</t>
  </si>
  <si>
    <t>x</t>
  </si>
  <si>
    <t>D</t>
  </si>
  <si>
    <t>Create Marketing Plan</t>
  </si>
  <si>
    <t>E</t>
  </si>
  <si>
    <t>Define KPIs</t>
  </si>
  <si>
    <t>F</t>
  </si>
  <si>
    <t>Compile List of Websites</t>
  </si>
  <si>
    <t>G</t>
  </si>
  <si>
    <t>Backtest Model</t>
  </si>
  <si>
    <t>H</t>
  </si>
  <si>
    <t>Design Pages</t>
  </si>
  <si>
    <t>I</t>
  </si>
  <si>
    <t>Write Scraping Code</t>
  </si>
  <si>
    <t>J</t>
  </si>
  <si>
    <t>Validate Pyton Model</t>
  </si>
  <si>
    <t>K</t>
  </si>
  <si>
    <t>Automate Data Pipeline</t>
  </si>
  <si>
    <t>L</t>
  </si>
  <si>
    <t>Export Model</t>
  </si>
  <si>
    <t>M</t>
  </si>
  <si>
    <t>Code App</t>
  </si>
  <si>
    <t>N</t>
  </si>
  <si>
    <t>Validate Ability to Track KPIs</t>
  </si>
  <si>
    <t>O</t>
  </si>
  <si>
    <t>Connect DB to App</t>
  </si>
  <si>
    <t>P</t>
  </si>
  <si>
    <t>Import model into App</t>
  </si>
  <si>
    <t>Q</t>
  </si>
  <si>
    <t>Test App</t>
  </si>
  <si>
    <t>R</t>
  </si>
  <si>
    <t>Test Security</t>
  </si>
  <si>
    <t>S</t>
  </si>
  <si>
    <t>Test Predictions</t>
  </si>
  <si>
    <t>T</t>
  </si>
  <si>
    <t>Launch Campaign</t>
  </si>
  <si>
    <t>U</t>
  </si>
  <si>
    <t>App Goes Live</t>
  </si>
  <si>
    <t>V</t>
  </si>
  <si>
    <t>Track KPIs</t>
  </si>
  <si>
    <t>W</t>
  </si>
  <si>
    <t>Build Reports</t>
  </si>
  <si>
    <t>X</t>
  </si>
  <si>
    <t>Evaluate Results</t>
  </si>
  <si>
    <t xml:space="preserve">                                        Week Total</t>
  </si>
  <si>
    <t xml:space="preserve">                  Cummulative PV</t>
  </si>
  <si>
    <t>End of Period 1</t>
  </si>
  <si>
    <t>Task</t>
  </si>
  <si>
    <t>Actual % Complete</t>
  </si>
  <si>
    <t>Earned Value (EV)</t>
  </si>
  <si>
    <t>Actual Cost (AC)</t>
  </si>
  <si>
    <t>PlannedValue (PV)</t>
  </si>
  <si>
    <t>Cost Variance (CV)</t>
  </si>
  <si>
    <t>Schedule Variance (SV)</t>
  </si>
  <si>
    <t>CPI</t>
  </si>
  <si>
    <t>SPI</t>
  </si>
  <si>
    <t>Finished</t>
  </si>
  <si>
    <t>EV = Comp% x PV</t>
  </si>
  <si>
    <t>CV = EV - AC</t>
  </si>
  <si>
    <t>SV = EV - PV</t>
  </si>
  <si>
    <t>CPI = EV / AC</t>
  </si>
  <si>
    <t>SPI = EV / PV</t>
  </si>
  <si>
    <t>End of Period 2</t>
  </si>
  <si>
    <t>By end of period 2 we are alreadya little behind schedule on task C (Wire Frame App) this is along the critical path</t>
  </si>
  <si>
    <t>work remaining</t>
  </si>
  <si>
    <t>End of Period 3</t>
  </si>
  <si>
    <t>Task C is behind pace</t>
  </si>
  <si>
    <t>End of Period 4</t>
  </si>
  <si>
    <t>We can't start task H until C is complete… But that was delayed so now this project start is pushed back a week</t>
  </si>
  <si>
    <t>Task G is more difficult than anticipated and is running behind pace</t>
  </si>
  <si>
    <t>End of Period 5</t>
  </si>
  <si>
    <t>Task G is behind pace. It's not along the critical path and will not cause delays to the overall project</t>
  </si>
  <si>
    <t>We had a little jump start on Task H to try and make up some ground we lost.</t>
  </si>
  <si>
    <t>End of Period 6</t>
  </si>
  <si>
    <t>Task G is killing us</t>
  </si>
  <si>
    <t>Cumulative Totals</t>
  </si>
  <si>
    <t>EV</t>
  </si>
  <si>
    <t>AC</t>
  </si>
  <si>
    <t>PV</t>
  </si>
  <si>
    <t>CV</t>
  </si>
  <si>
    <t>SV</t>
  </si>
  <si>
    <t>%Complete</t>
  </si>
  <si>
    <t>Project Manager: Amanda Whiting</t>
  </si>
  <si>
    <t>BAC</t>
  </si>
  <si>
    <t>EAC</t>
  </si>
  <si>
    <t>VAC</t>
  </si>
  <si>
    <t>EAC t</t>
  </si>
  <si>
    <t>PCIB</t>
  </si>
  <si>
    <t>PCIC</t>
  </si>
  <si>
    <t>Earned Value Figures:</t>
  </si>
  <si>
    <r>
      <rPr>
        <b/>
        <sz val="16"/>
        <color theme="1"/>
        <rFont val="Calibri"/>
        <family val="2"/>
        <scheme val="minor"/>
      </rPr>
      <t>Project Number:</t>
    </r>
    <r>
      <rPr>
        <sz val="16"/>
        <color theme="1"/>
        <rFont val="Calibri"/>
        <family val="2"/>
        <scheme val="minor"/>
      </rPr>
      <t xml:space="preserve">  2323</t>
    </r>
  </si>
  <si>
    <r>
      <rPr>
        <b/>
        <sz val="16"/>
        <color theme="1"/>
        <rFont val="Calibri"/>
        <family val="2"/>
        <scheme val="minor"/>
      </rPr>
      <t>Project Priority Now:</t>
    </r>
    <r>
      <rPr>
        <sz val="16"/>
        <color theme="1"/>
        <rFont val="Calibri"/>
        <family val="2"/>
        <scheme val="minor"/>
      </rPr>
      <t xml:space="preserve"> 1</t>
    </r>
  </si>
  <si>
    <r>
      <rPr>
        <b/>
        <sz val="16"/>
        <color theme="1"/>
        <rFont val="Calibri"/>
        <family val="2"/>
        <scheme val="minor"/>
      </rPr>
      <t>Status as of:</t>
    </r>
    <r>
      <rPr>
        <sz val="16"/>
        <color theme="1"/>
        <rFont val="Calibri"/>
        <family val="2"/>
        <scheme val="minor"/>
      </rPr>
      <t xml:space="preserve"> August 15, 2019</t>
    </r>
  </si>
  <si>
    <t>We had anticipated a possibly that the data science team may run into a problem with their new model. However, there was substantial degradation to our new model when compared to our in-house model. This task does not lie on the critical path, but the costs will increase trying to solve the problem. The revised estimate cost at completion (EAC) for task G is now $22,500.</t>
  </si>
  <si>
    <r>
      <t xml:space="preserve">Status Summary: </t>
    </r>
    <r>
      <rPr>
        <sz val="16"/>
        <color theme="1"/>
        <rFont val="Calibri"/>
        <family val="2"/>
        <scheme val="minor"/>
      </rPr>
      <t>We have completed 6 tasks. We have two additional tasks that are over 80% complete. We are running slightly behind schedule and over budget. Tasks C and G are the pain points.</t>
    </r>
  </si>
  <si>
    <r>
      <rPr>
        <b/>
        <sz val="16"/>
        <color theme="1"/>
        <rFont val="Calibri"/>
        <family val="2"/>
        <scheme val="minor"/>
      </rPr>
      <t>Project Description:</t>
    </r>
    <r>
      <rPr>
        <sz val="16"/>
        <color theme="1"/>
        <rFont val="Calibri"/>
        <family val="2"/>
        <scheme val="minor"/>
      </rPr>
      <t xml:space="preserve"> An iPhone Application The iPhone Application Project will put A.I. Sports in a league of our own, enabling our partners, investors, and clients access to our real time predictions and recommendations for every sports investment opportunity.</t>
    </r>
  </si>
  <si>
    <r>
      <rPr>
        <b/>
        <sz val="16"/>
        <color theme="1"/>
        <rFont val="Calibri"/>
        <family val="2"/>
        <scheme val="minor"/>
      </rPr>
      <t>Explanations:</t>
    </r>
    <r>
      <rPr>
        <sz val="16"/>
        <color theme="1"/>
        <rFont val="Calibri"/>
        <family val="2"/>
        <scheme val="minor"/>
      </rPr>
      <t xml:space="preserve"> Task C fell behind schedule. The developers provided feedback that some of the requirements needed for the application are logistically problematic. We followed change protocol to decrease the total number of pages by combining two stakeholder requirements onto the same page. The revised estimate cost at completion (EAC) for task C is $9,333. This task is on the critical path and will push back the overall project timeline by two weeks.</t>
    </r>
  </si>
  <si>
    <r>
      <rPr>
        <b/>
        <sz val="16"/>
        <color theme="1"/>
        <rFont val="Calibri"/>
        <family val="2"/>
        <scheme val="minor"/>
      </rPr>
      <t>Major Changes Since Last Report</t>
    </r>
    <r>
      <rPr>
        <sz val="16"/>
        <color theme="1"/>
        <rFont val="Calibri"/>
        <family val="2"/>
        <scheme val="minor"/>
      </rPr>
      <t>:Our revised estimate for completing the progress is 2 weeks later than our planned project duration.</t>
    </r>
  </si>
  <si>
    <r>
      <rPr>
        <b/>
        <sz val="16"/>
        <color theme="1"/>
        <rFont val="Calibri"/>
        <family val="2"/>
        <scheme val="minor"/>
      </rPr>
      <t>Total Cost of Approved Changes:</t>
    </r>
    <r>
      <rPr>
        <sz val="16"/>
        <color theme="1"/>
        <rFont val="Calibri"/>
        <family val="2"/>
        <scheme val="minor"/>
      </rPr>
      <t xml:space="preserve"> Task C increased by $2,333. Task G increased by $9,000. This leaves us at </t>
    </r>
    <r>
      <rPr>
        <b/>
        <sz val="16"/>
        <color theme="1"/>
        <rFont val="Calibri"/>
        <family val="2"/>
        <scheme val="minor"/>
      </rPr>
      <t>Total Cost Increase = $11,333</t>
    </r>
  </si>
  <si>
    <r>
      <rPr>
        <b/>
        <sz val="16"/>
        <color theme="1"/>
        <rFont val="Calibri"/>
        <family val="2"/>
        <scheme val="minor"/>
      </rPr>
      <t>Risk Watch:</t>
    </r>
    <r>
      <rPr>
        <sz val="16"/>
        <color theme="1"/>
        <rFont val="Calibri"/>
        <family val="2"/>
        <scheme val="minor"/>
      </rPr>
      <t xml:space="preserve"> There are no signs of any increase in the risk of the upcoming tasks.</t>
    </r>
  </si>
  <si>
    <r>
      <rPr>
        <b/>
        <sz val="16"/>
        <color theme="1"/>
        <rFont val="Calibri"/>
        <family val="2"/>
        <scheme val="minor"/>
      </rPr>
      <t>Projected Cost at Completion:</t>
    </r>
    <r>
      <rPr>
        <sz val="16"/>
        <color theme="1"/>
        <rFont val="Calibri"/>
        <family val="2"/>
        <scheme val="minor"/>
      </rPr>
      <t xml:space="preserve"> The forecasted total cost at completion is estimated to be $285,407.</t>
    </r>
  </si>
  <si>
    <t>End of Day 34</t>
  </si>
  <si>
    <r>
      <rPr>
        <b/>
        <sz val="16"/>
        <color theme="1"/>
        <rFont val="Calibri"/>
        <family val="2"/>
        <scheme val="minor"/>
      </rPr>
      <t>Status as of:</t>
    </r>
    <r>
      <rPr>
        <sz val="16"/>
        <color theme="1"/>
        <rFont val="Calibri"/>
        <family val="2"/>
        <scheme val="minor"/>
      </rPr>
      <t xml:space="preserve"> August 31, 2019</t>
    </r>
  </si>
  <si>
    <t>Project Manager: Jason Lee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</si>
</sst>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quot;$&quot;#,##0.00"/>
  </numFmts>
  <fonts count="14">
    <font>
      <sz val="12"/>
      <color theme="1"/>
      <name val="Calibri"/>
      <family val="2"/>
      <scheme val="minor"/>
    </font>
    <font>
      <sz val="12"/>
      <color theme="1"/>
      <name val="Calibri"/>
      <family val="2"/>
      <scheme val="minor"/>
    </font>
    <font>
      <sz val="18"/>
      <color theme="0"/>
      <name val="Calibri Bold"/>
    </font>
    <font>
      <sz val="18"/>
      <color theme="1"/>
      <name val="Calibri"/>
      <family val="2"/>
      <scheme val="minor"/>
    </font>
    <font>
      <sz val="18"/>
      <color theme="1"/>
      <name val="Calibri"/>
      <family val="2"/>
    </font>
    <font>
      <b/>
      <sz val="18"/>
      <color theme="1"/>
      <name val="Calibri"/>
      <family val="2"/>
    </font>
    <font>
      <b/>
      <sz val="22"/>
      <color theme="1"/>
      <name val="Calibri"/>
      <family val="2"/>
      <scheme val="minor"/>
    </font>
    <font>
      <b/>
      <sz val="18"/>
      <color theme="1"/>
      <name val="Calibri"/>
      <family val="2"/>
      <scheme val="minor"/>
    </font>
    <font>
      <b/>
      <sz val="22"/>
      <color rgb="FF000000"/>
      <name val="Calibri"/>
      <family val="2"/>
      <scheme val="minor"/>
    </font>
    <font>
      <sz val="18"/>
      <color rgb="FFFFFFFF"/>
      <name val="Calibri Bold"/>
    </font>
    <font>
      <sz val="18"/>
      <color rgb="FF000000"/>
      <name val="Calibri"/>
      <family val="2"/>
      <scheme val="minor"/>
    </font>
    <font>
      <sz val="16"/>
      <color theme="1"/>
      <name val="Calibri"/>
      <family val="2"/>
      <scheme val="minor"/>
    </font>
    <font>
      <b/>
      <sz val="16"/>
      <color theme="1"/>
      <name val="Calibri"/>
      <family val="2"/>
      <scheme val="minor"/>
    </font>
    <font>
      <sz val="16"/>
      <color rgb="FFFF0000"/>
      <name val="Calibri"/>
      <family val="2"/>
      <scheme val="minor"/>
    </font>
  </fonts>
  <fills count="5">
    <fill>
      <patternFill patternType="none"/>
    </fill>
    <fill>
      <patternFill patternType="gray125"/>
    </fill>
    <fill>
      <patternFill patternType="solid">
        <fgColor rgb="FF004259"/>
        <bgColor indexed="64"/>
      </patternFill>
    </fill>
    <fill>
      <patternFill patternType="solid">
        <fgColor rgb="FF004259"/>
        <bgColor rgb="FF000000"/>
      </patternFill>
    </fill>
    <fill>
      <patternFill patternType="solid">
        <fgColor rgb="FFD4EDF5"/>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rgb="FFFF0000"/>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style="thin">
        <color auto="1"/>
      </top>
      <bottom style="medium">
        <color theme="1"/>
      </bottom>
      <diagonal/>
    </border>
    <border>
      <left style="thin">
        <color auto="1"/>
      </left>
      <right style="thin">
        <color auto="1"/>
      </right>
      <top style="thin">
        <color auto="1"/>
      </top>
      <bottom style="medium">
        <color theme="1"/>
      </bottom>
      <diagonal/>
    </border>
    <border>
      <left style="thin">
        <color auto="1"/>
      </left>
      <right style="thin">
        <color auto="1"/>
      </right>
      <top/>
      <bottom style="medium">
        <color theme="1"/>
      </bottom>
      <diagonal/>
    </border>
    <border>
      <left style="thin">
        <color auto="1"/>
      </left>
      <right style="medium">
        <color theme="1"/>
      </right>
      <top style="thin">
        <color auto="1"/>
      </top>
      <bottom style="medium">
        <color theme="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bottom style="thin">
        <color indexed="64"/>
      </bottom>
      <diagonal/>
    </border>
    <border>
      <left/>
      <right style="thin">
        <color indexed="64"/>
      </right>
      <top/>
      <bottom style="thin">
        <color indexed="64"/>
      </bottom>
      <diagonal/>
    </border>
    <border>
      <left/>
      <right style="medium">
        <color rgb="FF000000"/>
      </right>
      <top/>
      <bottom style="thin">
        <color indexed="64"/>
      </bottom>
      <diagonal/>
    </border>
    <border>
      <left style="medium">
        <color rgb="FF000000"/>
      </left>
      <right style="thin">
        <color indexed="64"/>
      </right>
      <top/>
      <bottom style="medium">
        <color rgb="FF000000"/>
      </bottom>
      <diagonal/>
    </border>
    <border>
      <left/>
      <right style="thin">
        <color indexed="64"/>
      </right>
      <top/>
      <bottom style="medium">
        <color rgb="FF000000"/>
      </bottom>
      <diagonal/>
    </border>
    <border>
      <left style="medium">
        <color theme="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theme="1"/>
      </right>
      <top style="thin">
        <color auto="1"/>
      </top>
      <bottom/>
      <diagonal/>
    </border>
    <border>
      <left style="medium">
        <color theme="1"/>
      </left>
      <right style="thin">
        <color auto="1"/>
      </right>
      <top/>
      <bottom style="thin">
        <color auto="1"/>
      </bottom>
      <diagonal/>
    </border>
    <border>
      <left/>
      <right style="thin">
        <color auto="1"/>
      </right>
      <top style="medium">
        <color theme="1"/>
      </top>
      <bottom style="medium">
        <color theme="1"/>
      </bottom>
      <diagonal/>
    </border>
    <border>
      <left style="thin">
        <color auto="1"/>
      </left>
      <right style="thin">
        <color auto="1"/>
      </right>
      <top style="medium">
        <color theme="1"/>
      </top>
      <bottom style="medium">
        <color theme="1"/>
      </bottom>
      <diagonal/>
    </border>
    <border>
      <left style="thin">
        <color auto="1"/>
      </left>
      <right style="medium">
        <color theme="1"/>
      </right>
      <top style="medium">
        <color theme="1"/>
      </top>
      <bottom style="medium">
        <color theme="1"/>
      </bottom>
      <diagonal/>
    </border>
    <border>
      <left style="medium">
        <color theme="1"/>
      </left>
      <right style="thin">
        <color auto="1"/>
      </right>
      <top style="medium">
        <color theme="1"/>
      </top>
      <bottom style="medium">
        <color theme="1"/>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diagonal/>
    </border>
    <border>
      <left/>
      <right style="medium">
        <color theme="1"/>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ont="0" applyFill="0" applyBorder="0" applyAlignment="0" applyProtection="0">
      <alignment horizontal="center"/>
    </xf>
  </cellStyleXfs>
  <cellXfs count="119">
    <xf numFmtId="0" fontId="0" fillId="0" borderId="0" xfId="0"/>
    <xf numFmtId="0" fontId="2" fillId="2" borderId="1" xfId="0" applyFont="1" applyFill="1" applyBorder="1" applyAlignment="1">
      <alignment horizontal="center" vertical="center"/>
    </xf>
    <xf numFmtId="164" fontId="2" fillId="2" borderId="1" xfId="0" applyNumberFormat="1" applyFont="1" applyFill="1" applyBorder="1" applyAlignment="1">
      <alignment horizontal="center" vertical="center"/>
    </xf>
    <xf numFmtId="0" fontId="3" fillId="0" borderId="0" xfId="0" applyFont="1"/>
    <xf numFmtId="0" fontId="4" fillId="0" borderId="1" xfId="0" applyFont="1" applyBorder="1" applyAlignment="1">
      <alignment horizontal="center"/>
    </xf>
    <xf numFmtId="0" fontId="4" fillId="0" borderId="1" xfId="0" applyFont="1" applyBorder="1"/>
    <xf numFmtId="164" fontId="4" fillId="0" borderId="2" xfId="0" applyNumberFormat="1" applyFont="1" applyBorder="1"/>
    <xf numFmtId="164" fontId="4" fillId="0" borderId="1" xfId="0" applyNumberFormat="1" applyFont="1" applyBorder="1" applyAlignment="1">
      <alignment horizontal="center"/>
    </xf>
    <xf numFmtId="164" fontId="4" fillId="0" borderId="3" xfId="0" applyNumberFormat="1" applyFont="1" applyBorder="1" applyAlignment="1">
      <alignment horizontal="center"/>
    </xf>
    <xf numFmtId="164" fontId="4" fillId="0" borderId="4" xfId="0" applyNumberFormat="1" applyFont="1" applyBorder="1" applyAlignment="1">
      <alignment horizontal="center"/>
    </xf>
    <xf numFmtId="164" fontId="5" fillId="0" borderId="3" xfId="0" applyNumberFormat="1" applyFont="1" applyBorder="1" applyAlignment="1">
      <alignment horizontal="center"/>
    </xf>
    <xf numFmtId="164" fontId="5" fillId="0" borderId="2" xfId="0" applyNumberFormat="1" applyFont="1" applyBorder="1"/>
    <xf numFmtId="164" fontId="0" fillId="0" borderId="0" xfId="0" applyNumberFormat="1"/>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164" fontId="2" fillId="2" borderId="11" xfId="0" applyNumberFormat="1" applyFont="1" applyFill="1" applyBorder="1" applyAlignment="1">
      <alignment horizontal="center" vertical="center" wrapText="1"/>
    </xf>
    <xf numFmtId="0" fontId="2" fillId="2" borderId="12" xfId="0" applyFont="1" applyFill="1" applyBorder="1" applyAlignment="1">
      <alignment horizontal="center" vertical="center" wrapText="1"/>
    </xf>
    <xf numFmtId="0" fontId="4" fillId="0" borderId="13" xfId="0" applyFont="1" applyBorder="1" applyAlignment="1">
      <alignment horizontal="center"/>
    </xf>
    <xf numFmtId="2" fontId="4" fillId="0" borderId="1" xfId="2" applyNumberFormat="1" applyFont="1" applyBorder="1" applyAlignment="1">
      <alignment horizontal="center"/>
    </xf>
    <xf numFmtId="2" fontId="4" fillId="0" borderId="14" xfId="2" applyNumberFormat="1" applyFont="1" applyBorder="1" applyAlignment="1">
      <alignment horizontal="center"/>
    </xf>
    <xf numFmtId="9" fontId="4" fillId="0" borderId="1" xfId="2" applyFont="1" applyBorder="1" applyAlignment="1">
      <alignment horizontal="center"/>
    </xf>
    <xf numFmtId="0" fontId="7" fillId="0" borderId="0" xfId="0" applyFont="1"/>
    <xf numFmtId="2" fontId="4" fillId="0" borderId="1" xfId="0" applyNumberFormat="1" applyFont="1" applyBorder="1" applyAlignment="1">
      <alignment horizontal="center"/>
    </xf>
    <xf numFmtId="0" fontId="4" fillId="0" borderId="15" xfId="0" applyFont="1" applyBorder="1" applyAlignment="1">
      <alignment horizontal="center"/>
    </xf>
    <xf numFmtId="9" fontId="4" fillId="0" borderId="16" xfId="2" applyFont="1" applyBorder="1" applyAlignment="1">
      <alignment horizontal="center"/>
    </xf>
    <xf numFmtId="164" fontId="4" fillId="0" borderId="17" xfId="0" applyNumberFormat="1" applyFont="1" applyBorder="1"/>
    <xf numFmtId="164" fontId="4" fillId="0" borderId="16" xfId="0" applyNumberFormat="1" applyFont="1" applyBorder="1" applyAlignment="1">
      <alignment horizontal="center"/>
    </xf>
    <xf numFmtId="2" fontId="4" fillId="0" borderId="16" xfId="0" applyNumberFormat="1" applyFont="1" applyBorder="1" applyAlignment="1">
      <alignment horizontal="center"/>
    </xf>
    <xf numFmtId="2" fontId="4" fillId="0" borderId="18" xfId="2" applyNumberFormat="1" applyFont="1" applyBorder="1" applyAlignment="1">
      <alignment horizontal="center"/>
    </xf>
    <xf numFmtId="165" fontId="0" fillId="0" borderId="0" xfId="0" applyNumberFormat="1"/>
    <xf numFmtId="2" fontId="4" fillId="0" borderId="14" xfId="0" applyNumberFormat="1" applyFont="1" applyBorder="1" applyAlignment="1">
      <alignment horizontal="center"/>
    </xf>
    <xf numFmtId="2" fontId="4" fillId="0" borderId="18" xfId="0" applyNumberFormat="1" applyFont="1" applyBorder="1" applyAlignment="1">
      <alignment horizontal="center"/>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164" fontId="9" fillId="3" borderId="23" xfId="0" applyNumberFormat="1" applyFont="1" applyFill="1" applyBorder="1" applyAlignment="1">
      <alignment horizontal="center" vertical="center" wrapText="1"/>
    </xf>
    <xf numFmtId="0" fontId="9" fillId="3" borderId="24" xfId="0" applyFont="1" applyFill="1" applyBorder="1" applyAlignment="1">
      <alignment horizontal="center" vertical="center" wrapText="1"/>
    </xf>
    <xf numFmtId="0" fontId="10" fillId="0" borderId="22" xfId="0" applyFont="1" applyBorder="1" applyAlignment="1">
      <alignment horizontal="center"/>
    </xf>
    <xf numFmtId="0" fontId="10" fillId="0" borderId="23" xfId="0" applyFont="1" applyBorder="1" applyAlignment="1">
      <alignment horizontal="center"/>
    </xf>
    <xf numFmtId="164" fontId="10" fillId="0" borderId="23" xfId="0" applyNumberFormat="1" applyFont="1" applyBorder="1"/>
    <xf numFmtId="9" fontId="10" fillId="0" borderId="23" xfId="0" applyNumberFormat="1" applyFont="1" applyBorder="1" applyAlignment="1">
      <alignment horizontal="center"/>
    </xf>
    <xf numFmtId="0" fontId="10" fillId="0" borderId="25" xfId="0" applyFont="1" applyBorder="1" applyAlignment="1">
      <alignment horizontal="center"/>
    </xf>
    <xf numFmtId="9" fontId="10" fillId="0" borderId="26" xfId="0" applyNumberFormat="1" applyFont="1" applyBorder="1" applyAlignment="1">
      <alignment horizontal="center"/>
    </xf>
    <xf numFmtId="164" fontId="10" fillId="0" borderId="26" xfId="0" applyNumberFormat="1" applyFont="1" applyBorder="1"/>
    <xf numFmtId="0" fontId="0" fillId="0" borderId="0" xfId="0" applyBorder="1"/>
    <xf numFmtId="0" fontId="5" fillId="4" borderId="39" xfId="0" applyFont="1" applyFill="1" applyBorder="1" applyAlignment="1">
      <alignment horizontal="center"/>
    </xf>
    <xf numFmtId="0" fontId="5" fillId="4" borderId="0" xfId="0" applyFont="1" applyFill="1" applyBorder="1" applyAlignment="1">
      <alignment horizontal="center"/>
    </xf>
    <xf numFmtId="164" fontId="5" fillId="4" borderId="0" xfId="0" applyNumberFormat="1" applyFont="1" applyFill="1" applyBorder="1" applyAlignment="1">
      <alignment horizontal="center"/>
    </xf>
    <xf numFmtId="2" fontId="5" fillId="4" borderId="0" xfId="2" applyNumberFormat="1" applyFont="1" applyFill="1" applyBorder="1" applyAlignment="1">
      <alignment horizontal="center"/>
    </xf>
    <xf numFmtId="2" fontId="5" fillId="4" borderId="40" xfId="2" applyNumberFormat="1" applyFont="1" applyFill="1" applyBorder="1" applyAlignment="1">
      <alignment horizontal="center"/>
    </xf>
    <xf numFmtId="0" fontId="4" fillId="4" borderId="35" xfId="0" applyFont="1" applyFill="1" applyBorder="1" applyAlignment="1">
      <alignment horizontal="center"/>
    </xf>
    <xf numFmtId="9" fontId="5" fillId="4" borderId="33" xfId="2" applyFont="1" applyFill="1" applyBorder="1" applyAlignment="1">
      <alignment horizontal="center"/>
    </xf>
    <xf numFmtId="164" fontId="5" fillId="4" borderId="33" xfId="0" applyNumberFormat="1" applyFont="1" applyFill="1" applyBorder="1" applyAlignment="1">
      <alignment horizontal="center"/>
    </xf>
    <xf numFmtId="2" fontId="5" fillId="4" borderId="33" xfId="2" applyNumberFormat="1" applyFont="1" applyFill="1" applyBorder="1" applyAlignment="1">
      <alignment horizontal="center"/>
    </xf>
    <xf numFmtId="2" fontId="5" fillId="4" borderId="34" xfId="2" applyNumberFormat="1" applyFont="1" applyFill="1" applyBorder="1" applyAlignment="1">
      <alignment horizontal="center"/>
    </xf>
    <xf numFmtId="0" fontId="4" fillId="4" borderId="27" xfId="0" applyFont="1" applyFill="1" applyBorder="1" applyAlignment="1">
      <alignment horizontal="center"/>
    </xf>
    <xf numFmtId="0" fontId="4" fillId="4" borderId="28" xfId="0" applyFont="1" applyFill="1" applyBorder="1" applyAlignment="1">
      <alignment horizontal="center"/>
    </xf>
    <xf numFmtId="164" fontId="4" fillId="4" borderId="28" xfId="0" applyNumberFormat="1" applyFont="1" applyFill="1" applyBorder="1" applyAlignment="1">
      <alignment horizontal="center"/>
    </xf>
    <xf numFmtId="2" fontId="4" fillId="4" borderId="28" xfId="2" applyNumberFormat="1" applyFont="1" applyFill="1" applyBorder="1" applyAlignment="1">
      <alignment horizontal="center"/>
    </xf>
    <xf numFmtId="2" fontId="4" fillId="4" borderId="30" xfId="2" applyNumberFormat="1" applyFont="1" applyFill="1" applyBorder="1" applyAlignment="1">
      <alignment horizontal="center"/>
    </xf>
    <xf numFmtId="0" fontId="5" fillId="4" borderId="39" xfId="3" applyFont="1" applyFill="1" applyBorder="1" applyAlignment="1">
      <alignment horizontal="center"/>
    </xf>
    <xf numFmtId="0" fontId="5" fillId="4" borderId="0" xfId="3" applyFont="1" applyFill="1" applyBorder="1" applyAlignment="1">
      <alignment horizontal="center"/>
    </xf>
    <xf numFmtId="164" fontId="5" fillId="4" borderId="0" xfId="3" applyNumberFormat="1" applyFont="1" applyFill="1" applyBorder="1" applyAlignment="1">
      <alignment horizontal="center"/>
    </xf>
    <xf numFmtId="2" fontId="5" fillId="4" borderId="0" xfId="3" applyNumberFormat="1" applyFont="1" applyFill="1" applyBorder="1" applyAlignment="1">
      <alignment horizontal="center"/>
    </xf>
    <xf numFmtId="2" fontId="5" fillId="4" borderId="40" xfId="3" applyNumberFormat="1" applyFont="1" applyFill="1" applyBorder="1" applyAlignment="1">
      <alignment horizontal="center"/>
    </xf>
    <xf numFmtId="0" fontId="4" fillId="4" borderId="13" xfId="0" applyFont="1" applyFill="1" applyBorder="1" applyAlignment="1">
      <alignment horizontal="center"/>
    </xf>
    <xf numFmtId="0" fontId="4" fillId="4" borderId="1" xfId="0" applyFont="1" applyFill="1" applyBorder="1" applyAlignment="1">
      <alignment horizontal="center"/>
    </xf>
    <xf numFmtId="164" fontId="4" fillId="4" borderId="1" xfId="0" applyNumberFormat="1" applyFont="1" applyFill="1" applyBorder="1" applyAlignment="1">
      <alignment horizontal="center"/>
    </xf>
    <xf numFmtId="2" fontId="4" fillId="4" borderId="1" xfId="2" applyNumberFormat="1" applyFont="1" applyFill="1" applyBorder="1" applyAlignment="1">
      <alignment horizontal="center"/>
    </xf>
    <xf numFmtId="2" fontId="4" fillId="4" borderId="14" xfId="2" applyNumberFormat="1" applyFont="1" applyFill="1" applyBorder="1" applyAlignment="1">
      <alignment horizontal="center"/>
    </xf>
    <xf numFmtId="9" fontId="4" fillId="4" borderId="1" xfId="2" applyFont="1" applyFill="1" applyBorder="1" applyAlignment="1">
      <alignment horizontal="center"/>
    </xf>
    <xf numFmtId="0" fontId="10" fillId="4" borderId="31" xfId="0" applyFont="1" applyFill="1" applyBorder="1" applyAlignment="1">
      <alignment horizontal="center"/>
    </xf>
    <xf numFmtId="0" fontId="10" fillId="4" borderId="23" xfId="0" applyFont="1" applyFill="1" applyBorder="1" applyAlignment="1">
      <alignment horizontal="center"/>
    </xf>
    <xf numFmtId="9" fontId="10" fillId="4" borderId="23" xfId="0" applyNumberFormat="1" applyFont="1" applyFill="1" applyBorder="1" applyAlignment="1">
      <alignment horizontal="center"/>
    </xf>
    <xf numFmtId="0" fontId="0" fillId="0" borderId="0" xfId="0" applyAlignment="1">
      <alignment horizontal="center"/>
    </xf>
    <xf numFmtId="164" fontId="0" fillId="0" borderId="0" xfId="0" applyNumberFormat="1" applyAlignment="1">
      <alignment horizontal="center"/>
    </xf>
    <xf numFmtId="164" fontId="4" fillId="4" borderId="29" xfId="0" applyNumberFormat="1" applyFont="1" applyFill="1" applyBorder="1" applyAlignment="1">
      <alignment horizontal="center"/>
    </xf>
    <xf numFmtId="164" fontId="4" fillId="4" borderId="2" xfId="0" applyNumberFormat="1" applyFont="1" applyFill="1" applyBorder="1" applyAlignment="1">
      <alignment horizontal="center"/>
    </xf>
    <xf numFmtId="164" fontId="10" fillId="4" borderId="23" xfId="0" applyNumberFormat="1" applyFont="1" applyFill="1" applyBorder="1" applyAlignment="1">
      <alignment horizontal="center"/>
    </xf>
    <xf numFmtId="9" fontId="4" fillId="4" borderId="28" xfId="2" applyFont="1" applyFill="1" applyBorder="1" applyAlignment="1">
      <alignment horizontal="center"/>
    </xf>
    <xf numFmtId="0" fontId="11" fillId="0" borderId="0" xfId="0" applyFont="1"/>
    <xf numFmtId="0" fontId="12" fillId="0" borderId="0" xfId="0" applyFont="1"/>
    <xf numFmtId="0" fontId="11" fillId="0" borderId="0" xfId="0" applyFont="1" applyAlignment="1">
      <alignment horizontal="left"/>
    </xf>
    <xf numFmtId="0" fontId="12" fillId="0" borderId="0" xfId="0" applyFont="1" applyAlignment="1">
      <alignment horizontal="left"/>
    </xf>
    <xf numFmtId="0" fontId="0" fillId="0" borderId="0" xfId="0" applyAlignment="1">
      <alignment horizontal="left"/>
    </xf>
    <xf numFmtId="0" fontId="11" fillId="0" borderId="0" xfId="0" applyFont="1" applyAlignment="1">
      <alignment horizontal="left"/>
    </xf>
    <xf numFmtId="0" fontId="12"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left"/>
    </xf>
    <xf numFmtId="164" fontId="11" fillId="0" borderId="0" xfId="1" applyNumberFormat="1" applyFont="1" applyAlignment="1">
      <alignment horizontal="center"/>
    </xf>
    <xf numFmtId="9" fontId="11" fillId="0" borderId="0" xfId="2" applyFont="1" applyAlignment="1">
      <alignment horizontal="center"/>
    </xf>
    <xf numFmtId="9" fontId="11" fillId="0" borderId="0" xfId="2" applyNumberFormat="1" applyFont="1" applyAlignment="1">
      <alignment horizontal="center"/>
    </xf>
    <xf numFmtId="2" fontId="11" fillId="0" borderId="0" xfId="1" applyNumberFormat="1" applyFont="1" applyAlignment="1">
      <alignment horizontal="center"/>
    </xf>
    <xf numFmtId="164" fontId="13" fillId="0" borderId="0" xfId="1" applyNumberFormat="1" applyFont="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8" fillId="0" borderId="19"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4" xfId="0" applyFont="1" applyBorder="1" applyAlignment="1">
      <alignment horizontal="center"/>
    </xf>
    <xf numFmtId="0" fontId="6" fillId="4" borderId="39" xfId="0" applyFont="1" applyFill="1" applyBorder="1" applyAlignment="1">
      <alignment horizontal="center"/>
    </xf>
    <xf numFmtId="0" fontId="6" fillId="4" borderId="0" xfId="0" applyFont="1" applyFill="1" applyBorder="1" applyAlignment="1">
      <alignment horizontal="center"/>
    </xf>
    <xf numFmtId="0" fontId="6" fillId="4" borderId="40" xfId="0" applyFont="1" applyFill="1" applyBorder="1" applyAlignment="1">
      <alignment horizontal="center"/>
    </xf>
    <xf numFmtId="0" fontId="5" fillId="4" borderId="7" xfId="0" applyFont="1" applyFill="1" applyBorder="1" applyAlignment="1">
      <alignment horizontal="center"/>
    </xf>
    <xf numFmtId="0" fontId="5" fillId="4" borderId="32"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6" fillId="4" borderId="9" xfId="0" applyFont="1" applyFill="1" applyBorder="1" applyAlignment="1">
      <alignment horizontal="center"/>
    </xf>
    <xf numFmtId="0" fontId="6" fillId="4" borderId="36" xfId="0" applyFont="1" applyFill="1" applyBorder="1" applyAlignment="1">
      <alignment horizontal="center"/>
    </xf>
    <xf numFmtId="0" fontId="6" fillId="4" borderId="37" xfId="0" applyFont="1" applyFill="1" applyBorder="1" applyAlignment="1">
      <alignment horizontal="center"/>
    </xf>
    <xf numFmtId="0" fontId="6" fillId="4" borderId="38" xfId="0" applyFont="1" applyFill="1" applyBorder="1" applyAlignment="1">
      <alignment horizontal="center"/>
    </xf>
    <xf numFmtId="0" fontId="11" fillId="0" borderId="0" xfId="0" applyFont="1" applyAlignment="1">
      <alignment horizontal="left" wrapText="1"/>
    </xf>
    <xf numFmtId="0" fontId="11" fillId="0" borderId="0" xfId="0" applyFont="1" applyAlignment="1">
      <alignment horizontal="left" vertical="center" wrapText="1"/>
    </xf>
    <xf numFmtId="0" fontId="11" fillId="0" borderId="0" xfId="0" applyFont="1" applyAlignment="1">
      <alignment horizontal="left"/>
    </xf>
    <xf numFmtId="0" fontId="12" fillId="0" borderId="0" xfId="0" applyFont="1" applyAlignment="1">
      <alignment horizontal="left"/>
    </xf>
    <xf numFmtId="0" fontId="12" fillId="0" borderId="0" xfId="0" applyFont="1" applyAlignment="1">
      <alignment horizontal="left" vertical="center" wrapText="1"/>
    </xf>
  </cellXfs>
  <cellStyles count="4">
    <cellStyle name="Currency" xfId="1" builtinId="4"/>
    <cellStyle name="Normal" xfId="0" builtinId="0"/>
    <cellStyle name="Percent" xfId="2" builtinId="5"/>
    <cellStyle name="Style 1" xfId="3" xr:uid="{6C7816B4-1388-A64E-A79D-5B67ABB2F60A}"/>
  </cellStyles>
  <dxfs count="0"/>
  <tableStyles count="0" defaultTableStyle="TableStyleMedium2" defaultPivotStyle="PivotStyleLight16"/>
  <colors>
    <mruColors>
      <color rgb="FF84D7ED"/>
      <color rgb="FFD4EDF5"/>
      <color rgb="FF26F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425CC-CCAB-3A49-B666-F203A6D1D46F}">
  <sheetPr>
    <pageSetUpPr fitToPage="1"/>
  </sheetPr>
  <dimension ref="B2:AU143"/>
  <sheetViews>
    <sheetView topLeftCell="A28" zoomScaleNormal="100" workbookViewId="0">
      <selection activeCell="I11" sqref="I11"/>
    </sheetView>
  </sheetViews>
  <sheetFormatPr baseColWidth="10" defaultRowHeight="16"/>
  <cols>
    <col min="2" max="2" width="16.33203125" customWidth="1"/>
    <col min="3" max="3" width="15.1640625" bestFit="1" customWidth="1"/>
    <col min="4" max="4" width="19.33203125" customWidth="1"/>
    <col min="5" max="5" width="18.1640625" style="12" bestFit="1" customWidth="1"/>
    <col min="6" max="6" width="12.83203125" customWidth="1"/>
    <col min="7" max="7" width="12.1640625" bestFit="1" customWidth="1"/>
    <col min="8" max="8" width="13.83203125" customWidth="1"/>
    <col min="9" max="12" width="11.1640625" bestFit="1" customWidth="1"/>
    <col min="13" max="47" width="12.6640625" bestFit="1" customWidth="1"/>
  </cols>
  <sheetData>
    <row r="2" spans="2:47" s="3" customFormat="1" ht="24">
      <c r="B2" s="1" t="s">
        <v>0</v>
      </c>
      <c r="C2" s="1" t="s">
        <v>1</v>
      </c>
      <c r="D2" s="1" t="s">
        <v>2</v>
      </c>
      <c r="E2" s="2"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c r="AN2" s="1" t="s">
        <v>38</v>
      </c>
      <c r="AO2" s="1" t="s">
        <v>39</v>
      </c>
      <c r="AP2" s="1" t="s">
        <v>40</v>
      </c>
      <c r="AQ2" s="1" t="s">
        <v>41</v>
      </c>
      <c r="AR2" s="1" t="s">
        <v>42</v>
      </c>
      <c r="AS2" s="1" t="s">
        <v>43</v>
      </c>
      <c r="AT2" s="1" t="s">
        <v>44</v>
      </c>
      <c r="AU2" s="1" t="s">
        <v>45</v>
      </c>
    </row>
    <row r="3" spans="2:47" s="3" customFormat="1" ht="24">
      <c r="B3" s="4" t="s">
        <v>46</v>
      </c>
      <c r="C3" s="4">
        <v>5</v>
      </c>
      <c r="D3" s="5" t="s">
        <v>47</v>
      </c>
      <c r="E3" s="6">
        <v>1000</v>
      </c>
      <c r="F3" s="7">
        <v>1000</v>
      </c>
      <c r="G3" s="7"/>
      <c r="H3" s="7"/>
      <c r="I3" s="7"/>
      <c r="J3" s="8"/>
      <c r="K3" s="9"/>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row>
    <row r="4" spans="2:47" s="3" customFormat="1" ht="24">
      <c r="B4" s="4" t="s">
        <v>48</v>
      </c>
      <c r="C4" s="4">
        <v>5</v>
      </c>
      <c r="D4" s="5" t="s">
        <v>49</v>
      </c>
      <c r="E4" s="6">
        <v>4000</v>
      </c>
      <c r="F4" s="7"/>
      <c r="G4" s="7">
        <v>4000</v>
      </c>
      <c r="H4" s="7"/>
      <c r="I4" s="7"/>
      <c r="J4" s="8"/>
      <c r="K4" s="9"/>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row>
    <row r="5" spans="2:47" s="3" customFormat="1" ht="24">
      <c r="B5" s="4" t="s">
        <v>50</v>
      </c>
      <c r="C5" s="4">
        <v>3</v>
      </c>
      <c r="D5" s="5" t="s">
        <v>51</v>
      </c>
      <c r="E5" s="6">
        <v>5000</v>
      </c>
      <c r="F5" s="7"/>
      <c r="G5" s="7">
        <v>5000</v>
      </c>
      <c r="H5" s="7"/>
      <c r="I5" s="7"/>
      <c r="J5" s="8"/>
      <c r="K5" s="9"/>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row>
    <row r="6" spans="2:47" s="3" customFormat="1" ht="24">
      <c r="B6" s="4" t="s">
        <v>52</v>
      </c>
      <c r="C6" s="4">
        <v>15</v>
      </c>
      <c r="D6" s="5" t="s">
        <v>53</v>
      </c>
      <c r="E6" s="6">
        <v>7000</v>
      </c>
      <c r="F6" s="7"/>
      <c r="G6" s="7">
        <v>2333</v>
      </c>
      <c r="H6" s="7">
        <v>2333</v>
      </c>
      <c r="I6" s="7">
        <v>2334</v>
      </c>
      <c r="J6" s="8" t="s">
        <v>54</v>
      </c>
      <c r="K6" s="9"/>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row>
    <row r="7" spans="2:47" s="3" customFormat="1" ht="24">
      <c r="B7" s="4" t="s">
        <v>55</v>
      </c>
      <c r="C7" s="4">
        <v>30</v>
      </c>
      <c r="D7" s="5" t="s">
        <v>56</v>
      </c>
      <c r="E7" s="6">
        <v>11250</v>
      </c>
      <c r="F7" s="7"/>
      <c r="G7" s="7">
        <v>1875</v>
      </c>
      <c r="H7" s="7">
        <v>1875</v>
      </c>
      <c r="I7" s="7">
        <v>1875</v>
      </c>
      <c r="J7" s="8">
        <v>1875</v>
      </c>
      <c r="K7" s="9">
        <v>1875</v>
      </c>
      <c r="L7" s="7">
        <v>1875</v>
      </c>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row>
    <row r="8" spans="2:47" s="3" customFormat="1" ht="24">
      <c r="B8" s="4" t="s">
        <v>57</v>
      </c>
      <c r="C8" s="4">
        <v>9</v>
      </c>
      <c r="D8" s="5" t="s">
        <v>58</v>
      </c>
      <c r="E8" s="6">
        <v>4000</v>
      </c>
      <c r="F8" s="7"/>
      <c r="G8" s="7">
        <v>2000</v>
      </c>
      <c r="H8" s="7">
        <v>2000</v>
      </c>
      <c r="I8" s="7"/>
      <c r="J8" s="8"/>
      <c r="K8" s="9"/>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row>
    <row r="9" spans="2:47" s="3" customFormat="1" ht="24">
      <c r="B9" s="4" t="s">
        <v>59</v>
      </c>
      <c r="C9" s="4">
        <v>5</v>
      </c>
      <c r="D9" s="5" t="s">
        <v>60</v>
      </c>
      <c r="E9" s="6">
        <v>4500</v>
      </c>
      <c r="F9" s="7"/>
      <c r="G9" s="7"/>
      <c r="H9" s="7">
        <v>4500</v>
      </c>
      <c r="I9" s="7"/>
      <c r="J9" s="8"/>
      <c r="K9" s="9"/>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2:47" s="3" customFormat="1" ht="24">
      <c r="B10" s="4" t="s">
        <v>61</v>
      </c>
      <c r="C10" s="4">
        <v>14</v>
      </c>
      <c r="D10" s="5" t="s">
        <v>62</v>
      </c>
      <c r="E10" s="6">
        <v>13500</v>
      </c>
      <c r="F10" s="7"/>
      <c r="G10" s="7"/>
      <c r="H10" s="7">
        <v>4500</v>
      </c>
      <c r="I10" s="7">
        <v>4500</v>
      </c>
      <c r="J10" s="8">
        <v>4500</v>
      </c>
      <c r="K10" s="9" t="s">
        <v>54</v>
      </c>
      <c r="L10" s="7" t="s">
        <v>54</v>
      </c>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2:47" s="3" customFormat="1" ht="24">
      <c r="B11" s="4" t="s">
        <v>63</v>
      </c>
      <c r="C11" s="4">
        <v>24</v>
      </c>
      <c r="D11" s="5" t="s">
        <v>64</v>
      </c>
      <c r="E11" s="6">
        <v>13500</v>
      </c>
      <c r="F11" s="7"/>
      <c r="G11" s="7"/>
      <c r="H11" s="7"/>
      <c r="I11" s="7"/>
      <c r="J11" s="8" t="s">
        <v>54</v>
      </c>
      <c r="K11" s="9">
        <v>2700</v>
      </c>
      <c r="L11" s="7">
        <v>2700</v>
      </c>
      <c r="M11" s="7">
        <v>2700</v>
      </c>
      <c r="N11" s="7">
        <v>2700</v>
      </c>
      <c r="O11" s="10">
        <v>2700</v>
      </c>
      <c r="P11" s="10">
        <v>2700</v>
      </c>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2:47" s="3" customFormat="1" ht="24">
      <c r="B12" s="4" t="s">
        <v>65</v>
      </c>
      <c r="C12" s="4">
        <v>35</v>
      </c>
      <c r="D12" s="5" t="s">
        <v>66</v>
      </c>
      <c r="E12" s="6">
        <v>35500</v>
      </c>
      <c r="F12" s="7"/>
      <c r="G12" s="7"/>
      <c r="H12" s="7"/>
      <c r="I12" s="7">
        <v>5071.4285714285716</v>
      </c>
      <c r="J12" s="8">
        <v>5071.4285714285716</v>
      </c>
      <c r="K12" s="9">
        <v>5071.4285714285716</v>
      </c>
      <c r="L12" s="7">
        <v>5071.4285714285716</v>
      </c>
      <c r="M12" s="7">
        <v>5071.4285714285716</v>
      </c>
      <c r="N12" s="7">
        <v>5071.4285714285716</v>
      </c>
      <c r="O12" s="7">
        <v>5071.4285714285716</v>
      </c>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row>
    <row r="13" spans="2:47" s="3" customFormat="1" ht="24">
      <c r="B13" s="4" t="s">
        <v>67</v>
      </c>
      <c r="C13" s="4">
        <v>14</v>
      </c>
      <c r="D13" s="5" t="s">
        <v>68</v>
      </c>
      <c r="E13" s="6">
        <v>13500</v>
      </c>
      <c r="F13" s="7"/>
      <c r="G13" s="7"/>
      <c r="H13" s="7"/>
      <c r="I13" s="7"/>
      <c r="J13" s="8">
        <v>4500</v>
      </c>
      <c r="K13" s="9">
        <v>4500</v>
      </c>
      <c r="L13" s="7">
        <v>4500</v>
      </c>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row>
    <row r="14" spans="2:47" s="3" customFormat="1" ht="24">
      <c r="B14" s="4" t="s">
        <v>69</v>
      </c>
      <c r="C14" s="4">
        <v>6</v>
      </c>
      <c r="D14" s="5" t="s">
        <v>70</v>
      </c>
      <c r="E14" s="6">
        <v>5500</v>
      </c>
      <c r="F14" s="7"/>
      <c r="G14" s="7"/>
      <c r="H14" s="7"/>
      <c r="I14" s="7"/>
      <c r="J14" s="8"/>
      <c r="K14" s="9"/>
      <c r="L14" s="7"/>
      <c r="M14" s="7"/>
      <c r="N14" s="7"/>
      <c r="O14" s="7"/>
      <c r="P14" s="7">
        <v>5500</v>
      </c>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row>
    <row r="15" spans="2:47" s="3" customFormat="1" ht="24">
      <c r="B15" s="4" t="s">
        <v>71</v>
      </c>
      <c r="C15" s="4">
        <v>3</v>
      </c>
      <c r="D15" s="5" t="s">
        <v>72</v>
      </c>
      <c r="E15" s="6">
        <v>2500</v>
      </c>
      <c r="F15" s="7"/>
      <c r="G15" s="7"/>
      <c r="H15" s="7"/>
      <c r="I15" s="7"/>
      <c r="J15" s="8"/>
      <c r="K15" s="9"/>
      <c r="L15" s="7"/>
      <c r="M15" s="7">
        <v>2500</v>
      </c>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row>
    <row r="16" spans="2:47" s="3" customFormat="1" ht="24">
      <c r="B16" s="4" t="s">
        <v>73</v>
      </c>
      <c r="C16" s="4">
        <v>100</v>
      </c>
      <c r="D16" s="5" t="s">
        <v>74</v>
      </c>
      <c r="E16" s="6">
        <v>66000</v>
      </c>
      <c r="F16" s="7"/>
      <c r="G16" s="7"/>
      <c r="H16" s="7"/>
      <c r="I16" s="7"/>
      <c r="J16" s="8"/>
      <c r="K16" s="9"/>
      <c r="L16" s="7"/>
      <c r="M16" s="7"/>
      <c r="N16" s="7"/>
      <c r="O16" s="7">
        <v>3300</v>
      </c>
      <c r="P16" s="7">
        <v>3300</v>
      </c>
      <c r="Q16" s="7">
        <v>3300</v>
      </c>
      <c r="R16" s="7">
        <v>3300</v>
      </c>
      <c r="S16" s="7">
        <v>3300</v>
      </c>
      <c r="T16" s="7">
        <v>3300</v>
      </c>
      <c r="U16" s="7">
        <v>3300</v>
      </c>
      <c r="V16" s="7">
        <v>3300</v>
      </c>
      <c r="W16" s="7">
        <v>3300</v>
      </c>
      <c r="X16" s="7">
        <v>3300</v>
      </c>
      <c r="Y16" s="7">
        <v>3300</v>
      </c>
      <c r="Z16" s="7">
        <v>3300</v>
      </c>
      <c r="AA16" s="7">
        <v>3300</v>
      </c>
      <c r="AB16" s="7">
        <v>3300</v>
      </c>
      <c r="AC16" s="7">
        <v>3300</v>
      </c>
      <c r="AD16" s="7">
        <v>3300</v>
      </c>
      <c r="AE16" s="7">
        <v>3300</v>
      </c>
      <c r="AF16" s="7">
        <v>3300</v>
      </c>
      <c r="AG16" s="7">
        <v>3300</v>
      </c>
      <c r="AH16" s="7">
        <v>3300</v>
      </c>
      <c r="AI16" s="7"/>
      <c r="AJ16" s="7"/>
      <c r="AK16" s="7"/>
      <c r="AL16" s="7"/>
      <c r="AM16" s="7"/>
      <c r="AN16" s="7"/>
      <c r="AO16" s="7"/>
      <c r="AP16" s="7"/>
      <c r="AQ16" s="7"/>
      <c r="AR16" s="7"/>
      <c r="AS16" s="7"/>
      <c r="AT16" s="7"/>
      <c r="AU16" s="7"/>
    </row>
    <row r="17" spans="2:47" s="3" customFormat="1" ht="24">
      <c r="B17" s="4" t="s">
        <v>75</v>
      </c>
      <c r="C17" s="4">
        <v>6</v>
      </c>
      <c r="D17" s="5" t="s">
        <v>76</v>
      </c>
      <c r="E17" s="6">
        <v>2750</v>
      </c>
      <c r="F17" s="7"/>
      <c r="G17" s="7"/>
      <c r="H17" s="7"/>
      <c r="I17" s="7"/>
      <c r="J17" s="8"/>
      <c r="K17" s="9"/>
      <c r="L17" s="7"/>
      <c r="M17" s="7"/>
      <c r="N17" s="7"/>
      <c r="O17" s="7"/>
      <c r="P17" s="7"/>
      <c r="Q17" s="7"/>
      <c r="R17" s="7"/>
      <c r="S17" s="7"/>
      <c r="T17" s="7"/>
      <c r="U17" s="7"/>
      <c r="V17" s="7"/>
      <c r="W17" s="7"/>
      <c r="X17" s="7"/>
      <c r="Y17" s="7"/>
      <c r="Z17" s="7"/>
      <c r="AA17" s="7"/>
      <c r="AB17" s="7"/>
      <c r="AC17" s="7"/>
      <c r="AD17" s="7"/>
      <c r="AE17" s="7"/>
      <c r="AF17" s="7"/>
      <c r="AG17" s="7"/>
      <c r="AH17" s="7"/>
      <c r="AI17" s="7">
        <v>2750</v>
      </c>
      <c r="AJ17" s="7"/>
      <c r="AK17" s="7"/>
      <c r="AL17" s="7"/>
      <c r="AM17" s="7"/>
      <c r="AN17" s="7"/>
      <c r="AO17" s="7"/>
      <c r="AP17" s="7"/>
      <c r="AQ17" s="7"/>
      <c r="AR17" s="7"/>
      <c r="AS17" s="7"/>
      <c r="AT17" s="7"/>
      <c r="AU17" s="7"/>
    </row>
    <row r="18" spans="2:47" s="3" customFormat="1" ht="24">
      <c r="B18" s="4" t="s">
        <v>77</v>
      </c>
      <c r="C18" s="4">
        <v>6</v>
      </c>
      <c r="D18" s="5" t="s">
        <v>78</v>
      </c>
      <c r="E18" s="6">
        <v>2750</v>
      </c>
      <c r="F18" s="7"/>
      <c r="G18" s="7"/>
      <c r="H18" s="7"/>
      <c r="I18" s="7"/>
      <c r="J18" s="8"/>
      <c r="K18" s="9"/>
      <c r="L18" s="7"/>
      <c r="M18" s="7"/>
      <c r="N18" s="7"/>
      <c r="O18" s="7"/>
      <c r="P18" s="7"/>
      <c r="Q18" s="7"/>
      <c r="R18" s="7"/>
      <c r="S18" s="7"/>
      <c r="T18" s="7"/>
      <c r="U18" s="7"/>
      <c r="V18" s="7"/>
      <c r="W18" s="7"/>
      <c r="X18" s="7"/>
      <c r="Y18" s="7"/>
      <c r="Z18" s="7"/>
      <c r="AA18" s="7"/>
      <c r="AB18" s="7"/>
      <c r="AC18" s="7"/>
      <c r="AD18" s="7"/>
      <c r="AE18" s="7"/>
      <c r="AF18" s="7"/>
      <c r="AG18" s="7"/>
      <c r="AH18" s="7"/>
      <c r="AI18" s="7">
        <v>2750</v>
      </c>
      <c r="AJ18" s="7"/>
      <c r="AK18" s="7"/>
      <c r="AL18" s="7"/>
      <c r="AM18" s="7"/>
      <c r="AN18" s="7"/>
      <c r="AO18" s="7"/>
      <c r="AP18" s="7"/>
      <c r="AQ18" s="7"/>
      <c r="AR18" s="7"/>
      <c r="AS18" s="7"/>
      <c r="AT18" s="7"/>
      <c r="AU18" s="7"/>
    </row>
    <row r="19" spans="2:47" s="3" customFormat="1" ht="24">
      <c r="B19" s="4" t="s">
        <v>79</v>
      </c>
      <c r="C19" s="4">
        <v>6</v>
      </c>
      <c r="D19" s="5" t="s">
        <v>80</v>
      </c>
      <c r="E19" s="6">
        <v>3500</v>
      </c>
      <c r="F19" s="7"/>
      <c r="G19" s="7"/>
      <c r="H19" s="7"/>
      <c r="I19" s="7"/>
      <c r="J19" s="8"/>
      <c r="K19" s="9"/>
      <c r="L19" s="7"/>
      <c r="M19" s="7"/>
      <c r="N19" s="7"/>
      <c r="O19" s="7"/>
      <c r="P19" s="7"/>
      <c r="Q19" s="7"/>
      <c r="R19" s="7"/>
      <c r="S19" s="7"/>
      <c r="T19" s="7"/>
      <c r="U19" s="7"/>
      <c r="V19" s="7"/>
      <c r="W19" s="7"/>
      <c r="X19" s="7"/>
      <c r="Y19" s="7"/>
      <c r="Z19" s="7"/>
      <c r="AA19" s="7"/>
      <c r="AB19" s="7"/>
      <c r="AC19" s="7"/>
      <c r="AD19" s="7"/>
      <c r="AE19" s="7"/>
      <c r="AF19" s="7"/>
      <c r="AG19" s="7"/>
      <c r="AH19" s="7"/>
      <c r="AI19" s="7">
        <v>3500</v>
      </c>
      <c r="AJ19" s="7"/>
      <c r="AK19" s="7"/>
      <c r="AL19" s="7"/>
      <c r="AM19" s="7"/>
      <c r="AN19" s="7"/>
      <c r="AO19" s="7"/>
      <c r="AP19" s="7"/>
      <c r="AQ19" s="7"/>
      <c r="AR19" s="7"/>
      <c r="AS19" s="7"/>
      <c r="AT19" s="7"/>
      <c r="AU19" s="7"/>
    </row>
    <row r="20" spans="2:47" s="3" customFormat="1" ht="24">
      <c r="B20" s="4" t="s">
        <v>81</v>
      </c>
      <c r="C20" s="4">
        <v>12</v>
      </c>
      <c r="D20" s="5" t="s">
        <v>82</v>
      </c>
      <c r="E20" s="6">
        <v>6750</v>
      </c>
      <c r="F20" s="7"/>
      <c r="G20" s="7"/>
      <c r="H20" s="7"/>
      <c r="I20" s="7"/>
      <c r="J20" s="8"/>
      <c r="K20" s="9"/>
      <c r="L20" s="7"/>
      <c r="M20" s="7"/>
      <c r="N20" s="7"/>
      <c r="O20" s="7"/>
      <c r="P20" s="7"/>
      <c r="Q20" s="7"/>
      <c r="R20" s="7"/>
      <c r="S20" s="7"/>
      <c r="T20" s="7"/>
      <c r="U20" s="7"/>
      <c r="V20" s="7"/>
      <c r="W20" s="7"/>
      <c r="X20" s="7"/>
      <c r="Y20" s="7"/>
      <c r="Z20" s="7"/>
      <c r="AA20" s="7"/>
      <c r="AB20" s="7"/>
      <c r="AC20" s="7"/>
      <c r="AD20" s="7"/>
      <c r="AE20" s="7"/>
      <c r="AF20" s="7"/>
      <c r="AG20" s="7"/>
      <c r="AH20" s="7"/>
      <c r="AI20" s="7">
        <v>2250</v>
      </c>
      <c r="AJ20" s="7">
        <v>2250</v>
      </c>
      <c r="AK20" s="7">
        <v>2250</v>
      </c>
      <c r="AL20" s="7"/>
      <c r="AM20" s="7"/>
      <c r="AN20" s="7"/>
      <c r="AO20" s="7"/>
      <c r="AP20" s="7"/>
      <c r="AQ20" s="7"/>
      <c r="AR20" s="7"/>
      <c r="AS20" s="7"/>
      <c r="AT20" s="7"/>
      <c r="AU20" s="7"/>
    </row>
    <row r="21" spans="2:47" s="3" customFormat="1" ht="24">
      <c r="B21" s="4" t="s">
        <v>83</v>
      </c>
      <c r="C21" s="4">
        <v>24</v>
      </c>
      <c r="D21" s="5" t="s">
        <v>84</v>
      </c>
      <c r="E21" s="6">
        <v>13250</v>
      </c>
      <c r="F21" s="7"/>
      <c r="G21" s="7"/>
      <c r="H21" s="7"/>
      <c r="I21" s="7"/>
      <c r="J21" s="8"/>
      <c r="K21" s="9"/>
      <c r="L21" s="7"/>
      <c r="M21" s="7"/>
      <c r="N21" s="7"/>
      <c r="O21" s="7"/>
      <c r="P21" s="7"/>
      <c r="Q21" s="7"/>
      <c r="R21" s="7"/>
      <c r="S21" s="7"/>
      <c r="T21" s="7"/>
      <c r="U21" s="7"/>
      <c r="V21" s="7"/>
      <c r="W21" s="7"/>
      <c r="X21" s="7"/>
      <c r="Y21" s="7"/>
      <c r="Z21" s="7"/>
      <c r="AA21" s="7"/>
      <c r="AB21" s="7"/>
      <c r="AC21" s="7"/>
      <c r="AD21" s="7"/>
      <c r="AE21" s="7"/>
      <c r="AF21" s="7"/>
      <c r="AG21" s="7"/>
      <c r="AH21" s="7"/>
      <c r="AI21" s="7"/>
      <c r="AJ21" s="7">
        <v>2650</v>
      </c>
      <c r="AK21" s="7">
        <v>2650</v>
      </c>
      <c r="AL21" s="7">
        <v>2650</v>
      </c>
      <c r="AM21" s="7">
        <v>2650</v>
      </c>
      <c r="AN21" s="7">
        <v>2650</v>
      </c>
      <c r="AO21" s="7"/>
      <c r="AP21" s="7"/>
      <c r="AQ21" s="7"/>
      <c r="AR21" s="7"/>
      <c r="AS21" s="7"/>
      <c r="AT21" s="7"/>
      <c r="AU21" s="7"/>
    </row>
    <row r="22" spans="2:47" s="3" customFormat="1" ht="24">
      <c r="B22" s="4" t="s">
        <v>85</v>
      </c>
      <c r="C22" s="4">
        <v>12</v>
      </c>
      <c r="D22" s="5" t="s">
        <v>86</v>
      </c>
      <c r="E22" s="6">
        <v>9000</v>
      </c>
      <c r="F22" s="7"/>
      <c r="G22" s="7"/>
      <c r="H22" s="7"/>
      <c r="I22" s="7"/>
      <c r="J22" s="8"/>
      <c r="K22" s="9"/>
      <c r="L22" s="7"/>
      <c r="M22" s="7"/>
      <c r="N22" s="7"/>
      <c r="O22" s="7"/>
      <c r="P22" s="7"/>
      <c r="Q22" s="7"/>
      <c r="R22" s="7"/>
      <c r="S22" s="7"/>
      <c r="T22" s="7"/>
      <c r="U22" s="7"/>
      <c r="V22" s="7"/>
      <c r="W22" s="7"/>
      <c r="X22" s="7"/>
      <c r="Y22" s="7"/>
      <c r="Z22" s="7"/>
      <c r="AA22" s="7"/>
      <c r="AB22" s="7"/>
      <c r="AC22" s="7"/>
      <c r="AD22" s="7"/>
      <c r="AE22" s="7"/>
      <c r="AF22" s="7"/>
      <c r="AG22" s="7"/>
      <c r="AH22" s="7"/>
      <c r="AI22" s="7"/>
      <c r="AJ22" s="7">
        <v>3000</v>
      </c>
      <c r="AK22" s="7">
        <v>3000</v>
      </c>
      <c r="AL22" s="7">
        <v>3000</v>
      </c>
      <c r="AM22" s="7"/>
      <c r="AN22" s="7"/>
      <c r="AO22" s="7"/>
      <c r="AP22" s="7"/>
      <c r="AQ22" s="7"/>
      <c r="AR22" s="7"/>
      <c r="AS22" s="7"/>
      <c r="AT22" s="7"/>
      <c r="AU22" s="7"/>
    </row>
    <row r="23" spans="2:47" s="3" customFormat="1" ht="24">
      <c r="B23" s="4" t="s">
        <v>87</v>
      </c>
      <c r="C23" s="4">
        <v>10</v>
      </c>
      <c r="D23" s="5" t="s">
        <v>88</v>
      </c>
      <c r="E23" s="6">
        <v>5750</v>
      </c>
      <c r="F23" s="7"/>
      <c r="G23" s="7"/>
      <c r="H23" s="7"/>
      <c r="I23" s="7"/>
      <c r="J23" s="8"/>
      <c r="K23" s="9"/>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v>2875</v>
      </c>
      <c r="AP23" s="7">
        <v>2875</v>
      </c>
      <c r="AQ23" s="7"/>
      <c r="AR23" s="7"/>
      <c r="AS23" s="7"/>
      <c r="AT23" s="7"/>
      <c r="AU23" s="7"/>
    </row>
    <row r="24" spans="2:47" s="3" customFormat="1" ht="24">
      <c r="B24" s="4" t="s">
        <v>89</v>
      </c>
      <c r="C24" s="4">
        <v>1</v>
      </c>
      <c r="D24" s="5" t="s">
        <v>90</v>
      </c>
      <c r="E24" s="6">
        <v>1000</v>
      </c>
      <c r="F24" s="7"/>
      <c r="G24" s="7"/>
      <c r="H24" s="7"/>
      <c r="I24" s="7"/>
      <c r="J24" s="8"/>
      <c r="K24" s="9"/>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v>1000</v>
      </c>
      <c r="AR24" s="7"/>
      <c r="AS24" s="7"/>
      <c r="AT24" s="7"/>
      <c r="AU24" s="7"/>
    </row>
    <row r="25" spans="2:47" s="3" customFormat="1" ht="24">
      <c r="B25" s="4" t="s">
        <v>91</v>
      </c>
      <c r="C25" s="4">
        <v>3</v>
      </c>
      <c r="D25" s="5" t="s">
        <v>92</v>
      </c>
      <c r="E25" s="6">
        <v>1500</v>
      </c>
      <c r="F25" s="7"/>
      <c r="G25" s="7"/>
      <c r="H25" s="7"/>
      <c r="I25" s="7"/>
      <c r="J25" s="8"/>
      <c r="K25" s="9"/>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v>1500</v>
      </c>
      <c r="AR25" s="7"/>
      <c r="AS25" s="7"/>
      <c r="AT25" s="7"/>
      <c r="AU25" s="7"/>
    </row>
    <row r="26" spans="2:47" s="3" customFormat="1" ht="24">
      <c r="B26" s="4" t="s">
        <v>93</v>
      </c>
      <c r="C26" s="4">
        <v>15</v>
      </c>
      <c r="D26" s="5" t="s">
        <v>94</v>
      </c>
      <c r="E26" s="6">
        <v>16000</v>
      </c>
      <c r="F26" s="7"/>
      <c r="G26" s="7"/>
      <c r="H26" s="7"/>
      <c r="I26" s="7"/>
      <c r="J26" s="8"/>
      <c r="K26" s="9"/>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v>5333.333333333333</v>
      </c>
      <c r="AS26" s="7">
        <v>5333.333333333333</v>
      </c>
      <c r="AT26" s="7">
        <v>5333.333333333333</v>
      </c>
      <c r="AU26" s="7"/>
    </row>
    <row r="27" spans="2:47" s="3" customFormat="1" ht="24">
      <c r="B27" s="4" t="s">
        <v>95</v>
      </c>
      <c r="C27" s="4">
        <v>6</v>
      </c>
      <c r="D27" s="5" t="s">
        <v>96</v>
      </c>
      <c r="E27" s="6">
        <v>5000</v>
      </c>
      <c r="F27" s="7"/>
      <c r="G27" s="7"/>
      <c r="H27" s="7"/>
      <c r="I27" s="7"/>
      <c r="J27" s="8"/>
      <c r="K27" s="9"/>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v>5000</v>
      </c>
    </row>
    <row r="28" spans="2:47" s="3" customFormat="1" ht="24">
      <c r="B28" s="100" t="s">
        <v>97</v>
      </c>
      <c r="C28" s="101"/>
      <c r="D28" s="102"/>
      <c r="E28" s="11">
        <f>SUM(E3:E27)</f>
        <v>254000</v>
      </c>
      <c r="F28" s="7">
        <f>SUM(F3:F27)</f>
        <v>1000</v>
      </c>
      <c r="G28" s="7">
        <f t="shared" ref="G28:AU28" si="0">SUM(G3:G27)</f>
        <v>15208</v>
      </c>
      <c r="H28" s="7">
        <f t="shared" si="0"/>
        <v>15208</v>
      </c>
      <c r="I28" s="7">
        <f t="shared" si="0"/>
        <v>13780.428571428572</v>
      </c>
      <c r="J28" s="8">
        <f t="shared" si="0"/>
        <v>15946.428571428572</v>
      </c>
      <c r="K28" s="9">
        <f t="shared" si="0"/>
        <v>14146.428571428572</v>
      </c>
      <c r="L28" s="7">
        <f t="shared" si="0"/>
        <v>14146.428571428572</v>
      </c>
      <c r="M28" s="7">
        <f t="shared" si="0"/>
        <v>10271.428571428572</v>
      </c>
      <c r="N28" s="7">
        <f t="shared" si="0"/>
        <v>7771.4285714285716</v>
      </c>
      <c r="O28" s="7">
        <f t="shared" si="0"/>
        <v>11071.428571428572</v>
      </c>
      <c r="P28" s="7">
        <f t="shared" si="0"/>
        <v>11500</v>
      </c>
      <c r="Q28" s="7">
        <f t="shared" si="0"/>
        <v>3300</v>
      </c>
      <c r="R28" s="7">
        <f t="shared" si="0"/>
        <v>3300</v>
      </c>
      <c r="S28" s="7">
        <f t="shared" si="0"/>
        <v>3300</v>
      </c>
      <c r="T28" s="7">
        <f t="shared" si="0"/>
        <v>3300</v>
      </c>
      <c r="U28" s="7">
        <f t="shared" si="0"/>
        <v>3300</v>
      </c>
      <c r="V28" s="7">
        <f t="shared" si="0"/>
        <v>3300</v>
      </c>
      <c r="W28" s="7">
        <f t="shared" si="0"/>
        <v>3300</v>
      </c>
      <c r="X28" s="7">
        <f t="shared" si="0"/>
        <v>3300</v>
      </c>
      <c r="Y28" s="7">
        <f t="shared" si="0"/>
        <v>3300</v>
      </c>
      <c r="Z28" s="7">
        <f t="shared" si="0"/>
        <v>3300</v>
      </c>
      <c r="AA28" s="7">
        <f t="shared" si="0"/>
        <v>3300</v>
      </c>
      <c r="AB28" s="7">
        <f t="shared" si="0"/>
        <v>3300</v>
      </c>
      <c r="AC28" s="7">
        <f t="shared" si="0"/>
        <v>3300</v>
      </c>
      <c r="AD28" s="7">
        <f t="shared" si="0"/>
        <v>3300</v>
      </c>
      <c r="AE28" s="7">
        <f t="shared" si="0"/>
        <v>3300</v>
      </c>
      <c r="AF28" s="7">
        <f t="shared" si="0"/>
        <v>3300</v>
      </c>
      <c r="AG28" s="7">
        <f t="shared" si="0"/>
        <v>3300</v>
      </c>
      <c r="AH28" s="7">
        <f t="shared" si="0"/>
        <v>3300</v>
      </c>
      <c r="AI28" s="7">
        <f t="shared" si="0"/>
        <v>11250</v>
      </c>
      <c r="AJ28" s="7">
        <f t="shared" si="0"/>
        <v>7900</v>
      </c>
      <c r="AK28" s="7">
        <f t="shared" si="0"/>
        <v>7900</v>
      </c>
      <c r="AL28" s="7">
        <f t="shared" si="0"/>
        <v>5650</v>
      </c>
      <c r="AM28" s="7">
        <f t="shared" si="0"/>
        <v>2650</v>
      </c>
      <c r="AN28" s="7">
        <f t="shared" si="0"/>
        <v>2650</v>
      </c>
      <c r="AO28" s="7">
        <f t="shared" si="0"/>
        <v>2875</v>
      </c>
      <c r="AP28" s="7">
        <f t="shared" si="0"/>
        <v>2875</v>
      </c>
      <c r="AQ28" s="7">
        <f t="shared" si="0"/>
        <v>2500</v>
      </c>
      <c r="AR28" s="7">
        <f t="shared" si="0"/>
        <v>5333.333333333333</v>
      </c>
      <c r="AS28" s="7">
        <f t="shared" si="0"/>
        <v>5333.333333333333</v>
      </c>
      <c r="AT28" s="7">
        <f t="shared" si="0"/>
        <v>5333.333333333333</v>
      </c>
      <c r="AU28" s="7">
        <f t="shared" si="0"/>
        <v>5000</v>
      </c>
    </row>
    <row r="29" spans="2:47" s="3" customFormat="1" ht="24">
      <c r="B29" s="100" t="s">
        <v>98</v>
      </c>
      <c r="C29" s="101"/>
      <c r="D29" s="101"/>
      <c r="E29" s="102"/>
      <c r="F29" s="7">
        <f>F28+E29</f>
        <v>1000</v>
      </c>
      <c r="G29" s="7">
        <f>G28+F29</f>
        <v>16208</v>
      </c>
      <c r="H29" s="7">
        <f t="shared" ref="H29:AU29" si="1">H28+G29</f>
        <v>31416</v>
      </c>
      <c r="I29" s="7">
        <f t="shared" si="1"/>
        <v>45196.428571428572</v>
      </c>
      <c r="J29" s="8">
        <f t="shared" si="1"/>
        <v>61142.857142857145</v>
      </c>
      <c r="K29" s="9">
        <f t="shared" si="1"/>
        <v>75289.28571428571</v>
      </c>
      <c r="L29" s="7">
        <f t="shared" si="1"/>
        <v>89435.71428571429</v>
      </c>
      <c r="M29" s="7">
        <f t="shared" si="1"/>
        <v>99707.14285714287</v>
      </c>
      <c r="N29" s="7">
        <f t="shared" si="1"/>
        <v>107478.57142857143</v>
      </c>
      <c r="O29" s="7">
        <f t="shared" si="1"/>
        <v>118550</v>
      </c>
      <c r="P29" s="7">
        <f t="shared" si="1"/>
        <v>130050</v>
      </c>
      <c r="Q29" s="7">
        <f t="shared" si="1"/>
        <v>133350</v>
      </c>
      <c r="R29" s="7">
        <f t="shared" si="1"/>
        <v>136650</v>
      </c>
      <c r="S29" s="7">
        <f t="shared" si="1"/>
        <v>139950</v>
      </c>
      <c r="T29" s="7">
        <f t="shared" si="1"/>
        <v>143250</v>
      </c>
      <c r="U29" s="7">
        <f t="shared" si="1"/>
        <v>146550</v>
      </c>
      <c r="V29" s="7">
        <f t="shared" si="1"/>
        <v>149850</v>
      </c>
      <c r="W29" s="7">
        <f t="shared" si="1"/>
        <v>153150</v>
      </c>
      <c r="X29" s="7">
        <f t="shared" si="1"/>
        <v>156450</v>
      </c>
      <c r="Y29" s="7">
        <f t="shared" si="1"/>
        <v>159750</v>
      </c>
      <c r="Z29" s="7">
        <f t="shared" si="1"/>
        <v>163050</v>
      </c>
      <c r="AA29" s="7">
        <f t="shared" si="1"/>
        <v>166350</v>
      </c>
      <c r="AB29" s="7">
        <f t="shared" si="1"/>
        <v>169650</v>
      </c>
      <c r="AC29" s="7">
        <f t="shared" si="1"/>
        <v>172950</v>
      </c>
      <c r="AD29" s="7">
        <f t="shared" si="1"/>
        <v>176250</v>
      </c>
      <c r="AE29" s="7">
        <f t="shared" si="1"/>
        <v>179550</v>
      </c>
      <c r="AF29" s="7">
        <f t="shared" si="1"/>
        <v>182850</v>
      </c>
      <c r="AG29" s="7">
        <f t="shared" si="1"/>
        <v>186150</v>
      </c>
      <c r="AH29" s="7">
        <f t="shared" si="1"/>
        <v>189450</v>
      </c>
      <c r="AI29" s="7">
        <f t="shared" si="1"/>
        <v>200700</v>
      </c>
      <c r="AJ29" s="7">
        <f t="shared" si="1"/>
        <v>208600</v>
      </c>
      <c r="AK29" s="7">
        <f t="shared" si="1"/>
        <v>216500</v>
      </c>
      <c r="AL29" s="7">
        <f t="shared" si="1"/>
        <v>222150</v>
      </c>
      <c r="AM29" s="7">
        <f t="shared" si="1"/>
        <v>224800</v>
      </c>
      <c r="AN29" s="7">
        <f t="shared" si="1"/>
        <v>227450</v>
      </c>
      <c r="AO29" s="7">
        <f t="shared" si="1"/>
        <v>230325</v>
      </c>
      <c r="AP29" s="7">
        <f t="shared" si="1"/>
        <v>233200</v>
      </c>
      <c r="AQ29" s="7">
        <f t="shared" si="1"/>
        <v>235700</v>
      </c>
      <c r="AR29" s="7">
        <f t="shared" si="1"/>
        <v>241033.33333333334</v>
      </c>
      <c r="AS29" s="7">
        <f t="shared" si="1"/>
        <v>246366.66666666669</v>
      </c>
      <c r="AT29" s="7">
        <f t="shared" si="1"/>
        <v>251700.00000000003</v>
      </c>
      <c r="AU29" s="7">
        <f t="shared" si="1"/>
        <v>256700.00000000003</v>
      </c>
    </row>
    <row r="31" spans="2:47" ht="17" thickBot="1"/>
    <row r="32" spans="2:47" ht="30" thickBot="1">
      <c r="B32" s="94" t="s">
        <v>99</v>
      </c>
      <c r="C32" s="95"/>
      <c r="D32" s="95"/>
      <c r="E32" s="95"/>
      <c r="F32" s="95"/>
      <c r="G32" s="95"/>
      <c r="H32" s="95"/>
      <c r="I32" s="95"/>
      <c r="J32" s="96"/>
    </row>
    <row r="33" spans="2:12" ht="81" customHeight="1">
      <c r="B33" s="13" t="s">
        <v>100</v>
      </c>
      <c r="C33" s="14" t="s">
        <v>101</v>
      </c>
      <c r="D33" s="14" t="s">
        <v>102</v>
      </c>
      <c r="E33" s="15" t="s">
        <v>103</v>
      </c>
      <c r="F33" s="14" t="s">
        <v>104</v>
      </c>
      <c r="G33" s="14" t="s">
        <v>105</v>
      </c>
      <c r="H33" s="14" t="s">
        <v>106</v>
      </c>
      <c r="I33" s="14" t="s">
        <v>107</v>
      </c>
      <c r="J33" s="16" t="s">
        <v>108</v>
      </c>
    </row>
    <row r="34" spans="2:12" ht="24">
      <c r="B34" s="17" t="s">
        <v>46</v>
      </c>
      <c r="C34" s="4" t="s">
        <v>109</v>
      </c>
      <c r="D34" s="6">
        <v>1000</v>
      </c>
      <c r="E34" s="6">
        <v>1000</v>
      </c>
      <c r="F34" s="6">
        <v>1000</v>
      </c>
      <c r="G34" s="7">
        <f>D34-E34</f>
        <v>0</v>
      </c>
      <c r="H34" s="7">
        <f>D34-F34</f>
        <v>0</v>
      </c>
      <c r="I34" s="18">
        <f>D34/E34</f>
        <v>1</v>
      </c>
      <c r="J34" s="19">
        <f>D34/F34</f>
        <v>1</v>
      </c>
    </row>
    <row r="35" spans="2:12" ht="24">
      <c r="B35" s="17" t="s">
        <v>48</v>
      </c>
      <c r="C35" s="20">
        <v>0</v>
      </c>
      <c r="D35" s="6">
        <f t="shared" ref="D35:D47" si="2">C35*F35</f>
        <v>0</v>
      </c>
      <c r="E35" s="6">
        <v>0</v>
      </c>
      <c r="F35" s="6">
        <v>4000</v>
      </c>
      <c r="G35" s="7">
        <f t="shared" ref="G35:G46" si="3">D35-E35</f>
        <v>0</v>
      </c>
      <c r="H35" s="7">
        <v>0</v>
      </c>
      <c r="I35" s="18">
        <v>0</v>
      </c>
      <c r="J35" s="19">
        <f t="shared" ref="J35:J47" si="4">D35/F35</f>
        <v>0</v>
      </c>
      <c r="L35" s="21" t="s">
        <v>110</v>
      </c>
    </row>
    <row r="36" spans="2:12" ht="24">
      <c r="B36" s="17" t="s">
        <v>50</v>
      </c>
      <c r="C36" s="20">
        <v>0</v>
      </c>
      <c r="D36" s="6">
        <f t="shared" si="2"/>
        <v>0</v>
      </c>
      <c r="E36" s="6">
        <v>0</v>
      </c>
      <c r="F36" s="6">
        <v>5000</v>
      </c>
      <c r="G36" s="7">
        <f t="shared" si="3"/>
        <v>0</v>
      </c>
      <c r="H36" s="7">
        <v>0</v>
      </c>
      <c r="I36" s="18">
        <v>0</v>
      </c>
      <c r="J36" s="19">
        <f t="shared" si="4"/>
        <v>0</v>
      </c>
      <c r="L36" s="21" t="s">
        <v>111</v>
      </c>
    </row>
    <row r="37" spans="2:12" ht="24">
      <c r="B37" s="17" t="s">
        <v>52</v>
      </c>
      <c r="C37" s="20">
        <v>0</v>
      </c>
      <c r="D37" s="6">
        <f t="shared" si="2"/>
        <v>0</v>
      </c>
      <c r="E37" s="6">
        <v>0</v>
      </c>
      <c r="F37" s="6">
        <v>7000</v>
      </c>
      <c r="G37" s="7">
        <f t="shared" si="3"/>
        <v>0</v>
      </c>
      <c r="H37" s="7">
        <v>0</v>
      </c>
      <c r="I37" s="18">
        <v>0</v>
      </c>
      <c r="J37" s="19">
        <f t="shared" si="4"/>
        <v>0</v>
      </c>
      <c r="L37" s="21" t="s">
        <v>112</v>
      </c>
    </row>
    <row r="38" spans="2:12" ht="24">
      <c r="B38" s="17" t="s">
        <v>55</v>
      </c>
      <c r="C38" s="20">
        <v>0</v>
      </c>
      <c r="D38" s="6">
        <f t="shared" si="2"/>
        <v>0</v>
      </c>
      <c r="E38" s="6">
        <v>0</v>
      </c>
      <c r="F38" s="6">
        <v>11250</v>
      </c>
      <c r="G38" s="7">
        <f t="shared" si="3"/>
        <v>0</v>
      </c>
      <c r="H38" s="7">
        <v>0</v>
      </c>
      <c r="I38" s="18">
        <v>0</v>
      </c>
      <c r="J38" s="19">
        <f t="shared" si="4"/>
        <v>0</v>
      </c>
      <c r="L38" s="21" t="s">
        <v>113</v>
      </c>
    </row>
    <row r="39" spans="2:12" ht="24">
      <c r="B39" s="17" t="s">
        <v>57</v>
      </c>
      <c r="C39" s="20">
        <v>0</v>
      </c>
      <c r="D39" s="6">
        <f t="shared" si="2"/>
        <v>0</v>
      </c>
      <c r="E39" s="6">
        <v>0</v>
      </c>
      <c r="F39" s="6">
        <v>4000</v>
      </c>
      <c r="G39" s="7">
        <f t="shared" si="3"/>
        <v>0</v>
      </c>
      <c r="H39" s="7">
        <v>0</v>
      </c>
      <c r="I39" s="18">
        <v>0</v>
      </c>
      <c r="J39" s="19">
        <f t="shared" si="4"/>
        <v>0</v>
      </c>
      <c r="L39" s="21" t="s">
        <v>114</v>
      </c>
    </row>
    <row r="40" spans="2:12" ht="24">
      <c r="B40" s="17" t="s">
        <v>59</v>
      </c>
      <c r="C40" s="20">
        <v>0</v>
      </c>
      <c r="D40" s="6">
        <f t="shared" si="2"/>
        <v>0</v>
      </c>
      <c r="E40" s="6">
        <v>0</v>
      </c>
      <c r="F40" s="6">
        <v>4500</v>
      </c>
      <c r="G40" s="7">
        <f t="shared" si="3"/>
        <v>0</v>
      </c>
      <c r="H40" s="7">
        <v>0</v>
      </c>
      <c r="I40" s="18">
        <v>0</v>
      </c>
      <c r="J40" s="19">
        <f t="shared" si="4"/>
        <v>0</v>
      </c>
    </row>
    <row r="41" spans="2:12" ht="24">
      <c r="B41" s="17" t="s">
        <v>61</v>
      </c>
      <c r="C41" s="20">
        <v>0</v>
      </c>
      <c r="D41" s="6">
        <f t="shared" si="2"/>
        <v>0</v>
      </c>
      <c r="E41" s="6">
        <v>0</v>
      </c>
      <c r="F41" s="6">
        <v>13500</v>
      </c>
      <c r="G41" s="7">
        <f t="shared" si="3"/>
        <v>0</v>
      </c>
      <c r="H41" s="7">
        <v>0</v>
      </c>
      <c r="I41" s="18">
        <v>0</v>
      </c>
      <c r="J41" s="19">
        <f t="shared" si="4"/>
        <v>0</v>
      </c>
    </row>
    <row r="42" spans="2:12" ht="24">
      <c r="B42" s="17" t="s">
        <v>63</v>
      </c>
      <c r="C42" s="20">
        <v>0</v>
      </c>
      <c r="D42" s="6">
        <f t="shared" si="2"/>
        <v>0</v>
      </c>
      <c r="E42" s="6">
        <v>0</v>
      </c>
      <c r="F42" s="6">
        <v>13500</v>
      </c>
      <c r="G42" s="7">
        <f t="shared" si="3"/>
        <v>0</v>
      </c>
      <c r="H42" s="7">
        <v>0</v>
      </c>
      <c r="I42" s="18">
        <v>0</v>
      </c>
      <c r="J42" s="19">
        <f t="shared" si="4"/>
        <v>0</v>
      </c>
    </row>
    <row r="43" spans="2:12" ht="24">
      <c r="B43" s="17" t="s">
        <v>65</v>
      </c>
      <c r="C43" s="20">
        <v>0</v>
      </c>
      <c r="D43" s="6">
        <f t="shared" si="2"/>
        <v>0</v>
      </c>
      <c r="E43" s="6">
        <v>0</v>
      </c>
      <c r="F43" s="6">
        <v>35500</v>
      </c>
      <c r="G43" s="7">
        <f t="shared" si="3"/>
        <v>0</v>
      </c>
      <c r="H43" s="7">
        <v>0</v>
      </c>
      <c r="I43" s="18">
        <v>0</v>
      </c>
      <c r="J43" s="19">
        <f t="shared" si="4"/>
        <v>0</v>
      </c>
    </row>
    <row r="44" spans="2:12" ht="24">
      <c r="B44" s="17" t="s">
        <v>67</v>
      </c>
      <c r="C44" s="20">
        <v>0</v>
      </c>
      <c r="D44" s="6">
        <f t="shared" si="2"/>
        <v>0</v>
      </c>
      <c r="E44" s="6">
        <v>0</v>
      </c>
      <c r="F44" s="6">
        <v>13500</v>
      </c>
      <c r="G44" s="7">
        <f t="shared" si="3"/>
        <v>0</v>
      </c>
      <c r="H44" s="7">
        <v>0</v>
      </c>
      <c r="I44" s="18">
        <v>0</v>
      </c>
      <c r="J44" s="19">
        <f t="shared" si="4"/>
        <v>0</v>
      </c>
    </row>
    <row r="45" spans="2:12" ht="24">
      <c r="B45" s="17" t="s">
        <v>69</v>
      </c>
      <c r="C45" s="20">
        <v>0</v>
      </c>
      <c r="D45" s="6">
        <f t="shared" si="2"/>
        <v>0</v>
      </c>
      <c r="E45" s="6">
        <v>0</v>
      </c>
      <c r="F45" s="6">
        <v>35500</v>
      </c>
      <c r="G45" s="7">
        <f t="shared" si="3"/>
        <v>0</v>
      </c>
      <c r="H45" s="7">
        <v>0</v>
      </c>
      <c r="I45" s="22">
        <v>0</v>
      </c>
      <c r="J45" s="19">
        <f t="shared" si="4"/>
        <v>0</v>
      </c>
    </row>
    <row r="46" spans="2:12" ht="24">
      <c r="B46" s="17" t="s">
        <v>71</v>
      </c>
      <c r="C46" s="20">
        <v>0</v>
      </c>
      <c r="D46" s="6">
        <f t="shared" si="2"/>
        <v>0</v>
      </c>
      <c r="E46" s="6">
        <v>0</v>
      </c>
      <c r="F46" s="6">
        <v>35500</v>
      </c>
      <c r="G46" s="7">
        <f t="shared" si="3"/>
        <v>0</v>
      </c>
      <c r="H46" s="7">
        <v>0</v>
      </c>
      <c r="I46" s="22">
        <v>0</v>
      </c>
      <c r="J46" s="19">
        <f t="shared" si="4"/>
        <v>0</v>
      </c>
    </row>
    <row r="47" spans="2:12" ht="25" thickBot="1">
      <c r="B47" s="23" t="s">
        <v>73</v>
      </c>
      <c r="C47" s="24">
        <v>0</v>
      </c>
      <c r="D47" s="25">
        <f t="shared" si="2"/>
        <v>0</v>
      </c>
      <c r="E47" s="25">
        <v>0</v>
      </c>
      <c r="F47" s="25">
        <v>13500</v>
      </c>
      <c r="G47" s="26">
        <f>D47-E47</f>
        <v>0</v>
      </c>
      <c r="H47" s="26">
        <v>0</v>
      </c>
      <c r="I47" s="27">
        <v>0</v>
      </c>
      <c r="J47" s="28">
        <f t="shared" si="4"/>
        <v>0</v>
      </c>
    </row>
    <row r="51" spans="2:14" ht="17" thickBot="1"/>
    <row r="52" spans="2:14" ht="30" thickBot="1">
      <c r="B52" s="94" t="s">
        <v>115</v>
      </c>
      <c r="C52" s="95"/>
      <c r="D52" s="95"/>
      <c r="E52" s="95"/>
      <c r="F52" s="95"/>
      <c r="G52" s="95"/>
      <c r="H52" s="95"/>
      <c r="I52" s="95"/>
      <c r="J52" s="96"/>
    </row>
    <row r="53" spans="2:14" ht="75">
      <c r="B53" s="13" t="s">
        <v>100</v>
      </c>
      <c r="C53" s="14" t="s">
        <v>101</v>
      </c>
      <c r="D53" s="14" t="s">
        <v>102</v>
      </c>
      <c r="E53" s="15" t="s">
        <v>103</v>
      </c>
      <c r="F53" s="14" t="s">
        <v>104</v>
      </c>
      <c r="G53" s="14" t="s">
        <v>105</v>
      </c>
      <c r="H53" s="14" t="s">
        <v>106</v>
      </c>
      <c r="I53" s="14" t="s">
        <v>107</v>
      </c>
      <c r="J53" s="16" t="s">
        <v>108</v>
      </c>
    </row>
    <row r="54" spans="2:14" ht="24">
      <c r="B54" s="17" t="s">
        <v>46</v>
      </c>
      <c r="C54" s="4" t="s">
        <v>109</v>
      </c>
      <c r="D54" s="6">
        <v>1000</v>
      </c>
      <c r="E54" s="6">
        <v>1000</v>
      </c>
      <c r="F54" s="6">
        <v>1000</v>
      </c>
      <c r="G54" s="7">
        <f>D54-E54</f>
        <v>0</v>
      </c>
      <c r="H54" s="7">
        <f>D54-F54</f>
        <v>0</v>
      </c>
      <c r="I54" s="18">
        <f>D54/E54</f>
        <v>1</v>
      </c>
      <c r="J54" s="19">
        <f>D54/F54</f>
        <v>1</v>
      </c>
    </row>
    <row r="55" spans="2:14" ht="24">
      <c r="B55" s="17" t="s">
        <v>48</v>
      </c>
      <c r="C55" s="4" t="s">
        <v>109</v>
      </c>
      <c r="D55" s="6">
        <v>4000</v>
      </c>
      <c r="E55" s="6">
        <v>4000</v>
      </c>
      <c r="F55" s="6">
        <v>4000</v>
      </c>
      <c r="G55" s="7">
        <f t="shared" ref="G55:G66" si="5">D55-E55</f>
        <v>0</v>
      </c>
      <c r="H55" s="7">
        <f t="shared" ref="H55:H59" si="6">D55-F55</f>
        <v>0</v>
      </c>
      <c r="I55" s="18">
        <f t="shared" ref="I55:I59" si="7">D55/E55</f>
        <v>1</v>
      </c>
      <c r="J55" s="19">
        <f t="shared" ref="J55:J67" si="8">D55/F55</f>
        <v>1</v>
      </c>
    </row>
    <row r="56" spans="2:14" ht="24">
      <c r="B56" s="17" t="s">
        <v>50</v>
      </c>
      <c r="C56" s="4" t="s">
        <v>109</v>
      </c>
      <c r="D56" s="6">
        <v>5000</v>
      </c>
      <c r="E56" s="6">
        <v>5000</v>
      </c>
      <c r="F56" s="6">
        <v>5000</v>
      </c>
      <c r="G56" s="7">
        <f t="shared" si="5"/>
        <v>0</v>
      </c>
      <c r="H56" s="7">
        <f t="shared" si="6"/>
        <v>0</v>
      </c>
      <c r="I56" s="18">
        <f t="shared" si="7"/>
        <v>1</v>
      </c>
      <c r="J56" s="19">
        <f t="shared" si="8"/>
        <v>1</v>
      </c>
      <c r="L56" t="s">
        <v>116</v>
      </c>
    </row>
    <row r="57" spans="2:14" ht="24">
      <c r="B57" s="17" t="s">
        <v>52</v>
      </c>
      <c r="C57" s="20">
        <v>0.33</v>
      </c>
      <c r="D57" s="6">
        <f t="shared" ref="D57:D67" si="9">C57*F57</f>
        <v>2310</v>
      </c>
      <c r="E57" s="6">
        <v>2500</v>
      </c>
      <c r="F57" s="6">
        <v>7000</v>
      </c>
      <c r="G57" s="7">
        <f t="shared" si="5"/>
        <v>-190</v>
      </c>
      <c r="H57" s="7">
        <f t="shared" si="6"/>
        <v>-4690</v>
      </c>
      <c r="I57" s="18">
        <f t="shared" si="7"/>
        <v>0.92400000000000004</v>
      </c>
      <c r="J57" s="19">
        <f>D57/(F57*C57)</f>
        <v>1</v>
      </c>
    </row>
    <row r="58" spans="2:14" ht="24">
      <c r="B58" s="17" t="s">
        <v>55</v>
      </c>
      <c r="C58" s="20">
        <v>0.16</v>
      </c>
      <c r="D58" s="6">
        <f t="shared" si="9"/>
        <v>1800</v>
      </c>
      <c r="E58" s="6">
        <v>1800</v>
      </c>
      <c r="F58" s="6">
        <v>11250</v>
      </c>
      <c r="G58" s="7">
        <f t="shared" si="5"/>
        <v>0</v>
      </c>
      <c r="H58" s="7">
        <f t="shared" si="6"/>
        <v>-9450</v>
      </c>
      <c r="I58" s="18">
        <f t="shared" si="7"/>
        <v>1</v>
      </c>
      <c r="J58" s="19">
        <f>D58/(F58*C58)</f>
        <v>1</v>
      </c>
    </row>
    <row r="59" spans="2:14" ht="24">
      <c r="B59" s="17" t="s">
        <v>57</v>
      </c>
      <c r="C59" s="20">
        <v>0.5</v>
      </c>
      <c r="D59" s="6">
        <f t="shared" si="9"/>
        <v>2000</v>
      </c>
      <c r="E59" s="6">
        <v>2000</v>
      </c>
      <c r="F59" s="6">
        <v>4000</v>
      </c>
      <c r="G59" s="7">
        <f t="shared" si="5"/>
        <v>0</v>
      </c>
      <c r="H59" s="7">
        <f t="shared" si="6"/>
        <v>-2000</v>
      </c>
      <c r="I59" s="18">
        <f t="shared" si="7"/>
        <v>1</v>
      </c>
      <c r="J59" s="19">
        <f>D59/(F59*C59)</f>
        <v>1</v>
      </c>
      <c r="M59" s="29">
        <f>(F76-D76)/I76</f>
        <v>4666</v>
      </c>
      <c r="N59" s="29">
        <f>M59+E76</f>
        <v>9332</v>
      </c>
    </row>
    <row r="60" spans="2:14" ht="24">
      <c r="B60" s="17" t="s">
        <v>59</v>
      </c>
      <c r="C60" s="20">
        <v>0</v>
      </c>
      <c r="D60" s="6">
        <f t="shared" si="9"/>
        <v>0</v>
      </c>
      <c r="E60" s="6">
        <v>0</v>
      </c>
      <c r="F60" s="6">
        <v>4500</v>
      </c>
      <c r="G60" s="7">
        <f t="shared" si="5"/>
        <v>0</v>
      </c>
      <c r="H60" s="7">
        <v>0</v>
      </c>
      <c r="I60" s="18">
        <v>0</v>
      </c>
      <c r="J60" s="19">
        <f t="shared" si="8"/>
        <v>0</v>
      </c>
      <c r="M60" t="s">
        <v>117</v>
      </c>
    </row>
    <row r="61" spans="2:14" ht="24">
      <c r="B61" s="17" t="s">
        <v>61</v>
      </c>
      <c r="C61" s="20">
        <v>0</v>
      </c>
      <c r="D61" s="6">
        <f t="shared" si="9"/>
        <v>0</v>
      </c>
      <c r="E61" s="6">
        <v>0</v>
      </c>
      <c r="F61" s="6">
        <v>13500</v>
      </c>
      <c r="G61" s="7">
        <f t="shared" si="5"/>
        <v>0</v>
      </c>
      <c r="H61" s="7">
        <v>0</v>
      </c>
      <c r="I61" s="18">
        <v>0</v>
      </c>
      <c r="J61" s="19">
        <f t="shared" si="8"/>
        <v>0</v>
      </c>
      <c r="M61" t="s">
        <v>107</v>
      </c>
    </row>
    <row r="62" spans="2:14" ht="24">
      <c r="B62" s="17" t="s">
        <v>63</v>
      </c>
      <c r="C62" s="20">
        <v>0</v>
      </c>
      <c r="D62" s="6">
        <f t="shared" si="9"/>
        <v>0</v>
      </c>
      <c r="E62" s="6">
        <v>0</v>
      </c>
      <c r="F62" s="6">
        <v>13500</v>
      </c>
      <c r="G62" s="7">
        <f t="shared" si="5"/>
        <v>0</v>
      </c>
      <c r="H62" s="7">
        <v>0</v>
      </c>
      <c r="I62" s="18">
        <v>0</v>
      </c>
      <c r="J62" s="19">
        <f t="shared" si="8"/>
        <v>0</v>
      </c>
    </row>
    <row r="63" spans="2:14" ht="24">
      <c r="B63" s="17" t="s">
        <v>65</v>
      </c>
      <c r="C63" s="20">
        <v>0</v>
      </c>
      <c r="D63" s="6">
        <f t="shared" si="9"/>
        <v>0</v>
      </c>
      <c r="E63" s="6">
        <v>0</v>
      </c>
      <c r="F63" s="6">
        <v>35500</v>
      </c>
      <c r="G63" s="7">
        <f t="shared" si="5"/>
        <v>0</v>
      </c>
      <c r="H63" s="7">
        <v>0</v>
      </c>
      <c r="I63" s="18">
        <v>0</v>
      </c>
      <c r="J63" s="19">
        <f t="shared" si="8"/>
        <v>0</v>
      </c>
    </row>
    <row r="64" spans="2:14" ht="24">
      <c r="B64" s="17" t="s">
        <v>67</v>
      </c>
      <c r="C64" s="20">
        <v>0</v>
      </c>
      <c r="D64" s="6">
        <f t="shared" si="9"/>
        <v>0</v>
      </c>
      <c r="E64" s="6">
        <v>0</v>
      </c>
      <c r="F64" s="6">
        <v>13500</v>
      </c>
      <c r="G64" s="7">
        <f t="shared" si="5"/>
        <v>0</v>
      </c>
      <c r="H64" s="7">
        <v>0</v>
      </c>
      <c r="I64" s="18">
        <v>0</v>
      </c>
      <c r="J64" s="19">
        <f t="shared" si="8"/>
        <v>0</v>
      </c>
      <c r="L64">
        <v>7000</v>
      </c>
    </row>
    <row r="65" spans="2:14" ht="24">
      <c r="B65" s="17" t="s">
        <v>69</v>
      </c>
      <c r="C65" s="20">
        <v>0</v>
      </c>
      <c r="D65" s="6">
        <f t="shared" si="9"/>
        <v>0</v>
      </c>
      <c r="E65" s="6">
        <v>0</v>
      </c>
      <c r="F65" s="6">
        <v>35500</v>
      </c>
      <c r="G65" s="7">
        <f t="shared" si="5"/>
        <v>0</v>
      </c>
      <c r="H65" s="7">
        <v>0</v>
      </c>
      <c r="I65" s="22">
        <v>0</v>
      </c>
      <c r="J65" s="19">
        <f t="shared" si="8"/>
        <v>0</v>
      </c>
      <c r="L65">
        <v>2310</v>
      </c>
    </row>
    <row r="66" spans="2:14" ht="24">
      <c r="B66" s="17" t="s">
        <v>71</v>
      </c>
      <c r="C66" s="20">
        <v>0</v>
      </c>
      <c r="D66" s="6">
        <f t="shared" si="9"/>
        <v>0</v>
      </c>
      <c r="E66" s="6">
        <v>0</v>
      </c>
      <c r="F66" s="6">
        <v>35500</v>
      </c>
      <c r="G66" s="7">
        <f t="shared" si="5"/>
        <v>0</v>
      </c>
      <c r="H66" s="7">
        <v>0</v>
      </c>
      <c r="I66" s="22">
        <v>0</v>
      </c>
      <c r="J66" s="19">
        <f t="shared" si="8"/>
        <v>0</v>
      </c>
      <c r="L66">
        <v>2500</v>
      </c>
    </row>
    <row r="67" spans="2:14" ht="25" thickBot="1">
      <c r="B67" s="23" t="s">
        <v>73</v>
      </c>
      <c r="C67" s="24">
        <v>0</v>
      </c>
      <c r="D67" s="25">
        <f t="shared" si="9"/>
        <v>0</v>
      </c>
      <c r="E67" s="25">
        <v>0</v>
      </c>
      <c r="F67" s="25">
        <v>13500</v>
      </c>
      <c r="G67" s="26">
        <f>D67-E67</f>
        <v>0</v>
      </c>
      <c r="H67" s="26">
        <v>0</v>
      </c>
      <c r="I67" s="27">
        <v>0</v>
      </c>
      <c r="J67" s="28">
        <f t="shared" si="8"/>
        <v>0</v>
      </c>
    </row>
    <row r="70" spans="2:14" ht="17" thickBot="1"/>
    <row r="71" spans="2:14" ht="30" thickBot="1">
      <c r="B71" s="94" t="s">
        <v>118</v>
      </c>
      <c r="C71" s="95"/>
      <c r="D71" s="95"/>
      <c r="E71" s="95"/>
      <c r="F71" s="95"/>
      <c r="G71" s="95"/>
      <c r="H71" s="95"/>
      <c r="I71" s="95"/>
      <c r="J71" s="96"/>
    </row>
    <row r="72" spans="2:14" ht="75">
      <c r="B72" s="13" t="s">
        <v>100</v>
      </c>
      <c r="C72" s="14" t="s">
        <v>101</v>
      </c>
      <c r="D72" s="14" t="s">
        <v>102</v>
      </c>
      <c r="E72" s="15" t="s">
        <v>103</v>
      </c>
      <c r="F72" s="14" t="s">
        <v>104</v>
      </c>
      <c r="G72" s="14" t="s">
        <v>105</v>
      </c>
      <c r="H72" s="14" t="s">
        <v>106</v>
      </c>
      <c r="I72" s="14" t="s">
        <v>107</v>
      </c>
      <c r="J72" s="16" t="s">
        <v>108</v>
      </c>
    </row>
    <row r="73" spans="2:14" ht="24">
      <c r="B73" s="17" t="s">
        <v>46</v>
      </c>
      <c r="C73" s="4" t="s">
        <v>109</v>
      </c>
      <c r="D73" s="6">
        <v>1000</v>
      </c>
      <c r="E73" s="6">
        <v>1000</v>
      </c>
      <c r="F73" s="6">
        <v>1000</v>
      </c>
      <c r="G73" s="7">
        <f>D73-E73</f>
        <v>0</v>
      </c>
      <c r="H73" s="7">
        <f>D73-F73</f>
        <v>0</v>
      </c>
      <c r="I73" s="18">
        <f>D73/E73</f>
        <v>1</v>
      </c>
      <c r="J73" s="19">
        <f>D73/F73</f>
        <v>1</v>
      </c>
    </row>
    <row r="74" spans="2:14" ht="24">
      <c r="B74" s="17" t="s">
        <v>48</v>
      </c>
      <c r="C74" s="4" t="s">
        <v>109</v>
      </c>
      <c r="D74" s="6">
        <v>4000</v>
      </c>
      <c r="E74" s="6">
        <v>4000</v>
      </c>
      <c r="F74" s="6">
        <v>4000</v>
      </c>
      <c r="G74" s="7">
        <f t="shared" ref="G74:G85" si="10">D74-E74</f>
        <v>0</v>
      </c>
      <c r="H74" s="7">
        <f t="shared" ref="H74:H80" si="11">D74-F74</f>
        <v>0</v>
      </c>
      <c r="I74" s="18">
        <f t="shared" ref="I74:I80" si="12">D74/E74</f>
        <v>1</v>
      </c>
      <c r="J74" s="19">
        <f t="shared" ref="J74:J82" si="13">D74/F74</f>
        <v>1</v>
      </c>
    </row>
    <row r="75" spans="2:14" ht="24">
      <c r="B75" s="17" t="s">
        <v>50</v>
      </c>
      <c r="C75" s="4" t="s">
        <v>109</v>
      </c>
      <c r="D75" s="6">
        <v>5000</v>
      </c>
      <c r="E75" s="6">
        <v>5000</v>
      </c>
      <c r="F75" s="6">
        <v>5000</v>
      </c>
      <c r="G75" s="7">
        <f t="shared" si="10"/>
        <v>0</v>
      </c>
      <c r="H75" s="7">
        <f t="shared" si="11"/>
        <v>0</v>
      </c>
      <c r="I75" s="18">
        <f t="shared" si="12"/>
        <v>1</v>
      </c>
      <c r="J75" s="19">
        <f t="shared" si="13"/>
        <v>1</v>
      </c>
    </row>
    <row r="76" spans="2:14" ht="24">
      <c r="B76" s="17" t="s">
        <v>52</v>
      </c>
      <c r="C76" s="20">
        <v>0.5</v>
      </c>
      <c r="D76" s="6">
        <f>C76*F76</f>
        <v>3500</v>
      </c>
      <c r="E76" s="6">
        <v>4666</v>
      </c>
      <c r="F76" s="6">
        <v>7000</v>
      </c>
      <c r="G76" s="7">
        <f t="shared" si="10"/>
        <v>-1166</v>
      </c>
      <c r="H76" s="7">
        <f t="shared" si="11"/>
        <v>-3500</v>
      </c>
      <c r="I76" s="18">
        <f t="shared" si="12"/>
        <v>0.75010715816545226</v>
      </c>
      <c r="J76" s="19">
        <f t="shared" si="13"/>
        <v>0.5</v>
      </c>
    </row>
    <row r="77" spans="2:14" ht="24">
      <c r="B77" s="17" t="s">
        <v>55</v>
      </c>
      <c r="C77" s="20">
        <v>0.33</v>
      </c>
      <c r="D77" s="6">
        <f>C77*F77</f>
        <v>3712.5</v>
      </c>
      <c r="E77" s="6">
        <v>3750</v>
      </c>
      <c r="F77" s="6">
        <v>11250</v>
      </c>
      <c r="G77" s="7">
        <f t="shared" si="10"/>
        <v>-37.5</v>
      </c>
      <c r="H77" s="7">
        <f t="shared" si="11"/>
        <v>-7537.5</v>
      </c>
      <c r="I77" s="18">
        <f t="shared" si="12"/>
        <v>0.99</v>
      </c>
      <c r="J77" s="19">
        <f t="shared" si="13"/>
        <v>0.33</v>
      </c>
      <c r="L77" t="s">
        <v>119</v>
      </c>
    </row>
    <row r="78" spans="2:14" ht="24">
      <c r="B78" s="17" t="s">
        <v>57</v>
      </c>
      <c r="C78" s="4" t="s">
        <v>109</v>
      </c>
      <c r="D78" s="6">
        <v>4000</v>
      </c>
      <c r="E78" s="6">
        <v>4000</v>
      </c>
      <c r="F78" s="6">
        <v>4000</v>
      </c>
      <c r="G78" s="7">
        <f t="shared" si="10"/>
        <v>0</v>
      </c>
      <c r="H78" s="7">
        <f t="shared" si="11"/>
        <v>0</v>
      </c>
      <c r="I78" s="18">
        <f t="shared" si="12"/>
        <v>1</v>
      </c>
      <c r="J78" s="19">
        <f t="shared" si="13"/>
        <v>1</v>
      </c>
      <c r="M78" s="29">
        <f>(F95-D95)/I95</f>
        <v>2333.3333333333335</v>
      </c>
      <c r="N78" s="29">
        <f>M78+E95</f>
        <v>9333.3333333333339</v>
      </c>
    </row>
    <row r="79" spans="2:14" ht="24">
      <c r="B79" s="17" t="s">
        <v>59</v>
      </c>
      <c r="C79" s="4" t="s">
        <v>109</v>
      </c>
      <c r="D79" s="6">
        <v>4500</v>
      </c>
      <c r="E79" s="6">
        <v>4500</v>
      </c>
      <c r="F79" s="6">
        <v>4500</v>
      </c>
      <c r="G79" s="7">
        <f t="shared" si="10"/>
        <v>0</v>
      </c>
      <c r="H79" s="7">
        <f t="shared" si="11"/>
        <v>0</v>
      </c>
      <c r="I79" s="18">
        <f t="shared" si="12"/>
        <v>1</v>
      </c>
      <c r="J79" s="19">
        <f t="shared" si="13"/>
        <v>1</v>
      </c>
    </row>
    <row r="80" spans="2:14" ht="24">
      <c r="B80" s="17" t="s">
        <v>61</v>
      </c>
      <c r="C80" s="20">
        <v>0.33</v>
      </c>
      <c r="D80" s="6">
        <f t="shared" ref="D80:D86" si="14">C80*F80</f>
        <v>4455</v>
      </c>
      <c r="E80" s="6">
        <v>4500</v>
      </c>
      <c r="F80" s="6">
        <v>13500</v>
      </c>
      <c r="G80" s="7">
        <f t="shared" si="10"/>
        <v>-45</v>
      </c>
      <c r="H80" s="7">
        <f t="shared" si="11"/>
        <v>-9045</v>
      </c>
      <c r="I80" s="18">
        <f t="shared" si="12"/>
        <v>0.99</v>
      </c>
      <c r="J80" s="19">
        <f t="shared" si="13"/>
        <v>0.33</v>
      </c>
    </row>
    <row r="81" spans="2:12" ht="24">
      <c r="B81" s="17" t="s">
        <v>63</v>
      </c>
      <c r="C81" s="20">
        <v>0</v>
      </c>
      <c r="D81" s="6">
        <f t="shared" si="14"/>
        <v>0</v>
      </c>
      <c r="E81" s="6">
        <v>0</v>
      </c>
      <c r="F81" s="6">
        <v>13500</v>
      </c>
      <c r="G81" s="7">
        <f t="shared" si="10"/>
        <v>0</v>
      </c>
      <c r="H81" s="7">
        <v>0</v>
      </c>
      <c r="I81" s="18">
        <v>0</v>
      </c>
      <c r="J81" s="19">
        <f t="shared" si="13"/>
        <v>0</v>
      </c>
    </row>
    <row r="82" spans="2:12" ht="24">
      <c r="B82" s="17" t="s">
        <v>65</v>
      </c>
      <c r="C82" s="20">
        <v>0</v>
      </c>
      <c r="D82" s="6">
        <f t="shared" si="14"/>
        <v>0</v>
      </c>
      <c r="E82" s="6">
        <v>0</v>
      </c>
      <c r="F82" s="6">
        <v>35500</v>
      </c>
      <c r="G82" s="7">
        <f t="shared" si="10"/>
        <v>0</v>
      </c>
      <c r="H82" s="7">
        <v>0</v>
      </c>
      <c r="I82" s="18">
        <v>0</v>
      </c>
      <c r="J82" s="19">
        <f t="shared" si="13"/>
        <v>0</v>
      </c>
    </row>
    <row r="83" spans="2:12" ht="24">
      <c r="B83" s="17" t="s">
        <v>67</v>
      </c>
      <c r="C83" s="20">
        <v>0</v>
      </c>
      <c r="D83" s="6">
        <f t="shared" si="14"/>
        <v>0</v>
      </c>
      <c r="E83" s="6">
        <v>0</v>
      </c>
      <c r="F83" s="6">
        <v>13500</v>
      </c>
      <c r="G83" s="7">
        <f t="shared" si="10"/>
        <v>0</v>
      </c>
      <c r="H83" s="7">
        <v>0</v>
      </c>
      <c r="I83" s="18">
        <v>0</v>
      </c>
      <c r="J83" s="19">
        <v>0</v>
      </c>
    </row>
    <row r="84" spans="2:12" ht="24">
      <c r="B84" s="17" t="s">
        <v>69</v>
      </c>
      <c r="C84" s="20">
        <v>0</v>
      </c>
      <c r="D84" s="6">
        <f t="shared" si="14"/>
        <v>0</v>
      </c>
      <c r="E84" s="6">
        <v>0</v>
      </c>
      <c r="F84" s="6">
        <v>35500</v>
      </c>
      <c r="G84" s="7">
        <f t="shared" si="10"/>
        <v>0</v>
      </c>
      <c r="H84" s="7">
        <v>0</v>
      </c>
      <c r="I84" s="22">
        <v>0</v>
      </c>
      <c r="J84" s="30">
        <v>0</v>
      </c>
    </row>
    <row r="85" spans="2:12" ht="24">
      <c r="B85" s="17" t="s">
        <v>71</v>
      </c>
      <c r="C85" s="20">
        <v>0</v>
      </c>
      <c r="D85" s="6">
        <f t="shared" si="14"/>
        <v>0</v>
      </c>
      <c r="E85" s="6">
        <v>0</v>
      </c>
      <c r="F85" s="6">
        <v>35500</v>
      </c>
      <c r="G85" s="7">
        <f t="shared" si="10"/>
        <v>0</v>
      </c>
      <c r="H85" s="7">
        <v>0</v>
      </c>
      <c r="I85" s="22">
        <v>0</v>
      </c>
      <c r="J85" s="30">
        <v>0</v>
      </c>
    </row>
    <row r="86" spans="2:12" ht="25" thickBot="1">
      <c r="B86" s="23" t="s">
        <v>73</v>
      </c>
      <c r="C86" s="24">
        <v>0</v>
      </c>
      <c r="D86" s="25">
        <f t="shared" si="14"/>
        <v>0</v>
      </c>
      <c r="E86" s="25">
        <v>0</v>
      </c>
      <c r="F86" s="25">
        <v>13500</v>
      </c>
      <c r="G86" s="26">
        <f>D86-E86</f>
        <v>0</v>
      </c>
      <c r="H86" s="26">
        <v>0</v>
      </c>
      <c r="I86" s="27">
        <v>0</v>
      </c>
      <c r="J86" s="31">
        <v>0</v>
      </c>
    </row>
    <row r="89" spans="2:12" ht="17" thickBot="1"/>
    <row r="90" spans="2:12" ht="30" thickBot="1">
      <c r="B90" s="94" t="s">
        <v>120</v>
      </c>
      <c r="C90" s="95"/>
      <c r="D90" s="95"/>
      <c r="E90" s="95"/>
      <c r="F90" s="95"/>
      <c r="G90" s="95"/>
      <c r="H90" s="95"/>
      <c r="I90" s="95"/>
      <c r="J90" s="96"/>
    </row>
    <row r="91" spans="2:12" ht="75">
      <c r="B91" s="13" t="s">
        <v>100</v>
      </c>
      <c r="C91" s="14" t="s">
        <v>101</v>
      </c>
      <c r="D91" s="14" t="s">
        <v>102</v>
      </c>
      <c r="E91" s="15" t="s">
        <v>103</v>
      </c>
      <c r="F91" s="14" t="s">
        <v>104</v>
      </c>
      <c r="G91" s="14" t="s">
        <v>105</v>
      </c>
      <c r="H91" s="14" t="s">
        <v>106</v>
      </c>
      <c r="I91" s="14" t="s">
        <v>107</v>
      </c>
      <c r="J91" s="16" t="s">
        <v>108</v>
      </c>
    </row>
    <row r="92" spans="2:12" ht="24">
      <c r="B92" s="17" t="s">
        <v>46</v>
      </c>
      <c r="C92" s="4" t="s">
        <v>109</v>
      </c>
      <c r="D92" s="6">
        <v>1000</v>
      </c>
      <c r="E92" s="6">
        <v>1000</v>
      </c>
      <c r="F92" s="6">
        <v>1000</v>
      </c>
      <c r="G92" s="7">
        <f>D92-E92</f>
        <v>0</v>
      </c>
      <c r="H92" s="7">
        <f>D92-F92</f>
        <v>0</v>
      </c>
      <c r="I92" s="18">
        <f>D92/E92</f>
        <v>1</v>
      </c>
      <c r="J92" s="19">
        <f>D92/F92</f>
        <v>1</v>
      </c>
    </row>
    <row r="93" spans="2:12" ht="24">
      <c r="B93" s="17" t="s">
        <v>48</v>
      </c>
      <c r="C93" s="4" t="s">
        <v>109</v>
      </c>
      <c r="D93" s="6">
        <v>4000</v>
      </c>
      <c r="E93" s="6">
        <v>4000</v>
      </c>
      <c r="F93" s="6">
        <v>4000</v>
      </c>
      <c r="G93" s="7">
        <f t="shared" ref="G93:G104" si="15">D93-E93</f>
        <v>0</v>
      </c>
      <c r="H93" s="7">
        <f t="shared" ref="H93:H101" si="16">D93-F93</f>
        <v>0</v>
      </c>
      <c r="I93" s="18">
        <f t="shared" ref="I93:I101" si="17">D93/E93</f>
        <v>1</v>
      </c>
      <c r="J93" s="19">
        <f t="shared" ref="J93:J102" si="18">D93/F93</f>
        <v>1</v>
      </c>
    </row>
    <row r="94" spans="2:12" ht="24">
      <c r="B94" s="17" t="s">
        <v>50</v>
      </c>
      <c r="C94" s="4" t="s">
        <v>109</v>
      </c>
      <c r="D94" s="6">
        <v>5000</v>
      </c>
      <c r="E94" s="6">
        <v>5000</v>
      </c>
      <c r="F94" s="6">
        <v>5000</v>
      </c>
      <c r="G94" s="7">
        <f t="shared" si="15"/>
        <v>0</v>
      </c>
      <c r="H94" s="7">
        <f t="shared" si="16"/>
        <v>0</v>
      </c>
      <c r="I94" s="18">
        <f t="shared" si="17"/>
        <v>1</v>
      </c>
      <c r="J94" s="19">
        <f t="shared" si="18"/>
        <v>1</v>
      </c>
    </row>
    <row r="95" spans="2:12" ht="24">
      <c r="B95" s="17" t="s">
        <v>52</v>
      </c>
      <c r="C95" s="20">
        <v>0.75</v>
      </c>
      <c r="D95" s="6">
        <f>C95*F95</f>
        <v>5250</v>
      </c>
      <c r="E95" s="6">
        <v>7000</v>
      </c>
      <c r="F95" s="6">
        <v>7000</v>
      </c>
      <c r="G95" s="7">
        <f t="shared" si="15"/>
        <v>-1750</v>
      </c>
      <c r="H95" s="7">
        <f t="shared" si="16"/>
        <v>-1750</v>
      </c>
      <c r="I95" s="18">
        <f t="shared" si="17"/>
        <v>0.75</v>
      </c>
      <c r="J95" s="19">
        <f t="shared" si="18"/>
        <v>0.75</v>
      </c>
      <c r="L95" t="s">
        <v>121</v>
      </c>
    </row>
    <row r="96" spans="2:12" ht="24">
      <c r="B96" s="17" t="s">
        <v>55</v>
      </c>
      <c r="C96" s="20">
        <v>0.5</v>
      </c>
      <c r="D96" s="6">
        <f>C96*F96</f>
        <v>5625</v>
      </c>
      <c r="E96" s="6">
        <v>5625</v>
      </c>
      <c r="F96" s="6">
        <v>11250</v>
      </c>
      <c r="G96" s="7">
        <f t="shared" si="15"/>
        <v>0</v>
      </c>
      <c r="H96" s="7">
        <f t="shared" si="16"/>
        <v>-5625</v>
      </c>
      <c r="I96" s="18">
        <f t="shared" si="17"/>
        <v>1</v>
      </c>
      <c r="J96" s="19">
        <f t="shared" si="18"/>
        <v>0.5</v>
      </c>
      <c r="L96" t="s">
        <v>122</v>
      </c>
    </row>
    <row r="97" spans="2:12" ht="24">
      <c r="B97" s="17" t="s">
        <v>57</v>
      </c>
      <c r="C97" s="4" t="s">
        <v>109</v>
      </c>
      <c r="D97" s="6">
        <v>4000</v>
      </c>
      <c r="E97" s="6">
        <v>4000</v>
      </c>
      <c r="F97" s="6">
        <v>4000</v>
      </c>
      <c r="G97" s="7">
        <f t="shared" si="15"/>
        <v>0</v>
      </c>
      <c r="H97" s="7">
        <f t="shared" si="16"/>
        <v>0</v>
      </c>
      <c r="I97" s="18">
        <f t="shared" si="17"/>
        <v>1</v>
      </c>
      <c r="J97" s="19">
        <f t="shared" si="18"/>
        <v>1</v>
      </c>
    </row>
    <row r="98" spans="2:12" ht="24">
      <c r="B98" s="17" t="s">
        <v>59</v>
      </c>
      <c r="C98" s="4" t="s">
        <v>109</v>
      </c>
      <c r="D98" s="6">
        <v>4500</v>
      </c>
      <c r="E98" s="6">
        <v>4500</v>
      </c>
      <c r="F98" s="6">
        <v>4500</v>
      </c>
      <c r="G98" s="7">
        <f t="shared" si="15"/>
        <v>0</v>
      </c>
      <c r="H98" s="7">
        <f t="shared" si="16"/>
        <v>0</v>
      </c>
      <c r="I98" s="18">
        <f t="shared" si="17"/>
        <v>1</v>
      </c>
      <c r="J98" s="19">
        <f t="shared" si="18"/>
        <v>1</v>
      </c>
    </row>
    <row r="99" spans="2:12" ht="24">
      <c r="B99" s="17" t="s">
        <v>61</v>
      </c>
      <c r="C99" s="20">
        <v>0.4</v>
      </c>
      <c r="D99" s="6">
        <f t="shared" ref="D99:D105" si="19">C99*F99</f>
        <v>5400</v>
      </c>
      <c r="E99" s="6">
        <v>9000</v>
      </c>
      <c r="F99" s="6">
        <v>13500</v>
      </c>
      <c r="G99" s="7">
        <f t="shared" si="15"/>
        <v>-3600</v>
      </c>
      <c r="H99" s="7">
        <f t="shared" si="16"/>
        <v>-8100</v>
      </c>
      <c r="I99" s="18">
        <f t="shared" si="17"/>
        <v>0.6</v>
      </c>
      <c r="J99" s="19">
        <f t="shared" si="18"/>
        <v>0.4</v>
      </c>
      <c r="L99" s="12">
        <f>(F99-D99)/(D99/E99)+E99</f>
        <v>22500</v>
      </c>
    </row>
    <row r="100" spans="2:12" ht="24">
      <c r="B100" s="17" t="s">
        <v>63</v>
      </c>
      <c r="C100" s="20">
        <v>0</v>
      </c>
      <c r="D100" s="6">
        <f t="shared" si="19"/>
        <v>0</v>
      </c>
      <c r="E100" s="6">
        <v>0</v>
      </c>
      <c r="F100" s="6">
        <v>13500</v>
      </c>
      <c r="G100" s="7">
        <f t="shared" si="15"/>
        <v>0</v>
      </c>
      <c r="H100" s="7">
        <v>0</v>
      </c>
      <c r="I100" s="18">
        <v>0</v>
      </c>
      <c r="J100" s="19">
        <f t="shared" si="18"/>
        <v>0</v>
      </c>
    </row>
    <row r="101" spans="2:12" ht="24">
      <c r="B101" s="17" t="s">
        <v>65</v>
      </c>
      <c r="C101" s="20">
        <v>0.15</v>
      </c>
      <c r="D101" s="6">
        <f t="shared" si="19"/>
        <v>5325</v>
      </c>
      <c r="E101" s="6">
        <v>5071</v>
      </c>
      <c r="F101" s="6">
        <v>35500</v>
      </c>
      <c r="G101" s="7">
        <f t="shared" si="15"/>
        <v>254</v>
      </c>
      <c r="H101" s="7">
        <f t="shared" si="16"/>
        <v>-30175</v>
      </c>
      <c r="I101" s="18">
        <f t="shared" si="17"/>
        <v>1.0500887398935121</v>
      </c>
      <c r="J101" s="19">
        <f t="shared" si="18"/>
        <v>0.15</v>
      </c>
    </row>
    <row r="102" spans="2:12" ht="24">
      <c r="B102" s="17" t="s">
        <v>67</v>
      </c>
      <c r="C102" s="20">
        <v>0</v>
      </c>
      <c r="D102" s="6">
        <f t="shared" si="19"/>
        <v>0</v>
      </c>
      <c r="E102" s="6">
        <v>0</v>
      </c>
      <c r="F102" s="6">
        <v>13500</v>
      </c>
      <c r="G102" s="7">
        <f t="shared" si="15"/>
        <v>0</v>
      </c>
      <c r="H102" s="7">
        <v>0</v>
      </c>
      <c r="I102" s="18">
        <v>0</v>
      </c>
      <c r="J102" s="19">
        <f t="shared" si="18"/>
        <v>0</v>
      </c>
    </row>
    <row r="103" spans="2:12" ht="24">
      <c r="B103" s="17" t="s">
        <v>69</v>
      </c>
      <c r="C103" s="20">
        <v>0</v>
      </c>
      <c r="D103" s="6">
        <f t="shared" si="19"/>
        <v>0</v>
      </c>
      <c r="E103" s="6">
        <v>0</v>
      </c>
      <c r="F103" s="6">
        <v>35500</v>
      </c>
      <c r="G103" s="7">
        <f t="shared" si="15"/>
        <v>0</v>
      </c>
      <c r="H103" s="7">
        <v>0</v>
      </c>
      <c r="I103" s="22">
        <v>0</v>
      </c>
      <c r="J103" s="30">
        <v>0</v>
      </c>
    </row>
    <row r="104" spans="2:12" ht="24">
      <c r="B104" s="17" t="s">
        <v>71</v>
      </c>
      <c r="C104" s="20">
        <v>0</v>
      </c>
      <c r="D104" s="6">
        <f t="shared" si="19"/>
        <v>0</v>
      </c>
      <c r="E104" s="6">
        <v>0</v>
      </c>
      <c r="F104" s="6">
        <v>35500</v>
      </c>
      <c r="G104" s="7">
        <f t="shared" si="15"/>
        <v>0</v>
      </c>
      <c r="H104" s="7">
        <v>0</v>
      </c>
      <c r="I104" s="22">
        <v>0</v>
      </c>
      <c r="J104" s="30">
        <v>0</v>
      </c>
    </row>
    <row r="105" spans="2:12" ht="25" thickBot="1">
      <c r="B105" s="23" t="s">
        <v>73</v>
      </c>
      <c r="C105" s="24">
        <v>0</v>
      </c>
      <c r="D105" s="25">
        <f t="shared" si="19"/>
        <v>0</v>
      </c>
      <c r="E105" s="25">
        <v>0</v>
      </c>
      <c r="F105" s="25">
        <v>13500</v>
      </c>
      <c r="G105" s="26">
        <f>D105-E105</f>
        <v>0</v>
      </c>
      <c r="H105" s="26">
        <v>0</v>
      </c>
      <c r="I105" s="27">
        <v>0</v>
      </c>
      <c r="J105" s="31">
        <v>0</v>
      </c>
    </row>
    <row r="109" spans="2:12" ht="17" thickBot="1"/>
    <row r="110" spans="2:12" ht="30" thickBot="1">
      <c r="B110" s="94" t="s">
        <v>123</v>
      </c>
      <c r="C110" s="95"/>
      <c r="D110" s="95"/>
      <c r="E110" s="95"/>
      <c r="F110" s="95"/>
      <c r="G110" s="95"/>
      <c r="H110" s="95"/>
      <c r="I110" s="95"/>
      <c r="J110" s="96"/>
    </row>
    <row r="111" spans="2:12" ht="75">
      <c r="B111" s="13" t="s">
        <v>100</v>
      </c>
      <c r="C111" s="14" t="s">
        <v>101</v>
      </c>
      <c r="D111" s="14" t="s">
        <v>102</v>
      </c>
      <c r="E111" s="15" t="s">
        <v>103</v>
      </c>
      <c r="F111" s="14" t="s">
        <v>104</v>
      </c>
      <c r="G111" s="14" t="s">
        <v>105</v>
      </c>
      <c r="H111" s="14" t="s">
        <v>106</v>
      </c>
      <c r="I111" s="14" t="s">
        <v>107</v>
      </c>
      <c r="J111" s="16" t="s">
        <v>108</v>
      </c>
    </row>
    <row r="112" spans="2:12" ht="24">
      <c r="B112" s="17" t="s">
        <v>46</v>
      </c>
      <c r="C112" s="4" t="s">
        <v>109</v>
      </c>
      <c r="D112" s="6">
        <v>1000</v>
      </c>
      <c r="E112" s="6">
        <v>1000</v>
      </c>
      <c r="F112" s="6">
        <v>1000</v>
      </c>
      <c r="G112" s="7">
        <f>D112-E112</f>
        <v>0</v>
      </c>
      <c r="H112" s="7">
        <f>D112-F112</f>
        <v>0</v>
      </c>
      <c r="I112" s="18">
        <f>D112/E112</f>
        <v>1</v>
      </c>
      <c r="J112" s="19">
        <f>D112/F112</f>
        <v>1</v>
      </c>
    </row>
    <row r="113" spans="2:12" ht="24">
      <c r="B113" s="17" t="s">
        <v>48</v>
      </c>
      <c r="C113" s="4" t="s">
        <v>109</v>
      </c>
      <c r="D113" s="6">
        <v>4000</v>
      </c>
      <c r="E113" s="6">
        <v>4000</v>
      </c>
      <c r="F113" s="6">
        <v>4000</v>
      </c>
      <c r="G113" s="7">
        <f t="shared" ref="G113:G124" si="20">D113-E113</f>
        <v>0</v>
      </c>
      <c r="H113" s="7">
        <f t="shared" ref="H113:H122" si="21">D113-F113</f>
        <v>0</v>
      </c>
      <c r="I113" s="18">
        <f t="shared" ref="I113:I122" si="22">D113/E113</f>
        <v>1</v>
      </c>
      <c r="J113" s="19">
        <f t="shared" ref="J113:J122" si="23">D113/F113</f>
        <v>1</v>
      </c>
    </row>
    <row r="114" spans="2:12" ht="24">
      <c r="B114" s="17" t="s">
        <v>50</v>
      </c>
      <c r="C114" s="4" t="s">
        <v>109</v>
      </c>
      <c r="D114" s="6">
        <v>5000</v>
      </c>
      <c r="E114" s="6">
        <v>5000</v>
      </c>
      <c r="F114" s="6">
        <v>5000</v>
      </c>
      <c r="G114" s="7">
        <f t="shared" si="20"/>
        <v>0</v>
      </c>
      <c r="H114" s="7">
        <f t="shared" si="21"/>
        <v>0</v>
      </c>
      <c r="I114" s="18">
        <f t="shared" si="22"/>
        <v>1</v>
      </c>
      <c r="J114" s="19">
        <f t="shared" si="23"/>
        <v>1</v>
      </c>
    </row>
    <row r="115" spans="2:12" ht="24">
      <c r="B115" s="17" t="s">
        <v>52</v>
      </c>
      <c r="C115" s="4" t="s">
        <v>109</v>
      </c>
      <c r="D115" s="6">
        <v>7000</v>
      </c>
      <c r="E115" s="6">
        <v>9333</v>
      </c>
      <c r="F115" s="6">
        <v>7000</v>
      </c>
      <c r="G115" s="7">
        <f t="shared" si="20"/>
        <v>-2333</v>
      </c>
      <c r="H115" s="7">
        <f t="shared" si="21"/>
        <v>0</v>
      </c>
      <c r="I115" s="18">
        <f t="shared" si="22"/>
        <v>0.75002678667095257</v>
      </c>
      <c r="J115" s="19">
        <f t="shared" si="23"/>
        <v>1</v>
      </c>
    </row>
    <row r="116" spans="2:12" ht="24">
      <c r="B116" s="17" t="s">
        <v>55</v>
      </c>
      <c r="C116" s="20">
        <v>0.66</v>
      </c>
      <c r="D116" s="6">
        <f>C116*F116</f>
        <v>7425</v>
      </c>
      <c r="E116" s="6">
        <v>7500</v>
      </c>
      <c r="F116" s="6">
        <v>11250</v>
      </c>
      <c r="G116" s="7">
        <f t="shared" si="20"/>
        <v>-75</v>
      </c>
      <c r="H116" s="7">
        <f t="shared" si="21"/>
        <v>-3825</v>
      </c>
      <c r="I116" s="18">
        <f t="shared" si="22"/>
        <v>0.99</v>
      </c>
      <c r="J116" s="19">
        <f t="shared" si="23"/>
        <v>0.66</v>
      </c>
      <c r="L116" t="s">
        <v>124</v>
      </c>
    </row>
    <row r="117" spans="2:12" ht="24">
      <c r="B117" s="17" t="s">
        <v>57</v>
      </c>
      <c r="C117" s="4" t="s">
        <v>109</v>
      </c>
      <c r="D117" s="6">
        <v>4000</v>
      </c>
      <c r="E117" s="6">
        <v>4000</v>
      </c>
      <c r="F117" s="6">
        <v>4000</v>
      </c>
      <c r="G117" s="7">
        <f t="shared" si="20"/>
        <v>0</v>
      </c>
      <c r="H117" s="7">
        <f t="shared" si="21"/>
        <v>0</v>
      </c>
      <c r="I117" s="18">
        <f t="shared" si="22"/>
        <v>1</v>
      </c>
      <c r="J117" s="19">
        <f t="shared" si="23"/>
        <v>1</v>
      </c>
    </row>
    <row r="118" spans="2:12" ht="24">
      <c r="B118" s="17" t="s">
        <v>59</v>
      </c>
      <c r="C118" s="4" t="s">
        <v>109</v>
      </c>
      <c r="D118" s="6">
        <v>4500</v>
      </c>
      <c r="E118" s="6">
        <v>4500</v>
      </c>
      <c r="F118" s="6">
        <v>4500</v>
      </c>
      <c r="G118" s="7">
        <f t="shared" si="20"/>
        <v>0</v>
      </c>
      <c r="H118" s="7">
        <f t="shared" si="21"/>
        <v>0</v>
      </c>
      <c r="I118" s="18">
        <f t="shared" si="22"/>
        <v>1</v>
      </c>
      <c r="J118" s="19">
        <f t="shared" si="23"/>
        <v>1</v>
      </c>
      <c r="L118" t="s">
        <v>125</v>
      </c>
    </row>
    <row r="119" spans="2:12" ht="24">
      <c r="B119" s="17" t="s">
        <v>61</v>
      </c>
      <c r="C119" s="20">
        <v>0.6</v>
      </c>
      <c r="D119" s="6">
        <f t="shared" ref="D119:D125" si="24">C119*F119</f>
        <v>8100</v>
      </c>
      <c r="E119" s="6">
        <v>13500</v>
      </c>
      <c r="F119" s="6">
        <v>13500</v>
      </c>
      <c r="G119" s="7">
        <f t="shared" si="20"/>
        <v>-5400</v>
      </c>
      <c r="H119" s="7">
        <f t="shared" si="21"/>
        <v>-5400</v>
      </c>
      <c r="I119" s="18">
        <f t="shared" si="22"/>
        <v>0.6</v>
      </c>
      <c r="J119" s="19">
        <f t="shared" si="23"/>
        <v>0.6</v>
      </c>
      <c r="L119" s="12">
        <f>(F119-D119)/(D119/E119)+E119</f>
        <v>22500</v>
      </c>
    </row>
    <row r="120" spans="2:12" ht="24">
      <c r="B120" s="17" t="s">
        <v>63</v>
      </c>
      <c r="C120" s="20">
        <v>0.1</v>
      </c>
      <c r="D120" s="6">
        <f t="shared" si="24"/>
        <v>1350</v>
      </c>
      <c r="E120" s="6">
        <v>1000</v>
      </c>
      <c r="F120" s="6">
        <v>13500</v>
      </c>
      <c r="G120" s="7">
        <f t="shared" si="20"/>
        <v>350</v>
      </c>
      <c r="H120" s="7">
        <f t="shared" si="21"/>
        <v>-12150</v>
      </c>
      <c r="I120" s="18">
        <f t="shared" si="22"/>
        <v>1.35</v>
      </c>
      <c r="J120" s="19">
        <f t="shared" si="23"/>
        <v>0.1</v>
      </c>
    </row>
    <row r="121" spans="2:12" ht="24">
      <c r="B121" s="17" t="s">
        <v>65</v>
      </c>
      <c r="C121" s="20">
        <v>0.3</v>
      </c>
      <c r="D121" s="6">
        <f t="shared" si="24"/>
        <v>10650</v>
      </c>
      <c r="E121" s="6">
        <v>10143</v>
      </c>
      <c r="F121" s="6">
        <v>35500</v>
      </c>
      <c r="G121" s="7">
        <f t="shared" si="20"/>
        <v>507</v>
      </c>
      <c r="H121" s="7">
        <f t="shared" si="21"/>
        <v>-24850</v>
      </c>
      <c r="I121" s="18">
        <f t="shared" si="22"/>
        <v>1.0499852114758947</v>
      </c>
      <c r="J121" s="19">
        <f t="shared" si="23"/>
        <v>0.3</v>
      </c>
    </row>
    <row r="122" spans="2:12" ht="24">
      <c r="B122" s="17" t="s">
        <v>67</v>
      </c>
      <c r="C122" s="20">
        <v>0.33</v>
      </c>
      <c r="D122" s="6">
        <f t="shared" si="24"/>
        <v>4455</v>
      </c>
      <c r="E122" s="6">
        <v>4500</v>
      </c>
      <c r="F122" s="6">
        <v>13500</v>
      </c>
      <c r="G122" s="7">
        <f t="shared" si="20"/>
        <v>-45</v>
      </c>
      <c r="H122" s="7">
        <f t="shared" si="21"/>
        <v>-9045</v>
      </c>
      <c r="I122" s="18">
        <f t="shared" si="22"/>
        <v>0.99</v>
      </c>
      <c r="J122" s="19">
        <f t="shared" si="23"/>
        <v>0.33</v>
      </c>
    </row>
    <row r="123" spans="2:12" ht="24">
      <c r="B123" s="17" t="s">
        <v>69</v>
      </c>
      <c r="C123" s="20">
        <v>0</v>
      </c>
      <c r="D123" s="6">
        <f t="shared" si="24"/>
        <v>0</v>
      </c>
      <c r="E123" s="6">
        <v>0</v>
      </c>
      <c r="F123" s="6">
        <v>35500</v>
      </c>
      <c r="G123" s="7">
        <f t="shared" si="20"/>
        <v>0</v>
      </c>
      <c r="H123" s="7">
        <v>0</v>
      </c>
      <c r="I123" s="22">
        <v>0</v>
      </c>
      <c r="J123" s="30">
        <v>0</v>
      </c>
    </row>
    <row r="124" spans="2:12" ht="24">
      <c r="B124" s="17" t="s">
        <v>71</v>
      </c>
      <c r="C124" s="20">
        <v>0</v>
      </c>
      <c r="D124" s="6">
        <f t="shared" si="24"/>
        <v>0</v>
      </c>
      <c r="E124" s="6">
        <v>0</v>
      </c>
      <c r="F124" s="6">
        <v>35500</v>
      </c>
      <c r="G124" s="7">
        <f t="shared" si="20"/>
        <v>0</v>
      </c>
      <c r="H124" s="7">
        <v>0</v>
      </c>
      <c r="I124" s="22">
        <v>0</v>
      </c>
      <c r="J124" s="30">
        <v>0</v>
      </c>
    </row>
    <row r="125" spans="2:12" ht="25" thickBot="1">
      <c r="B125" s="23" t="s">
        <v>73</v>
      </c>
      <c r="C125" s="24">
        <v>0</v>
      </c>
      <c r="D125" s="25">
        <f t="shared" si="24"/>
        <v>0</v>
      </c>
      <c r="E125" s="25">
        <v>0</v>
      </c>
      <c r="F125" s="25">
        <v>13500</v>
      </c>
      <c r="G125" s="26">
        <f>D125-E125</f>
        <v>0</v>
      </c>
      <c r="H125" s="26">
        <v>0</v>
      </c>
      <c r="I125" s="27">
        <v>0</v>
      </c>
      <c r="J125" s="31">
        <v>0</v>
      </c>
    </row>
    <row r="127" spans="2:12" ht="17" thickBot="1"/>
    <row r="128" spans="2:12" ht="30" thickBot="1">
      <c r="B128" s="97" t="s">
        <v>126</v>
      </c>
      <c r="C128" s="98"/>
      <c r="D128" s="98"/>
      <c r="E128" s="98"/>
      <c r="F128" s="98"/>
      <c r="G128" s="98"/>
      <c r="H128" s="98"/>
      <c r="I128" s="98"/>
      <c r="J128" s="99"/>
    </row>
    <row r="129" spans="2:12" ht="75">
      <c r="B129" s="32" t="s">
        <v>100</v>
      </c>
      <c r="C129" s="33" t="s">
        <v>101</v>
      </c>
      <c r="D129" s="33" t="s">
        <v>102</v>
      </c>
      <c r="E129" s="34" t="s">
        <v>103</v>
      </c>
      <c r="F129" s="33" t="s">
        <v>104</v>
      </c>
      <c r="G129" s="33" t="s">
        <v>105</v>
      </c>
      <c r="H129" s="33" t="s">
        <v>106</v>
      </c>
      <c r="I129" s="33" t="s">
        <v>107</v>
      </c>
      <c r="J129" s="35" t="s">
        <v>108</v>
      </c>
    </row>
    <row r="130" spans="2:12" ht="24">
      <c r="B130" s="36" t="s">
        <v>46</v>
      </c>
      <c r="C130" s="37" t="s">
        <v>109</v>
      </c>
      <c r="D130" s="38">
        <v>1000</v>
      </c>
      <c r="E130" s="6">
        <v>1000</v>
      </c>
      <c r="F130" s="38">
        <v>1000</v>
      </c>
      <c r="G130" s="7">
        <f>D130-E130</f>
        <v>0</v>
      </c>
      <c r="H130" s="7">
        <f>D130-F130</f>
        <v>0</v>
      </c>
      <c r="I130" s="18">
        <f>D130/E130</f>
        <v>1</v>
      </c>
      <c r="J130" s="19">
        <f>D130/F130</f>
        <v>1</v>
      </c>
    </row>
    <row r="131" spans="2:12" ht="24">
      <c r="B131" s="36" t="s">
        <v>48</v>
      </c>
      <c r="C131" s="37" t="s">
        <v>109</v>
      </c>
      <c r="D131" s="38">
        <v>4000</v>
      </c>
      <c r="E131" s="6">
        <v>4000</v>
      </c>
      <c r="F131" s="38">
        <v>4000</v>
      </c>
      <c r="G131" s="7">
        <f t="shared" ref="G131:G142" si="25">D131-E131</f>
        <v>0</v>
      </c>
      <c r="H131" s="7">
        <f t="shared" ref="H131:H140" si="26">D131-F131</f>
        <v>0</v>
      </c>
      <c r="I131" s="18">
        <f t="shared" ref="I131:I140" si="27">D131/E131</f>
        <v>1</v>
      </c>
      <c r="J131" s="19">
        <f t="shared" ref="J131:J140" si="28">D131/F131</f>
        <v>1</v>
      </c>
    </row>
    <row r="132" spans="2:12" ht="24">
      <c r="B132" s="36" t="s">
        <v>50</v>
      </c>
      <c r="C132" s="37" t="s">
        <v>109</v>
      </c>
      <c r="D132" s="38">
        <v>5000</v>
      </c>
      <c r="E132" s="6">
        <v>5000</v>
      </c>
      <c r="F132" s="38">
        <v>5000</v>
      </c>
      <c r="G132" s="7">
        <f t="shared" si="25"/>
        <v>0</v>
      </c>
      <c r="H132" s="7">
        <f t="shared" si="26"/>
        <v>0</v>
      </c>
      <c r="I132" s="18">
        <f t="shared" si="27"/>
        <v>1</v>
      </c>
      <c r="J132" s="19">
        <f t="shared" si="28"/>
        <v>1</v>
      </c>
    </row>
    <row r="133" spans="2:12" ht="24">
      <c r="B133" s="36" t="s">
        <v>52</v>
      </c>
      <c r="C133" s="37" t="s">
        <v>109</v>
      </c>
      <c r="D133" s="38">
        <v>7000</v>
      </c>
      <c r="E133" s="6">
        <v>9333</v>
      </c>
      <c r="F133" s="38">
        <v>7000</v>
      </c>
      <c r="G133" s="7">
        <f t="shared" si="25"/>
        <v>-2333</v>
      </c>
      <c r="H133" s="7">
        <f t="shared" si="26"/>
        <v>0</v>
      </c>
      <c r="I133" s="18">
        <f t="shared" si="27"/>
        <v>0.75002678667095257</v>
      </c>
      <c r="J133" s="19">
        <f t="shared" si="28"/>
        <v>1</v>
      </c>
    </row>
    <row r="134" spans="2:12" ht="24">
      <c r="B134" s="36" t="s">
        <v>55</v>
      </c>
      <c r="C134" s="39">
        <v>0.84</v>
      </c>
      <c r="D134" s="6">
        <f>C134*F134</f>
        <v>9450</v>
      </c>
      <c r="E134" s="6">
        <v>9375</v>
      </c>
      <c r="F134" s="38">
        <v>11250</v>
      </c>
      <c r="G134" s="7">
        <f t="shared" si="25"/>
        <v>75</v>
      </c>
      <c r="H134" s="7">
        <f t="shared" si="26"/>
        <v>-1800</v>
      </c>
      <c r="I134" s="18">
        <f t="shared" si="27"/>
        <v>1.008</v>
      </c>
      <c r="J134" s="19">
        <f t="shared" si="28"/>
        <v>0.84</v>
      </c>
      <c r="L134" t="s">
        <v>127</v>
      </c>
    </row>
    <row r="135" spans="2:12" ht="24">
      <c r="B135" s="36" t="s">
        <v>57</v>
      </c>
      <c r="C135" s="37" t="s">
        <v>109</v>
      </c>
      <c r="D135" s="38">
        <v>4000</v>
      </c>
      <c r="E135" s="6">
        <v>4000</v>
      </c>
      <c r="F135" s="38">
        <v>4000</v>
      </c>
      <c r="G135" s="7">
        <f t="shared" si="25"/>
        <v>0</v>
      </c>
      <c r="H135" s="7">
        <f t="shared" si="26"/>
        <v>0</v>
      </c>
      <c r="I135" s="18">
        <f t="shared" si="27"/>
        <v>1</v>
      </c>
      <c r="J135" s="19">
        <f t="shared" si="28"/>
        <v>1</v>
      </c>
    </row>
    <row r="136" spans="2:12" ht="24">
      <c r="B136" s="36" t="s">
        <v>59</v>
      </c>
      <c r="C136" s="37" t="s">
        <v>109</v>
      </c>
      <c r="D136" s="38">
        <v>4500</v>
      </c>
      <c r="E136" s="6">
        <v>4500</v>
      </c>
      <c r="F136" s="38">
        <v>4500</v>
      </c>
      <c r="G136" s="7">
        <f t="shared" si="25"/>
        <v>0</v>
      </c>
      <c r="H136" s="7">
        <f t="shared" si="26"/>
        <v>0</v>
      </c>
      <c r="I136" s="18">
        <f t="shared" si="27"/>
        <v>1</v>
      </c>
      <c r="J136" s="19">
        <f t="shared" si="28"/>
        <v>1</v>
      </c>
    </row>
    <row r="137" spans="2:12" ht="24">
      <c r="B137" s="36" t="s">
        <v>61</v>
      </c>
      <c r="C137" s="39">
        <v>0.8</v>
      </c>
      <c r="D137" s="6">
        <f t="shared" ref="D137:D142" si="29">C137*F137</f>
        <v>10800</v>
      </c>
      <c r="E137" s="6">
        <v>18000</v>
      </c>
      <c r="F137" s="38">
        <v>13500</v>
      </c>
      <c r="G137" s="7">
        <f t="shared" si="25"/>
        <v>-7200</v>
      </c>
      <c r="H137" s="7">
        <f t="shared" si="26"/>
        <v>-2700</v>
      </c>
      <c r="I137" s="18">
        <f t="shared" si="27"/>
        <v>0.6</v>
      </c>
      <c r="J137" s="19">
        <f t="shared" si="28"/>
        <v>0.8</v>
      </c>
    </row>
    <row r="138" spans="2:12" ht="24">
      <c r="B138" s="36" t="s">
        <v>63</v>
      </c>
      <c r="C138" s="39">
        <v>0.3</v>
      </c>
      <c r="D138" s="6">
        <f t="shared" si="29"/>
        <v>4050</v>
      </c>
      <c r="E138" s="6">
        <v>3700</v>
      </c>
      <c r="F138" s="38">
        <v>13500</v>
      </c>
      <c r="G138" s="7">
        <f t="shared" si="25"/>
        <v>350</v>
      </c>
      <c r="H138" s="7">
        <f t="shared" si="26"/>
        <v>-9450</v>
      </c>
      <c r="I138" s="18">
        <f t="shared" si="27"/>
        <v>1.0945945945945945</v>
      </c>
      <c r="J138" s="19">
        <f t="shared" si="28"/>
        <v>0.3</v>
      </c>
    </row>
    <row r="139" spans="2:12" ht="24">
      <c r="B139" s="36" t="s">
        <v>65</v>
      </c>
      <c r="C139" s="39">
        <v>0.43</v>
      </c>
      <c r="D139" s="6">
        <f t="shared" si="29"/>
        <v>15265</v>
      </c>
      <c r="E139" s="6">
        <v>15214</v>
      </c>
      <c r="F139" s="38">
        <v>35500</v>
      </c>
      <c r="G139" s="7">
        <f t="shared" si="25"/>
        <v>51</v>
      </c>
      <c r="H139" s="7">
        <f t="shared" si="26"/>
        <v>-20235</v>
      </c>
      <c r="I139" s="18">
        <f t="shared" si="27"/>
        <v>1.0033521756277113</v>
      </c>
      <c r="J139" s="19">
        <f t="shared" si="28"/>
        <v>0.43</v>
      </c>
    </row>
    <row r="140" spans="2:12" ht="24">
      <c r="B140" s="36" t="s">
        <v>67</v>
      </c>
      <c r="C140" s="39">
        <v>0.66</v>
      </c>
      <c r="D140" s="6">
        <f t="shared" si="29"/>
        <v>8910</v>
      </c>
      <c r="E140" s="6">
        <v>9000</v>
      </c>
      <c r="F140" s="38">
        <v>13500</v>
      </c>
      <c r="G140" s="7">
        <f t="shared" si="25"/>
        <v>-90</v>
      </c>
      <c r="H140" s="7">
        <f t="shared" si="26"/>
        <v>-4590</v>
      </c>
      <c r="I140" s="18">
        <f t="shared" si="27"/>
        <v>0.99</v>
      </c>
      <c r="J140" s="19">
        <f t="shared" si="28"/>
        <v>0.66</v>
      </c>
    </row>
    <row r="141" spans="2:12" ht="24">
      <c r="B141" s="36" t="s">
        <v>69</v>
      </c>
      <c r="C141" s="39">
        <v>0</v>
      </c>
      <c r="D141" s="6">
        <f t="shared" si="29"/>
        <v>0</v>
      </c>
      <c r="E141" s="6">
        <v>0</v>
      </c>
      <c r="F141" s="38">
        <v>5500</v>
      </c>
      <c r="G141" s="7">
        <f t="shared" si="25"/>
        <v>0</v>
      </c>
      <c r="H141" s="7">
        <v>0</v>
      </c>
      <c r="I141" s="22">
        <v>0</v>
      </c>
      <c r="J141" s="30">
        <v>0</v>
      </c>
    </row>
    <row r="142" spans="2:12" ht="24">
      <c r="B142" s="36" t="s">
        <v>71</v>
      </c>
      <c r="C142" s="39">
        <v>0</v>
      </c>
      <c r="D142" s="6">
        <f t="shared" si="29"/>
        <v>0</v>
      </c>
      <c r="E142" s="6">
        <v>0</v>
      </c>
      <c r="F142" s="38">
        <v>2500</v>
      </c>
      <c r="G142" s="7">
        <f t="shared" si="25"/>
        <v>0</v>
      </c>
      <c r="H142" s="7">
        <v>0</v>
      </c>
      <c r="I142" s="22">
        <v>0</v>
      </c>
      <c r="J142" s="30">
        <v>0</v>
      </c>
    </row>
    <row r="143" spans="2:12" ht="25" thickBot="1">
      <c r="B143" s="40" t="s">
        <v>73</v>
      </c>
      <c r="C143" s="41">
        <v>0</v>
      </c>
      <c r="D143" s="42">
        <v>0</v>
      </c>
      <c r="E143" s="25">
        <v>0</v>
      </c>
      <c r="F143" s="42">
        <v>66000</v>
      </c>
      <c r="G143" s="26">
        <f>D143-E143</f>
        <v>0</v>
      </c>
      <c r="H143" s="26">
        <v>0</v>
      </c>
      <c r="I143" s="27">
        <v>0</v>
      </c>
      <c r="J143" s="31">
        <v>0</v>
      </c>
    </row>
  </sheetData>
  <mergeCells count="8">
    <mergeCell ref="B110:J110"/>
    <mergeCell ref="B128:J128"/>
    <mergeCell ref="B28:D28"/>
    <mergeCell ref="B29:E29"/>
    <mergeCell ref="B32:J32"/>
    <mergeCell ref="B52:J52"/>
    <mergeCell ref="B71:J71"/>
    <mergeCell ref="B90:J90"/>
  </mergeCells>
  <pageMargins left="0.7" right="0.7" top="0.75" bottom="0.75" header="0.3" footer="0.3"/>
  <pageSetup scale="18"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8141F-3FE1-8643-B49F-CEF93B85A47F}">
  <dimension ref="D13:N88"/>
  <sheetViews>
    <sheetView showGridLines="0" workbookViewId="0">
      <selection activeCell="J84" sqref="J84"/>
    </sheetView>
  </sheetViews>
  <sheetFormatPr baseColWidth="10" defaultRowHeight="16"/>
  <cols>
    <col min="6" max="6" width="10.83203125" style="73"/>
    <col min="7" max="7" width="14.83203125" style="73" customWidth="1"/>
    <col min="8" max="8" width="11.33203125" style="73" bestFit="1" customWidth="1"/>
    <col min="9" max="9" width="14.1640625" style="73" customWidth="1"/>
    <col min="10" max="10" width="14.33203125" style="73" customWidth="1"/>
    <col min="11" max="11" width="13" style="73" customWidth="1"/>
    <col min="12" max="12" width="14.6640625" style="73" customWidth="1"/>
    <col min="13" max="14" width="10.83203125" style="73"/>
  </cols>
  <sheetData>
    <row r="13" spans="4:14" ht="17" thickBot="1">
      <c r="I13" s="74"/>
    </row>
    <row r="14" spans="4:14" ht="30" thickBot="1">
      <c r="F14" s="108" t="s">
        <v>99</v>
      </c>
      <c r="G14" s="109"/>
      <c r="H14" s="109"/>
      <c r="I14" s="109"/>
      <c r="J14" s="109"/>
      <c r="K14" s="109"/>
      <c r="L14" s="109"/>
      <c r="M14" s="109"/>
      <c r="N14" s="110"/>
    </row>
    <row r="15" spans="4:14" ht="25" thickBot="1">
      <c r="D15" s="43"/>
      <c r="F15" s="49" t="s">
        <v>100</v>
      </c>
      <c r="G15" s="50" t="s">
        <v>134</v>
      </c>
      <c r="H15" s="51" t="s">
        <v>129</v>
      </c>
      <c r="I15" s="51" t="s">
        <v>130</v>
      </c>
      <c r="J15" s="51" t="s">
        <v>131</v>
      </c>
      <c r="K15" s="51" t="s">
        <v>132</v>
      </c>
      <c r="L15" s="51" t="s">
        <v>133</v>
      </c>
      <c r="M15" s="52" t="s">
        <v>107</v>
      </c>
      <c r="N15" s="53" t="s">
        <v>108</v>
      </c>
    </row>
    <row r="16" spans="4:14" ht="25" thickBot="1">
      <c r="D16" s="43"/>
      <c r="F16" s="54" t="s">
        <v>46</v>
      </c>
      <c r="G16" s="55" t="s">
        <v>109</v>
      </c>
      <c r="H16" s="75">
        <v>1000</v>
      </c>
      <c r="I16" s="75">
        <v>1000</v>
      </c>
      <c r="J16" s="75">
        <v>1000</v>
      </c>
      <c r="K16" s="56">
        <f>H16-I16</f>
        <v>0</v>
      </c>
      <c r="L16" s="56">
        <f>H16-J16</f>
        <v>0</v>
      </c>
      <c r="M16" s="57">
        <f>H16/I16</f>
        <v>1</v>
      </c>
      <c r="N16" s="58">
        <f>H16/J16</f>
        <v>1</v>
      </c>
    </row>
    <row r="17" spans="4:14" ht="25" thickBot="1">
      <c r="D17" s="43"/>
      <c r="F17" s="106" t="s">
        <v>128</v>
      </c>
      <c r="G17" s="107"/>
      <c r="H17" s="51">
        <f>SUM(H16)</f>
        <v>1000</v>
      </c>
      <c r="I17" s="51">
        <f>SUM(I16)</f>
        <v>1000</v>
      </c>
      <c r="J17" s="51">
        <f>SUM(J16)</f>
        <v>1000</v>
      </c>
      <c r="K17" s="51">
        <f>SUM(K16)</f>
        <v>0</v>
      </c>
      <c r="L17" s="51">
        <f>SUM(L16)</f>
        <v>0</v>
      </c>
      <c r="M17" s="52">
        <v>0</v>
      </c>
      <c r="N17" s="53">
        <f t="shared" ref="N17" si="0">H17/J17</f>
        <v>1</v>
      </c>
    </row>
    <row r="18" spans="4:14" ht="24">
      <c r="F18" s="44"/>
      <c r="G18" s="45"/>
      <c r="H18" s="46"/>
      <c r="I18" s="46"/>
      <c r="J18" s="46"/>
      <c r="K18" s="46"/>
      <c r="L18" s="46"/>
      <c r="M18" s="47"/>
      <c r="N18" s="48"/>
    </row>
    <row r="19" spans="4:14" ht="24">
      <c r="F19" s="59"/>
      <c r="G19" s="60"/>
      <c r="H19" s="61"/>
      <c r="I19" s="61"/>
      <c r="J19" s="61"/>
      <c r="K19" s="61"/>
      <c r="L19" s="61"/>
      <c r="M19" s="62"/>
      <c r="N19" s="63"/>
    </row>
    <row r="20" spans="4:14" ht="30" thickBot="1">
      <c r="F20" s="103" t="s">
        <v>115</v>
      </c>
      <c r="G20" s="104"/>
      <c r="H20" s="104"/>
      <c r="I20" s="104"/>
      <c r="J20" s="104"/>
      <c r="K20" s="104"/>
      <c r="L20" s="104"/>
      <c r="M20" s="104"/>
      <c r="N20" s="105"/>
    </row>
    <row r="21" spans="4:14" ht="25" thickBot="1">
      <c r="F21" s="49" t="s">
        <v>100</v>
      </c>
      <c r="G21" s="50" t="s">
        <v>134</v>
      </c>
      <c r="H21" s="51" t="s">
        <v>129</v>
      </c>
      <c r="I21" s="51" t="s">
        <v>130</v>
      </c>
      <c r="J21" s="51" t="s">
        <v>131</v>
      </c>
      <c r="K21" s="51" t="s">
        <v>132</v>
      </c>
      <c r="L21" s="51" t="s">
        <v>133</v>
      </c>
      <c r="M21" s="52" t="s">
        <v>107</v>
      </c>
      <c r="N21" s="53" t="s">
        <v>108</v>
      </c>
    </row>
    <row r="22" spans="4:14" ht="24">
      <c r="F22" s="64" t="s">
        <v>46</v>
      </c>
      <c r="G22" s="65" t="s">
        <v>109</v>
      </c>
      <c r="H22" s="76">
        <v>1000</v>
      </c>
      <c r="I22" s="76">
        <v>1000</v>
      </c>
      <c r="J22" s="76">
        <v>1000</v>
      </c>
      <c r="K22" s="66">
        <f>H22-I22</f>
        <v>0</v>
      </c>
      <c r="L22" s="66">
        <f>H22-J22</f>
        <v>0</v>
      </c>
      <c r="M22" s="67">
        <f>H22/I22</f>
        <v>1</v>
      </c>
      <c r="N22" s="68">
        <f>H22/J22</f>
        <v>1</v>
      </c>
    </row>
    <row r="23" spans="4:14" ht="24">
      <c r="F23" s="64" t="s">
        <v>48</v>
      </c>
      <c r="G23" s="65" t="s">
        <v>109</v>
      </c>
      <c r="H23" s="76">
        <v>4000</v>
      </c>
      <c r="I23" s="76">
        <v>4000</v>
      </c>
      <c r="J23" s="76">
        <v>4000</v>
      </c>
      <c r="K23" s="66">
        <f t="shared" ref="K23:K27" si="1">H23-I23</f>
        <v>0</v>
      </c>
      <c r="L23" s="66">
        <f t="shared" ref="L23:L27" si="2">H23-J23</f>
        <v>0</v>
      </c>
      <c r="M23" s="67">
        <f t="shared" ref="M23:M28" si="3">H23/I23</f>
        <v>1</v>
      </c>
      <c r="N23" s="68">
        <f t="shared" ref="N23:N28" si="4">H23/J23</f>
        <v>1</v>
      </c>
    </row>
    <row r="24" spans="4:14" ht="24">
      <c r="F24" s="64" t="s">
        <v>50</v>
      </c>
      <c r="G24" s="65" t="s">
        <v>109</v>
      </c>
      <c r="H24" s="76">
        <v>5000</v>
      </c>
      <c r="I24" s="76">
        <v>5000</v>
      </c>
      <c r="J24" s="76">
        <v>5000</v>
      </c>
      <c r="K24" s="66">
        <f t="shared" si="1"/>
        <v>0</v>
      </c>
      <c r="L24" s="66">
        <f t="shared" si="2"/>
        <v>0</v>
      </c>
      <c r="M24" s="67">
        <f t="shared" si="3"/>
        <v>1</v>
      </c>
      <c r="N24" s="68">
        <f t="shared" si="4"/>
        <v>1</v>
      </c>
    </row>
    <row r="25" spans="4:14" ht="24">
      <c r="F25" s="64" t="s">
        <v>52</v>
      </c>
      <c r="G25" s="69">
        <v>0.33</v>
      </c>
      <c r="H25" s="76">
        <f>7000*G25</f>
        <v>2310</v>
      </c>
      <c r="I25" s="76">
        <v>2500</v>
      </c>
      <c r="J25" s="76">
        <f>7000*G25</f>
        <v>2310</v>
      </c>
      <c r="K25" s="66">
        <f t="shared" si="1"/>
        <v>-190</v>
      </c>
      <c r="L25" s="66">
        <f t="shared" si="2"/>
        <v>0</v>
      </c>
      <c r="M25" s="67">
        <f t="shared" si="3"/>
        <v>0.92400000000000004</v>
      </c>
      <c r="N25" s="68">
        <f t="shared" si="4"/>
        <v>1</v>
      </c>
    </row>
    <row r="26" spans="4:14" ht="24">
      <c r="F26" s="64" t="s">
        <v>55</v>
      </c>
      <c r="G26" s="69">
        <v>0.16</v>
      </c>
      <c r="H26" s="76">
        <f>11250*G26</f>
        <v>1800</v>
      </c>
      <c r="I26" s="76">
        <v>1800</v>
      </c>
      <c r="J26" s="76">
        <f>11250*G26</f>
        <v>1800</v>
      </c>
      <c r="K26" s="66">
        <f t="shared" si="1"/>
        <v>0</v>
      </c>
      <c r="L26" s="66">
        <f t="shared" si="2"/>
        <v>0</v>
      </c>
      <c r="M26" s="67">
        <f t="shared" si="3"/>
        <v>1</v>
      </c>
      <c r="N26" s="68">
        <f t="shared" si="4"/>
        <v>1</v>
      </c>
    </row>
    <row r="27" spans="4:14" ht="25" thickBot="1">
      <c r="F27" s="54" t="s">
        <v>57</v>
      </c>
      <c r="G27" s="78">
        <v>0.5</v>
      </c>
      <c r="H27" s="75">
        <f>4000*G27</f>
        <v>2000</v>
      </c>
      <c r="I27" s="75">
        <v>2000</v>
      </c>
      <c r="J27" s="75">
        <f>4000*G27</f>
        <v>2000</v>
      </c>
      <c r="K27" s="56">
        <f t="shared" si="1"/>
        <v>0</v>
      </c>
      <c r="L27" s="56">
        <f t="shared" si="2"/>
        <v>0</v>
      </c>
      <c r="M27" s="57">
        <f t="shared" si="3"/>
        <v>1</v>
      </c>
      <c r="N27" s="58">
        <f t="shared" si="4"/>
        <v>1</v>
      </c>
    </row>
    <row r="28" spans="4:14" ht="25" thickBot="1">
      <c r="F28" s="106" t="s">
        <v>128</v>
      </c>
      <c r="G28" s="107"/>
      <c r="H28" s="51">
        <f>SUM(H22:H27)</f>
        <v>16110</v>
      </c>
      <c r="I28" s="51">
        <f>SUM(I22:I27)</f>
        <v>16300</v>
      </c>
      <c r="J28" s="51">
        <f>SUM(J22:J27)</f>
        <v>16110</v>
      </c>
      <c r="K28" s="51">
        <f>SUM(K22:K27)</f>
        <v>-190</v>
      </c>
      <c r="L28" s="51">
        <f>SUM(L22:L27)</f>
        <v>0</v>
      </c>
      <c r="M28" s="52">
        <f t="shared" si="3"/>
        <v>0.98834355828220855</v>
      </c>
      <c r="N28" s="53">
        <f t="shared" si="4"/>
        <v>1</v>
      </c>
    </row>
    <row r="29" spans="4:14" ht="24">
      <c r="F29" s="44"/>
      <c r="G29" s="45"/>
      <c r="H29" s="46"/>
      <c r="I29" s="46"/>
      <c r="J29" s="46"/>
      <c r="K29" s="46"/>
      <c r="L29" s="46"/>
      <c r="M29" s="47"/>
      <c r="N29" s="48"/>
    </row>
    <row r="30" spans="4:14" ht="24">
      <c r="F30" s="44"/>
      <c r="G30" s="45"/>
      <c r="H30" s="46"/>
      <c r="I30" s="46"/>
      <c r="J30" s="46"/>
      <c r="K30" s="46"/>
      <c r="L30" s="46"/>
      <c r="M30" s="47"/>
      <c r="N30" s="48"/>
    </row>
    <row r="31" spans="4:14" ht="30" thickBot="1">
      <c r="F31" s="111" t="s">
        <v>118</v>
      </c>
      <c r="G31" s="112"/>
      <c r="H31" s="112"/>
      <c r="I31" s="112"/>
      <c r="J31" s="112"/>
      <c r="K31" s="112"/>
      <c r="L31" s="112"/>
      <c r="M31" s="112"/>
      <c r="N31" s="113"/>
    </row>
    <row r="32" spans="4:14" ht="25" thickBot="1">
      <c r="F32" s="49" t="s">
        <v>100</v>
      </c>
      <c r="G32" s="50" t="s">
        <v>134</v>
      </c>
      <c r="H32" s="51" t="s">
        <v>129</v>
      </c>
      <c r="I32" s="51" t="s">
        <v>130</v>
      </c>
      <c r="J32" s="51" t="s">
        <v>131</v>
      </c>
      <c r="K32" s="51" t="s">
        <v>132</v>
      </c>
      <c r="L32" s="51" t="s">
        <v>133</v>
      </c>
      <c r="M32" s="52" t="s">
        <v>107</v>
      </c>
      <c r="N32" s="53" t="s">
        <v>108</v>
      </c>
    </row>
    <row r="33" spans="6:14" ht="24">
      <c r="F33" s="64" t="s">
        <v>46</v>
      </c>
      <c r="G33" s="65" t="s">
        <v>109</v>
      </c>
      <c r="H33" s="76">
        <v>1000</v>
      </c>
      <c r="I33" s="76">
        <v>1000</v>
      </c>
      <c r="J33" s="76">
        <v>1000</v>
      </c>
      <c r="K33" s="66">
        <f>H33-I33</f>
        <v>0</v>
      </c>
      <c r="L33" s="66">
        <f>H33-J33</f>
        <v>0</v>
      </c>
      <c r="M33" s="67">
        <f>H33/I33</f>
        <v>1</v>
      </c>
      <c r="N33" s="68">
        <f>H33/J33</f>
        <v>1</v>
      </c>
    </row>
    <row r="34" spans="6:14" ht="24">
      <c r="F34" s="64" t="s">
        <v>48</v>
      </c>
      <c r="G34" s="65" t="s">
        <v>109</v>
      </c>
      <c r="H34" s="76">
        <v>4000</v>
      </c>
      <c r="I34" s="76">
        <v>4000</v>
      </c>
      <c r="J34" s="76">
        <v>4000</v>
      </c>
      <c r="K34" s="66">
        <f t="shared" ref="K34:K40" si="5">H34-I34</f>
        <v>0</v>
      </c>
      <c r="L34" s="66">
        <f t="shared" ref="L34:L40" si="6">H34-J34</f>
        <v>0</v>
      </c>
      <c r="M34" s="67">
        <f t="shared" ref="M34:M41" si="7">H34/I34</f>
        <v>1</v>
      </c>
      <c r="N34" s="68">
        <f t="shared" ref="N34:N40" si="8">H34/J34</f>
        <v>1</v>
      </c>
    </row>
    <row r="35" spans="6:14" ht="24">
      <c r="F35" s="64" t="s">
        <v>50</v>
      </c>
      <c r="G35" s="65" t="s">
        <v>109</v>
      </c>
      <c r="H35" s="76">
        <v>5000</v>
      </c>
      <c r="I35" s="76">
        <v>5000</v>
      </c>
      <c r="J35" s="76">
        <v>5000</v>
      </c>
      <c r="K35" s="66">
        <f t="shared" si="5"/>
        <v>0</v>
      </c>
      <c r="L35" s="66">
        <f t="shared" si="6"/>
        <v>0</v>
      </c>
      <c r="M35" s="67">
        <f t="shared" si="7"/>
        <v>1</v>
      </c>
      <c r="N35" s="68">
        <f t="shared" si="8"/>
        <v>1</v>
      </c>
    </row>
    <row r="36" spans="6:14" ht="24">
      <c r="F36" s="64" t="s">
        <v>52</v>
      </c>
      <c r="G36" s="69">
        <v>0.5</v>
      </c>
      <c r="H36" s="76">
        <f>7000*G36</f>
        <v>3500</v>
      </c>
      <c r="I36" s="76">
        <v>4666</v>
      </c>
      <c r="J36" s="76">
        <f>7000*0.67</f>
        <v>4690</v>
      </c>
      <c r="K36" s="66">
        <f t="shared" si="5"/>
        <v>-1166</v>
      </c>
      <c r="L36" s="66">
        <f t="shared" si="6"/>
        <v>-1190</v>
      </c>
      <c r="M36" s="67">
        <f t="shared" si="7"/>
        <v>0.75010715816545226</v>
      </c>
      <c r="N36" s="68">
        <f t="shared" si="8"/>
        <v>0.74626865671641796</v>
      </c>
    </row>
    <row r="37" spans="6:14" ht="24">
      <c r="F37" s="64" t="s">
        <v>55</v>
      </c>
      <c r="G37" s="69">
        <v>0.33</v>
      </c>
      <c r="H37" s="76">
        <f>11250*G37</f>
        <v>3712.5</v>
      </c>
      <c r="I37" s="76">
        <v>3750</v>
      </c>
      <c r="J37" s="76">
        <f>11250*G37</f>
        <v>3712.5</v>
      </c>
      <c r="K37" s="66">
        <f t="shared" si="5"/>
        <v>-37.5</v>
      </c>
      <c r="L37" s="66">
        <f t="shared" si="6"/>
        <v>0</v>
      </c>
      <c r="M37" s="67">
        <f t="shared" si="7"/>
        <v>0.99</v>
      </c>
      <c r="N37" s="68">
        <f t="shared" si="8"/>
        <v>1</v>
      </c>
    </row>
    <row r="38" spans="6:14" ht="24">
      <c r="F38" s="64" t="s">
        <v>57</v>
      </c>
      <c r="G38" s="65" t="s">
        <v>109</v>
      </c>
      <c r="H38" s="76">
        <v>4000</v>
      </c>
      <c r="I38" s="76">
        <v>4000</v>
      </c>
      <c r="J38" s="76">
        <f>4000</f>
        <v>4000</v>
      </c>
      <c r="K38" s="66">
        <f t="shared" si="5"/>
        <v>0</v>
      </c>
      <c r="L38" s="66">
        <f t="shared" si="6"/>
        <v>0</v>
      </c>
      <c r="M38" s="67">
        <f t="shared" si="7"/>
        <v>1</v>
      </c>
      <c r="N38" s="68">
        <f t="shared" si="8"/>
        <v>1</v>
      </c>
    </row>
    <row r="39" spans="6:14" ht="24">
      <c r="F39" s="64" t="s">
        <v>59</v>
      </c>
      <c r="G39" s="65" t="s">
        <v>109</v>
      </c>
      <c r="H39" s="76">
        <v>4500</v>
      </c>
      <c r="I39" s="76">
        <v>4500</v>
      </c>
      <c r="J39" s="76">
        <v>4500</v>
      </c>
      <c r="K39" s="66">
        <f t="shared" si="5"/>
        <v>0</v>
      </c>
      <c r="L39" s="66">
        <f t="shared" si="6"/>
        <v>0</v>
      </c>
      <c r="M39" s="67">
        <f t="shared" si="7"/>
        <v>1</v>
      </c>
      <c r="N39" s="68">
        <f t="shared" si="8"/>
        <v>1</v>
      </c>
    </row>
    <row r="40" spans="6:14" ht="25" thickBot="1">
      <c r="F40" s="64" t="s">
        <v>61</v>
      </c>
      <c r="G40" s="69">
        <v>0.33</v>
      </c>
      <c r="H40" s="76">
        <f>13500*G40</f>
        <v>4455</v>
      </c>
      <c r="I40" s="76">
        <v>4500</v>
      </c>
      <c r="J40" s="76">
        <f>13500*G40</f>
        <v>4455</v>
      </c>
      <c r="K40" s="66">
        <f t="shared" si="5"/>
        <v>-45</v>
      </c>
      <c r="L40" s="66">
        <f t="shared" si="6"/>
        <v>0</v>
      </c>
      <c r="M40" s="67">
        <f t="shared" si="7"/>
        <v>0.99</v>
      </c>
      <c r="N40" s="68">
        <f t="shared" si="8"/>
        <v>1</v>
      </c>
    </row>
    <row r="41" spans="6:14" ht="25" thickBot="1">
      <c r="F41" s="106" t="s">
        <v>128</v>
      </c>
      <c r="G41" s="107"/>
      <c r="H41" s="51">
        <f>SUM(H33:H40)</f>
        <v>30167.5</v>
      </c>
      <c r="I41" s="51">
        <f>SUM(I33:I40)</f>
        <v>31416</v>
      </c>
      <c r="J41" s="51">
        <f>SUM(J33:J40)</f>
        <v>31357.5</v>
      </c>
      <c r="K41" s="51">
        <f>SUM(K33:K40)</f>
        <v>-1248.5</v>
      </c>
      <c r="L41" s="51">
        <f>SUM(L33:L40)</f>
        <v>-1190</v>
      </c>
      <c r="M41" s="52">
        <f t="shared" si="7"/>
        <v>0.96025910364145661</v>
      </c>
      <c r="N41" s="53">
        <f t="shared" ref="N41" si="9">H41/J41</f>
        <v>0.96205054612134255</v>
      </c>
    </row>
    <row r="42" spans="6:14" ht="24">
      <c r="F42" s="44"/>
      <c r="G42" s="45"/>
      <c r="H42" s="46"/>
      <c r="I42" s="46"/>
      <c r="J42" s="46"/>
      <c r="K42" s="46"/>
      <c r="L42" s="46"/>
      <c r="M42" s="47"/>
      <c r="N42" s="48"/>
    </row>
    <row r="43" spans="6:14" ht="24">
      <c r="F43" s="44"/>
      <c r="G43" s="45"/>
      <c r="H43" s="46"/>
      <c r="I43" s="46"/>
      <c r="J43" s="46"/>
      <c r="K43" s="46"/>
      <c r="L43" s="46"/>
      <c r="M43" s="47"/>
      <c r="N43" s="48"/>
    </row>
    <row r="44" spans="6:14" ht="30" thickBot="1">
      <c r="F44" s="103" t="s">
        <v>120</v>
      </c>
      <c r="G44" s="104"/>
      <c r="H44" s="104"/>
      <c r="I44" s="104"/>
      <c r="J44" s="104"/>
      <c r="K44" s="104"/>
      <c r="L44" s="104"/>
      <c r="M44" s="104"/>
      <c r="N44" s="105"/>
    </row>
    <row r="45" spans="6:14" ht="25" thickBot="1">
      <c r="F45" s="49" t="s">
        <v>100</v>
      </c>
      <c r="G45" s="50" t="s">
        <v>134</v>
      </c>
      <c r="H45" s="51" t="s">
        <v>129</v>
      </c>
      <c r="I45" s="51" t="s">
        <v>130</v>
      </c>
      <c r="J45" s="51" t="s">
        <v>131</v>
      </c>
      <c r="K45" s="51" t="s">
        <v>132</v>
      </c>
      <c r="L45" s="51" t="s">
        <v>133</v>
      </c>
      <c r="M45" s="52" t="s">
        <v>107</v>
      </c>
      <c r="N45" s="53" t="s">
        <v>108</v>
      </c>
    </row>
    <row r="46" spans="6:14" ht="24">
      <c r="F46" s="64" t="s">
        <v>46</v>
      </c>
      <c r="G46" s="65" t="s">
        <v>109</v>
      </c>
      <c r="H46" s="76">
        <v>1000</v>
      </c>
      <c r="I46" s="76">
        <v>1000</v>
      </c>
      <c r="J46" s="76">
        <v>1000</v>
      </c>
      <c r="K46" s="66">
        <f>H46-I46</f>
        <v>0</v>
      </c>
      <c r="L46" s="66">
        <f>H46-J46</f>
        <v>0</v>
      </c>
      <c r="M46" s="67">
        <f>H46/I46</f>
        <v>1</v>
      </c>
      <c r="N46" s="68">
        <f>H46/J46</f>
        <v>1</v>
      </c>
    </row>
    <row r="47" spans="6:14" ht="24">
      <c r="F47" s="64" t="s">
        <v>48</v>
      </c>
      <c r="G47" s="65" t="s">
        <v>109</v>
      </c>
      <c r="H47" s="76">
        <v>4000</v>
      </c>
      <c r="I47" s="76">
        <v>4000</v>
      </c>
      <c r="J47" s="76">
        <v>4000</v>
      </c>
      <c r="K47" s="66">
        <f t="shared" ref="K47:K55" si="10">H47-I47</f>
        <v>0</v>
      </c>
      <c r="L47" s="66">
        <f t="shared" ref="L47:L55" si="11">H47-J47</f>
        <v>0</v>
      </c>
      <c r="M47" s="67">
        <f t="shared" ref="M47:M56" si="12">H47/I47</f>
        <v>1</v>
      </c>
      <c r="N47" s="68">
        <f t="shared" ref="N47:N55" si="13">H47/J47</f>
        <v>1</v>
      </c>
    </row>
    <row r="48" spans="6:14" ht="24">
      <c r="F48" s="64" t="s">
        <v>50</v>
      </c>
      <c r="G48" s="65" t="s">
        <v>109</v>
      </c>
      <c r="H48" s="76">
        <v>5000</v>
      </c>
      <c r="I48" s="76">
        <v>5000</v>
      </c>
      <c r="J48" s="76">
        <v>5000</v>
      </c>
      <c r="K48" s="66">
        <f t="shared" si="10"/>
        <v>0</v>
      </c>
      <c r="L48" s="66">
        <f t="shared" si="11"/>
        <v>0</v>
      </c>
      <c r="M48" s="67">
        <f t="shared" si="12"/>
        <v>1</v>
      </c>
      <c r="N48" s="68">
        <f t="shared" si="13"/>
        <v>1</v>
      </c>
    </row>
    <row r="49" spans="6:14" ht="24">
      <c r="F49" s="64" t="s">
        <v>52</v>
      </c>
      <c r="G49" s="69">
        <v>0.75</v>
      </c>
      <c r="H49" s="76">
        <f>G49*J49</f>
        <v>5250</v>
      </c>
      <c r="I49" s="76">
        <v>7000</v>
      </c>
      <c r="J49" s="76">
        <v>7000</v>
      </c>
      <c r="K49" s="66">
        <f t="shared" si="10"/>
        <v>-1750</v>
      </c>
      <c r="L49" s="66">
        <f t="shared" si="11"/>
        <v>-1750</v>
      </c>
      <c r="M49" s="67">
        <f t="shared" si="12"/>
        <v>0.75</v>
      </c>
      <c r="N49" s="68">
        <f t="shared" si="13"/>
        <v>0.75</v>
      </c>
    </row>
    <row r="50" spans="6:14" ht="24">
      <c r="F50" s="64" t="s">
        <v>55</v>
      </c>
      <c r="G50" s="69">
        <v>0.5</v>
      </c>
      <c r="H50" s="76">
        <f>11250*G50</f>
        <v>5625</v>
      </c>
      <c r="I50" s="76">
        <v>5625</v>
      </c>
      <c r="J50" s="76">
        <f>11250*G50</f>
        <v>5625</v>
      </c>
      <c r="K50" s="66">
        <f t="shared" si="10"/>
        <v>0</v>
      </c>
      <c r="L50" s="66">
        <f t="shared" si="11"/>
        <v>0</v>
      </c>
      <c r="M50" s="67">
        <f t="shared" si="12"/>
        <v>1</v>
      </c>
      <c r="N50" s="68">
        <f t="shared" si="13"/>
        <v>1</v>
      </c>
    </row>
    <row r="51" spans="6:14" ht="24">
      <c r="F51" s="64" t="s">
        <v>57</v>
      </c>
      <c r="G51" s="65" t="s">
        <v>109</v>
      </c>
      <c r="H51" s="76">
        <v>4000</v>
      </c>
      <c r="I51" s="76">
        <v>4000</v>
      </c>
      <c r="J51" s="76">
        <v>4000</v>
      </c>
      <c r="K51" s="66">
        <f t="shared" si="10"/>
        <v>0</v>
      </c>
      <c r="L51" s="66">
        <f t="shared" si="11"/>
        <v>0</v>
      </c>
      <c r="M51" s="67">
        <f t="shared" si="12"/>
        <v>1</v>
      </c>
      <c r="N51" s="68">
        <f t="shared" si="13"/>
        <v>1</v>
      </c>
    </row>
    <row r="52" spans="6:14" ht="24">
      <c r="F52" s="64" t="s">
        <v>59</v>
      </c>
      <c r="G52" s="65" t="s">
        <v>109</v>
      </c>
      <c r="H52" s="76">
        <v>4500</v>
      </c>
      <c r="I52" s="76">
        <v>4500</v>
      </c>
      <c r="J52" s="76">
        <v>4500</v>
      </c>
      <c r="K52" s="66">
        <f t="shared" si="10"/>
        <v>0</v>
      </c>
      <c r="L52" s="66">
        <f t="shared" si="11"/>
        <v>0</v>
      </c>
      <c r="M52" s="67">
        <f t="shared" si="12"/>
        <v>1</v>
      </c>
      <c r="N52" s="68">
        <f t="shared" si="13"/>
        <v>1</v>
      </c>
    </row>
    <row r="53" spans="6:14" ht="24">
      <c r="F53" s="64" t="s">
        <v>61</v>
      </c>
      <c r="G53" s="69">
        <v>0.4</v>
      </c>
      <c r="H53" s="76">
        <f>13500*G53</f>
        <v>5400</v>
      </c>
      <c r="I53" s="76">
        <v>9000</v>
      </c>
      <c r="J53" s="76">
        <f>13500*0.67</f>
        <v>9045</v>
      </c>
      <c r="K53" s="66">
        <f t="shared" si="10"/>
        <v>-3600</v>
      </c>
      <c r="L53" s="66">
        <f t="shared" si="11"/>
        <v>-3645</v>
      </c>
      <c r="M53" s="67">
        <f t="shared" si="12"/>
        <v>0.6</v>
      </c>
      <c r="N53" s="68">
        <f t="shared" si="13"/>
        <v>0.59701492537313428</v>
      </c>
    </row>
    <row r="54" spans="6:14" ht="24">
      <c r="F54" s="64" t="s">
        <v>63</v>
      </c>
      <c r="G54" s="69">
        <v>0</v>
      </c>
      <c r="H54" s="76">
        <f t="shared" ref="H54" si="14">G54*J54</f>
        <v>0</v>
      </c>
      <c r="I54" s="76">
        <v>0</v>
      </c>
      <c r="J54" s="76">
        <f>13500*0.2</f>
        <v>2700</v>
      </c>
      <c r="K54" s="66">
        <f t="shared" si="10"/>
        <v>0</v>
      </c>
      <c r="L54" s="66">
        <v>0</v>
      </c>
      <c r="M54" s="67">
        <v>0</v>
      </c>
      <c r="N54" s="68">
        <f t="shared" si="13"/>
        <v>0</v>
      </c>
    </row>
    <row r="55" spans="6:14" ht="25" thickBot="1">
      <c r="F55" s="64" t="s">
        <v>65</v>
      </c>
      <c r="G55" s="69">
        <v>0.15</v>
      </c>
      <c r="H55" s="76">
        <f>G55*35500</f>
        <v>5325</v>
      </c>
      <c r="I55" s="76">
        <v>5071</v>
      </c>
      <c r="J55" s="76">
        <f>35500/7</f>
        <v>5071.4285714285716</v>
      </c>
      <c r="K55" s="66">
        <f t="shared" si="10"/>
        <v>254</v>
      </c>
      <c r="L55" s="66">
        <f t="shared" si="11"/>
        <v>253.57142857142844</v>
      </c>
      <c r="M55" s="67">
        <f t="shared" si="12"/>
        <v>1.0500887398935121</v>
      </c>
      <c r="N55" s="68">
        <f t="shared" si="13"/>
        <v>1.05</v>
      </c>
    </row>
    <row r="56" spans="6:14" ht="25" thickBot="1">
      <c r="F56" s="106" t="s">
        <v>128</v>
      </c>
      <c r="G56" s="107"/>
      <c r="H56" s="51">
        <f>SUM(H46:H55)</f>
        <v>40100</v>
      </c>
      <c r="I56" s="51">
        <f>SUM(I46:I55)</f>
        <v>45196</v>
      </c>
      <c r="J56" s="51">
        <f>SUM(J46:J55)</f>
        <v>47941.428571428572</v>
      </c>
      <c r="K56" s="51">
        <f>SUM(K46:K55)</f>
        <v>-5096</v>
      </c>
      <c r="L56" s="51">
        <f>SUM(L46:L55)</f>
        <v>-5141.4285714285716</v>
      </c>
      <c r="M56" s="52">
        <f t="shared" si="12"/>
        <v>0.88724665899637134</v>
      </c>
      <c r="N56" s="53">
        <f t="shared" ref="N56" si="15">H56/J56</f>
        <v>0.83643731934801391</v>
      </c>
    </row>
    <row r="57" spans="6:14" ht="24">
      <c r="F57" s="44"/>
      <c r="G57" s="45"/>
      <c r="H57" s="46"/>
      <c r="I57" s="46"/>
      <c r="J57" s="46"/>
      <c r="K57" s="46"/>
      <c r="L57" s="46"/>
      <c r="M57" s="47"/>
      <c r="N57" s="48"/>
    </row>
    <row r="58" spans="6:14" ht="24">
      <c r="F58" s="44"/>
      <c r="G58" s="45"/>
      <c r="H58" s="46"/>
      <c r="I58" s="46"/>
      <c r="J58" s="46"/>
      <c r="K58" s="46"/>
      <c r="L58" s="46"/>
      <c r="M58" s="47"/>
      <c r="N58" s="48"/>
    </row>
    <row r="59" spans="6:14" ht="30" thickBot="1">
      <c r="F59" s="103" t="s">
        <v>123</v>
      </c>
      <c r="G59" s="104"/>
      <c r="H59" s="104"/>
      <c r="I59" s="104"/>
      <c r="J59" s="104"/>
      <c r="K59" s="104"/>
      <c r="L59" s="104"/>
      <c r="M59" s="104"/>
      <c r="N59" s="105"/>
    </row>
    <row r="60" spans="6:14" ht="25" thickBot="1">
      <c r="F60" s="49" t="s">
        <v>100</v>
      </c>
      <c r="G60" s="50" t="s">
        <v>134</v>
      </c>
      <c r="H60" s="51" t="s">
        <v>129</v>
      </c>
      <c r="I60" s="51" t="s">
        <v>130</v>
      </c>
      <c r="J60" s="51" t="s">
        <v>131</v>
      </c>
      <c r="K60" s="51" t="s">
        <v>132</v>
      </c>
      <c r="L60" s="51" t="s">
        <v>133</v>
      </c>
      <c r="M60" s="52" t="s">
        <v>107</v>
      </c>
      <c r="N60" s="53" t="s">
        <v>108</v>
      </c>
    </row>
    <row r="61" spans="6:14" ht="24">
      <c r="F61" s="64" t="s">
        <v>46</v>
      </c>
      <c r="G61" s="65" t="s">
        <v>109</v>
      </c>
      <c r="H61" s="76">
        <v>1000</v>
      </c>
      <c r="I61" s="76">
        <v>1000</v>
      </c>
      <c r="J61" s="76">
        <v>1000</v>
      </c>
      <c r="K61" s="66">
        <f>H61-I61</f>
        <v>0</v>
      </c>
      <c r="L61" s="66">
        <f>H61-J61</f>
        <v>0</v>
      </c>
      <c r="M61" s="67">
        <f>H61/I61</f>
        <v>1</v>
      </c>
      <c r="N61" s="68">
        <f>H61/J61</f>
        <v>1</v>
      </c>
    </row>
    <row r="62" spans="6:14" ht="24">
      <c r="F62" s="64" t="s">
        <v>48</v>
      </c>
      <c r="G62" s="65" t="s">
        <v>109</v>
      </c>
      <c r="H62" s="76">
        <v>4000</v>
      </c>
      <c r="I62" s="76">
        <v>4000</v>
      </c>
      <c r="J62" s="76">
        <v>4000</v>
      </c>
      <c r="K62" s="66">
        <f t="shared" ref="K62:K71" si="16">H62-I62</f>
        <v>0</v>
      </c>
      <c r="L62" s="66">
        <f t="shared" ref="L62:L71" si="17">H62-J62</f>
        <v>0</v>
      </c>
      <c r="M62" s="67">
        <f t="shared" ref="M62:M72" si="18">H62/I62</f>
        <v>1</v>
      </c>
      <c r="N62" s="68">
        <f t="shared" ref="N62:N71" si="19">H62/J62</f>
        <v>1</v>
      </c>
    </row>
    <row r="63" spans="6:14" ht="24">
      <c r="F63" s="64" t="s">
        <v>50</v>
      </c>
      <c r="G63" s="65" t="s">
        <v>109</v>
      </c>
      <c r="H63" s="76">
        <v>5000</v>
      </c>
      <c r="I63" s="76">
        <v>5000</v>
      </c>
      <c r="J63" s="76">
        <v>5000</v>
      </c>
      <c r="K63" s="66">
        <f t="shared" si="16"/>
        <v>0</v>
      </c>
      <c r="L63" s="66">
        <f t="shared" si="17"/>
        <v>0</v>
      </c>
      <c r="M63" s="67">
        <f t="shared" si="18"/>
        <v>1</v>
      </c>
      <c r="N63" s="68">
        <f t="shared" si="19"/>
        <v>1</v>
      </c>
    </row>
    <row r="64" spans="6:14" ht="24">
      <c r="F64" s="64" t="s">
        <v>52</v>
      </c>
      <c r="G64" s="65" t="s">
        <v>109</v>
      </c>
      <c r="H64" s="76">
        <v>7000</v>
      </c>
      <c r="I64" s="76">
        <v>9333</v>
      </c>
      <c r="J64" s="76">
        <v>7000</v>
      </c>
      <c r="K64" s="66">
        <f t="shared" si="16"/>
        <v>-2333</v>
      </c>
      <c r="L64" s="66">
        <f t="shared" si="17"/>
        <v>0</v>
      </c>
      <c r="M64" s="67">
        <f t="shared" si="18"/>
        <v>0.75002678667095257</v>
      </c>
      <c r="N64" s="68">
        <f t="shared" si="19"/>
        <v>1</v>
      </c>
    </row>
    <row r="65" spans="6:14" ht="24">
      <c r="F65" s="64" t="s">
        <v>55</v>
      </c>
      <c r="G65" s="69">
        <v>0.66</v>
      </c>
      <c r="H65" s="76">
        <f>11250*G65</f>
        <v>7425</v>
      </c>
      <c r="I65" s="76">
        <v>7500</v>
      </c>
      <c r="J65" s="76">
        <f>11250*G65</f>
        <v>7425</v>
      </c>
      <c r="K65" s="66">
        <f t="shared" si="16"/>
        <v>-75</v>
      </c>
      <c r="L65" s="66">
        <f t="shared" si="17"/>
        <v>0</v>
      </c>
      <c r="M65" s="67">
        <f t="shared" si="18"/>
        <v>0.99</v>
      </c>
      <c r="N65" s="68">
        <f t="shared" si="19"/>
        <v>1</v>
      </c>
    </row>
    <row r="66" spans="6:14" ht="24">
      <c r="F66" s="64" t="s">
        <v>57</v>
      </c>
      <c r="G66" s="65" t="s">
        <v>109</v>
      </c>
      <c r="H66" s="76">
        <v>4000</v>
      </c>
      <c r="I66" s="76">
        <v>4000</v>
      </c>
      <c r="J66" s="76">
        <v>4000</v>
      </c>
      <c r="K66" s="66">
        <f t="shared" si="16"/>
        <v>0</v>
      </c>
      <c r="L66" s="66">
        <f t="shared" si="17"/>
        <v>0</v>
      </c>
      <c r="M66" s="67">
        <f t="shared" si="18"/>
        <v>1</v>
      </c>
      <c r="N66" s="68">
        <f t="shared" si="19"/>
        <v>1</v>
      </c>
    </row>
    <row r="67" spans="6:14" ht="24">
      <c r="F67" s="64" t="s">
        <v>59</v>
      </c>
      <c r="G67" s="65" t="s">
        <v>109</v>
      </c>
      <c r="H67" s="76">
        <v>4500</v>
      </c>
      <c r="I67" s="76">
        <v>4500</v>
      </c>
      <c r="J67" s="76">
        <v>4500</v>
      </c>
      <c r="K67" s="66">
        <f t="shared" si="16"/>
        <v>0</v>
      </c>
      <c r="L67" s="66">
        <f t="shared" si="17"/>
        <v>0</v>
      </c>
      <c r="M67" s="67">
        <f t="shared" si="18"/>
        <v>1</v>
      </c>
      <c r="N67" s="68">
        <f t="shared" si="19"/>
        <v>1</v>
      </c>
    </row>
    <row r="68" spans="6:14" ht="24">
      <c r="F68" s="64" t="s">
        <v>61</v>
      </c>
      <c r="G68" s="69">
        <v>0.6</v>
      </c>
      <c r="H68" s="76">
        <f>13500*G68</f>
        <v>8100</v>
      </c>
      <c r="I68" s="76">
        <v>13500</v>
      </c>
      <c r="J68" s="76">
        <f>13500</f>
        <v>13500</v>
      </c>
      <c r="K68" s="66">
        <f t="shared" si="16"/>
        <v>-5400</v>
      </c>
      <c r="L68" s="66">
        <f t="shared" si="17"/>
        <v>-5400</v>
      </c>
      <c r="M68" s="67">
        <f t="shared" si="18"/>
        <v>0.6</v>
      </c>
      <c r="N68" s="68">
        <f t="shared" si="19"/>
        <v>0.6</v>
      </c>
    </row>
    <row r="69" spans="6:14" ht="24">
      <c r="F69" s="64" t="s">
        <v>63</v>
      </c>
      <c r="G69" s="69">
        <v>0.1</v>
      </c>
      <c r="H69" s="76">
        <f>13500*G69</f>
        <v>1350</v>
      </c>
      <c r="I69" s="76">
        <v>1000</v>
      </c>
      <c r="J69" s="76">
        <f>13500*0.2</f>
        <v>2700</v>
      </c>
      <c r="K69" s="66">
        <f t="shared" si="16"/>
        <v>350</v>
      </c>
      <c r="L69" s="66">
        <f t="shared" si="17"/>
        <v>-1350</v>
      </c>
      <c r="M69" s="67">
        <f t="shared" si="18"/>
        <v>1.35</v>
      </c>
      <c r="N69" s="68">
        <f t="shared" si="19"/>
        <v>0.5</v>
      </c>
    </row>
    <row r="70" spans="6:14" ht="24">
      <c r="F70" s="64" t="s">
        <v>65</v>
      </c>
      <c r="G70" s="69">
        <v>0.3</v>
      </c>
      <c r="H70" s="76">
        <f>35500*G70</f>
        <v>10650</v>
      </c>
      <c r="I70" s="76">
        <v>10143</v>
      </c>
      <c r="J70" s="76">
        <f>35500/7*2</f>
        <v>10142.857142857143</v>
      </c>
      <c r="K70" s="66">
        <f t="shared" si="16"/>
        <v>507</v>
      </c>
      <c r="L70" s="66">
        <f t="shared" si="17"/>
        <v>507.14285714285688</v>
      </c>
      <c r="M70" s="67">
        <f t="shared" si="18"/>
        <v>1.0499852114758947</v>
      </c>
      <c r="N70" s="68">
        <f t="shared" si="19"/>
        <v>1.05</v>
      </c>
    </row>
    <row r="71" spans="6:14" ht="25" thickBot="1">
      <c r="F71" s="64" t="s">
        <v>67</v>
      </c>
      <c r="G71" s="69">
        <v>0.33</v>
      </c>
      <c r="H71" s="76">
        <f>13500*G71</f>
        <v>4455</v>
      </c>
      <c r="I71" s="76">
        <v>4500</v>
      </c>
      <c r="J71" s="76">
        <f>13500*0.33</f>
        <v>4455</v>
      </c>
      <c r="K71" s="66">
        <f t="shared" si="16"/>
        <v>-45</v>
      </c>
      <c r="L71" s="66">
        <f t="shared" si="17"/>
        <v>0</v>
      </c>
      <c r="M71" s="67">
        <f t="shared" si="18"/>
        <v>0.99</v>
      </c>
      <c r="N71" s="68">
        <f t="shared" si="19"/>
        <v>1</v>
      </c>
    </row>
    <row r="72" spans="6:14" ht="25" thickBot="1">
      <c r="F72" s="106" t="s">
        <v>128</v>
      </c>
      <c r="G72" s="107"/>
      <c r="H72" s="51">
        <f>SUM(H61:H71)</f>
        <v>57480</v>
      </c>
      <c r="I72" s="51">
        <f>SUM(I61:I71)</f>
        <v>64476</v>
      </c>
      <c r="J72" s="51">
        <f>SUM(J61:J71)</f>
        <v>63722.857142857145</v>
      </c>
      <c r="K72" s="51">
        <f>SUM(K61:K71)</f>
        <v>-6996</v>
      </c>
      <c r="L72" s="51">
        <f>SUM(L61:L71)</f>
        <v>-6242.8571428571431</v>
      </c>
      <c r="M72" s="52">
        <f t="shared" si="18"/>
        <v>0.89149450958496179</v>
      </c>
      <c r="N72" s="53">
        <f t="shared" ref="N72" si="20">H72/J72</f>
        <v>0.9020311168901044</v>
      </c>
    </row>
    <row r="73" spans="6:14" ht="24">
      <c r="F73" s="44"/>
      <c r="G73" s="45"/>
      <c r="H73" s="46"/>
      <c r="I73" s="46"/>
      <c r="J73" s="46"/>
      <c r="K73" s="46"/>
      <c r="L73" s="46"/>
      <c r="M73" s="47"/>
      <c r="N73" s="48"/>
    </row>
    <row r="74" spans="6:14" ht="24">
      <c r="F74" s="44"/>
      <c r="G74" s="45"/>
      <c r="H74" s="46"/>
      <c r="I74" s="46"/>
      <c r="J74" s="46"/>
      <c r="K74" s="46"/>
      <c r="L74" s="46"/>
      <c r="M74" s="47"/>
      <c r="N74" s="48"/>
    </row>
    <row r="75" spans="6:14" ht="30" thickBot="1">
      <c r="F75" s="103" t="s">
        <v>126</v>
      </c>
      <c r="G75" s="104"/>
      <c r="H75" s="104"/>
      <c r="I75" s="104"/>
      <c r="J75" s="104"/>
      <c r="K75" s="104"/>
      <c r="L75" s="104"/>
      <c r="M75" s="104"/>
      <c r="N75" s="105"/>
    </row>
    <row r="76" spans="6:14" ht="25" thickBot="1">
      <c r="F76" s="49" t="s">
        <v>100</v>
      </c>
      <c r="G76" s="50" t="s">
        <v>134</v>
      </c>
      <c r="H76" s="51" t="s">
        <v>129</v>
      </c>
      <c r="I76" s="51" t="s">
        <v>130</v>
      </c>
      <c r="J76" s="51" t="s">
        <v>131</v>
      </c>
      <c r="K76" s="51" t="s">
        <v>132</v>
      </c>
      <c r="L76" s="51" t="s">
        <v>133</v>
      </c>
      <c r="M76" s="52" t="s">
        <v>107</v>
      </c>
      <c r="N76" s="53" t="s">
        <v>108</v>
      </c>
    </row>
    <row r="77" spans="6:14" ht="24">
      <c r="F77" s="70" t="s">
        <v>46</v>
      </c>
      <c r="G77" s="71" t="s">
        <v>109</v>
      </c>
      <c r="H77" s="77">
        <v>1000</v>
      </c>
      <c r="I77" s="76">
        <v>1000</v>
      </c>
      <c r="J77" s="77">
        <v>1000</v>
      </c>
      <c r="K77" s="66">
        <f>H77-I77</f>
        <v>0</v>
      </c>
      <c r="L77" s="66">
        <f>H77-J77</f>
        <v>0</v>
      </c>
      <c r="M77" s="67">
        <f>H77/I77</f>
        <v>1</v>
      </c>
      <c r="N77" s="68">
        <f>H77/J77</f>
        <v>1</v>
      </c>
    </row>
    <row r="78" spans="6:14" ht="24">
      <c r="F78" s="70" t="s">
        <v>48</v>
      </c>
      <c r="G78" s="71" t="s">
        <v>109</v>
      </c>
      <c r="H78" s="77">
        <v>4000</v>
      </c>
      <c r="I78" s="76">
        <v>4000</v>
      </c>
      <c r="J78" s="77">
        <v>4000</v>
      </c>
      <c r="K78" s="66">
        <f t="shared" ref="K78:K87" si="21">H78-I78</f>
        <v>0</v>
      </c>
      <c r="L78" s="66">
        <f t="shared" ref="L78:L87" si="22">H78-J78</f>
        <v>0</v>
      </c>
      <c r="M78" s="67">
        <f t="shared" ref="M78:M88" si="23">H78/I78</f>
        <v>1</v>
      </c>
      <c r="N78" s="68">
        <f t="shared" ref="N78:N87" si="24">H78/J78</f>
        <v>1</v>
      </c>
    </row>
    <row r="79" spans="6:14" ht="24">
      <c r="F79" s="70" t="s">
        <v>50</v>
      </c>
      <c r="G79" s="71" t="s">
        <v>109</v>
      </c>
      <c r="H79" s="77">
        <v>5000</v>
      </c>
      <c r="I79" s="76">
        <v>5000</v>
      </c>
      <c r="J79" s="77">
        <v>5000</v>
      </c>
      <c r="K79" s="66">
        <f t="shared" si="21"/>
        <v>0</v>
      </c>
      <c r="L79" s="66">
        <f t="shared" si="22"/>
        <v>0</v>
      </c>
      <c r="M79" s="67">
        <f t="shared" si="23"/>
        <v>1</v>
      </c>
      <c r="N79" s="68">
        <f t="shared" si="24"/>
        <v>1</v>
      </c>
    </row>
    <row r="80" spans="6:14" ht="24">
      <c r="F80" s="70" t="s">
        <v>52</v>
      </c>
      <c r="G80" s="71" t="s">
        <v>109</v>
      </c>
      <c r="H80" s="77">
        <v>7000</v>
      </c>
      <c r="I80" s="76">
        <v>9333</v>
      </c>
      <c r="J80" s="77">
        <v>7000</v>
      </c>
      <c r="K80" s="66">
        <f t="shared" si="21"/>
        <v>-2333</v>
      </c>
      <c r="L80" s="66">
        <f t="shared" si="22"/>
        <v>0</v>
      </c>
      <c r="M80" s="67">
        <f t="shared" si="23"/>
        <v>0.75002678667095257</v>
      </c>
      <c r="N80" s="68">
        <f t="shared" si="24"/>
        <v>1</v>
      </c>
    </row>
    <row r="81" spans="6:14" ht="24">
      <c r="F81" s="70" t="s">
        <v>55</v>
      </c>
      <c r="G81" s="72">
        <v>0.84</v>
      </c>
      <c r="H81" s="76">
        <f>G81*J81</f>
        <v>9450</v>
      </c>
      <c r="I81" s="76">
        <v>9375</v>
      </c>
      <c r="J81" s="77">
        <v>11250</v>
      </c>
      <c r="K81" s="66">
        <f t="shared" si="21"/>
        <v>75</v>
      </c>
      <c r="L81" s="66">
        <f t="shared" si="22"/>
        <v>-1800</v>
      </c>
      <c r="M81" s="67">
        <f t="shared" si="23"/>
        <v>1.008</v>
      </c>
      <c r="N81" s="68">
        <f t="shared" si="24"/>
        <v>0.84</v>
      </c>
    </row>
    <row r="82" spans="6:14" ht="24">
      <c r="F82" s="70" t="s">
        <v>57</v>
      </c>
      <c r="G82" s="71" t="s">
        <v>109</v>
      </c>
      <c r="H82" s="77">
        <v>4000</v>
      </c>
      <c r="I82" s="76">
        <v>4000</v>
      </c>
      <c r="J82" s="77">
        <v>4000</v>
      </c>
      <c r="K82" s="66">
        <f t="shared" si="21"/>
        <v>0</v>
      </c>
      <c r="L82" s="66">
        <f t="shared" si="22"/>
        <v>0</v>
      </c>
      <c r="M82" s="67">
        <f t="shared" si="23"/>
        <v>1</v>
      </c>
      <c r="N82" s="68">
        <f t="shared" si="24"/>
        <v>1</v>
      </c>
    </row>
    <row r="83" spans="6:14" ht="24">
      <c r="F83" s="70" t="s">
        <v>59</v>
      </c>
      <c r="G83" s="71" t="s">
        <v>109</v>
      </c>
      <c r="H83" s="77">
        <v>4500</v>
      </c>
      <c r="I83" s="76">
        <v>4500</v>
      </c>
      <c r="J83" s="77">
        <v>4500</v>
      </c>
      <c r="K83" s="66">
        <f t="shared" si="21"/>
        <v>0</v>
      </c>
      <c r="L83" s="66">
        <f t="shared" si="22"/>
        <v>0</v>
      </c>
      <c r="M83" s="67">
        <f t="shared" si="23"/>
        <v>1</v>
      </c>
      <c r="N83" s="68">
        <f t="shared" si="24"/>
        <v>1</v>
      </c>
    </row>
    <row r="84" spans="6:14" ht="24">
      <c r="F84" s="70" t="s">
        <v>61</v>
      </c>
      <c r="G84" s="72">
        <v>0.8</v>
      </c>
      <c r="H84" s="76">
        <f>13500*G84</f>
        <v>10800</v>
      </c>
      <c r="I84" s="76">
        <v>18000</v>
      </c>
      <c r="J84" s="77">
        <v>13500</v>
      </c>
      <c r="K84" s="66">
        <f t="shared" si="21"/>
        <v>-7200</v>
      </c>
      <c r="L84" s="66">
        <f t="shared" si="22"/>
        <v>-2700</v>
      </c>
      <c r="M84" s="67">
        <f t="shared" si="23"/>
        <v>0.6</v>
      </c>
      <c r="N84" s="68">
        <f t="shared" si="24"/>
        <v>0.8</v>
      </c>
    </row>
    <row r="85" spans="6:14" ht="24">
      <c r="F85" s="70" t="s">
        <v>63</v>
      </c>
      <c r="G85" s="72">
        <v>0.3</v>
      </c>
      <c r="H85" s="76">
        <f>13500*G85</f>
        <v>4050</v>
      </c>
      <c r="I85" s="76">
        <v>3700</v>
      </c>
      <c r="J85" s="76">
        <f>13500*0.4</f>
        <v>5400</v>
      </c>
      <c r="K85" s="66">
        <f t="shared" si="21"/>
        <v>350</v>
      </c>
      <c r="L85" s="66">
        <f t="shared" si="22"/>
        <v>-1350</v>
      </c>
      <c r="M85" s="67">
        <f t="shared" si="23"/>
        <v>1.0945945945945945</v>
      </c>
      <c r="N85" s="68">
        <f t="shared" si="24"/>
        <v>0.75</v>
      </c>
    </row>
    <row r="86" spans="6:14" ht="24">
      <c r="F86" s="70" t="s">
        <v>65</v>
      </c>
      <c r="G86" s="72">
        <v>0.43</v>
      </c>
      <c r="H86" s="76">
        <f>35500*G86</f>
        <v>15265</v>
      </c>
      <c r="I86" s="76">
        <v>15214</v>
      </c>
      <c r="J86" s="76">
        <f>35500/7*3</f>
        <v>15214.285714285714</v>
      </c>
      <c r="K86" s="66">
        <f t="shared" si="21"/>
        <v>51</v>
      </c>
      <c r="L86" s="66">
        <f t="shared" si="22"/>
        <v>50.714285714286234</v>
      </c>
      <c r="M86" s="67">
        <f t="shared" si="23"/>
        <v>1.0033521756277113</v>
      </c>
      <c r="N86" s="68">
        <f t="shared" si="24"/>
        <v>1.0033333333333334</v>
      </c>
    </row>
    <row r="87" spans="6:14" ht="25" thickBot="1">
      <c r="F87" s="70" t="s">
        <v>67</v>
      </c>
      <c r="G87" s="72">
        <v>0.66</v>
      </c>
      <c r="H87" s="76">
        <f>13500*G87</f>
        <v>8910</v>
      </c>
      <c r="I87" s="76">
        <v>9000</v>
      </c>
      <c r="J87" s="76">
        <f>13500*0.67</f>
        <v>9045</v>
      </c>
      <c r="K87" s="66">
        <f t="shared" si="21"/>
        <v>-90</v>
      </c>
      <c r="L87" s="66">
        <f t="shared" si="22"/>
        <v>-135</v>
      </c>
      <c r="M87" s="67">
        <f t="shared" si="23"/>
        <v>0.99</v>
      </c>
      <c r="N87" s="68">
        <f t="shared" si="24"/>
        <v>0.9850746268656716</v>
      </c>
    </row>
    <row r="88" spans="6:14" ht="25" thickBot="1">
      <c r="F88" s="106" t="s">
        <v>128</v>
      </c>
      <c r="G88" s="107"/>
      <c r="H88" s="51">
        <f>SUM(H77:H87)</f>
        <v>73975</v>
      </c>
      <c r="I88" s="51">
        <f>SUM(I77:I87)</f>
        <v>83122</v>
      </c>
      <c r="J88" s="51">
        <f>SUM(J77:J87)</f>
        <v>79909.28571428571</v>
      </c>
      <c r="K88" s="51">
        <f>SUM(K77:K87)</f>
        <v>-9147</v>
      </c>
      <c r="L88" s="51">
        <f>SUM(L77:L87)</f>
        <v>-5934.2857142857138</v>
      </c>
      <c r="M88" s="52">
        <f t="shared" si="23"/>
        <v>0.88995693077644911</v>
      </c>
      <c r="N88" s="53">
        <f t="shared" ref="N88" si="25">H88/J88</f>
        <v>0.92573721988326052</v>
      </c>
    </row>
  </sheetData>
  <mergeCells count="12">
    <mergeCell ref="F88:G88"/>
    <mergeCell ref="F14:N14"/>
    <mergeCell ref="F17:G17"/>
    <mergeCell ref="F28:G28"/>
    <mergeCell ref="F20:N20"/>
    <mergeCell ref="F31:N31"/>
    <mergeCell ref="F41:G41"/>
    <mergeCell ref="F44:N44"/>
    <mergeCell ref="F56:G56"/>
    <mergeCell ref="F59:N59"/>
    <mergeCell ref="F72:G72"/>
    <mergeCell ref="F75:N7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33AA-11CB-C84F-A83D-3635D24705F4}">
  <dimension ref="D5:N30"/>
  <sheetViews>
    <sheetView showGridLines="0" zoomScale="92" zoomScaleNormal="92" workbookViewId="0">
      <selection activeCell="F12" sqref="F12"/>
    </sheetView>
  </sheetViews>
  <sheetFormatPr baseColWidth="10" defaultRowHeight="16"/>
  <cols>
    <col min="4" max="4" width="21.1640625" style="83" customWidth="1"/>
    <col min="5" max="9" width="21.1640625" customWidth="1"/>
    <col min="11" max="12" width="11.1640625" bestFit="1" customWidth="1"/>
  </cols>
  <sheetData>
    <row r="5" spans="4:14" ht="21">
      <c r="D5" s="116" t="s">
        <v>143</v>
      </c>
      <c r="E5" s="116"/>
      <c r="F5" s="80" t="s">
        <v>135</v>
      </c>
      <c r="G5" s="80"/>
      <c r="H5" s="80"/>
      <c r="I5" s="79"/>
    </row>
    <row r="6" spans="4:14" ht="21">
      <c r="D6" s="116" t="s">
        <v>144</v>
      </c>
      <c r="E6" s="116"/>
      <c r="F6" s="79"/>
      <c r="G6" s="79"/>
      <c r="H6" s="79"/>
      <c r="I6" s="79"/>
    </row>
    <row r="7" spans="4:14" ht="21">
      <c r="D7" s="116" t="s">
        <v>145</v>
      </c>
      <c r="E7" s="116"/>
      <c r="F7" s="79"/>
      <c r="G7" s="79"/>
      <c r="H7" s="79"/>
      <c r="I7" s="79"/>
    </row>
    <row r="8" spans="4:14" ht="21">
      <c r="D8" s="117" t="s">
        <v>142</v>
      </c>
      <c r="E8" s="117"/>
      <c r="F8" s="79"/>
      <c r="G8" s="79"/>
      <c r="H8" s="79"/>
      <c r="I8" s="79"/>
    </row>
    <row r="9" spans="4:14" ht="21">
      <c r="D9" s="81"/>
      <c r="E9" s="79"/>
      <c r="F9" s="79"/>
      <c r="G9" s="79"/>
      <c r="H9" s="79"/>
      <c r="I9" s="79"/>
    </row>
    <row r="10" spans="4:14" ht="21">
      <c r="D10" s="82" t="s">
        <v>131</v>
      </c>
      <c r="E10" s="86" t="s">
        <v>129</v>
      </c>
      <c r="F10" s="86" t="s">
        <v>130</v>
      </c>
      <c r="G10" s="86" t="s">
        <v>133</v>
      </c>
      <c r="H10" s="86" t="s">
        <v>132</v>
      </c>
      <c r="I10" s="86" t="s">
        <v>136</v>
      </c>
    </row>
    <row r="11" spans="4:14" ht="21">
      <c r="D11" s="88">
        <v>79909</v>
      </c>
      <c r="E11" s="89">
        <v>73975</v>
      </c>
      <c r="F11" s="89">
        <v>83122</v>
      </c>
      <c r="G11" s="93">
        <v>-5934</v>
      </c>
      <c r="H11" s="93">
        <f>E11-F11</f>
        <v>-9147</v>
      </c>
      <c r="I11" s="89">
        <v>254000</v>
      </c>
      <c r="L11" s="29">
        <f>(I11-E11)/(E11/F11)+F11</f>
        <v>285407.0699560662</v>
      </c>
    </row>
    <row r="12" spans="4:14" ht="21">
      <c r="D12" s="81"/>
      <c r="E12" s="87"/>
      <c r="F12" s="87"/>
      <c r="G12" s="87"/>
      <c r="H12" s="87"/>
      <c r="I12" s="87"/>
    </row>
    <row r="13" spans="4:14" ht="21">
      <c r="D13" s="82" t="s">
        <v>137</v>
      </c>
      <c r="E13" s="86" t="s">
        <v>138</v>
      </c>
      <c r="F13" s="86" t="s">
        <v>139</v>
      </c>
      <c r="G13" s="86" t="s">
        <v>107</v>
      </c>
      <c r="H13" s="86" t="s">
        <v>140</v>
      </c>
      <c r="I13" s="86" t="s">
        <v>141</v>
      </c>
      <c r="K13" s="86"/>
    </row>
    <row r="14" spans="4:14" ht="21">
      <c r="D14" s="88">
        <f>I11+(H11*-1)</f>
        <v>263147</v>
      </c>
      <c r="E14" s="93">
        <f>D14-F14</f>
        <v>-22260.069956066203</v>
      </c>
      <c r="F14" s="89">
        <f>((I11-E11)/G14)+F11</f>
        <v>285407.0699560662</v>
      </c>
      <c r="G14" s="92">
        <f>E11/F11</f>
        <v>0.88995693077644911</v>
      </c>
      <c r="H14" s="90">
        <f>E11/I11</f>
        <v>0.29124015748031495</v>
      </c>
      <c r="I14" s="91">
        <f>F11/D14</f>
        <v>0.31587667729443997</v>
      </c>
      <c r="K14" s="29"/>
      <c r="L14">
        <v>1090640</v>
      </c>
      <c r="M14">
        <v>1107469</v>
      </c>
      <c r="N14">
        <f>L14-M14</f>
        <v>-16829</v>
      </c>
    </row>
    <row r="15" spans="4:14" ht="21">
      <c r="D15" s="81"/>
      <c r="E15" s="79"/>
      <c r="F15" s="79"/>
      <c r="G15" s="79"/>
      <c r="H15" s="79"/>
      <c r="I15" s="79"/>
    </row>
    <row r="16" spans="4:14" ht="66" customHeight="1">
      <c r="D16" s="115" t="s">
        <v>148</v>
      </c>
      <c r="E16" s="115"/>
      <c r="F16" s="115"/>
      <c r="G16" s="115"/>
      <c r="H16" s="115"/>
      <c r="I16" s="115"/>
    </row>
    <row r="17" spans="4:9" ht="21">
      <c r="D17" s="81"/>
      <c r="E17" s="79"/>
      <c r="F17" s="79"/>
      <c r="G17" s="79"/>
      <c r="H17" s="79"/>
      <c r="I17" s="79"/>
    </row>
    <row r="18" spans="4:9" ht="64" customHeight="1">
      <c r="D18" s="118" t="s">
        <v>147</v>
      </c>
      <c r="E18" s="118"/>
      <c r="F18" s="118"/>
      <c r="G18" s="118"/>
      <c r="H18" s="118"/>
      <c r="I18" s="118"/>
    </row>
    <row r="19" spans="4:9" ht="21">
      <c r="D19" s="81"/>
      <c r="E19" s="79"/>
      <c r="F19" s="79"/>
      <c r="G19" s="79"/>
      <c r="H19" s="79"/>
      <c r="I19" s="79"/>
    </row>
    <row r="20" spans="4:9" ht="112" customHeight="1">
      <c r="D20" s="115" t="s">
        <v>149</v>
      </c>
      <c r="E20" s="115"/>
      <c r="F20" s="115"/>
      <c r="G20" s="115"/>
      <c r="H20" s="115"/>
      <c r="I20" s="115"/>
    </row>
    <row r="21" spans="4:9" ht="87" customHeight="1">
      <c r="D21" s="114" t="s">
        <v>146</v>
      </c>
      <c r="E21" s="114"/>
      <c r="F21" s="114"/>
      <c r="G21" s="114"/>
      <c r="H21" s="114"/>
      <c r="I21" s="114"/>
    </row>
    <row r="22" spans="4:9" ht="21">
      <c r="D22" s="81"/>
      <c r="E22" s="79"/>
      <c r="F22" s="79"/>
      <c r="G22" s="79"/>
      <c r="H22" s="79"/>
      <c r="I22" s="79"/>
    </row>
    <row r="23" spans="4:9" ht="51" customHeight="1">
      <c r="D23" s="115" t="s">
        <v>150</v>
      </c>
      <c r="E23" s="115"/>
      <c r="F23" s="115"/>
      <c r="G23" s="115"/>
      <c r="H23" s="115"/>
      <c r="I23" s="115"/>
    </row>
    <row r="24" spans="4:9" ht="44" customHeight="1">
      <c r="D24" s="115" t="s">
        <v>151</v>
      </c>
      <c r="E24" s="115"/>
      <c r="F24" s="115"/>
      <c r="G24" s="115"/>
      <c r="H24" s="115"/>
      <c r="I24" s="115"/>
    </row>
    <row r="25" spans="4:9" ht="52" customHeight="1">
      <c r="D25" s="115" t="s">
        <v>153</v>
      </c>
      <c r="E25" s="115"/>
      <c r="F25" s="115"/>
      <c r="G25" s="115"/>
      <c r="H25" s="115"/>
      <c r="I25" s="115"/>
    </row>
    <row r="26" spans="4:9" ht="21">
      <c r="D26" s="81" t="s">
        <v>152</v>
      </c>
      <c r="E26" s="79"/>
      <c r="F26" s="79"/>
      <c r="G26" s="79"/>
      <c r="H26" s="79"/>
      <c r="I26" s="79"/>
    </row>
    <row r="27" spans="4:9" ht="44" customHeight="1">
      <c r="D27" s="114"/>
      <c r="E27" s="114"/>
      <c r="F27" s="114"/>
      <c r="G27" s="114"/>
      <c r="H27" s="114"/>
      <c r="I27" s="114"/>
    </row>
    <row r="28" spans="4:9" ht="21">
      <c r="D28" s="81"/>
      <c r="E28" s="79"/>
      <c r="F28" s="79"/>
      <c r="G28" s="79"/>
      <c r="H28" s="79"/>
      <c r="I28" s="79"/>
    </row>
    <row r="29" spans="4:9" ht="21">
      <c r="D29" s="81"/>
      <c r="E29" s="79"/>
      <c r="F29" s="79"/>
      <c r="G29" s="79"/>
      <c r="H29" s="79"/>
      <c r="I29" s="79"/>
    </row>
    <row r="30" spans="4:9" ht="21">
      <c r="D30" s="81"/>
      <c r="E30" s="79"/>
      <c r="F30" s="79"/>
      <c r="G30" s="79"/>
      <c r="H30" s="79"/>
      <c r="I30" s="79"/>
    </row>
  </sheetData>
  <mergeCells count="12">
    <mergeCell ref="D27:I27"/>
    <mergeCell ref="D23:I23"/>
    <mergeCell ref="D24:I24"/>
    <mergeCell ref="D25:I25"/>
    <mergeCell ref="D5:E5"/>
    <mergeCell ref="D6:E6"/>
    <mergeCell ref="D7:E7"/>
    <mergeCell ref="D8:E8"/>
    <mergeCell ref="D20:I20"/>
    <mergeCell ref="D21:I21"/>
    <mergeCell ref="D18:I18"/>
    <mergeCell ref="D16:I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BB9FD-DEB5-454A-8533-6C9A654321CE}">
  <dimension ref="D13:N88"/>
  <sheetViews>
    <sheetView showGridLines="0" workbookViewId="0">
      <selection activeCell="C12" sqref="C12"/>
    </sheetView>
  </sheetViews>
  <sheetFormatPr baseColWidth="10" defaultRowHeight="16"/>
  <cols>
    <col min="6" max="6" width="10.83203125" style="73"/>
    <col min="7" max="7" width="14.83203125" style="73" customWidth="1"/>
    <col min="8" max="8" width="11.33203125" style="73" bestFit="1" customWidth="1"/>
    <col min="9" max="9" width="14.1640625" style="73" customWidth="1"/>
    <col min="10" max="10" width="14.33203125" style="73" customWidth="1"/>
    <col min="11" max="11" width="13" style="73" customWidth="1"/>
    <col min="12" max="12" width="14.6640625" style="73" customWidth="1"/>
    <col min="13" max="14" width="10.83203125" style="73"/>
  </cols>
  <sheetData>
    <row r="13" spans="4:14" ht="17" thickBot="1">
      <c r="I13" s="74"/>
    </row>
    <row r="14" spans="4:14" ht="30" thickBot="1">
      <c r="F14" s="108" t="s">
        <v>154</v>
      </c>
      <c r="G14" s="109"/>
      <c r="H14" s="109"/>
      <c r="I14" s="109"/>
      <c r="J14" s="109"/>
      <c r="K14" s="109"/>
      <c r="L14" s="109"/>
      <c r="M14" s="109"/>
      <c r="N14" s="110"/>
    </row>
    <row r="15" spans="4:14" ht="25" thickBot="1">
      <c r="D15" s="43"/>
      <c r="F15" s="49" t="s">
        <v>100</v>
      </c>
      <c r="G15" s="50" t="s">
        <v>134</v>
      </c>
      <c r="H15" s="51" t="s">
        <v>129</v>
      </c>
      <c r="I15" s="51" t="s">
        <v>130</v>
      </c>
      <c r="J15" s="51" t="s">
        <v>131</v>
      </c>
      <c r="K15" s="51" t="s">
        <v>132</v>
      </c>
      <c r="L15" s="51" t="s">
        <v>133</v>
      </c>
      <c r="M15" s="52" t="s">
        <v>107</v>
      </c>
      <c r="N15" s="53" t="s">
        <v>108</v>
      </c>
    </row>
    <row r="16" spans="4:14" ht="25" thickBot="1">
      <c r="D16" s="43"/>
      <c r="F16" s="54" t="s">
        <v>46</v>
      </c>
      <c r="G16" s="78">
        <v>0.5</v>
      </c>
      <c r="H16" s="75">
        <v>2000</v>
      </c>
      <c r="I16" s="75">
        <v>2200</v>
      </c>
      <c r="J16" s="75">
        <v>1800</v>
      </c>
      <c r="K16" s="56">
        <f>H16-I16</f>
        <v>-200</v>
      </c>
      <c r="L16" s="56">
        <f>H16-J16</f>
        <v>200</v>
      </c>
      <c r="M16" s="57">
        <f>H16/I16</f>
        <v>0.90909090909090906</v>
      </c>
      <c r="N16" s="58">
        <f>H16/J16</f>
        <v>1.1111111111111112</v>
      </c>
    </row>
    <row r="17" spans="4:14" ht="25" thickBot="1">
      <c r="D17" s="43"/>
      <c r="F17" s="106" t="s">
        <v>128</v>
      </c>
      <c r="G17" s="107"/>
      <c r="H17" s="51">
        <f>SUM(H16)</f>
        <v>2000</v>
      </c>
      <c r="I17" s="51">
        <f>SUM(I16)</f>
        <v>2200</v>
      </c>
      <c r="J17" s="51">
        <f>SUM(J16)</f>
        <v>1800</v>
      </c>
      <c r="K17" s="51">
        <f>SUM(K16)</f>
        <v>-200</v>
      </c>
      <c r="L17" s="51">
        <f>SUM(L16)</f>
        <v>200</v>
      </c>
      <c r="M17" s="52">
        <v>0</v>
      </c>
      <c r="N17" s="53">
        <f t="shared" ref="N17" si="0">H17/J17</f>
        <v>1.1111111111111112</v>
      </c>
    </row>
    <row r="18" spans="4:14" ht="24">
      <c r="F18" s="44"/>
      <c r="G18" s="45"/>
      <c r="H18" s="46"/>
      <c r="I18" s="46"/>
      <c r="J18" s="46"/>
      <c r="K18" s="46"/>
      <c r="L18" s="46"/>
      <c r="M18" s="47"/>
      <c r="N18" s="48"/>
    </row>
    <row r="19" spans="4:14" ht="24">
      <c r="F19" s="59"/>
      <c r="G19" s="60"/>
      <c r="H19" s="61"/>
      <c r="I19" s="61"/>
      <c r="J19" s="61"/>
      <c r="K19" s="61"/>
      <c r="L19" s="61"/>
      <c r="M19" s="62"/>
      <c r="N19" s="63"/>
    </row>
    <row r="20" spans="4:14" ht="30" thickBot="1">
      <c r="F20" s="103" t="s">
        <v>115</v>
      </c>
      <c r="G20" s="104"/>
      <c r="H20" s="104"/>
      <c r="I20" s="104"/>
      <c r="J20" s="104"/>
      <c r="K20" s="104"/>
      <c r="L20" s="104"/>
      <c r="M20" s="104"/>
      <c r="N20" s="105"/>
    </row>
    <row r="21" spans="4:14" ht="25" thickBot="1">
      <c r="F21" s="49" t="s">
        <v>100</v>
      </c>
      <c r="G21" s="50" t="s">
        <v>134</v>
      </c>
      <c r="H21" s="51" t="s">
        <v>129</v>
      </c>
      <c r="I21" s="51" t="s">
        <v>130</v>
      </c>
      <c r="J21" s="51" t="s">
        <v>131</v>
      </c>
      <c r="K21" s="51" t="s">
        <v>132</v>
      </c>
      <c r="L21" s="51" t="s">
        <v>133</v>
      </c>
      <c r="M21" s="52" t="s">
        <v>107</v>
      </c>
      <c r="N21" s="53" t="s">
        <v>108</v>
      </c>
    </row>
    <row r="22" spans="4:14" ht="24">
      <c r="F22" s="64" t="s">
        <v>46</v>
      </c>
      <c r="G22" s="65" t="s">
        <v>109</v>
      </c>
      <c r="H22" s="76">
        <v>1000</v>
      </c>
      <c r="I22" s="76">
        <v>1000</v>
      </c>
      <c r="J22" s="76">
        <v>1000</v>
      </c>
      <c r="K22" s="66">
        <f>H22-I22</f>
        <v>0</v>
      </c>
      <c r="L22" s="66">
        <f>H22-J22</f>
        <v>0</v>
      </c>
      <c r="M22" s="67">
        <f>H22/I22</f>
        <v>1</v>
      </c>
      <c r="N22" s="68">
        <f>H22/J22</f>
        <v>1</v>
      </c>
    </row>
    <row r="23" spans="4:14" ht="24">
      <c r="F23" s="64" t="s">
        <v>48</v>
      </c>
      <c r="G23" s="65" t="s">
        <v>109</v>
      </c>
      <c r="H23" s="76">
        <v>4000</v>
      </c>
      <c r="I23" s="76">
        <v>4000</v>
      </c>
      <c r="J23" s="76">
        <v>4000</v>
      </c>
      <c r="K23" s="66">
        <f t="shared" ref="K23:K27" si="1">H23-I23</f>
        <v>0</v>
      </c>
      <c r="L23" s="66">
        <f t="shared" ref="L23:L27" si="2">H23-J23</f>
        <v>0</v>
      </c>
      <c r="M23" s="67">
        <f t="shared" ref="M23:M28" si="3">H23/I23</f>
        <v>1</v>
      </c>
      <c r="N23" s="68">
        <f t="shared" ref="N23:N28" si="4">H23/J23</f>
        <v>1</v>
      </c>
    </row>
    <row r="24" spans="4:14" ht="24">
      <c r="F24" s="64" t="s">
        <v>50</v>
      </c>
      <c r="G24" s="65" t="s">
        <v>109</v>
      </c>
      <c r="H24" s="76">
        <v>5000</v>
      </c>
      <c r="I24" s="76">
        <v>5000</v>
      </c>
      <c r="J24" s="76">
        <v>5000</v>
      </c>
      <c r="K24" s="66">
        <f t="shared" si="1"/>
        <v>0</v>
      </c>
      <c r="L24" s="66">
        <f t="shared" si="2"/>
        <v>0</v>
      </c>
      <c r="M24" s="67">
        <f t="shared" si="3"/>
        <v>1</v>
      </c>
      <c r="N24" s="68">
        <f t="shared" si="4"/>
        <v>1</v>
      </c>
    </row>
    <row r="25" spans="4:14" ht="24">
      <c r="F25" s="64" t="s">
        <v>52</v>
      </c>
      <c r="G25" s="69">
        <v>0.33</v>
      </c>
      <c r="H25" s="76">
        <f>7000*G25</f>
        <v>2310</v>
      </c>
      <c r="I25" s="76">
        <v>2500</v>
      </c>
      <c r="J25" s="76">
        <f>7000*G25</f>
        <v>2310</v>
      </c>
      <c r="K25" s="66">
        <f t="shared" si="1"/>
        <v>-190</v>
      </c>
      <c r="L25" s="66">
        <f t="shared" si="2"/>
        <v>0</v>
      </c>
      <c r="M25" s="67">
        <f t="shared" si="3"/>
        <v>0.92400000000000004</v>
      </c>
      <c r="N25" s="68">
        <f t="shared" si="4"/>
        <v>1</v>
      </c>
    </row>
    <row r="26" spans="4:14" ht="24">
      <c r="F26" s="64" t="s">
        <v>55</v>
      </c>
      <c r="G26" s="69">
        <v>0.16</v>
      </c>
      <c r="H26" s="76">
        <f>11250*G26</f>
        <v>1800</v>
      </c>
      <c r="I26" s="76">
        <v>1800</v>
      </c>
      <c r="J26" s="76">
        <f>11250*G26</f>
        <v>1800</v>
      </c>
      <c r="K26" s="66">
        <f t="shared" si="1"/>
        <v>0</v>
      </c>
      <c r="L26" s="66">
        <f t="shared" si="2"/>
        <v>0</v>
      </c>
      <c r="M26" s="67">
        <f t="shared" si="3"/>
        <v>1</v>
      </c>
      <c r="N26" s="68">
        <f t="shared" si="4"/>
        <v>1</v>
      </c>
    </row>
    <row r="27" spans="4:14" ht="25" thickBot="1">
      <c r="F27" s="54" t="s">
        <v>57</v>
      </c>
      <c r="G27" s="78">
        <v>0.5</v>
      </c>
      <c r="H27" s="75">
        <f>4000*G27</f>
        <v>2000</v>
      </c>
      <c r="I27" s="75">
        <v>2000</v>
      </c>
      <c r="J27" s="75">
        <f>4000*G27</f>
        <v>2000</v>
      </c>
      <c r="K27" s="56">
        <f t="shared" si="1"/>
        <v>0</v>
      </c>
      <c r="L27" s="56">
        <f t="shared" si="2"/>
        <v>0</v>
      </c>
      <c r="M27" s="57">
        <f t="shared" si="3"/>
        <v>1</v>
      </c>
      <c r="N27" s="58">
        <f t="shared" si="4"/>
        <v>1</v>
      </c>
    </row>
    <row r="28" spans="4:14" ht="25" thickBot="1">
      <c r="F28" s="106" t="s">
        <v>128</v>
      </c>
      <c r="G28" s="107"/>
      <c r="H28" s="51">
        <f>SUM(H22:H27)</f>
        <v>16110</v>
      </c>
      <c r="I28" s="51">
        <f>SUM(I22:I27)</f>
        <v>16300</v>
      </c>
      <c r="J28" s="51">
        <f>SUM(J22:J27)</f>
        <v>16110</v>
      </c>
      <c r="K28" s="51">
        <f>SUM(K22:K27)</f>
        <v>-190</v>
      </c>
      <c r="L28" s="51">
        <f>SUM(L22:L27)</f>
        <v>0</v>
      </c>
      <c r="M28" s="52">
        <f t="shared" si="3"/>
        <v>0.98834355828220855</v>
      </c>
      <c r="N28" s="53">
        <f t="shared" si="4"/>
        <v>1</v>
      </c>
    </row>
    <row r="29" spans="4:14" ht="24">
      <c r="F29" s="44"/>
      <c r="G29" s="45"/>
      <c r="H29" s="46"/>
      <c r="I29" s="46"/>
      <c r="J29" s="46"/>
      <c r="K29" s="46"/>
      <c r="L29" s="46"/>
      <c r="M29" s="47"/>
      <c r="N29" s="48"/>
    </row>
    <row r="30" spans="4:14" ht="24">
      <c r="F30" s="44"/>
      <c r="G30" s="45"/>
      <c r="H30" s="46"/>
      <c r="I30" s="46"/>
      <c r="J30" s="46"/>
      <c r="K30" s="46"/>
      <c r="L30" s="46"/>
      <c r="M30" s="47"/>
      <c r="N30" s="48"/>
    </row>
    <row r="31" spans="4:14" ht="30" thickBot="1">
      <c r="F31" s="111" t="s">
        <v>118</v>
      </c>
      <c r="G31" s="112"/>
      <c r="H31" s="112"/>
      <c r="I31" s="112"/>
      <c r="J31" s="112"/>
      <c r="K31" s="112"/>
      <c r="L31" s="112"/>
      <c r="M31" s="112"/>
      <c r="N31" s="113"/>
    </row>
    <row r="32" spans="4:14" ht="25" thickBot="1">
      <c r="F32" s="49" t="s">
        <v>100</v>
      </c>
      <c r="G32" s="50" t="s">
        <v>134</v>
      </c>
      <c r="H32" s="51" t="s">
        <v>129</v>
      </c>
      <c r="I32" s="51" t="s">
        <v>130</v>
      </c>
      <c r="J32" s="51" t="s">
        <v>131</v>
      </c>
      <c r="K32" s="51" t="s">
        <v>132</v>
      </c>
      <c r="L32" s="51" t="s">
        <v>133</v>
      </c>
      <c r="M32" s="52" t="s">
        <v>107</v>
      </c>
      <c r="N32" s="53" t="s">
        <v>108</v>
      </c>
    </row>
    <row r="33" spans="6:14" ht="24">
      <c r="F33" s="64" t="s">
        <v>46</v>
      </c>
      <c r="G33" s="65" t="s">
        <v>109</v>
      </c>
      <c r="H33" s="76">
        <v>1000</v>
      </c>
      <c r="I33" s="76">
        <v>1000</v>
      </c>
      <c r="J33" s="76">
        <v>1000</v>
      </c>
      <c r="K33" s="66">
        <f>H33-I33</f>
        <v>0</v>
      </c>
      <c r="L33" s="66">
        <f>H33-J33</f>
        <v>0</v>
      </c>
      <c r="M33" s="67">
        <f>H33/I33</f>
        <v>1</v>
      </c>
      <c r="N33" s="68">
        <f>H33/J33</f>
        <v>1</v>
      </c>
    </row>
    <row r="34" spans="6:14" ht="24">
      <c r="F34" s="64" t="s">
        <v>48</v>
      </c>
      <c r="G34" s="65" t="s">
        <v>109</v>
      </c>
      <c r="H34" s="76">
        <v>4000</v>
      </c>
      <c r="I34" s="76">
        <v>4000</v>
      </c>
      <c r="J34" s="76">
        <v>4000</v>
      </c>
      <c r="K34" s="66">
        <f t="shared" ref="K34:K40" si="5">H34-I34</f>
        <v>0</v>
      </c>
      <c r="L34" s="66">
        <f t="shared" ref="L34:L40" si="6">H34-J34</f>
        <v>0</v>
      </c>
      <c r="M34" s="67">
        <f t="shared" ref="M34:M41" si="7">H34/I34</f>
        <v>1</v>
      </c>
      <c r="N34" s="68">
        <f t="shared" ref="N34:N41" si="8">H34/J34</f>
        <v>1</v>
      </c>
    </row>
    <row r="35" spans="6:14" ht="24">
      <c r="F35" s="64" t="s">
        <v>50</v>
      </c>
      <c r="G35" s="65" t="s">
        <v>109</v>
      </c>
      <c r="H35" s="76">
        <v>5000</v>
      </c>
      <c r="I35" s="76">
        <v>5000</v>
      </c>
      <c r="J35" s="76">
        <v>5000</v>
      </c>
      <c r="K35" s="66">
        <f t="shared" si="5"/>
        <v>0</v>
      </c>
      <c r="L35" s="66">
        <f t="shared" si="6"/>
        <v>0</v>
      </c>
      <c r="M35" s="67">
        <f t="shared" si="7"/>
        <v>1</v>
      </c>
      <c r="N35" s="68">
        <f t="shared" si="8"/>
        <v>1</v>
      </c>
    </row>
    <row r="36" spans="6:14" ht="24">
      <c r="F36" s="64" t="s">
        <v>52</v>
      </c>
      <c r="G36" s="69">
        <v>0.5</v>
      </c>
      <c r="H36" s="76">
        <f>7000*G36</f>
        <v>3500</v>
      </c>
      <c r="I36" s="76">
        <v>4666</v>
      </c>
      <c r="J36" s="76">
        <f>7000*0.67</f>
        <v>4690</v>
      </c>
      <c r="K36" s="66">
        <f t="shared" si="5"/>
        <v>-1166</v>
      </c>
      <c r="L36" s="66">
        <f t="shared" si="6"/>
        <v>-1190</v>
      </c>
      <c r="M36" s="67">
        <f t="shared" si="7"/>
        <v>0.75010715816545226</v>
      </c>
      <c r="N36" s="68">
        <f t="shared" si="8"/>
        <v>0.74626865671641796</v>
      </c>
    </row>
    <row r="37" spans="6:14" ht="24">
      <c r="F37" s="64" t="s">
        <v>55</v>
      </c>
      <c r="G37" s="69">
        <v>0.33</v>
      </c>
      <c r="H37" s="76">
        <f>11250*G37</f>
        <v>3712.5</v>
      </c>
      <c r="I37" s="76">
        <v>3750</v>
      </c>
      <c r="J37" s="76">
        <f>11250*G37</f>
        <v>3712.5</v>
      </c>
      <c r="K37" s="66">
        <f t="shared" si="5"/>
        <v>-37.5</v>
      </c>
      <c r="L37" s="66">
        <f t="shared" si="6"/>
        <v>0</v>
      </c>
      <c r="M37" s="67">
        <f t="shared" si="7"/>
        <v>0.99</v>
      </c>
      <c r="N37" s="68">
        <f t="shared" si="8"/>
        <v>1</v>
      </c>
    </row>
    <row r="38" spans="6:14" ht="24">
      <c r="F38" s="64" t="s">
        <v>57</v>
      </c>
      <c r="G38" s="65" t="s">
        <v>109</v>
      </c>
      <c r="H38" s="76">
        <v>4000</v>
      </c>
      <c r="I38" s="76">
        <v>4000</v>
      </c>
      <c r="J38" s="76">
        <f>4000</f>
        <v>4000</v>
      </c>
      <c r="K38" s="66">
        <f t="shared" si="5"/>
        <v>0</v>
      </c>
      <c r="L38" s="66">
        <f t="shared" si="6"/>
        <v>0</v>
      </c>
      <c r="M38" s="67">
        <f t="shared" si="7"/>
        <v>1</v>
      </c>
      <c r="N38" s="68">
        <f t="shared" si="8"/>
        <v>1</v>
      </c>
    </row>
    <row r="39" spans="6:14" ht="24">
      <c r="F39" s="64" t="s">
        <v>59</v>
      </c>
      <c r="G39" s="65" t="s">
        <v>109</v>
      </c>
      <c r="H39" s="76">
        <v>4500</v>
      </c>
      <c r="I39" s="76">
        <v>4500</v>
      </c>
      <c r="J39" s="76">
        <v>4500</v>
      </c>
      <c r="K39" s="66">
        <f t="shared" si="5"/>
        <v>0</v>
      </c>
      <c r="L39" s="66">
        <f t="shared" si="6"/>
        <v>0</v>
      </c>
      <c r="M39" s="67">
        <f t="shared" si="7"/>
        <v>1</v>
      </c>
      <c r="N39" s="68">
        <f t="shared" si="8"/>
        <v>1</v>
      </c>
    </row>
    <row r="40" spans="6:14" ht="25" thickBot="1">
      <c r="F40" s="64" t="s">
        <v>61</v>
      </c>
      <c r="G40" s="69">
        <v>0.33</v>
      </c>
      <c r="H40" s="76">
        <f>13500*G40</f>
        <v>4455</v>
      </c>
      <c r="I40" s="76">
        <v>4500</v>
      </c>
      <c r="J40" s="76">
        <f>13500*G40</f>
        <v>4455</v>
      </c>
      <c r="K40" s="66">
        <f t="shared" si="5"/>
        <v>-45</v>
      </c>
      <c r="L40" s="66">
        <f t="shared" si="6"/>
        <v>0</v>
      </c>
      <c r="M40" s="67">
        <f t="shared" si="7"/>
        <v>0.99</v>
      </c>
      <c r="N40" s="68">
        <f t="shared" si="8"/>
        <v>1</v>
      </c>
    </row>
    <row r="41" spans="6:14" ht="25" thickBot="1">
      <c r="F41" s="106" t="s">
        <v>128</v>
      </c>
      <c r="G41" s="107"/>
      <c r="H41" s="51">
        <f>SUM(H33:H40)</f>
        <v>30167.5</v>
      </c>
      <c r="I41" s="51">
        <f>SUM(I33:I40)</f>
        <v>31416</v>
      </c>
      <c r="J41" s="51">
        <f>SUM(J33:J40)</f>
        <v>31357.5</v>
      </c>
      <c r="K41" s="51">
        <f>SUM(K33:K40)</f>
        <v>-1248.5</v>
      </c>
      <c r="L41" s="51">
        <f>SUM(L33:L40)</f>
        <v>-1190</v>
      </c>
      <c r="M41" s="52">
        <f t="shared" si="7"/>
        <v>0.96025910364145661</v>
      </c>
      <c r="N41" s="53">
        <f t="shared" si="8"/>
        <v>0.96205054612134255</v>
      </c>
    </row>
    <row r="42" spans="6:14" ht="24">
      <c r="F42" s="44"/>
      <c r="G42" s="45"/>
      <c r="H42" s="46"/>
      <c r="I42" s="46"/>
      <c r="J42" s="46"/>
      <c r="K42" s="46"/>
      <c r="L42" s="46"/>
      <c r="M42" s="47"/>
      <c r="N42" s="48"/>
    </row>
    <row r="43" spans="6:14" ht="24">
      <c r="F43" s="44"/>
      <c r="G43" s="45"/>
      <c r="H43" s="46"/>
      <c r="I43" s="46"/>
      <c r="J43" s="46"/>
      <c r="K43" s="46"/>
      <c r="L43" s="46"/>
      <c r="M43" s="47"/>
      <c r="N43" s="48"/>
    </row>
    <row r="44" spans="6:14" ht="30" thickBot="1">
      <c r="F44" s="103" t="s">
        <v>120</v>
      </c>
      <c r="G44" s="104"/>
      <c r="H44" s="104"/>
      <c r="I44" s="104"/>
      <c r="J44" s="104"/>
      <c r="K44" s="104"/>
      <c r="L44" s="104"/>
      <c r="M44" s="104"/>
      <c r="N44" s="105"/>
    </row>
    <row r="45" spans="6:14" ht="25" thickBot="1">
      <c r="F45" s="49" t="s">
        <v>100</v>
      </c>
      <c r="G45" s="50" t="s">
        <v>134</v>
      </c>
      <c r="H45" s="51" t="s">
        <v>129</v>
      </c>
      <c r="I45" s="51" t="s">
        <v>130</v>
      </c>
      <c r="J45" s="51" t="s">
        <v>131</v>
      </c>
      <c r="K45" s="51" t="s">
        <v>132</v>
      </c>
      <c r="L45" s="51" t="s">
        <v>133</v>
      </c>
      <c r="M45" s="52" t="s">
        <v>107</v>
      </c>
      <c r="N45" s="53" t="s">
        <v>108</v>
      </c>
    </row>
    <row r="46" spans="6:14" ht="24">
      <c r="F46" s="64" t="s">
        <v>46</v>
      </c>
      <c r="G46" s="65" t="s">
        <v>109</v>
      </c>
      <c r="H46" s="76">
        <v>1000</v>
      </c>
      <c r="I46" s="76">
        <v>1000</v>
      </c>
      <c r="J46" s="76">
        <v>1000</v>
      </c>
      <c r="K46" s="66">
        <f>H46-I46</f>
        <v>0</v>
      </c>
      <c r="L46" s="66">
        <f>H46-J46</f>
        <v>0</v>
      </c>
      <c r="M46" s="67">
        <f>H46/I46</f>
        <v>1</v>
      </c>
      <c r="N46" s="68">
        <f>H46/J46</f>
        <v>1</v>
      </c>
    </row>
    <row r="47" spans="6:14" ht="24">
      <c r="F47" s="64" t="s">
        <v>48</v>
      </c>
      <c r="G47" s="65" t="s">
        <v>109</v>
      </c>
      <c r="H47" s="76">
        <v>4000</v>
      </c>
      <c r="I47" s="76">
        <v>4000</v>
      </c>
      <c r="J47" s="76">
        <v>4000</v>
      </c>
      <c r="K47" s="66">
        <f t="shared" ref="K47:K55" si="9">H47-I47</f>
        <v>0</v>
      </c>
      <c r="L47" s="66">
        <f t="shared" ref="L47:L55" si="10">H47-J47</f>
        <v>0</v>
      </c>
      <c r="M47" s="67">
        <f t="shared" ref="M47:M56" si="11">H47/I47</f>
        <v>1</v>
      </c>
      <c r="N47" s="68">
        <f t="shared" ref="N47:N56" si="12">H47/J47</f>
        <v>1</v>
      </c>
    </row>
    <row r="48" spans="6:14" ht="24">
      <c r="F48" s="64" t="s">
        <v>50</v>
      </c>
      <c r="G48" s="65" t="s">
        <v>109</v>
      </c>
      <c r="H48" s="76">
        <v>5000</v>
      </c>
      <c r="I48" s="76">
        <v>5000</v>
      </c>
      <c r="J48" s="76">
        <v>5000</v>
      </c>
      <c r="K48" s="66">
        <f t="shared" si="9"/>
        <v>0</v>
      </c>
      <c r="L48" s="66">
        <f t="shared" si="10"/>
        <v>0</v>
      </c>
      <c r="M48" s="67">
        <f t="shared" si="11"/>
        <v>1</v>
      </c>
      <c r="N48" s="68">
        <f t="shared" si="12"/>
        <v>1</v>
      </c>
    </row>
    <row r="49" spans="6:14" ht="24">
      <c r="F49" s="64" t="s">
        <v>52</v>
      </c>
      <c r="G49" s="69">
        <v>0.75</v>
      </c>
      <c r="H49" s="76">
        <f>G49*J49</f>
        <v>5250</v>
      </c>
      <c r="I49" s="76">
        <v>7000</v>
      </c>
      <c r="J49" s="76">
        <v>7000</v>
      </c>
      <c r="K49" s="66">
        <f t="shared" si="9"/>
        <v>-1750</v>
      </c>
      <c r="L49" s="66">
        <f t="shared" si="10"/>
        <v>-1750</v>
      </c>
      <c r="M49" s="67">
        <f t="shared" si="11"/>
        <v>0.75</v>
      </c>
      <c r="N49" s="68">
        <f t="shared" si="12"/>
        <v>0.75</v>
      </c>
    </row>
    <row r="50" spans="6:14" ht="24">
      <c r="F50" s="64" t="s">
        <v>55</v>
      </c>
      <c r="G50" s="69">
        <v>0.5</v>
      </c>
      <c r="H50" s="76">
        <f>11250*G50</f>
        <v>5625</v>
      </c>
      <c r="I50" s="76">
        <v>5625</v>
      </c>
      <c r="J50" s="76">
        <f>11250*G50</f>
        <v>5625</v>
      </c>
      <c r="K50" s="66">
        <f t="shared" si="9"/>
        <v>0</v>
      </c>
      <c r="L50" s="66">
        <f t="shared" si="10"/>
        <v>0</v>
      </c>
      <c r="M50" s="67">
        <f t="shared" si="11"/>
        <v>1</v>
      </c>
      <c r="N50" s="68">
        <f t="shared" si="12"/>
        <v>1</v>
      </c>
    </row>
    <row r="51" spans="6:14" ht="24">
      <c r="F51" s="64" t="s">
        <v>57</v>
      </c>
      <c r="G51" s="65" t="s">
        <v>109</v>
      </c>
      <c r="H51" s="76">
        <v>4000</v>
      </c>
      <c r="I51" s="76">
        <v>4000</v>
      </c>
      <c r="J51" s="76">
        <v>4000</v>
      </c>
      <c r="K51" s="66">
        <f t="shared" si="9"/>
        <v>0</v>
      </c>
      <c r="L51" s="66">
        <f t="shared" si="10"/>
        <v>0</v>
      </c>
      <c r="M51" s="67">
        <f t="shared" si="11"/>
        <v>1</v>
      </c>
      <c r="N51" s="68">
        <f t="shared" si="12"/>
        <v>1</v>
      </c>
    </row>
    <row r="52" spans="6:14" ht="24">
      <c r="F52" s="64" t="s">
        <v>59</v>
      </c>
      <c r="G52" s="65" t="s">
        <v>109</v>
      </c>
      <c r="H52" s="76">
        <v>4500</v>
      </c>
      <c r="I52" s="76">
        <v>4500</v>
      </c>
      <c r="J52" s="76">
        <v>4500</v>
      </c>
      <c r="K52" s="66">
        <f t="shared" si="9"/>
        <v>0</v>
      </c>
      <c r="L52" s="66">
        <f t="shared" si="10"/>
        <v>0</v>
      </c>
      <c r="M52" s="67">
        <f t="shared" si="11"/>
        <v>1</v>
      </c>
      <c r="N52" s="68">
        <f t="shared" si="12"/>
        <v>1</v>
      </c>
    </row>
    <row r="53" spans="6:14" ht="24">
      <c r="F53" s="64" t="s">
        <v>61</v>
      </c>
      <c r="G53" s="69">
        <v>0.4</v>
      </c>
      <c r="H53" s="76">
        <f>13500*G53</f>
        <v>5400</v>
      </c>
      <c r="I53" s="76">
        <v>9000</v>
      </c>
      <c r="J53" s="76">
        <f>13500*0.67</f>
        <v>9045</v>
      </c>
      <c r="K53" s="66">
        <f t="shared" si="9"/>
        <v>-3600</v>
      </c>
      <c r="L53" s="66">
        <f t="shared" si="10"/>
        <v>-3645</v>
      </c>
      <c r="M53" s="67">
        <f t="shared" si="11"/>
        <v>0.6</v>
      </c>
      <c r="N53" s="68">
        <f t="shared" si="12"/>
        <v>0.59701492537313428</v>
      </c>
    </row>
    <row r="54" spans="6:14" ht="24">
      <c r="F54" s="64" t="s">
        <v>63</v>
      </c>
      <c r="G54" s="69">
        <v>0</v>
      </c>
      <c r="H54" s="76">
        <f t="shared" ref="H54" si="13">G54*J54</f>
        <v>0</v>
      </c>
      <c r="I54" s="76">
        <v>0</v>
      </c>
      <c r="J54" s="76">
        <f>13500*0.2</f>
        <v>2700</v>
      </c>
      <c r="K54" s="66">
        <f t="shared" si="9"/>
        <v>0</v>
      </c>
      <c r="L54" s="66">
        <v>0</v>
      </c>
      <c r="M54" s="67">
        <v>0</v>
      </c>
      <c r="N54" s="68">
        <f t="shared" si="12"/>
        <v>0</v>
      </c>
    </row>
    <row r="55" spans="6:14" ht="25" thickBot="1">
      <c r="F55" s="64" t="s">
        <v>65</v>
      </c>
      <c r="G55" s="69">
        <v>0.15</v>
      </c>
      <c r="H55" s="76">
        <f>G55*35500</f>
        <v>5325</v>
      </c>
      <c r="I55" s="76">
        <v>5071</v>
      </c>
      <c r="J55" s="76">
        <f>35500/7</f>
        <v>5071.4285714285716</v>
      </c>
      <c r="K55" s="66">
        <f t="shared" si="9"/>
        <v>254</v>
      </c>
      <c r="L55" s="66">
        <f t="shared" si="10"/>
        <v>253.57142857142844</v>
      </c>
      <c r="M55" s="67">
        <f t="shared" si="11"/>
        <v>1.0500887398935121</v>
      </c>
      <c r="N55" s="68">
        <f t="shared" si="12"/>
        <v>1.05</v>
      </c>
    </row>
    <row r="56" spans="6:14" ht="25" thickBot="1">
      <c r="F56" s="106" t="s">
        <v>128</v>
      </c>
      <c r="G56" s="107"/>
      <c r="H56" s="51">
        <f>SUM(H46:H55)</f>
        <v>40100</v>
      </c>
      <c r="I56" s="51">
        <f>SUM(I46:I55)</f>
        <v>45196</v>
      </c>
      <c r="J56" s="51">
        <f>SUM(J46:J55)</f>
        <v>47941.428571428572</v>
      </c>
      <c r="K56" s="51">
        <f>SUM(K46:K55)</f>
        <v>-5096</v>
      </c>
      <c r="L56" s="51">
        <f>SUM(L46:L55)</f>
        <v>-5141.4285714285716</v>
      </c>
      <c r="M56" s="52">
        <f t="shared" si="11"/>
        <v>0.88724665899637134</v>
      </c>
      <c r="N56" s="53">
        <f t="shared" si="12"/>
        <v>0.83643731934801391</v>
      </c>
    </row>
    <row r="57" spans="6:14" ht="24">
      <c r="F57" s="44"/>
      <c r="G57" s="45"/>
      <c r="H57" s="46"/>
      <c r="I57" s="46"/>
      <c r="J57" s="46"/>
      <c r="K57" s="46"/>
      <c r="L57" s="46"/>
      <c r="M57" s="47"/>
      <c r="N57" s="48"/>
    </row>
    <row r="58" spans="6:14" ht="24">
      <c r="F58" s="44"/>
      <c r="G58" s="45"/>
      <c r="H58" s="46"/>
      <c r="I58" s="46"/>
      <c r="J58" s="46"/>
      <c r="K58" s="46"/>
      <c r="L58" s="46"/>
      <c r="M58" s="47"/>
      <c r="N58" s="48"/>
    </row>
    <row r="59" spans="6:14" ht="30" thickBot="1">
      <c r="F59" s="103" t="s">
        <v>123</v>
      </c>
      <c r="G59" s="104"/>
      <c r="H59" s="104"/>
      <c r="I59" s="104"/>
      <c r="J59" s="104"/>
      <c r="K59" s="104"/>
      <c r="L59" s="104"/>
      <c r="M59" s="104"/>
      <c r="N59" s="105"/>
    </row>
    <row r="60" spans="6:14" ht="25" thickBot="1">
      <c r="F60" s="49" t="s">
        <v>100</v>
      </c>
      <c r="G60" s="50" t="s">
        <v>134</v>
      </c>
      <c r="H60" s="51" t="s">
        <v>129</v>
      </c>
      <c r="I60" s="51" t="s">
        <v>130</v>
      </c>
      <c r="J60" s="51" t="s">
        <v>131</v>
      </c>
      <c r="K60" s="51" t="s">
        <v>132</v>
      </c>
      <c r="L60" s="51" t="s">
        <v>133</v>
      </c>
      <c r="M60" s="52" t="s">
        <v>107</v>
      </c>
      <c r="N60" s="53" t="s">
        <v>108</v>
      </c>
    </row>
    <row r="61" spans="6:14" ht="24">
      <c r="F61" s="64" t="s">
        <v>46</v>
      </c>
      <c r="G61" s="65" t="s">
        <v>109</v>
      </c>
      <c r="H61" s="76">
        <v>1000</v>
      </c>
      <c r="I61" s="76">
        <v>1000</v>
      </c>
      <c r="J61" s="76">
        <v>1000</v>
      </c>
      <c r="K61" s="66">
        <f>H61-I61</f>
        <v>0</v>
      </c>
      <c r="L61" s="66">
        <f>H61-J61</f>
        <v>0</v>
      </c>
      <c r="M61" s="67">
        <f>H61/I61</f>
        <v>1</v>
      </c>
      <c r="N61" s="68">
        <f>H61/J61</f>
        <v>1</v>
      </c>
    </row>
    <row r="62" spans="6:14" ht="24">
      <c r="F62" s="64" t="s">
        <v>48</v>
      </c>
      <c r="G62" s="65" t="s">
        <v>109</v>
      </c>
      <c r="H62" s="76">
        <v>4000</v>
      </c>
      <c r="I62" s="76">
        <v>4000</v>
      </c>
      <c r="J62" s="76">
        <v>4000</v>
      </c>
      <c r="K62" s="66">
        <f t="shared" ref="K62:K71" si="14">H62-I62</f>
        <v>0</v>
      </c>
      <c r="L62" s="66">
        <f t="shared" ref="L62:L71" si="15">H62-J62</f>
        <v>0</v>
      </c>
      <c r="M62" s="67">
        <f t="shared" ref="M62:M72" si="16">H62/I62</f>
        <v>1</v>
      </c>
      <c r="N62" s="68">
        <f t="shared" ref="N62:N72" si="17">H62/J62</f>
        <v>1</v>
      </c>
    </row>
    <row r="63" spans="6:14" ht="24">
      <c r="F63" s="64" t="s">
        <v>50</v>
      </c>
      <c r="G63" s="65" t="s">
        <v>109</v>
      </c>
      <c r="H63" s="76">
        <v>5000</v>
      </c>
      <c r="I63" s="76">
        <v>5000</v>
      </c>
      <c r="J63" s="76">
        <v>5000</v>
      </c>
      <c r="K63" s="66">
        <f t="shared" si="14"/>
        <v>0</v>
      </c>
      <c r="L63" s="66">
        <f t="shared" si="15"/>
        <v>0</v>
      </c>
      <c r="M63" s="67">
        <f t="shared" si="16"/>
        <v>1</v>
      </c>
      <c r="N63" s="68">
        <f t="shared" si="17"/>
        <v>1</v>
      </c>
    </row>
    <row r="64" spans="6:14" ht="24">
      <c r="F64" s="64" t="s">
        <v>52</v>
      </c>
      <c r="G64" s="65" t="s">
        <v>109</v>
      </c>
      <c r="H64" s="76">
        <v>7000</v>
      </c>
      <c r="I64" s="76">
        <v>9333</v>
      </c>
      <c r="J64" s="76">
        <v>7000</v>
      </c>
      <c r="K64" s="66">
        <f t="shared" si="14"/>
        <v>-2333</v>
      </c>
      <c r="L64" s="66">
        <f t="shared" si="15"/>
        <v>0</v>
      </c>
      <c r="M64" s="67">
        <f t="shared" si="16"/>
        <v>0.75002678667095257</v>
      </c>
      <c r="N64" s="68">
        <f t="shared" si="17"/>
        <v>1</v>
      </c>
    </row>
    <row r="65" spans="6:14" ht="24">
      <c r="F65" s="64" t="s">
        <v>55</v>
      </c>
      <c r="G65" s="69">
        <v>0.66</v>
      </c>
      <c r="H65" s="76">
        <f>11250*G65</f>
        <v>7425</v>
      </c>
      <c r="I65" s="76">
        <v>7500</v>
      </c>
      <c r="J65" s="76">
        <f>11250*G65</f>
        <v>7425</v>
      </c>
      <c r="K65" s="66">
        <f t="shared" si="14"/>
        <v>-75</v>
      </c>
      <c r="L65" s="66">
        <f t="shared" si="15"/>
        <v>0</v>
      </c>
      <c r="M65" s="67">
        <f t="shared" si="16"/>
        <v>0.99</v>
      </c>
      <c r="N65" s="68">
        <f t="shared" si="17"/>
        <v>1</v>
      </c>
    </row>
    <row r="66" spans="6:14" ht="24">
      <c r="F66" s="64" t="s">
        <v>57</v>
      </c>
      <c r="G66" s="65" t="s">
        <v>109</v>
      </c>
      <c r="H66" s="76">
        <v>4000</v>
      </c>
      <c r="I66" s="76">
        <v>4000</v>
      </c>
      <c r="J66" s="76">
        <v>4000</v>
      </c>
      <c r="K66" s="66">
        <f t="shared" si="14"/>
        <v>0</v>
      </c>
      <c r="L66" s="66">
        <f t="shared" si="15"/>
        <v>0</v>
      </c>
      <c r="M66" s="67">
        <f t="shared" si="16"/>
        <v>1</v>
      </c>
      <c r="N66" s="68">
        <f t="shared" si="17"/>
        <v>1</v>
      </c>
    </row>
    <row r="67" spans="6:14" ht="24">
      <c r="F67" s="64" t="s">
        <v>59</v>
      </c>
      <c r="G67" s="65" t="s">
        <v>109</v>
      </c>
      <c r="H67" s="76">
        <v>4500</v>
      </c>
      <c r="I67" s="76">
        <v>4500</v>
      </c>
      <c r="J67" s="76">
        <v>4500</v>
      </c>
      <c r="K67" s="66">
        <f t="shared" si="14"/>
        <v>0</v>
      </c>
      <c r="L67" s="66">
        <f t="shared" si="15"/>
        <v>0</v>
      </c>
      <c r="M67" s="67">
        <f t="shared" si="16"/>
        <v>1</v>
      </c>
      <c r="N67" s="68">
        <f t="shared" si="17"/>
        <v>1</v>
      </c>
    </row>
    <row r="68" spans="6:14" ht="24">
      <c r="F68" s="64" t="s">
        <v>61</v>
      </c>
      <c r="G68" s="69">
        <v>0.6</v>
      </c>
      <c r="H68" s="76">
        <f>13500*G68</f>
        <v>8100</v>
      </c>
      <c r="I68" s="76">
        <v>13500</v>
      </c>
      <c r="J68" s="76">
        <f>13500</f>
        <v>13500</v>
      </c>
      <c r="K68" s="66">
        <f t="shared" si="14"/>
        <v>-5400</v>
      </c>
      <c r="L68" s="66">
        <f t="shared" si="15"/>
        <v>-5400</v>
      </c>
      <c r="M68" s="67">
        <f t="shared" si="16"/>
        <v>0.6</v>
      </c>
      <c r="N68" s="68">
        <f t="shared" si="17"/>
        <v>0.6</v>
      </c>
    </row>
    <row r="69" spans="6:14" ht="24">
      <c r="F69" s="64" t="s">
        <v>63</v>
      </c>
      <c r="G69" s="69">
        <v>0.1</v>
      </c>
      <c r="H69" s="76">
        <f>13500*G69</f>
        <v>1350</v>
      </c>
      <c r="I69" s="76">
        <v>1000</v>
      </c>
      <c r="J69" s="76">
        <f>13500*0.2</f>
        <v>2700</v>
      </c>
      <c r="K69" s="66">
        <f t="shared" si="14"/>
        <v>350</v>
      </c>
      <c r="L69" s="66">
        <f t="shared" si="15"/>
        <v>-1350</v>
      </c>
      <c r="M69" s="67">
        <f t="shared" si="16"/>
        <v>1.35</v>
      </c>
      <c r="N69" s="68">
        <f t="shared" si="17"/>
        <v>0.5</v>
      </c>
    </row>
    <row r="70" spans="6:14" ht="24">
      <c r="F70" s="64" t="s">
        <v>65</v>
      </c>
      <c r="G70" s="69">
        <v>0.3</v>
      </c>
      <c r="H70" s="76">
        <f>35500*G70</f>
        <v>10650</v>
      </c>
      <c r="I70" s="76">
        <v>10143</v>
      </c>
      <c r="J70" s="76">
        <f>35500/7*2</f>
        <v>10142.857142857143</v>
      </c>
      <c r="K70" s="66">
        <f t="shared" si="14"/>
        <v>507</v>
      </c>
      <c r="L70" s="66">
        <f t="shared" si="15"/>
        <v>507.14285714285688</v>
      </c>
      <c r="M70" s="67">
        <f t="shared" si="16"/>
        <v>1.0499852114758947</v>
      </c>
      <c r="N70" s="68">
        <f t="shared" si="17"/>
        <v>1.05</v>
      </c>
    </row>
    <row r="71" spans="6:14" ht="25" thickBot="1">
      <c r="F71" s="64" t="s">
        <v>67</v>
      </c>
      <c r="G71" s="69">
        <v>0.33</v>
      </c>
      <c r="H71" s="76">
        <f>13500*G71</f>
        <v>4455</v>
      </c>
      <c r="I71" s="76">
        <v>4500</v>
      </c>
      <c r="J71" s="76">
        <f>13500*0.33</f>
        <v>4455</v>
      </c>
      <c r="K71" s="66">
        <f t="shared" si="14"/>
        <v>-45</v>
      </c>
      <c r="L71" s="66">
        <f t="shared" si="15"/>
        <v>0</v>
      </c>
      <c r="M71" s="67">
        <f t="shared" si="16"/>
        <v>0.99</v>
      </c>
      <c r="N71" s="68">
        <f t="shared" si="17"/>
        <v>1</v>
      </c>
    </row>
    <row r="72" spans="6:14" ht="25" thickBot="1">
      <c r="F72" s="106" t="s">
        <v>128</v>
      </c>
      <c r="G72" s="107"/>
      <c r="H72" s="51">
        <f>SUM(H61:H71)</f>
        <v>57480</v>
      </c>
      <c r="I72" s="51">
        <f>SUM(I61:I71)</f>
        <v>64476</v>
      </c>
      <c r="J72" s="51">
        <f>SUM(J61:J71)</f>
        <v>63722.857142857145</v>
      </c>
      <c r="K72" s="51">
        <f>SUM(K61:K71)</f>
        <v>-6996</v>
      </c>
      <c r="L72" s="51">
        <f>SUM(L61:L71)</f>
        <v>-6242.8571428571431</v>
      </c>
      <c r="M72" s="52">
        <f t="shared" si="16"/>
        <v>0.89149450958496179</v>
      </c>
      <c r="N72" s="53">
        <f t="shared" si="17"/>
        <v>0.9020311168901044</v>
      </c>
    </row>
    <row r="73" spans="6:14" ht="24">
      <c r="F73" s="44"/>
      <c r="G73" s="45"/>
      <c r="H73" s="46"/>
      <c r="I73" s="46"/>
      <c r="J73" s="46"/>
      <c r="K73" s="46"/>
      <c r="L73" s="46"/>
      <c r="M73" s="47"/>
      <c r="N73" s="48"/>
    </row>
    <row r="74" spans="6:14" ht="24">
      <c r="F74" s="44"/>
      <c r="G74" s="45"/>
      <c r="H74" s="46"/>
      <c r="I74" s="46"/>
      <c r="J74" s="46"/>
      <c r="K74" s="46"/>
      <c r="L74" s="46"/>
      <c r="M74" s="47"/>
      <c r="N74" s="48"/>
    </row>
    <row r="75" spans="6:14" ht="30" thickBot="1">
      <c r="F75" s="103" t="s">
        <v>126</v>
      </c>
      <c r="G75" s="104"/>
      <c r="H75" s="104"/>
      <c r="I75" s="104"/>
      <c r="J75" s="104"/>
      <c r="K75" s="104"/>
      <c r="L75" s="104"/>
      <c r="M75" s="104"/>
      <c r="N75" s="105"/>
    </row>
    <row r="76" spans="6:14" ht="25" thickBot="1">
      <c r="F76" s="49" t="s">
        <v>100</v>
      </c>
      <c r="G76" s="50" t="s">
        <v>134</v>
      </c>
      <c r="H76" s="51" t="s">
        <v>129</v>
      </c>
      <c r="I76" s="51" t="s">
        <v>130</v>
      </c>
      <c r="J76" s="51" t="s">
        <v>131</v>
      </c>
      <c r="K76" s="51" t="s">
        <v>132</v>
      </c>
      <c r="L76" s="51" t="s">
        <v>133</v>
      </c>
      <c r="M76" s="52" t="s">
        <v>107</v>
      </c>
      <c r="N76" s="53" t="s">
        <v>108</v>
      </c>
    </row>
    <row r="77" spans="6:14" ht="24">
      <c r="F77" s="70" t="s">
        <v>46</v>
      </c>
      <c r="G77" s="71" t="s">
        <v>109</v>
      </c>
      <c r="H77" s="77">
        <v>1000</v>
      </c>
      <c r="I77" s="76">
        <v>1000</v>
      </c>
      <c r="J77" s="77">
        <v>1000</v>
      </c>
      <c r="K77" s="66">
        <f>H77-I77</f>
        <v>0</v>
      </c>
      <c r="L77" s="66">
        <f>H77-J77</f>
        <v>0</v>
      </c>
      <c r="M77" s="67">
        <f>H77/I77</f>
        <v>1</v>
      </c>
      <c r="N77" s="68">
        <f>H77/J77</f>
        <v>1</v>
      </c>
    </row>
    <row r="78" spans="6:14" ht="24">
      <c r="F78" s="70" t="s">
        <v>48</v>
      </c>
      <c r="G78" s="71" t="s">
        <v>109</v>
      </c>
      <c r="H78" s="77">
        <v>4000</v>
      </c>
      <c r="I78" s="76">
        <v>4000</v>
      </c>
      <c r="J78" s="77">
        <v>4000</v>
      </c>
      <c r="K78" s="66">
        <f t="shared" ref="K78:K87" si="18">H78-I78</f>
        <v>0</v>
      </c>
      <c r="L78" s="66">
        <f t="shared" ref="L78:L87" si="19">H78-J78</f>
        <v>0</v>
      </c>
      <c r="M78" s="67">
        <f t="shared" ref="M78:M88" si="20">H78/I78</f>
        <v>1</v>
      </c>
      <c r="N78" s="68">
        <f t="shared" ref="N78:N88" si="21">H78/J78</f>
        <v>1</v>
      </c>
    </row>
    <row r="79" spans="6:14" ht="24">
      <c r="F79" s="70" t="s">
        <v>50</v>
      </c>
      <c r="G79" s="71" t="s">
        <v>109</v>
      </c>
      <c r="H79" s="77">
        <v>5000</v>
      </c>
      <c r="I79" s="76">
        <v>5000</v>
      </c>
      <c r="J79" s="77">
        <v>5000</v>
      </c>
      <c r="K79" s="66">
        <f t="shared" si="18"/>
        <v>0</v>
      </c>
      <c r="L79" s="66">
        <f t="shared" si="19"/>
        <v>0</v>
      </c>
      <c r="M79" s="67">
        <f t="shared" si="20"/>
        <v>1</v>
      </c>
      <c r="N79" s="68">
        <f t="shared" si="21"/>
        <v>1</v>
      </c>
    </row>
    <row r="80" spans="6:14" ht="24">
      <c r="F80" s="70" t="s">
        <v>52</v>
      </c>
      <c r="G80" s="71" t="s">
        <v>109</v>
      </c>
      <c r="H80" s="77">
        <v>7000</v>
      </c>
      <c r="I80" s="76">
        <v>9333</v>
      </c>
      <c r="J80" s="77">
        <v>7000</v>
      </c>
      <c r="K80" s="66">
        <f t="shared" si="18"/>
        <v>-2333</v>
      </c>
      <c r="L80" s="66">
        <f t="shared" si="19"/>
        <v>0</v>
      </c>
      <c r="M80" s="67">
        <f t="shared" si="20"/>
        <v>0.75002678667095257</v>
      </c>
      <c r="N80" s="68">
        <f t="shared" si="21"/>
        <v>1</v>
      </c>
    </row>
    <row r="81" spans="6:14" ht="24">
      <c r="F81" s="70" t="s">
        <v>55</v>
      </c>
      <c r="G81" s="72">
        <v>0.84</v>
      </c>
      <c r="H81" s="76">
        <f>G81*J81</f>
        <v>9450</v>
      </c>
      <c r="I81" s="76">
        <v>9375</v>
      </c>
      <c r="J81" s="77">
        <v>11250</v>
      </c>
      <c r="K81" s="66">
        <f t="shared" si="18"/>
        <v>75</v>
      </c>
      <c r="L81" s="66">
        <f t="shared" si="19"/>
        <v>-1800</v>
      </c>
      <c r="M81" s="67">
        <f t="shared" si="20"/>
        <v>1.008</v>
      </c>
      <c r="N81" s="68">
        <f t="shared" si="21"/>
        <v>0.84</v>
      </c>
    </row>
    <row r="82" spans="6:14" ht="24">
      <c r="F82" s="70" t="s">
        <v>57</v>
      </c>
      <c r="G82" s="71" t="s">
        <v>109</v>
      </c>
      <c r="H82" s="77">
        <v>4000</v>
      </c>
      <c r="I82" s="76">
        <v>4000</v>
      </c>
      <c r="J82" s="77">
        <v>4000</v>
      </c>
      <c r="K82" s="66">
        <f t="shared" si="18"/>
        <v>0</v>
      </c>
      <c r="L82" s="66">
        <f t="shared" si="19"/>
        <v>0</v>
      </c>
      <c r="M82" s="67">
        <f t="shared" si="20"/>
        <v>1</v>
      </c>
      <c r="N82" s="68">
        <f t="shared" si="21"/>
        <v>1</v>
      </c>
    </row>
    <row r="83" spans="6:14" ht="24">
      <c r="F83" s="70" t="s">
        <v>59</v>
      </c>
      <c r="G83" s="71" t="s">
        <v>109</v>
      </c>
      <c r="H83" s="77">
        <v>4500</v>
      </c>
      <c r="I83" s="76">
        <v>4500</v>
      </c>
      <c r="J83" s="77">
        <v>4500</v>
      </c>
      <c r="K83" s="66">
        <f t="shared" si="18"/>
        <v>0</v>
      </c>
      <c r="L83" s="66">
        <f t="shared" si="19"/>
        <v>0</v>
      </c>
      <c r="M83" s="67">
        <f t="shared" si="20"/>
        <v>1</v>
      </c>
      <c r="N83" s="68">
        <f t="shared" si="21"/>
        <v>1</v>
      </c>
    </row>
    <row r="84" spans="6:14" ht="24">
      <c r="F84" s="70" t="s">
        <v>61</v>
      </c>
      <c r="G84" s="72">
        <v>0.8</v>
      </c>
      <c r="H84" s="76">
        <f>13500*G84</f>
        <v>10800</v>
      </c>
      <c r="I84" s="76">
        <v>18000</v>
      </c>
      <c r="J84" s="77">
        <v>13500</v>
      </c>
      <c r="K84" s="66">
        <f t="shared" si="18"/>
        <v>-7200</v>
      </c>
      <c r="L84" s="66">
        <f t="shared" si="19"/>
        <v>-2700</v>
      </c>
      <c r="M84" s="67">
        <f t="shared" si="20"/>
        <v>0.6</v>
      </c>
      <c r="N84" s="68">
        <f t="shared" si="21"/>
        <v>0.8</v>
      </c>
    </row>
    <row r="85" spans="6:14" ht="24">
      <c r="F85" s="70" t="s">
        <v>63</v>
      </c>
      <c r="G85" s="72">
        <v>0.3</v>
      </c>
      <c r="H85" s="76">
        <f>13500*G85</f>
        <v>4050</v>
      </c>
      <c r="I85" s="76">
        <v>3700</v>
      </c>
      <c r="J85" s="76">
        <f>13500*0.4</f>
        <v>5400</v>
      </c>
      <c r="K85" s="66">
        <f t="shared" si="18"/>
        <v>350</v>
      </c>
      <c r="L85" s="66">
        <f t="shared" si="19"/>
        <v>-1350</v>
      </c>
      <c r="M85" s="67">
        <f t="shared" si="20"/>
        <v>1.0945945945945945</v>
      </c>
      <c r="N85" s="68">
        <f t="shared" si="21"/>
        <v>0.75</v>
      </c>
    </row>
    <row r="86" spans="6:14" ht="24">
      <c r="F86" s="70" t="s">
        <v>65</v>
      </c>
      <c r="G86" s="72">
        <v>0.43</v>
      </c>
      <c r="H86" s="76">
        <f>35500*G86</f>
        <v>15265</v>
      </c>
      <c r="I86" s="76">
        <v>15214</v>
      </c>
      <c r="J86" s="76">
        <f>35500/7*3</f>
        <v>15214.285714285714</v>
      </c>
      <c r="K86" s="66">
        <f t="shared" si="18"/>
        <v>51</v>
      </c>
      <c r="L86" s="66">
        <f t="shared" si="19"/>
        <v>50.714285714286234</v>
      </c>
      <c r="M86" s="67">
        <f t="shared" si="20"/>
        <v>1.0033521756277113</v>
      </c>
      <c r="N86" s="68">
        <f t="shared" si="21"/>
        <v>1.0033333333333334</v>
      </c>
    </row>
    <row r="87" spans="6:14" ht="25" thickBot="1">
      <c r="F87" s="70" t="s">
        <v>67</v>
      </c>
      <c r="G87" s="72">
        <v>0.66</v>
      </c>
      <c r="H87" s="76">
        <f>13500*G87</f>
        <v>8910</v>
      </c>
      <c r="I87" s="76">
        <v>9000</v>
      </c>
      <c r="J87" s="76">
        <f>13500*0.67</f>
        <v>9045</v>
      </c>
      <c r="K87" s="66">
        <f t="shared" si="18"/>
        <v>-90</v>
      </c>
      <c r="L87" s="66">
        <f t="shared" si="19"/>
        <v>-135</v>
      </c>
      <c r="M87" s="67">
        <f t="shared" si="20"/>
        <v>0.99</v>
      </c>
      <c r="N87" s="68">
        <f t="shared" si="21"/>
        <v>0.9850746268656716</v>
      </c>
    </row>
    <row r="88" spans="6:14" ht="25" thickBot="1">
      <c r="F88" s="106" t="s">
        <v>128</v>
      </c>
      <c r="G88" s="107"/>
      <c r="H88" s="51">
        <f>SUM(H77:H87)</f>
        <v>73975</v>
      </c>
      <c r="I88" s="51">
        <f>SUM(I77:I87)</f>
        <v>83122</v>
      </c>
      <c r="J88" s="51">
        <f>SUM(J77:J87)</f>
        <v>79909.28571428571</v>
      </c>
      <c r="K88" s="51">
        <f>SUM(K77:K87)</f>
        <v>-9147</v>
      </c>
      <c r="L88" s="51">
        <f>SUM(L77:L87)</f>
        <v>-5934.2857142857138</v>
      </c>
      <c r="M88" s="52">
        <f t="shared" si="20"/>
        <v>0.88995693077644911</v>
      </c>
      <c r="N88" s="53">
        <f t="shared" si="21"/>
        <v>0.92573721988326052</v>
      </c>
    </row>
  </sheetData>
  <mergeCells count="12">
    <mergeCell ref="F44:N44"/>
    <mergeCell ref="F56:G56"/>
    <mergeCell ref="F59:N59"/>
    <mergeCell ref="F72:G72"/>
    <mergeCell ref="F75:N75"/>
    <mergeCell ref="F88:G88"/>
    <mergeCell ref="F14:N14"/>
    <mergeCell ref="F17:G17"/>
    <mergeCell ref="F20:N20"/>
    <mergeCell ref="F28:G28"/>
    <mergeCell ref="F31:N31"/>
    <mergeCell ref="F41:G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83CC1-1677-E545-AE44-A7B240733055}">
  <dimension ref="D5:N30"/>
  <sheetViews>
    <sheetView showGridLines="0" tabSelected="1" zoomScale="92" zoomScaleNormal="92" workbookViewId="0">
      <selection activeCell="D20" sqref="D20:I20"/>
    </sheetView>
  </sheetViews>
  <sheetFormatPr baseColWidth="10" defaultRowHeight="16"/>
  <cols>
    <col min="4" max="4" width="21.1640625" style="83" customWidth="1"/>
    <col min="5" max="9" width="21.1640625" customWidth="1"/>
    <col min="11" max="12" width="11.1640625" bestFit="1" customWidth="1"/>
  </cols>
  <sheetData>
    <row r="5" spans="4:14" ht="21">
      <c r="D5" s="116" t="s">
        <v>143</v>
      </c>
      <c r="E5" s="116"/>
      <c r="F5" s="80" t="s">
        <v>156</v>
      </c>
      <c r="G5" s="80"/>
      <c r="H5" s="80"/>
      <c r="I5" s="79"/>
    </row>
    <row r="6" spans="4:14" ht="21">
      <c r="D6" s="116" t="s">
        <v>144</v>
      </c>
      <c r="E6" s="116"/>
      <c r="F6" s="79"/>
      <c r="G6" s="79"/>
      <c r="H6" s="79"/>
      <c r="I6" s="79"/>
    </row>
    <row r="7" spans="4:14" ht="21">
      <c r="D7" s="116" t="s">
        <v>155</v>
      </c>
      <c r="E7" s="116"/>
      <c r="F7" s="79"/>
      <c r="G7" s="79"/>
      <c r="H7" s="79"/>
      <c r="I7" s="79"/>
    </row>
    <row r="8" spans="4:14" ht="21">
      <c r="D8" s="117" t="s">
        <v>142</v>
      </c>
      <c r="E8" s="117"/>
      <c r="F8" s="79"/>
      <c r="G8" s="79"/>
      <c r="H8" s="79"/>
      <c r="I8" s="79"/>
    </row>
    <row r="9" spans="4:14" ht="21">
      <c r="D9" s="84"/>
      <c r="E9" s="79"/>
      <c r="F9" s="79"/>
      <c r="G9" s="79"/>
      <c r="H9" s="79"/>
      <c r="I9" s="79"/>
    </row>
    <row r="10" spans="4:14" ht="21">
      <c r="D10" s="85" t="s">
        <v>131</v>
      </c>
      <c r="E10" s="86" t="s">
        <v>129</v>
      </c>
      <c r="F10" s="86" t="s">
        <v>130</v>
      </c>
      <c r="G10" s="86" t="s">
        <v>133</v>
      </c>
      <c r="H10" s="86" t="s">
        <v>132</v>
      </c>
      <c r="I10" s="86" t="s">
        <v>136</v>
      </c>
    </row>
    <row r="11" spans="4:14" ht="21">
      <c r="D11" s="88">
        <v>1800</v>
      </c>
      <c r="E11" s="89">
        <v>2000</v>
      </c>
      <c r="F11" s="89">
        <v>2200</v>
      </c>
      <c r="G11" s="89">
        <v>200</v>
      </c>
      <c r="H11" s="93">
        <f>E11-F11</f>
        <v>-200</v>
      </c>
      <c r="I11" s="89">
        <v>3600</v>
      </c>
      <c r="J11" s="12"/>
      <c r="L11" s="29">
        <f>(I11-E11)/(E11/F11)+F11</f>
        <v>3960</v>
      </c>
    </row>
    <row r="12" spans="4:14" ht="21">
      <c r="D12" s="84"/>
      <c r="E12" s="87"/>
      <c r="F12" s="87"/>
      <c r="G12" s="87"/>
      <c r="H12" s="87"/>
      <c r="I12" s="87"/>
    </row>
    <row r="13" spans="4:14" ht="21">
      <c r="D13" s="85" t="s">
        <v>137</v>
      </c>
      <c r="E13" s="86" t="s">
        <v>138</v>
      </c>
      <c r="F13" s="86" t="s">
        <v>139</v>
      </c>
      <c r="G13" s="86" t="s">
        <v>107</v>
      </c>
      <c r="H13" s="86" t="s">
        <v>140</v>
      </c>
      <c r="I13" s="86" t="s">
        <v>141</v>
      </c>
      <c r="K13" s="86"/>
    </row>
    <row r="14" spans="4:14" ht="21">
      <c r="D14" s="88">
        <f>I11+(H11*-1)</f>
        <v>3800</v>
      </c>
      <c r="E14" s="93">
        <f>D14-F14</f>
        <v>-160</v>
      </c>
      <c r="F14" s="89">
        <f>((I11-E11)/G14)+F11</f>
        <v>3960</v>
      </c>
      <c r="G14" s="92">
        <f>E11/F11</f>
        <v>0.90909090909090906</v>
      </c>
      <c r="H14" s="90">
        <f>E11/I11</f>
        <v>0.55555555555555558</v>
      </c>
      <c r="I14" s="91">
        <f>F11/D14</f>
        <v>0.57894736842105265</v>
      </c>
      <c r="K14" s="29"/>
      <c r="L14">
        <v>1090640</v>
      </c>
      <c r="M14">
        <v>1107469</v>
      </c>
      <c r="N14">
        <f>L14-M14</f>
        <v>-16829</v>
      </c>
    </row>
    <row r="15" spans="4:14" ht="21">
      <c r="D15" s="84"/>
      <c r="E15" s="79"/>
      <c r="F15" s="79"/>
      <c r="G15" s="79"/>
      <c r="H15" s="79"/>
      <c r="I15" s="79"/>
    </row>
    <row r="16" spans="4:14" ht="66" customHeight="1">
      <c r="D16" s="115" t="s">
        <v>148</v>
      </c>
      <c r="E16" s="115"/>
      <c r="F16" s="115"/>
      <c r="G16" s="115"/>
      <c r="H16" s="115"/>
      <c r="I16" s="115"/>
    </row>
    <row r="17" spans="4:9" ht="21">
      <c r="D17" s="84"/>
      <c r="E17" s="79"/>
      <c r="F17" s="79"/>
      <c r="G17" s="79"/>
      <c r="H17" s="79"/>
      <c r="I17" s="79"/>
    </row>
    <row r="18" spans="4:9" ht="64" customHeight="1">
      <c r="D18" s="118" t="s">
        <v>147</v>
      </c>
      <c r="E18" s="118"/>
      <c r="F18" s="118"/>
      <c r="G18" s="118"/>
      <c r="H18" s="118"/>
      <c r="I18" s="118"/>
    </row>
    <row r="19" spans="4:9" ht="21">
      <c r="D19" s="84"/>
      <c r="E19" s="79"/>
      <c r="F19" s="79"/>
      <c r="G19" s="79"/>
      <c r="H19" s="79"/>
      <c r="I19" s="79"/>
    </row>
    <row r="20" spans="4:9" ht="112" customHeight="1">
      <c r="D20" s="115" t="s">
        <v>149</v>
      </c>
      <c r="E20" s="115"/>
      <c r="F20" s="115"/>
      <c r="G20" s="115"/>
      <c r="H20" s="115"/>
      <c r="I20" s="115"/>
    </row>
    <row r="21" spans="4:9" ht="87" customHeight="1">
      <c r="D21" s="114" t="s">
        <v>146</v>
      </c>
      <c r="E21" s="114"/>
      <c r="F21" s="114"/>
      <c r="G21" s="114"/>
      <c r="H21" s="114"/>
      <c r="I21" s="114"/>
    </row>
    <row r="22" spans="4:9" ht="21">
      <c r="D22" s="84"/>
      <c r="E22" s="79"/>
      <c r="F22" s="79"/>
      <c r="G22" s="79"/>
      <c r="H22" s="79"/>
      <c r="I22" s="79"/>
    </row>
    <row r="23" spans="4:9" ht="51" customHeight="1">
      <c r="D23" s="115" t="s">
        <v>150</v>
      </c>
      <c r="E23" s="115"/>
      <c r="F23" s="115"/>
      <c r="G23" s="115"/>
      <c r="H23" s="115"/>
      <c r="I23" s="115"/>
    </row>
    <row r="24" spans="4:9" ht="44" customHeight="1">
      <c r="D24" s="115" t="s">
        <v>151</v>
      </c>
      <c r="E24" s="115"/>
      <c r="F24" s="115"/>
      <c r="G24" s="115"/>
      <c r="H24" s="115"/>
      <c r="I24" s="115"/>
    </row>
    <row r="25" spans="4:9" ht="52" customHeight="1">
      <c r="D25" s="115" t="s">
        <v>153</v>
      </c>
      <c r="E25" s="115"/>
      <c r="F25" s="115"/>
      <c r="G25" s="115"/>
      <c r="H25" s="115"/>
      <c r="I25" s="115"/>
    </row>
    <row r="26" spans="4:9" ht="21">
      <c r="D26" s="84" t="s">
        <v>152</v>
      </c>
      <c r="E26" s="79"/>
      <c r="F26" s="79"/>
      <c r="G26" s="79"/>
      <c r="H26" s="79"/>
      <c r="I26" s="79"/>
    </row>
    <row r="27" spans="4:9" ht="44" customHeight="1">
      <c r="D27" s="114"/>
      <c r="E27" s="114"/>
      <c r="F27" s="114"/>
      <c r="G27" s="114"/>
      <c r="H27" s="114"/>
      <c r="I27" s="114"/>
    </row>
    <row r="28" spans="4:9" ht="21">
      <c r="D28" s="84"/>
      <c r="E28" s="79"/>
      <c r="F28" s="79"/>
      <c r="G28" s="79"/>
      <c r="H28" s="79"/>
      <c r="I28" s="79"/>
    </row>
    <row r="29" spans="4:9" ht="21">
      <c r="D29" s="84"/>
      <c r="E29" s="79"/>
      <c r="F29" s="79"/>
      <c r="G29" s="79"/>
      <c r="H29" s="79"/>
      <c r="I29" s="79"/>
    </row>
    <row r="30" spans="4:9" ht="21">
      <c r="D30" s="84"/>
      <c r="E30" s="79"/>
      <c r="F30" s="79"/>
      <c r="G30" s="79"/>
      <c r="H30" s="79"/>
      <c r="I30" s="79"/>
    </row>
  </sheetData>
  <mergeCells count="12">
    <mergeCell ref="D20:I20"/>
    <mergeCell ref="D21:I21"/>
    <mergeCell ref="D23:I23"/>
    <mergeCell ref="D24:I24"/>
    <mergeCell ref="D25:I25"/>
    <mergeCell ref="D27:I27"/>
    <mergeCell ref="D5:E5"/>
    <mergeCell ref="D6:E6"/>
    <mergeCell ref="D7:E7"/>
    <mergeCell ref="D8:E8"/>
    <mergeCell ref="D16:I16"/>
    <mergeCell ref="D18: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EVA</vt:lpstr>
      <vt:lpstr>EVA 6 Periods</vt:lpstr>
      <vt:lpstr>Status Report</vt:lpstr>
      <vt:lpstr>Final Question 4</vt:lpstr>
      <vt:lpstr>Final Quest 4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2019-08-26T05:47:57Z</dcterms:created>
  <dcterms:modified xsi:type="dcterms:W3CDTF">2019-09-01T06:22:51Z</dcterms:modified>
</cp:coreProperties>
</file>