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obrah\Documents\"/>
    </mc:Choice>
  </mc:AlternateContent>
  <bookViews>
    <workbookView xWindow="0" yWindow="0" windowWidth="20490" windowHeight="7755" tabRatio="604" firstSheet="1" activeTab="2"/>
  </bookViews>
  <sheets>
    <sheet name="ASHANTI" sheetId="1" state="hidden" r:id="rId1"/>
    <sheet name="EASTERN" sheetId="2" r:id="rId2"/>
    <sheet name="WESTERN" sheetId="3" r:id="rId3"/>
    <sheet name="UPPER EAST" sheetId="4" r:id="rId4"/>
    <sheet name="GREATER ACCRA" sheetId="5" r:id="rId5"/>
    <sheet name="BRONG AHAFO" sheetId="6" r:id="rId6"/>
    <sheet name="UPPER WEST" sheetId="7" r:id="rId7"/>
    <sheet name="NORTHERN" sheetId="8" r:id="rId8"/>
    <sheet name="VOLTA" sheetId="9" r:id="rId9"/>
    <sheet name="CENTRAL" sheetId="10" r:id="rId10"/>
    <sheet name="ASHANT" sheetId="11" r:id="rId11"/>
    <sheet name="summary" sheetId="12" r:id="rId12"/>
  </sheets>
  <definedNames>
    <definedName name="_xlnm.Print_Area" localSheetId="10">ASHANT!$A$1:$E$205</definedName>
    <definedName name="_xlnm.Print_Area" localSheetId="5">'BRONG AHAFO'!$A$1:$D$118</definedName>
    <definedName name="_xlnm.Print_Area" localSheetId="9">CENTRAL!$A$1:$D$108</definedName>
    <definedName name="_xlnm.Print_Area" localSheetId="1">EASTERN!$A$1:$C$142</definedName>
    <definedName name="_xlnm.Print_Area" localSheetId="4">'GREATER ACCRA'!$A$1:$D$154</definedName>
    <definedName name="_xlnm.Print_Area" localSheetId="7">NORTHERN!$A$1:$J$145</definedName>
    <definedName name="_xlnm.Print_Area" localSheetId="11">summary!$A$1:$J$19</definedName>
    <definedName name="_xlnm.Print_Area" localSheetId="3">'UPPER EAST'!$A$1:$D$50</definedName>
    <definedName name="_xlnm.Print_Area" localSheetId="6">'UPPER WEST'!$A$1:$E$29</definedName>
    <definedName name="_xlnm.Print_Area" localSheetId="8">VOLTA!$A$1:$E$88</definedName>
    <definedName name="_xlnm.Print_Area" localSheetId="2">WESTERN!$A$1:$F$111</definedName>
  </definedNames>
  <calcPr calcId="152511"/>
</workbook>
</file>

<file path=xl/calcChain.xml><?xml version="1.0" encoding="utf-8"?>
<calcChain xmlns="http://schemas.openxmlformats.org/spreadsheetml/2006/main">
  <c r="E116" i="11" l="1"/>
  <c r="E117" i="11"/>
  <c r="E118" i="11"/>
  <c r="E115" i="11"/>
  <c r="D119" i="11"/>
  <c r="E119" i="11" s="1"/>
  <c r="E203" i="11"/>
  <c r="E204" i="11"/>
  <c r="E202" i="11"/>
  <c r="D205" i="11"/>
  <c r="E195" i="11"/>
  <c r="E196" i="11"/>
  <c r="E197" i="11"/>
  <c r="E198" i="11"/>
  <c r="E194" i="11"/>
  <c r="D199" i="11"/>
  <c r="E190" i="11"/>
  <c r="E189" i="11"/>
  <c r="D191" i="11"/>
  <c r="E185" i="11"/>
  <c r="E184" i="11"/>
  <c r="D186" i="11"/>
  <c r="E171" i="11"/>
  <c r="E172" i="11"/>
  <c r="E173" i="11"/>
  <c r="E170" i="11"/>
  <c r="E162" i="11"/>
  <c r="E161" i="11"/>
  <c r="D163" i="11"/>
  <c r="E157" i="11"/>
  <c r="E156" i="11"/>
  <c r="D158" i="11"/>
  <c r="E149" i="11"/>
  <c r="E150" i="11"/>
  <c r="E151" i="11"/>
  <c r="E152" i="11"/>
  <c r="E148" i="11"/>
  <c r="D153" i="11"/>
  <c r="E144" i="11"/>
  <c r="E143" i="11"/>
  <c r="D145" i="11"/>
  <c r="E134" i="11"/>
  <c r="E135" i="11"/>
  <c r="E136" i="11"/>
  <c r="E133" i="11"/>
  <c r="D137" i="11"/>
  <c r="E122" i="11"/>
  <c r="E123" i="11"/>
  <c r="E121" i="11"/>
  <c r="D124" i="11"/>
  <c r="E109" i="11"/>
  <c r="E110" i="11"/>
  <c r="E111" i="11"/>
  <c r="E108" i="11"/>
  <c r="E102" i="11"/>
  <c r="E103" i="11"/>
  <c r="E104" i="11"/>
  <c r="E101" i="11"/>
  <c r="E96" i="11"/>
  <c r="E97" i="11"/>
  <c r="E95" i="11"/>
  <c r="D98" i="11"/>
  <c r="E91" i="11"/>
  <c r="E90" i="11"/>
  <c r="E86" i="11"/>
  <c r="E85" i="11"/>
  <c r="E81" i="11"/>
  <c r="E80" i="11"/>
  <c r="D82" i="11"/>
  <c r="E76" i="11"/>
  <c r="E75" i="11"/>
  <c r="D77" i="11"/>
  <c r="E70" i="11"/>
  <c r="E71" i="11"/>
  <c r="E69" i="11"/>
  <c r="D72" i="11"/>
  <c r="E65" i="11"/>
  <c r="E64" i="11"/>
  <c r="D66" i="11"/>
  <c r="E58" i="11"/>
  <c r="E59" i="11"/>
  <c r="E60" i="11"/>
  <c r="E57" i="11"/>
  <c r="E53" i="11"/>
  <c r="E52" i="11"/>
  <c r="D54" i="11"/>
  <c r="E47" i="11"/>
  <c r="E48" i="11"/>
  <c r="E46" i="11"/>
  <c r="E31" i="11"/>
  <c r="E30" i="11"/>
  <c r="E36" i="11"/>
  <c r="E37" i="11"/>
  <c r="E38" i="11"/>
  <c r="E39" i="11"/>
  <c r="E35" i="11"/>
  <c r="D40" i="11"/>
  <c r="D32" i="11"/>
  <c r="E27" i="11"/>
  <c r="D28" i="11"/>
  <c r="E26" i="11" s="1"/>
  <c r="E22" i="11"/>
  <c r="E21" i="11"/>
  <c r="E15" i="11"/>
  <c r="E16" i="11"/>
  <c r="E17" i="11"/>
  <c r="E14" i="11"/>
  <c r="D18" i="11"/>
  <c r="E9" i="11"/>
  <c r="E10" i="11"/>
  <c r="E11" i="11"/>
  <c r="E8" i="11"/>
  <c r="D95" i="10"/>
  <c r="D96" i="10"/>
  <c r="D97" i="10"/>
  <c r="D94" i="10"/>
  <c r="D90" i="10"/>
  <c r="D89" i="10"/>
  <c r="D81" i="10"/>
  <c r="D82" i="10"/>
  <c r="D83" i="10"/>
  <c r="D84" i="10"/>
  <c r="D85" i="10"/>
  <c r="D80" i="10"/>
  <c r="D75" i="10"/>
  <c r="D76" i="10"/>
  <c r="D74" i="10"/>
  <c r="D70" i="10"/>
  <c r="D69" i="10"/>
  <c r="D64" i="10"/>
  <c r="D65" i="10"/>
  <c r="D63" i="10"/>
  <c r="D58" i="10"/>
  <c r="D59" i="10"/>
  <c r="D57" i="10"/>
  <c r="D50" i="10"/>
  <c r="D51" i="10"/>
  <c r="D52" i="10"/>
  <c r="D53" i="10"/>
  <c r="D49" i="10"/>
  <c r="D45" i="10"/>
  <c r="D44" i="10"/>
  <c r="D40" i="10"/>
  <c r="D39" i="10"/>
  <c r="D31" i="10"/>
  <c r="D32" i="10"/>
  <c r="D30" i="10"/>
  <c r="C33" i="10"/>
  <c r="D23" i="10"/>
  <c r="D22" i="10"/>
  <c r="D15" i="10"/>
  <c r="D16" i="10"/>
  <c r="D17" i="10"/>
  <c r="D18" i="10"/>
  <c r="D14" i="10"/>
  <c r="D8" i="10"/>
  <c r="D9" i="10"/>
  <c r="D10" i="10"/>
  <c r="D7" i="10"/>
  <c r="C98" i="10"/>
  <c r="C91" i="10"/>
  <c r="C86" i="10"/>
  <c r="C77" i="10"/>
  <c r="C71" i="10"/>
  <c r="C66" i="10"/>
  <c r="C60" i="10"/>
  <c r="C54" i="10"/>
  <c r="C46" i="10"/>
  <c r="C41" i="10"/>
  <c r="C24" i="10"/>
  <c r="C19" i="10"/>
  <c r="C11" i="10"/>
  <c r="E84" i="9"/>
  <c r="E83" i="9"/>
  <c r="D85" i="9"/>
  <c r="E78" i="9"/>
  <c r="E79" i="9"/>
  <c r="E77" i="9"/>
  <c r="E72" i="9"/>
  <c r="E73" i="9"/>
  <c r="E71" i="9"/>
  <c r="D74" i="9"/>
  <c r="E68" i="9"/>
  <c r="E67" i="9"/>
  <c r="E54" i="9"/>
  <c r="E53" i="9"/>
  <c r="D55" i="9"/>
  <c r="E49" i="9"/>
  <c r="E48" i="9"/>
  <c r="D50" i="9"/>
  <c r="E31" i="9"/>
  <c r="E30" i="9"/>
  <c r="E26" i="9"/>
  <c r="E25" i="9"/>
  <c r="E18" i="9"/>
  <c r="E17" i="9"/>
  <c r="E10" i="9"/>
  <c r="E9" i="9"/>
  <c r="D32" i="9"/>
  <c r="D27" i="9"/>
  <c r="D19" i="9"/>
  <c r="D11" i="9"/>
  <c r="D140" i="8"/>
  <c r="D141" i="8"/>
  <c r="D139" i="8"/>
  <c r="D128" i="8"/>
  <c r="D129" i="8"/>
  <c r="D130" i="8"/>
  <c r="D131" i="8"/>
  <c r="D127" i="8"/>
  <c r="D123" i="8"/>
  <c r="D122" i="8"/>
  <c r="D118" i="8"/>
  <c r="D117" i="8"/>
  <c r="D113" i="8"/>
  <c r="D112" i="8"/>
  <c r="D104" i="8"/>
  <c r="D105" i="8"/>
  <c r="D106" i="8"/>
  <c r="D107" i="8"/>
  <c r="D108" i="8"/>
  <c r="D103" i="8"/>
  <c r="D99" i="8"/>
  <c r="D98" i="8"/>
  <c r="D94" i="8"/>
  <c r="D93" i="8"/>
  <c r="D87" i="8"/>
  <c r="D88" i="8"/>
  <c r="D89" i="8"/>
  <c r="D86" i="8"/>
  <c r="D81" i="8"/>
  <c r="D82" i="8"/>
  <c r="D80" i="8"/>
  <c r="D74" i="8"/>
  <c r="D75" i="8"/>
  <c r="D76" i="8"/>
  <c r="D73" i="8"/>
  <c r="D67" i="8"/>
  <c r="D68" i="8"/>
  <c r="D69" i="8"/>
  <c r="D66" i="8"/>
  <c r="D61" i="8"/>
  <c r="D62" i="8"/>
  <c r="D60" i="8"/>
  <c r="D53" i="8"/>
  <c r="D54" i="8"/>
  <c r="D55" i="8"/>
  <c r="D56" i="8"/>
  <c r="D52" i="8"/>
  <c r="D47" i="8"/>
  <c r="D48" i="8"/>
  <c r="D46" i="8"/>
  <c r="D37" i="8"/>
  <c r="D38" i="8"/>
  <c r="D36" i="8"/>
  <c r="D25" i="8"/>
  <c r="D26" i="8"/>
  <c r="D24" i="8"/>
  <c r="D20" i="8"/>
  <c r="D19" i="8"/>
  <c r="D15" i="8"/>
  <c r="D14" i="8"/>
  <c r="C124" i="8"/>
  <c r="C119" i="8"/>
  <c r="C114" i="8"/>
  <c r="C109" i="8"/>
  <c r="C100" i="8"/>
  <c r="C95" i="8"/>
  <c r="C90" i="8"/>
  <c r="C83" i="8"/>
  <c r="C70" i="8"/>
  <c r="C63" i="8"/>
  <c r="C57" i="8"/>
  <c r="C27" i="8"/>
  <c r="C16" i="8"/>
  <c r="C11" i="8"/>
  <c r="D10" i="8" s="1"/>
  <c r="D17" i="7"/>
  <c r="D18" i="7"/>
  <c r="D19" i="7"/>
  <c r="D16" i="7"/>
  <c r="D116" i="6"/>
  <c r="D117" i="6"/>
  <c r="D115" i="6"/>
  <c r="C118" i="6"/>
  <c r="D108" i="6"/>
  <c r="D109" i="6"/>
  <c r="D110" i="6"/>
  <c r="D111" i="6"/>
  <c r="D112" i="6"/>
  <c r="D107" i="6"/>
  <c r="C113" i="6"/>
  <c r="D101" i="6"/>
  <c r="D102" i="6"/>
  <c r="D103" i="6"/>
  <c r="D100" i="6"/>
  <c r="C104" i="6"/>
  <c r="D92" i="6"/>
  <c r="D91" i="6"/>
  <c r="C93" i="6"/>
  <c r="D76" i="6"/>
  <c r="D75" i="6"/>
  <c r="C77" i="6"/>
  <c r="D71" i="6"/>
  <c r="D70" i="6"/>
  <c r="D55" i="6"/>
  <c r="D56" i="6"/>
  <c r="D54" i="6"/>
  <c r="D40" i="6"/>
  <c r="D41" i="6"/>
  <c r="D42" i="6"/>
  <c r="D39" i="6"/>
  <c r="D34" i="6"/>
  <c r="D35" i="6"/>
  <c r="D33" i="6"/>
  <c r="D27" i="6"/>
  <c r="D28" i="6"/>
  <c r="D29" i="6"/>
  <c r="D26" i="6"/>
  <c r="D20" i="6"/>
  <c r="D21" i="6"/>
  <c r="D22" i="6"/>
  <c r="D19" i="6"/>
  <c r="C23" i="6"/>
  <c r="D148" i="5"/>
  <c r="D149" i="5"/>
  <c r="D150" i="5"/>
  <c r="D147" i="5"/>
  <c r="D142" i="5"/>
  <c r="D143" i="5"/>
  <c r="D141" i="5"/>
  <c r="D136" i="5"/>
  <c r="D137" i="5"/>
  <c r="D135" i="5"/>
  <c r="D128" i="5"/>
  <c r="D129" i="5"/>
  <c r="D130" i="5"/>
  <c r="D131" i="5"/>
  <c r="D127" i="5"/>
  <c r="D123" i="5"/>
  <c r="D122" i="5"/>
  <c r="D118" i="5"/>
  <c r="D117" i="5"/>
  <c r="D110" i="5"/>
  <c r="D111" i="5"/>
  <c r="D112" i="5"/>
  <c r="D113" i="5"/>
  <c r="D109" i="5"/>
  <c r="D103" i="5"/>
  <c r="D104" i="5"/>
  <c r="D105" i="5"/>
  <c r="D102" i="5"/>
  <c r="D97" i="5"/>
  <c r="D98" i="5"/>
  <c r="D96" i="5"/>
  <c r="D91" i="5"/>
  <c r="D92" i="5"/>
  <c r="D90" i="5"/>
  <c r="D84" i="5"/>
  <c r="D85" i="5"/>
  <c r="D86" i="5"/>
  <c r="D83" i="5"/>
  <c r="D77" i="5"/>
  <c r="D78" i="5"/>
  <c r="D79" i="5"/>
  <c r="D76" i="5"/>
  <c r="D71" i="5"/>
  <c r="D72" i="5"/>
  <c r="D70" i="5"/>
  <c r="D65" i="5"/>
  <c r="D66" i="5"/>
  <c r="D64" i="5"/>
  <c r="D43" i="5"/>
  <c r="D44" i="5"/>
  <c r="D45" i="5"/>
  <c r="D46" i="5"/>
  <c r="D42" i="5"/>
  <c r="D37" i="5"/>
  <c r="D38" i="5"/>
  <c r="D36" i="5"/>
  <c r="D31" i="5"/>
  <c r="D32" i="5"/>
  <c r="D30" i="5"/>
  <c r="D25" i="5"/>
  <c r="D26" i="5"/>
  <c r="D24" i="5"/>
  <c r="D18" i="5"/>
  <c r="D19" i="5"/>
  <c r="D20" i="5"/>
  <c r="D17" i="5"/>
  <c r="D13" i="5"/>
  <c r="D12" i="5"/>
  <c r="D7" i="5"/>
  <c r="D8" i="5"/>
  <c r="D6" i="5"/>
  <c r="C151" i="5"/>
  <c r="C144" i="5"/>
  <c r="C138" i="5"/>
  <c r="C132" i="5"/>
  <c r="C124" i="5"/>
  <c r="C119" i="5"/>
  <c r="C114" i="5"/>
  <c r="C106" i="5"/>
  <c r="C93" i="5"/>
  <c r="C87" i="5"/>
  <c r="C80" i="5"/>
  <c r="C47" i="5"/>
  <c r="C39" i="5"/>
  <c r="C33" i="5"/>
  <c r="C27" i="5"/>
  <c r="C14" i="5"/>
  <c r="C9" i="5"/>
  <c r="D46" i="4"/>
  <c r="D45" i="4"/>
  <c r="C47" i="4"/>
  <c r="D38" i="4"/>
  <c r="D39" i="4"/>
  <c r="D37" i="4"/>
  <c r="D34" i="4"/>
  <c r="D33" i="4"/>
  <c r="D30" i="4"/>
  <c r="D29" i="4"/>
  <c r="D25" i="4"/>
  <c r="D26" i="4"/>
  <c r="D24" i="4"/>
  <c r="D21" i="4"/>
  <c r="D20" i="4"/>
  <c r="D15" i="4"/>
  <c r="D16" i="4"/>
  <c r="D14" i="4"/>
  <c r="D11" i="4"/>
  <c r="D10" i="4"/>
  <c r="F107" i="3"/>
  <c r="F106" i="3"/>
  <c r="F100" i="3"/>
  <c r="F101" i="3"/>
  <c r="F102" i="3"/>
  <c r="F99" i="3"/>
  <c r="F92" i="3"/>
  <c r="F91" i="3"/>
  <c r="E93" i="3"/>
  <c r="F85" i="3"/>
  <c r="F86" i="3"/>
  <c r="F87" i="3"/>
  <c r="F84" i="3"/>
  <c r="E88" i="3"/>
  <c r="F80" i="3"/>
  <c r="F79" i="3"/>
  <c r="F75" i="3"/>
  <c r="F74" i="3"/>
  <c r="F66" i="3"/>
  <c r="F67" i="3"/>
  <c r="F65" i="3"/>
  <c r="F61" i="3"/>
  <c r="F60" i="3"/>
  <c r="E62" i="3"/>
  <c r="F56" i="3"/>
  <c r="F55" i="3"/>
  <c r="F51" i="3"/>
  <c r="F50" i="3"/>
  <c r="F33" i="3"/>
  <c r="F34" i="3"/>
  <c r="F32" i="3"/>
  <c r="F22" i="3"/>
  <c r="F23" i="3"/>
  <c r="F24" i="3"/>
  <c r="F25" i="3"/>
  <c r="F21" i="3"/>
  <c r="E26" i="3"/>
  <c r="F17" i="3"/>
  <c r="F16" i="3"/>
  <c r="C141" i="2"/>
  <c r="C140" i="2"/>
  <c r="C133" i="2"/>
  <c r="C132" i="2"/>
  <c r="C127" i="2"/>
  <c r="C128" i="2"/>
  <c r="C126" i="2"/>
  <c r="C122" i="2"/>
  <c r="C121" i="2"/>
  <c r="C114" i="2"/>
  <c r="C113" i="2"/>
  <c r="C109" i="2"/>
  <c r="C108" i="2"/>
  <c r="C100" i="2"/>
  <c r="C99" i="2"/>
  <c r="C90" i="2"/>
  <c r="C91" i="2"/>
  <c r="C92" i="2"/>
  <c r="C89" i="2"/>
  <c r="C84" i="2"/>
  <c r="C83" i="2"/>
  <c r="C78" i="2"/>
  <c r="C77" i="2"/>
  <c r="C72" i="2"/>
  <c r="C73" i="2"/>
  <c r="C71" i="2"/>
  <c r="C68" i="2"/>
  <c r="C67" i="2"/>
  <c r="C61" i="2"/>
  <c r="C62" i="2"/>
  <c r="C63" i="2"/>
  <c r="C60" i="2"/>
  <c r="C55" i="2"/>
  <c r="C56" i="2"/>
  <c r="C54" i="2"/>
  <c r="C50" i="2"/>
  <c r="C49" i="2"/>
  <c r="C44" i="2"/>
  <c r="C45" i="2"/>
  <c r="C43" i="2"/>
  <c r="C39" i="2"/>
  <c r="C38" i="2"/>
  <c r="C33" i="2"/>
  <c r="C34" i="2"/>
  <c r="C32" i="2"/>
  <c r="C28" i="2"/>
  <c r="C27" i="2"/>
  <c r="C19" i="2"/>
  <c r="C20" i="2"/>
  <c r="C21" i="2"/>
  <c r="C22" i="2"/>
  <c r="C23" i="2"/>
  <c r="C18" i="2"/>
  <c r="C13" i="2"/>
  <c r="C14" i="2"/>
  <c r="C12" i="2"/>
  <c r="B142" i="2"/>
  <c r="B134" i="2"/>
  <c r="B129" i="2"/>
  <c r="B123" i="2"/>
  <c r="B115" i="2"/>
  <c r="B110" i="2"/>
  <c r="B101" i="2"/>
  <c r="B93" i="2"/>
  <c r="B85" i="2"/>
  <c r="B79" i="2"/>
  <c r="B74" i="2"/>
  <c r="B69" i="2"/>
  <c r="B64" i="2"/>
  <c r="B57" i="2"/>
  <c r="B51" i="2"/>
  <c r="B46" i="2"/>
  <c r="B40" i="2"/>
  <c r="B35" i="2"/>
  <c r="B29" i="2"/>
  <c r="B24" i="2"/>
  <c r="B15" i="2"/>
  <c r="D69" i="9"/>
  <c r="C132" i="8"/>
  <c r="C142" i="8"/>
  <c r="C99" i="5"/>
  <c r="C67" i="5"/>
  <c r="C21" i="5"/>
  <c r="C40" i="4"/>
  <c r="C35" i="4"/>
  <c r="C22" i="4"/>
  <c r="C12" i="4"/>
  <c r="C20" i="7"/>
  <c r="E81" i="3"/>
  <c r="E76" i="3"/>
  <c r="E52" i="3"/>
  <c r="E57" i="3"/>
  <c r="C30" i="6"/>
  <c r="C36" i="6"/>
  <c r="C43" i="6"/>
  <c r="C72" i="6"/>
  <c r="D61" i="11"/>
  <c r="D87" i="11"/>
  <c r="D49" i="11"/>
  <c r="D112" i="11"/>
  <c r="E18" i="3"/>
  <c r="E68" i="3"/>
  <c r="D80" i="9"/>
  <c r="C39" i="8"/>
  <c r="C21" i="8"/>
  <c r="E13" i="3"/>
  <c r="F12" i="3" s="1"/>
  <c r="C73" i="5"/>
  <c r="E35" i="3"/>
  <c r="C49" i="8"/>
  <c r="C57" i="6"/>
  <c r="C77" i="8"/>
  <c r="E108" i="3"/>
  <c r="E103" i="3"/>
  <c r="C31" i="4"/>
  <c r="C17" i="4"/>
  <c r="D174" i="11"/>
  <c r="C27" i="4"/>
  <c r="D92" i="11"/>
  <c r="D105" i="11"/>
  <c r="G19" i="12"/>
  <c r="H19" i="12"/>
  <c r="I5" i="12"/>
  <c r="I8" i="12"/>
  <c r="I9" i="12"/>
  <c r="I11" i="12"/>
  <c r="I12" i="12"/>
  <c r="I13" i="12"/>
  <c r="I14" i="12"/>
  <c r="I15" i="12"/>
  <c r="I17" i="12"/>
  <c r="I3" i="12"/>
  <c r="D19" i="12"/>
  <c r="C19" i="12"/>
  <c r="D9" i="8" l="1"/>
  <c r="F11" i="3"/>
  <c r="I19" i="12"/>
</calcChain>
</file>

<file path=xl/sharedStrings.xml><?xml version="1.0" encoding="utf-8"?>
<sst xmlns="http://schemas.openxmlformats.org/spreadsheetml/2006/main" count="1383" uniqueCount="821">
  <si>
    <t>CONSTITUENCY</t>
  </si>
  <si>
    <t>GENDER</t>
  </si>
  <si>
    <t>MALE</t>
  </si>
  <si>
    <t>FEMALE</t>
  </si>
  <si>
    <t>MP</t>
  </si>
  <si>
    <t>ODOTOBRI</t>
  </si>
  <si>
    <t>AMANSIE WEST</t>
  </si>
  <si>
    <t>ATWIMA KWANWOMA</t>
  </si>
  <si>
    <t>KWADASO</t>
  </si>
  <si>
    <t>BANTAMA</t>
  </si>
  <si>
    <t>KWABRE WEST</t>
  </si>
  <si>
    <t>SUAME</t>
  </si>
  <si>
    <t>EJISU JUABEN</t>
  </si>
  <si>
    <t>BOSOMTWE</t>
  </si>
  <si>
    <t>KWABRE EAST</t>
  </si>
  <si>
    <t>ATWIMA NWAMBIAGYA</t>
  </si>
  <si>
    <t>MAMPONG</t>
  </si>
  <si>
    <t>AFIGYA SEKYERE EAST</t>
  </si>
  <si>
    <t>MANHYIA</t>
  </si>
  <si>
    <t>NHYIAESO</t>
  </si>
  <si>
    <t>ASOKWA</t>
  </si>
  <si>
    <t>FOMENA</t>
  </si>
  <si>
    <t>KUMAWU</t>
  </si>
  <si>
    <t>ASANTE AKIM NORTH</t>
  </si>
  <si>
    <t>AFIGYA SEKYERE WEST</t>
  </si>
  <si>
    <t>OLD TAFO</t>
  </si>
  <si>
    <t>SUBIN</t>
  </si>
  <si>
    <t>OFFINSO SOUTH</t>
  </si>
  <si>
    <t>OBUASI</t>
  </si>
  <si>
    <t>ASANTE AKIM SOUTH</t>
  </si>
  <si>
    <t>ATWIMA MPONUA</t>
  </si>
  <si>
    <t>OFORIKROM</t>
  </si>
  <si>
    <t>AKROFROM</t>
  </si>
  <si>
    <t>AHAFO ANO SOUTH</t>
  </si>
  <si>
    <t>ADANSI ASOKWA</t>
  </si>
  <si>
    <t>OFFINSO NORTH</t>
  </si>
  <si>
    <t>AHAFO ANO NORTH</t>
  </si>
  <si>
    <t>EJURA-SEKYEDUMASE</t>
  </si>
  <si>
    <t>ASAWASE</t>
  </si>
  <si>
    <t>NEW EDUBIASE</t>
  </si>
  <si>
    <t>Akwasi Osei-Adjei</t>
  </si>
  <si>
    <t>Kwaku Kwarteng</t>
  </si>
  <si>
    <t>Nana Ayew Afriyie</t>
  </si>
  <si>
    <t>Francis Addai-Nimoh</t>
  </si>
  <si>
    <t>Yaw Osei-Amoako</t>
  </si>
  <si>
    <t>Hon. Owusu-Aduomi Kwabena</t>
  </si>
  <si>
    <t>AKIM ABUAKWA SOUTH</t>
  </si>
  <si>
    <t>ATIWA</t>
  </si>
  <si>
    <t>AKIM ODA</t>
  </si>
  <si>
    <t>KADE</t>
  </si>
  <si>
    <t>AKIM SWEDRU</t>
  </si>
  <si>
    <t>AKROPONG</t>
  </si>
  <si>
    <t>NEW JUABEN NORTH</t>
  </si>
  <si>
    <t>NEW JUABEN SOUTH</t>
  </si>
  <si>
    <t>ABETIFI</t>
  </si>
  <si>
    <t>MPRAESO</t>
  </si>
  <si>
    <t>OFOASE/AYIREBI</t>
  </si>
  <si>
    <t>FANTEAKWA</t>
  </si>
  <si>
    <t>ABIREM</t>
  </si>
  <si>
    <t>AKIM ABUAKWA NORTH</t>
  </si>
  <si>
    <t>ABURI/NSAWAM</t>
  </si>
  <si>
    <t>LOWER WEST AKIM</t>
  </si>
  <si>
    <t>OKERE</t>
  </si>
  <si>
    <t>SUHUM</t>
  </si>
  <si>
    <t>AKWATIA</t>
  </si>
  <si>
    <t>AYENSUANO</t>
  </si>
  <si>
    <t>ASUOGYAMAN</t>
  </si>
  <si>
    <t>UPPER WEST AKIM</t>
  </si>
  <si>
    <t>AFRAM PLAINS SOUTH</t>
  </si>
  <si>
    <t>UPPER MANYA</t>
  </si>
  <si>
    <t>YILO KROBO</t>
  </si>
  <si>
    <t>AFRAM PLAINS NORTH</t>
  </si>
  <si>
    <t>Godfred Otchere</t>
  </si>
  <si>
    <t>Joseph Ampomah Bosompem</t>
  </si>
  <si>
    <t>Hon. Osei Bonsu Amoah</t>
  </si>
  <si>
    <t>Samuel Tuffour</t>
  </si>
  <si>
    <t>Kwaku Konadu Addo</t>
  </si>
  <si>
    <t>Prof. Samuel Kwadwo Amoako</t>
  </si>
  <si>
    <t>Hon. Peter Kwasi Pepera</t>
  </si>
  <si>
    <t>Christian Kofi Tettey</t>
  </si>
  <si>
    <t>Paul Asare Ansah</t>
  </si>
  <si>
    <t>Kofi Osei-Ameyaw</t>
  </si>
  <si>
    <t>Dr. Kofi Asare</t>
  </si>
  <si>
    <t>LOWER MANYA</t>
  </si>
  <si>
    <t>Mrs. Difie Kusi</t>
  </si>
  <si>
    <t>Samuel Okai Tettey</t>
  </si>
  <si>
    <t>Oduro Prince Frempong</t>
  </si>
  <si>
    <t>Collins Offeh Mintah</t>
  </si>
  <si>
    <t>Samuel Ofori Ampofo</t>
  </si>
  <si>
    <t>Albert Obeng Yeboah</t>
  </si>
  <si>
    <t>Michael Oteng Adu</t>
  </si>
  <si>
    <t>Hon. Beatrice Bernice Boateng</t>
  </si>
  <si>
    <t>Dr. Mark Assibey-Yeboah</t>
  </si>
  <si>
    <t>Atta Kyea</t>
  </si>
  <si>
    <t>Hon. Frederick Opare-Ansah</t>
  </si>
  <si>
    <t>Adjei K. Boateng</t>
  </si>
  <si>
    <t>Samson Annor</t>
  </si>
  <si>
    <t>Hon. Daniel Botwe</t>
  </si>
  <si>
    <t>Moses Tetteh Berimah</t>
  </si>
  <si>
    <t>Ms. Gustav Narh-Dometey</t>
  </si>
  <si>
    <t>Pius Teye Narh</t>
  </si>
  <si>
    <t>Duah Stephen Asamoah</t>
  </si>
  <si>
    <t>Kwabena Sintim-Aboagye</t>
  </si>
  <si>
    <t>Hon. Asamoah Ofosu</t>
  </si>
  <si>
    <t>Hon. Yaw Baah</t>
  </si>
  <si>
    <t>Oppong Edward Kwadwo</t>
  </si>
  <si>
    <t>Alfred Kwasi Opoku</t>
  </si>
  <si>
    <t>Dr. Alexander Ayogyam</t>
  </si>
  <si>
    <t>Ben Abdallah Banda</t>
  </si>
  <si>
    <t>Nana Marfo Amaniampong</t>
  </si>
  <si>
    <t>Kwasi Karikari Achamfour</t>
  </si>
  <si>
    <t>Kofi Osei Amponsah</t>
  </si>
  <si>
    <t>Kofi Amankwa Manu</t>
  </si>
  <si>
    <t>Abena Pokuaa Amoah</t>
  </si>
  <si>
    <t>Richard A. Adiyia</t>
  </si>
  <si>
    <t>Eugene Asante Nimako</t>
  </si>
  <si>
    <t>Sampson Anomah</t>
  </si>
  <si>
    <t>Philip Basoah</t>
  </si>
  <si>
    <t>Kofi Karikari Appau</t>
  </si>
  <si>
    <t>Hon. Maxwell Kofi Jumah</t>
  </si>
  <si>
    <t>Josephine Hilda Addoh</t>
  </si>
  <si>
    <t>Edward Ennin</t>
  </si>
  <si>
    <t>Charles Nana Yaw Osei</t>
  </si>
  <si>
    <t>Charles M. Cann</t>
  </si>
  <si>
    <t>Kwaku Asante-Boateng</t>
  </si>
  <si>
    <t>Stephen Amoah</t>
  </si>
  <si>
    <t>William Aidoo</t>
  </si>
  <si>
    <t>Jones Sarkodieh</t>
  </si>
  <si>
    <t>Millicent Boateng</t>
  </si>
  <si>
    <t>Francis Asenso-Boakye</t>
  </si>
  <si>
    <t>Francis Manu-Adabor</t>
  </si>
  <si>
    <t>Agyare Frimpong</t>
  </si>
  <si>
    <t>Isaac Owusu-Ansah</t>
  </si>
  <si>
    <t>Mustapha Adam</t>
  </si>
  <si>
    <t>Dr. Mohammed A. Kabir</t>
  </si>
  <si>
    <t>Peter Otchere</t>
  </si>
  <si>
    <t>Anthony Osei Boakye</t>
  </si>
  <si>
    <t>Dickson Osei-Asibey</t>
  </si>
  <si>
    <t>Benito Owusu</t>
  </si>
  <si>
    <t>Alex Kwadwo Boateng</t>
  </si>
  <si>
    <t>Hon. Boakye Agyen Frank</t>
  </si>
  <si>
    <t>Hon. Osei Isaac</t>
  </si>
  <si>
    <t>Dr. Anthony Akoto Osei</t>
  </si>
  <si>
    <t>George Obeng</t>
  </si>
  <si>
    <t>TARKWA NSUAEM</t>
  </si>
  <si>
    <t>TAKORADI</t>
  </si>
  <si>
    <t>AHANTA WEST</t>
  </si>
  <si>
    <t>ESSIKADU/KETAN</t>
  </si>
  <si>
    <t>SEKONDI</t>
  </si>
  <si>
    <t>AMENFI EAST</t>
  </si>
  <si>
    <t>EVALUE GWIRA</t>
  </si>
  <si>
    <t>BIBIANI/ANHWIASO/BEKWAI</t>
  </si>
  <si>
    <t>MPOHOR WASSA</t>
  </si>
  <si>
    <t>PRESTEA HUNI VALLEY</t>
  </si>
  <si>
    <t>BIA</t>
  </si>
  <si>
    <t>JUABOSO</t>
  </si>
  <si>
    <t>SEFWI WIAWSO</t>
  </si>
  <si>
    <t>AMENFI WEST</t>
  </si>
  <si>
    <t>AOWIN</t>
  </si>
  <si>
    <t>AMENFI CENTRAL</t>
  </si>
  <si>
    <t>SEFWI AKONTOMBRA</t>
  </si>
  <si>
    <t>JOMORO</t>
  </si>
  <si>
    <t>SHAMA</t>
  </si>
  <si>
    <t>ELLEMBELLE</t>
  </si>
  <si>
    <t>Mr. Osei Edward</t>
  </si>
  <si>
    <t>Kwabena Okyere Darko-Mensah</t>
  </si>
  <si>
    <t>Samuel Adu-Gyamfi</t>
  </si>
  <si>
    <t>Lawyer Chales Bissue</t>
  </si>
  <si>
    <t>Hon. Samuel Johnfia</t>
  </si>
  <si>
    <t>John Kwesi Yankey</t>
  </si>
  <si>
    <t>Henrietta Mary Eyison</t>
  </si>
  <si>
    <t>Hon. Joe Ghartey</t>
  </si>
  <si>
    <t>Joseph Ewomiah</t>
  </si>
  <si>
    <t>Ebenezer Kojo Kum</t>
  </si>
  <si>
    <t>Frederick Coffie</t>
  </si>
  <si>
    <t>Appiah-Kubi Baidoo</t>
  </si>
  <si>
    <t>Anastasia Wiredu Mensah</t>
  </si>
  <si>
    <t>Papa Owusu-Ankomah</t>
  </si>
  <si>
    <t>Andrew Mercer</t>
  </si>
  <si>
    <t>Kweku Sam-Amoah</t>
  </si>
  <si>
    <t>Joseph Cudjoe</t>
  </si>
  <si>
    <t>Magnus Opare -Asamoah</t>
  </si>
  <si>
    <t>Kwaku Obeng Boateng</t>
  </si>
  <si>
    <t>Henry Kwabena Kokofu</t>
  </si>
  <si>
    <t>Alex Effah</t>
  </si>
  <si>
    <t>BAWKU CENTRAL</t>
  </si>
  <si>
    <t>BINDURI</t>
  </si>
  <si>
    <t>BUILSA NORTH</t>
  </si>
  <si>
    <t xml:space="preserve">NAVRONGO CENTRAL </t>
  </si>
  <si>
    <t>NABDAM</t>
  </si>
  <si>
    <t>GARU TEMPANE</t>
  </si>
  <si>
    <t>CHIANA PAGA</t>
  </si>
  <si>
    <t>BOLGATANGA</t>
  </si>
  <si>
    <t>BONGO</t>
  </si>
  <si>
    <t>PUSIGA</t>
  </si>
  <si>
    <t>BUILSA SOUTH</t>
  </si>
  <si>
    <t>Hon. Stephen Mahamadu D. Yakubu</t>
  </si>
  <si>
    <t>Gambila Boniface Adagbila</t>
  </si>
  <si>
    <t>Abanga Abdulai</t>
  </si>
  <si>
    <t>Mrs. Agnes Asangalisa Chigabatia</t>
  </si>
  <si>
    <t>Hon. Alowe Leo Kabah</t>
  </si>
  <si>
    <t>Mr. Amadu Dramani Sakandi</t>
  </si>
  <si>
    <t xml:space="preserve">Samari Alhassan </t>
  </si>
  <si>
    <t>Abugri Paul Azumah</t>
  </si>
  <si>
    <t>Abdallah Achuliwor</t>
  </si>
  <si>
    <t>Dr. Agambila Cheysika</t>
  </si>
  <si>
    <t>Clement Dandori</t>
  </si>
  <si>
    <t>Abakasi Maurice James</t>
  </si>
  <si>
    <t>Thomas Kofi Alonsi</t>
  </si>
  <si>
    <t>Paulina Morton-Bruce</t>
  </si>
  <si>
    <t>ABLEKUMA CENTRAL</t>
  </si>
  <si>
    <t>ABLEKUMA NORTH</t>
  </si>
  <si>
    <t>ABLEKUMA SOUTH</t>
  </si>
  <si>
    <t>ODODODIODOO</t>
  </si>
  <si>
    <t>AYAWASO CENTRAL</t>
  </si>
  <si>
    <t>AYAWASO EAST</t>
  </si>
  <si>
    <t>AYAWASO WEST WUOGON</t>
  </si>
  <si>
    <t>ADA</t>
  </si>
  <si>
    <t>SEGE</t>
  </si>
  <si>
    <t>NINGO PRAMPRAM</t>
  </si>
  <si>
    <t>SHAI OSUDOKU</t>
  </si>
  <si>
    <t>ABOKOBI/MADINA</t>
  </si>
  <si>
    <t>DOME KWABENYA</t>
  </si>
  <si>
    <t>TROBU AMASAMAN</t>
  </si>
  <si>
    <t xml:space="preserve">WEIJA     </t>
  </si>
  <si>
    <t>DADE KOTOPON</t>
  </si>
  <si>
    <t>KROWOR</t>
  </si>
  <si>
    <t>LEDZOKUKU</t>
  </si>
  <si>
    <t>OKAIKWEI NORTH</t>
  </si>
  <si>
    <t>OKAIKWEI SOUTH</t>
  </si>
  <si>
    <t>KLOTTEY KORLE</t>
  </si>
  <si>
    <t>ADENTA</t>
  </si>
  <si>
    <t>ASHAIMAN</t>
  </si>
  <si>
    <t>KPONE KATAMANSO</t>
  </si>
  <si>
    <t xml:space="preserve">TEMA EAST  </t>
  </si>
  <si>
    <t>TEMA WEST</t>
  </si>
  <si>
    <t>Vida Koranteng</t>
  </si>
  <si>
    <t>Ursula G. Owusu</t>
  </si>
  <si>
    <t>Yaw Buaben Asamoa</t>
  </si>
  <si>
    <t>Betty Gorleku Quashie</t>
  </si>
  <si>
    <t>Ms. Frances Asiam</t>
  </si>
  <si>
    <t>Hon. Elizabeth Kwachoe Tawiah Sackey</t>
  </si>
  <si>
    <t>Mr. James Amoah</t>
  </si>
  <si>
    <t>Robert Nii Omane Botchway</t>
  </si>
  <si>
    <t>Ms. Mercy Matey</t>
  </si>
  <si>
    <t>Hon. Samuel Evans Ashong Narh</t>
  </si>
  <si>
    <t>DORMAA WEST</t>
  </si>
  <si>
    <t>JAMAN SOUTH</t>
  </si>
  <si>
    <t>TANO SOUTH</t>
  </si>
  <si>
    <t>ASUNAFO SOUTH</t>
  </si>
  <si>
    <t>DORMAA EAST</t>
  </si>
  <si>
    <t>TANO NORTH</t>
  </si>
  <si>
    <t>NKORANZA NORTH</t>
  </si>
  <si>
    <t>ASUNAFO NORTH</t>
  </si>
  <si>
    <t>NKORANZA SOUTH</t>
  </si>
  <si>
    <t>BEREKUM</t>
  </si>
  <si>
    <t>KINTAMPO SOUTH</t>
  </si>
  <si>
    <t>SUNYANI EAST</t>
  </si>
  <si>
    <t>WENCHI</t>
  </si>
  <si>
    <t>TECHIMAN NORTH</t>
  </si>
  <si>
    <t>ASUTIFI SOUTH</t>
  </si>
  <si>
    <t>ASUTIFI NORTH</t>
  </si>
  <si>
    <t>JAMAN NORTH</t>
  </si>
  <si>
    <t>KINTAMPO NORTH</t>
  </si>
  <si>
    <t>SUNYANI WEST</t>
  </si>
  <si>
    <t>ATEBUBU/AMANTING</t>
  </si>
  <si>
    <t>TECHIMAN SOUTH</t>
  </si>
  <si>
    <t>PRU</t>
  </si>
  <si>
    <t>TAIN</t>
  </si>
  <si>
    <t>SENE</t>
  </si>
  <si>
    <t>Stephen Ofori-Appiah</t>
  </si>
  <si>
    <t>Hon. Yaw Afful</t>
  </si>
  <si>
    <t>Hon. Baffour Awuah</t>
  </si>
  <si>
    <t>Hon. Kwasi Ameyaw-Cheremeh</t>
  </si>
  <si>
    <t>Hon. Kwaku Agyeman-Manu</t>
  </si>
  <si>
    <t>Mohammed Belinyi</t>
  </si>
  <si>
    <t>Mr. George Boakye</t>
  </si>
  <si>
    <t>William Sabi</t>
  </si>
  <si>
    <t>Prof. George Gyan-Baffour</t>
  </si>
  <si>
    <t>LAMBUSSIE</t>
  </si>
  <si>
    <t>LAWRA</t>
  </si>
  <si>
    <t>NADOWLI EAST</t>
  </si>
  <si>
    <t>WA CENTRAL</t>
  </si>
  <si>
    <t>WA EAST</t>
  </si>
  <si>
    <t>NADOWLI WEST</t>
  </si>
  <si>
    <t>WA WEST</t>
  </si>
  <si>
    <t>Mr. Robert Ekor Dassah</t>
  </si>
  <si>
    <t>John Balaroo Doughr</t>
  </si>
  <si>
    <t>Hon. Ambrose Dery</t>
  </si>
  <si>
    <t>BIMBILA</t>
  </si>
  <si>
    <t>TOLON</t>
  </si>
  <si>
    <t>SAWLA-TUNA-KALBA</t>
  </si>
  <si>
    <t>KARAGA</t>
  </si>
  <si>
    <t>KUMBUNGU</t>
  </si>
  <si>
    <t>NANTON</t>
  </si>
  <si>
    <t>SAVELUGU</t>
  </si>
  <si>
    <t>KPANDAI</t>
  </si>
  <si>
    <t>YAPEI KUSAWGU</t>
  </si>
  <si>
    <t>WULENSI</t>
  </si>
  <si>
    <t>WALEWALE</t>
  </si>
  <si>
    <t>YAGABA-KUBORI</t>
  </si>
  <si>
    <t>CHEREPONI</t>
  </si>
  <si>
    <t>YENDI</t>
  </si>
  <si>
    <t>TAMALE CENTRAL</t>
  </si>
  <si>
    <t>TAMALE NORTH</t>
  </si>
  <si>
    <t>NALERIGU/GAMBAGA</t>
  </si>
  <si>
    <t>DAMANGO/DABOYA</t>
  </si>
  <si>
    <t>SABOBA</t>
  </si>
  <si>
    <t>GUSHIEGU</t>
  </si>
  <si>
    <t>TAMALE SOUTH</t>
  </si>
  <si>
    <t>SALAGA</t>
  </si>
  <si>
    <t>MION</t>
  </si>
  <si>
    <t>ZABZUGU/TATALE</t>
  </si>
  <si>
    <t>Hon. Alhaji Abdul Karim Iddrisu</t>
  </si>
  <si>
    <t>Hon. Abubakar Siddique Boniface</t>
  </si>
  <si>
    <t>Abdul-Rauf Damba</t>
  </si>
  <si>
    <t>Dr. Issifu Yidana</t>
  </si>
  <si>
    <t>Joseph Nongri Naah Vugu</t>
  </si>
  <si>
    <t>Richard Kwesi Nyamah</t>
  </si>
  <si>
    <t>Nitiwul Dominic Bingad Aduna</t>
  </si>
  <si>
    <t>Albert Kassim Diwura</t>
  </si>
  <si>
    <t>Mr. Yussif Mustapha</t>
  </si>
  <si>
    <t>ANLO</t>
  </si>
  <si>
    <t>KETA</t>
  </si>
  <si>
    <t>KETU SOUTH</t>
  </si>
  <si>
    <t>SOUTH TONGU</t>
  </si>
  <si>
    <t>HO EAST</t>
  </si>
  <si>
    <t>HO CENTRAL</t>
  </si>
  <si>
    <t>NORTH TONGU</t>
  </si>
  <si>
    <t>HOHOE SOUTH</t>
  </si>
  <si>
    <t>HO WEST</t>
  </si>
  <si>
    <t>AVERNO AVE.</t>
  </si>
  <si>
    <t>SOUTH DAYI</t>
  </si>
  <si>
    <t>NORTH DAYI</t>
  </si>
  <si>
    <t>HOHOE NORTH</t>
  </si>
  <si>
    <t>CENTRAL TONGU</t>
  </si>
  <si>
    <t>KETU NORTH</t>
  </si>
  <si>
    <t>BUEM</t>
  </si>
  <si>
    <t>BIAKOYE</t>
  </si>
  <si>
    <t>AKAN</t>
  </si>
  <si>
    <t>KRACHIE WEST</t>
  </si>
  <si>
    <t>NKWANTA SOUTH</t>
  </si>
  <si>
    <t>NKWANTA NORTH</t>
  </si>
  <si>
    <t>Francis Asuka Boakye</t>
  </si>
  <si>
    <t>Ms. Evelyn Yaa Denteh</t>
  </si>
  <si>
    <t>Theodora Kudzi</t>
  </si>
  <si>
    <t>Thasun John</t>
  </si>
  <si>
    <t>CAPE COAST</t>
  </si>
  <si>
    <t>ASSIN SOUTH</t>
  </si>
  <si>
    <t xml:space="preserve">ASSIN NORTH  </t>
  </si>
  <si>
    <t>ASIKUMA/ODOBEN/BRAKWA</t>
  </si>
  <si>
    <t>AGONA WEST</t>
  </si>
  <si>
    <t>UPPER DENKYIRA EAST</t>
  </si>
  <si>
    <t>UPPER DENKYIRA WEST</t>
  </si>
  <si>
    <t>GOMOA WEST</t>
  </si>
  <si>
    <t>HEMANG LOWER DENKYIRA</t>
  </si>
  <si>
    <t>AGONA EAST</t>
  </si>
  <si>
    <t>MFANTSEMAN WEST</t>
  </si>
  <si>
    <t>ABURA/ASEBU/KWAMANKESE</t>
  </si>
  <si>
    <t>GOMOA EAST</t>
  </si>
  <si>
    <t>EFFUTU</t>
  </si>
  <si>
    <t>AWUTU SENYA</t>
  </si>
  <si>
    <t>Mr. Justice Quaye</t>
  </si>
  <si>
    <t>Quaicoe Peter Kofi</t>
  </si>
  <si>
    <t>Gifty Eugenia Kusi</t>
  </si>
  <si>
    <t>Matthew Nyindam</t>
  </si>
  <si>
    <t>Rahinatu Issifu</t>
  </si>
  <si>
    <t>Kwabena Ohemeng-Tinyase</t>
  </si>
  <si>
    <t>Prof. Dominic K. Fobih</t>
  </si>
  <si>
    <t>AJUMAKO/ENYAN/ESSIAM</t>
  </si>
  <si>
    <t>Hon. Kwabena Amankwa Asiama</t>
  </si>
  <si>
    <t>Saaka Sayuti</t>
  </si>
  <si>
    <t>Solomon N. Boar</t>
  </si>
  <si>
    <t>Sampa Samson Mohammed</t>
  </si>
  <si>
    <t>Alhassan Janet Jambia</t>
  </si>
  <si>
    <t>James Lamisi Nawang</t>
  </si>
  <si>
    <t>Eric Busby Quartey Papafio</t>
  </si>
  <si>
    <t>Abankwah-Yeboah Kwabena</t>
  </si>
  <si>
    <t>Semetey Kelvin Jonathan</t>
  </si>
  <si>
    <t>Ntim Augustine Collins</t>
  </si>
  <si>
    <t>Yakubu Yussif</t>
  </si>
  <si>
    <t>Victoria Bright</t>
  </si>
  <si>
    <t>Mr. Daniel Titus Glover</t>
  </si>
  <si>
    <t>Sheika Yakubu Abdul-Kareem</t>
  </si>
  <si>
    <t>Hon. Gifty Klenam</t>
  </si>
  <si>
    <t>Boafo William Ofori</t>
  </si>
  <si>
    <t>Hon. Oppon Kusi</t>
  </si>
  <si>
    <t>Bryan Acheampong</t>
  </si>
  <si>
    <t>Anthony Adongo</t>
  </si>
  <si>
    <t>Hon. Samuel Ayeh-Paye</t>
  </si>
  <si>
    <t>Seth Kwame Acheampong</t>
  </si>
  <si>
    <t>Daniel Ntim Boateng</t>
  </si>
  <si>
    <t>Victor Biscoff Owusu Ahenkorah</t>
  </si>
  <si>
    <t>Kofi Okyere-Agyekum</t>
  </si>
  <si>
    <t>Susan A.A Mensah</t>
  </si>
  <si>
    <t>Robert Kwasi Amoah</t>
  </si>
  <si>
    <t>John Osei Frimpong</t>
  </si>
  <si>
    <t>Hon. Esther Obeng Dappah</t>
  </si>
  <si>
    <t>Kwasi Amoako-Atta</t>
  </si>
  <si>
    <t>Solomon Fordjour</t>
  </si>
  <si>
    <t>Yaw Owusu-Boateng</t>
  </si>
  <si>
    <t>Hon. William Agyapong Quaittoo</t>
  </si>
  <si>
    <t>Hon. J. B. Danquah</t>
  </si>
  <si>
    <t>Mercy Bampo Addo</t>
  </si>
  <si>
    <t>Henry Quartey</t>
  </si>
  <si>
    <t>REMARKS</t>
  </si>
  <si>
    <t>Yakubu Mahama Dubik</t>
  </si>
  <si>
    <t>Abu Adam</t>
  </si>
  <si>
    <t>Mohammed Hashim Abdallah</t>
  </si>
  <si>
    <t>Alhassan Yakubu Tali</t>
  </si>
  <si>
    <t>BUNKPURUGU/YUNYOO</t>
  </si>
  <si>
    <t>Jabong Minnyilia</t>
  </si>
  <si>
    <t>Wuni Yidana</t>
  </si>
  <si>
    <t>Sagre Bambangi</t>
  </si>
  <si>
    <t>Abukari Aminu Gariba</t>
  </si>
  <si>
    <t>Abdul-Karim Tahiru</t>
  </si>
  <si>
    <t>Rosemond C. Abbrah</t>
  </si>
  <si>
    <t>Amos Opei Kofi Okai</t>
  </si>
  <si>
    <t>Sara Adwoa Safo</t>
  </si>
  <si>
    <t>Hon. Irene Naa Addo</t>
  </si>
  <si>
    <t>Patrick Yaw Boamah</t>
  </si>
  <si>
    <t>Emmanuel Adjei Boye</t>
  </si>
  <si>
    <t>Ahmed Arthur</t>
  </si>
  <si>
    <t>Joseph Ayikoi Otoo</t>
  </si>
  <si>
    <t>Botchway Shirley Ayorkor</t>
  </si>
  <si>
    <t>Dr. Peter Akpe Ziddaa</t>
  </si>
  <si>
    <t>Derek Oduro</t>
  </si>
  <si>
    <t>Charles Cobbina</t>
  </si>
  <si>
    <t>Isaac Kwame Asiamah</t>
  </si>
  <si>
    <t>Hon. Kofi Frimpong</t>
  </si>
  <si>
    <t>Hon. Joseph Kwaku Nayan</t>
  </si>
  <si>
    <t>Abdallah Pegu Shamsudeen</t>
  </si>
  <si>
    <t>Baba Wahab</t>
  </si>
  <si>
    <t>Natoma Awusi Mahama</t>
  </si>
  <si>
    <t>Abudu Lariba Z</t>
  </si>
  <si>
    <t>Shani Shaibu</t>
  </si>
  <si>
    <t>Saeed Muhazu Jibril</t>
  </si>
  <si>
    <t>Abdulai Mohammed Saani</t>
  </si>
  <si>
    <t>Iddrisu Sunday</t>
  </si>
  <si>
    <t>Mufti Mohammed</t>
  </si>
  <si>
    <t>Mohammed Mumuni Cassiuos</t>
  </si>
  <si>
    <t>Isaac Boahen</t>
  </si>
  <si>
    <t>Boakye Evans Kwaku</t>
  </si>
  <si>
    <t>Francis Ofotsu Tyron</t>
  </si>
  <si>
    <t>John Kojo Agbotey</t>
  </si>
  <si>
    <t>Tawiah James Samuel Nii Adjei</t>
  </si>
  <si>
    <t>Afia Acheampong Maa Appiah</t>
  </si>
  <si>
    <t>Adda Joseph Kofi</t>
  </si>
  <si>
    <t>Anthony Marshall Arpoh</t>
  </si>
  <si>
    <t>Paul Dekyi</t>
  </si>
  <si>
    <t>Alex Agyekum</t>
  </si>
  <si>
    <t>Hon. Aidoo Joseph Boahen</t>
  </si>
  <si>
    <t>Charles Mensah</t>
  </si>
  <si>
    <t>Hon. Catherine A. Afeku</t>
  </si>
  <si>
    <t>Dr. Kwaku Afriyie</t>
  </si>
  <si>
    <t>Lawrence B.M. Ewomiah</t>
  </si>
  <si>
    <t>Mrs. Jane Edna Nyame Philips</t>
  </si>
  <si>
    <t>Dr. Eric Magnus Wilmot</t>
  </si>
  <si>
    <t>George Mireku Dukor</t>
  </si>
  <si>
    <t>Emmanuel Addai</t>
  </si>
  <si>
    <t>Emmanuel Adjei Domson</t>
  </si>
  <si>
    <t>Appiah Mensah</t>
  </si>
  <si>
    <t>Godwin Kofi Nkuawu</t>
  </si>
  <si>
    <t>Mohammed Salisu Baba</t>
  </si>
  <si>
    <t>Daniel Korsinah</t>
  </si>
  <si>
    <t>Comfort Akua Attah</t>
  </si>
  <si>
    <t>Nicholas Mawunyega Kwasi</t>
  </si>
  <si>
    <t>Ronald Fiakpui</t>
  </si>
  <si>
    <t>Janet Emefa Obro-Adibo</t>
  </si>
  <si>
    <t>Leo- Nelson Adzidogah</t>
  </si>
  <si>
    <t>Harry Afrim-Darko</t>
  </si>
  <si>
    <t>Leo Kwaku Baanjo-Klogo</t>
  </si>
  <si>
    <t>Jonathan M.K. Agbokpe</t>
  </si>
  <si>
    <t>Osei-Nti Douglas</t>
  </si>
  <si>
    <t>Pius Enam Hadzide</t>
  </si>
  <si>
    <t>Nafisa Shaibu</t>
  </si>
  <si>
    <t>John Bennam Jabaah</t>
  </si>
  <si>
    <t>Thomas Donkor Ogajah</t>
  </si>
  <si>
    <t>Peter Wuni</t>
  </si>
  <si>
    <t>Banmarigu Amos</t>
  </si>
  <si>
    <t>Akilu Sayibu</t>
  </si>
  <si>
    <t>Raphael Opoku Agyapong</t>
  </si>
  <si>
    <t>Yaw Ntow-Ababio</t>
  </si>
  <si>
    <t>Yaw Osei Boahen</t>
  </si>
  <si>
    <t>Abubakari Sidic</t>
  </si>
  <si>
    <t>Martha Boahemaa Baffoe</t>
  </si>
  <si>
    <t>Kwabena Appiah-Awuah</t>
  </si>
  <si>
    <t>Yaw Owusu-Brempong</t>
  </si>
  <si>
    <t>Joseph Kwabena Manu</t>
  </si>
  <si>
    <t>Stephen Jalulah</t>
  </si>
  <si>
    <t>Dr. Mrs. Lucy Acheampong</t>
  </si>
  <si>
    <t>Andrews Obour</t>
  </si>
  <si>
    <t>Ofori Amanfo Joseph</t>
  </si>
  <si>
    <t>Farizana Bintu Ibrahim</t>
  </si>
  <si>
    <t>Robert Sarfo-Mensah</t>
  </si>
  <si>
    <t>Yaw Adjei-Duffour</t>
  </si>
  <si>
    <t>Nana Antwi Eric</t>
  </si>
  <si>
    <t>Freda Prempeh</t>
  </si>
  <si>
    <t>Joe Danquah</t>
  </si>
  <si>
    <t>Yiadom Boakye-Boateng</t>
  </si>
  <si>
    <t>Osei Poku Cassius</t>
  </si>
  <si>
    <t>Nicholas Asamoah</t>
  </si>
  <si>
    <t>Solomon Oppong-Twumasi</t>
  </si>
  <si>
    <t>Prof. Christopher Ameyaw-Akumfi</t>
  </si>
  <si>
    <t>Benhazin Joseph Dahan</t>
  </si>
  <si>
    <t>Siaka Stevens</t>
  </si>
  <si>
    <t>Mumuni Sulemana</t>
  </si>
  <si>
    <t>Stephen Owusu Afriyie</t>
  </si>
  <si>
    <t>Reginald Niibi Ayi-Bote</t>
  </si>
  <si>
    <t>Nii Aja Wentum</t>
  </si>
  <si>
    <t>Adjei Lawrence Ibrahim Sowa</t>
  </si>
  <si>
    <t>Simon Teye Nartey</t>
  </si>
  <si>
    <t>Victor Yankson</t>
  </si>
  <si>
    <t>Michael Arthur Dadzie</t>
  </si>
  <si>
    <t>Christine Churcher</t>
  </si>
  <si>
    <t>Alfred Kojo Thompson</t>
  </si>
  <si>
    <t>Joseph Damtse</t>
  </si>
  <si>
    <t>Ken Ohene Agyapong</t>
  </si>
  <si>
    <t>Kofi Abbew Nkrumah</t>
  </si>
  <si>
    <t>Job Acquah Markin</t>
  </si>
  <si>
    <t>MFANTSEMAN EAST</t>
  </si>
  <si>
    <t>Francis Kingsley Ato Cudjoe</t>
  </si>
  <si>
    <t>Anthony Effah</t>
  </si>
  <si>
    <t xml:space="preserve">Godwyll Ansah </t>
  </si>
  <si>
    <t>Hon. John Agyabeng</t>
  </si>
  <si>
    <t>K.E.E.A</t>
  </si>
  <si>
    <t>Nana Ato Arthur</t>
  </si>
  <si>
    <t>Kingston K. Ebuako Atta</t>
  </si>
  <si>
    <t>David Forster -Forson</t>
  </si>
  <si>
    <t>Kojo Asemanyi</t>
  </si>
  <si>
    <t>Richard Sam Quarm</t>
  </si>
  <si>
    <t>Mcjewells J. Annan</t>
  </si>
  <si>
    <t>Oppey Abbey</t>
  </si>
  <si>
    <t>Patrick Kwabena Amoakoh</t>
  </si>
  <si>
    <t>Mrs. Mavis Hawa Koomson</t>
  </si>
  <si>
    <t>Benjamin Kofi Ayeh</t>
  </si>
  <si>
    <t>TWIFU/ATI/MORKWAA</t>
  </si>
  <si>
    <t>Abraham Dwuma Odoom</t>
  </si>
  <si>
    <t>Albert Ato Quainoo</t>
  </si>
  <si>
    <t>John Kobina Amissah</t>
  </si>
  <si>
    <t>Romeo Aboagye</t>
  </si>
  <si>
    <t>Bright Wireko-Brobbey</t>
  </si>
  <si>
    <t>Lawrence Agyinsam</t>
  </si>
  <si>
    <t>Hon. Benjamin Donkor Bimpong</t>
  </si>
  <si>
    <t>Hon. Samuel Obodai</t>
  </si>
  <si>
    <t>Frederick Ebo Selby</t>
  </si>
  <si>
    <t>Richard Andam</t>
  </si>
  <si>
    <t>Thomas Kwesi Asante</t>
  </si>
  <si>
    <t>Edwin Abakah Williams</t>
  </si>
  <si>
    <t>Abban Alexander Kodwo Kom</t>
  </si>
  <si>
    <t>Ralph Inkoom</t>
  </si>
  <si>
    <t>Stephen Asamoah Boateng</t>
  </si>
  <si>
    <t>Ken Stephen Anku</t>
  </si>
  <si>
    <t>Iddrisu Musah</t>
  </si>
  <si>
    <t>Yahuza Ismail</t>
  </si>
  <si>
    <t>Dr. Sulemana Adams Chanso</t>
  </si>
  <si>
    <t>Adams Olando Abudu</t>
  </si>
  <si>
    <t>Tahiru Issahaku Moomin</t>
  </si>
  <si>
    <t>Dr. R.D. Boye Bandie</t>
  </si>
  <si>
    <t>Adams Iddrisu</t>
  </si>
  <si>
    <t>Adams Nuhu Timbile</t>
  </si>
  <si>
    <t>Bayon Godfred Tangu</t>
  </si>
  <si>
    <t>Ahmed Al-Hassan Jangu</t>
  </si>
  <si>
    <t xml:space="preserve">Hadii Bawa </t>
  </si>
  <si>
    <t>Adjei-Yeboah Andrews</t>
  </si>
  <si>
    <t>Benjamin Kwabena Ochour</t>
  </si>
  <si>
    <t>Dr. Kwaku Osei-Akom</t>
  </si>
  <si>
    <t>Awudulai Razak</t>
  </si>
  <si>
    <t>Prince Yaw Donyina</t>
  </si>
  <si>
    <t>Kwaku Tuah Osei</t>
  </si>
  <si>
    <t>Oscar Nii Odoi Glover</t>
  </si>
  <si>
    <t>Samuel Bright Osei-Puni</t>
  </si>
  <si>
    <t>Benjamin Nii Ashaley Brown</t>
  </si>
  <si>
    <t>Charles Biney</t>
  </si>
  <si>
    <t>Hon. Daniel Christian Dugan</t>
  </si>
  <si>
    <t xml:space="preserve">Kofi Brako </t>
  </si>
  <si>
    <t>Agyemang Prempeh Ramsayer</t>
  </si>
  <si>
    <t>Victor Okuley Nortey</t>
  </si>
  <si>
    <t>Jonathan Korkwei Quaye</t>
  </si>
  <si>
    <t>Archibold M.A Cobbinah</t>
  </si>
  <si>
    <t>Stephen Stanley Quaye</t>
  </si>
  <si>
    <t>Obed Tawiah Mensah</t>
  </si>
  <si>
    <t>Dr. Mrs. Gladys Ashitey</t>
  </si>
  <si>
    <t>Teye Emmanuel Kingsford K.</t>
  </si>
  <si>
    <t xml:space="preserve">Hon. Adongo A. Thomas </t>
  </si>
  <si>
    <t>Seji Saji</t>
  </si>
  <si>
    <t>John Twumasi</t>
  </si>
  <si>
    <t>Hon. Isaac George Amoo</t>
  </si>
  <si>
    <t>Michael Omari Wadie</t>
  </si>
  <si>
    <t>Hon. Justice Joe Appiah</t>
  </si>
  <si>
    <t>Joseph K. Acolatse</t>
  </si>
  <si>
    <t>Jude Kansah</t>
  </si>
  <si>
    <t>Annan Philip</t>
  </si>
  <si>
    <t>Danso Simon Asamoah</t>
  </si>
  <si>
    <t>Paul Yeboah</t>
  </si>
  <si>
    <t>Angelina Baiden-Amissah</t>
  </si>
  <si>
    <t>Joseph C. Garbrah</t>
  </si>
  <si>
    <t>Samuel E. Abakah</t>
  </si>
  <si>
    <t>Ato Panford</t>
  </si>
  <si>
    <t>Grace Shomey Omaboe</t>
  </si>
  <si>
    <t>Joseph Kwaku Gyimah</t>
  </si>
  <si>
    <t>Augustus Ennin Attafuah</t>
  </si>
  <si>
    <t>Emmanuel Kwasi Asiedu</t>
  </si>
  <si>
    <t>Emmanuel K. Bokoe</t>
  </si>
  <si>
    <t>Ameyibor Freeman</t>
  </si>
  <si>
    <t>Ernest Yao Gaewu</t>
  </si>
  <si>
    <t>Patrick Opoku Appiah</t>
  </si>
  <si>
    <t>Charles Asomaning</t>
  </si>
  <si>
    <t>Kwaku Agyenim Boateng</t>
  </si>
  <si>
    <t>Alexander Afenyo-Markin</t>
  </si>
  <si>
    <t>Robert Osei Bonsu</t>
  </si>
  <si>
    <t>Oquaye Michael Aaron</t>
  </si>
  <si>
    <t>Nii Kutey Okaikoi</t>
  </si>
  <si>
    <t>Sheikh Ahmed Tackie</t>
  </si>
  <si>
    <t>Solomon Tettey Appiah</t>
  </si>
  <si>
    <t>Pearl Agyemang</t>
  </si>
  <si>
    <t>Kofi Ayisi Tete</t>
  </si>
  <si>
    <t>Alex Lovejoy Armah</t>
  </si>
  <si>
    <t>Sylvester Matthew Tetteh</t>
  </si>
  <si>
    <t>Ahmed Osumanu Halid</t>
  </si>
  <si>
    <t>Yusif Ahmed</t>
  </si>
  <si>
    <t>Ibrahim Issah</t>
  </si>
  <si>
    <t>James K. Ayiku</t>
  </si>
  <si>
    <t>Andrew Akwasi Agyapong</t>
  </si>
  <si>
    <t>Nana Ama Serwaa Nyarko</t>
  </si>
  <si>
    <t>John Owusu-Boadi</t>
  </si>
  <si>
    <t>Kwabena Appiah-Pinkrah</t>
  </si>
  <si>
    <t>Hon. Simon Osei-Mensah</t>
  </si>
  <si>
    <t>Seth Oduro</t>
  </si>
  <si>
    <t>Eugene Sackey</t>
  </si>
  <si>
    <t>Hon. Nana Amoakoh</t>
  </si>
  <si>
    <t>Rockson Bukari</t>
  </si>
  <si>
    <t>Kparib Peter</t>
  </si>
  <si>
    <t>Thomas B. Kparibo</t>
  </si>
  <si>
    <t>Emmanuel Abugre Abofe</t>
  </si>
  <si>
    <t>Sumaila Abdul-Rahman</t>
  </si>
  <si>
    <t>Imoro Sarko</t>
  </si>
  <si>
    <t>WESTERN  REGION</t>
  </si>
  <si>
    <t>CENTRAL  REGION</t>
  </si>
  <si>
    <t>NORTHERN  REGION</t>
  </si>
  <si>
    <t>BRONG AHAFO  REGION</t>
  </si>
  <si>
    <t>GREATER ACCRA  REGION</t>
  </si>
  <si>
    <t>UPPER EAST  REGION</t>
  </si>
  <si>
    <t>EASTERN REGION</t>
  </si>
  <si>
    <t>Betty Oppong</t>
  </si>
  <si>
    <t>Kwartey Emma Millicent</t>
  </si>
  <si>
    <t>Emmanuel K. Agyarko</t>
  </si>
  <si>
    <t>Mrs. Habib Abosore</t>
  </si>
  <si>
    <t>Dr. Demu Yakor Bawa</t>
  </si>
  <si>
    <t>BOLE/BAMBOI</t>
  </si>
  <si>
    <t>EFFIDUASE ASOKORE</t>
  </si>
  <si>
    <t>NSUTA KWAMANG</t>
  </si>
  <si>
    <t>Hon. Osei Kyei Mensah Bonsu</t>
  </si>
  <si>
    <t>Ohene K. Abu-Bonsra</t>
  </si>
  <si>
    <t>Dr. Owusu Afriyie Akoto</t>
  </si>
  <si>
    <t>Hon. Grace Addo</t>
  </si>
  <si>
    <t>Manu Stephen Kwaku Balado</t>
  </si>
  <si>
    <t>Kwame Asafu-Adjei</t>
  </si>
  <si>
    <t>Kwaku Ampratwum Sarpong</t>
  </si>
  <si>
    <t>Yeboah Henric David</t>
  </si>
  <si>
    <t>Elizabeth Agyeman</t>
  </si>
  <si>
    <t>Dr. Kojo Appiah- Kubi</t>
  </si>
  <si>
    <t>Hon. Kwame Owusu-Frimpong</t>
  </si>
  <si>
    <t>Mohammed Sasu Bamba</t>
  </si>
  <si>
    <t>Andy Appiah-Kubi</t>
  </si>
  <si>
    <t>Kwabena A. Nketiah-Sakyi</t>
  </si>
  <si>
    <t>Edmond Oppong-Peprah</t>
  </si>
  <si>
    <t>Gifty Ohene-Konadu</t>
  </si>
  <si>
    <t>Alhaji S.M. Shariff</t>
  </si>
  <si>
    <t>Nana Okyere Tawiah Antwi</t>
  </si>
  <si>
    <t>Hon. K.T Hammond</t>
  </si>
  <si>
    <t>Appiagyei Patricia</t>
  </si>
  <si>
    <t>Atta-Boafo Daniel Kingsley</t>
  </si>
  <si>
    <t>Kwakye Adeefe Ben</t>
  </si>
  <si>
    <t>John Owusu</t>
  </si>
  <si>
    <t>Hon. Nana Abu-Bonsra</t>
  </si>
  <si>
    <t>Peter Kwame Abebrese</t>
  </si>
  <si>
    <t>Dr. Richard W. Anane</t>
  </si>
  <si>
    <t>Juliana Addo Yobo</t>
  </si>
  <si>
    <t>Makafui Kofi Woanya</t>
  </si>
  <si>
    <t>David Dickson Dzorkpe</t>
  </si>
  <si>
    <t>Afful Kennedy Isaac</t>
  </si>
  <si>
    <t>Kwabena Boahen Philip</t>
  </si>
  <si>
    <t>Rev. Paulive Assuah</t>
  </si>
  <si>
    <t>REMARK</t>
  </si>
  <si>
    <t>ASHANTI REGION</t>
  </si>
  <si>
    <t>Recommended to contest</t>
  </si>
  <si>
    <t>PROFESSION</t>
  </si>
  <si>
    <t>Lawyer</t>
  </si>
  <si>
    <t>Head Teacher</t>
  </si>
  <si>
    <t>Dr. Archibald Y. Letsa</t>
  </si>
  <si>
    <t>Moses Mensah Asem</t>
  </si>
  <si>
    <t>PHD MARKETING</t>
  </si>
  <si>
    <t>MP/MBA</t>
  </si>
  <si>
    <t>GOVERNANCE EXPERT</t>
  </si>
  <si>
    <t>MP/EMBA</t>
  </si>
  <si>
    <t>POLICY ANALYST</t>
  </si>
  <si>
    <t>MSC AGRIC.</t>
  </si>
  <si>
    <t>LAWYER</t>
  </si>
  <si>
    <t xml:space="preserve">PHD-PLANNER </t>
  </si>
  <si>
    <t>Dr. Thomas Fokuo Agyapong</t>
  </si>
  <si>
    <t>CIVIL SERVANT</t>
  </si>
  <si>
    <t>Recommended to contest.</t>
  </si>
  <si>
    <t>Unopposed</t>
  </si>
  <si>
    <t>Hon. Kwame Ampofo-Twumasi</t>
  </si>
  <si>
    <t>Gifty Aakosah</t>
  </si>
  <si>
    <t>Opoku Bobie Evans</t>
  </si>
  <si>
    <t>Recommendede to contest</t>
  </si>
  <si>
    <t>Kwasi Bonzo</t>
  </si>
  <si>
    <t>David Leo Nkoah</t>
  </si>
  <si>
    <t>SUAMAN</t>
  </si>
  <si>
    <t>Kingsley Aboagye Gyedu</t>
  </si>
  <si>
    <t>Hon. Godfred Ako-Nai</t>
  </si>
  <si>
    <t>Dr. Edward Nana Codjoe</t>
  </si>
  <si>
    <t>Fred Oscar Abban</t>
  </si>
  <si>
    <t>Kofi Appiah Koranteng</t>
  </si>
  <si>
    <t>Kwabena Adjei Seffah</t>
  </si>
  <si>
    <t>Unoppoesed</t>
  </si>
  <si>
    <t>Lawyer Poku Adusei</t>
  </si>
  <si>
    <t>Hon. Emmanuel K. Gyamfi</t>
  </si>
  <si>
    <t>Hon. Kwame Anyimadu Antwi</t>
  </si>
  <si>
    <t>Samuel Anyang Kusi</t>
  </si>
  <si>
    <t>Accountant</t>
  </si>
  <si>
    <t>Shipping Agent</t>
  </si>
  <si>
    <t>Medical Practitioner</t>
  </si>
  <si>
    <t>Finance Administrator</t>
  </si>
  <si>
    <t>Micheal Abdulai Akor</t>
  </si>
  <si>
    <t>Miss Amina Seidu</t>
  </si>
  <si>
    <t>Namoro Sanda Azumah</t>
  </si>
  <si>
    <t>Timothy Koki Faal</t>
  </si>
  <si>
    <t>Wumbei Abdulai</t>
  </si>
  <si>
    <t>Rita Tani Iddi</t>
  </si>
  <si>
    <t>Jawol Binapadam Abraham</t>
  </si>
  <si>
    <t>Dr. Haroon Majeed</t>
  </si>
  <si>
    <t>Gifty Samata Bukari</t>
  </si>
  <si>
    <t>Abdul Hussein Ishaq</t>
  </si>
  <si>
    <t>Alhaji Mohammed Habib Tijani</t>
  </si>
  <si>
    <t>Elizabeth Pijit  Poyari</t>
  </si>
  <si>
    <t>Wahab Suyihini Wumbei</t>
  </si>
  <si>
    <t>Iddrisu Muntar</t>
  </si>
  <si>
    <t>Yakubu Zakaria</t>
  </si>
  <si>
    <t>Imoro Issahaku Jamal</t>
  </si>
  <si>
    <t>REGION</t>
  </si>
  <si>
    <t>NO. OF ASPIRANTS</t>
  </si>
  <si>
    <t>UNOPPOSED CONSTITUENCIES</t>
  </si>
  <si>
    <t>YET TO BE CONDUCTED</t>
  </si>
  <si>
    <t>ASHANTI</t>
  </si>
  <si>
    <t>B/A</t>
  </si>
  <si>
    <t>CENTRAL</t>
  </si>
  <si>
    <t>EASTERN</t>
  </si>
  <si>
    <t>GT. ACCRA</t>
  </si>
  <si>
    <t>NORTHERN</t>
  </si>
  <si>
    <t>UPPER EAST</t>
  </si>
  <si>
    <t>UPPER WEST</t>
  </si>
  <si>
    <t>VOLTA</t>
  </si>
  <si>
    <t>WESTERN</t>
  </si>
  <si>
    <t>Dormaa west, Jaman south, Tano South, Asunafo South,</t>
  </si>
  <si>
    <t>Nkoranza south, Berekum, Sunyani East, Wenchi, Tech/North</t>
  </si>
  <si>
    <t>Jaman North</t>
  </si>
  <si>
    <t>TOTAL</t>
  </si>
  <si>
    <t>Assin North, Agona East, Mfantseman East, KEEA, Ati Morkwa</t>
  </si>
  <si>
    <t>Abuakwa South, Atiwa, Okere, Akwatia, Upper West Akim</t>
  </si>
  <si>
    <t>Afram Plains North</t>
  </si>
  <si>
    <t>Bawku Central, Bongo, Talensi, Zebilla, Builsa South</t>
  </si>
  <si>
    <t>Lambussie, Lawra, Nadowli East, Wa East, Nadowli West, Wa West</t>
  </si>
  <si>
    <t>Savelugu</t>
  </si>
  <si>
    <t>Anlo, Ketu South, Ho East, Ho Central, Ho West, Avenor-Ave, South Dayi</t>
  </si>
  <si>
    <t>Effia Kwasimintim, Essikado/Ketan, Amenfi East, Evalue Gwira, Bibiani/A/B</t>
  </si>
  <si>
    <t>Sefwi Wiawso, Jomoro &amp; Ellembele</t>
  </si>
  <si>
    <t>N/A</t>
  </si>
  <si>
    <t>NO.</t>
  </si>
  <si>
    <t>NUMBER OF ASPIRANTS ACROSS THE COUNTRY FOR NPP's PARLIAMENTARY PRIMARIES</t>
  </si>
  <si>
    <t xml:space="preserve">Suame, Old Tafo, Subin, Offinso South, Akrofrom, </t>
  </si>
  <si>
    <t>Lt. Col. Ababio Serebour (Rtd)</t>
  </si>
  <si>
    <t>Unoppsed</t>
  </si>
  <si>
    <t xml:space="preserve">Recommended to contest </t>
  </si>
  <si>
    <t>Gariba Iddi</t>
  </si>
  <si>
    <t>Winston Binabiba</t>
  </si>
  <si>
    <t>Dr. Henrietta Abane (Mrs.)</t>
  </si>
  <si>
    <t>Dr. Kobina Arthur Kennedy</t>
  </si>
  <si>
    <t>Mrs. Cynthia Morrison</t>
  </si>
  <si>
    <t>John Kwasi Sagoe</t>
  </si>
  <si>
    <t>DCOP Daniel Odai</t>
  </si>
  <si>
    <t>Ebenezer Nartey</t>
  </si>
  <si>
    <t xml:space="preserve">Moses Anim </t>
  </si>
  <si>
    <t>Addo Edward Lincoln Adotei</t>
  </si>
  <si>
    <t>Seth Alfred Ankrah</t>
  </si>
  <si>
    <t>Diana A. Aburiya Asuure</t>
  </si>
  <si>
    <t>Ada, Sege, Ningo-Prampram, Shai-Osudoku &amp; Tema West</t>
  </si>
  <si>
    <t>Rev. Vincent A. Addo</t>
  </si>
  <si>
    <t>Dr. Matthew Opoku Prempeh</t>
  </si>
  <si>
    <t>Marlon Anipa</t>
  </si>
  <si>
    <t>ON HOLD</t>
  </si>
  <si>
    <t>Abdul Samed Gunu</t>
  </si>
  <si>
    <t>Bimbilla, Nanton, Yapei/Kusawgu, Salaga, Zabzugu/Tatale, Savelugu</t>
  </si>
  <si>
    <t>Central Tongu, Ketu North, Buem, Hohoe South &amp; Nkwanta North</t>
  </si>
  <si>
    <t>EFFIA KWESIMINTIM</t>
  </si>
  <si>
    <t>CONSTITUENCIES</t>
  </si>
  <si>
    <t>Bekwai, Bosome-Freho</t>
  </si>
  <si>
    <t>Zebilla</t>
  </si>
  <si>
    <t>Obom-Domeabra</t>
  </si>
  <si>
    <t>Jirapa, Sissala East, Sissala West</t>
  </si>
  <si>
    <t>Nkawkaw</t>
  </si>
  <si>
    <t>Mr. Moore Zonyrah</t>
  </si>
  <si>
    <t>Agbagidi Seth Marriot</t>
  </si>
  <si>
    <t>Alex Vordzorgde</t>
  </si>
  <si>
    <t>Charles Tetteh</t>
  </si>
  <si>
    <t>Adansi Asokwa  &amp; Offinso North</t>
  </si>
  <si>
    <t>Kwabena Amofa-Sarpong</t>
  </si>
  <si>
    <t>Kyei Barfour De-Graft</t>
  </si>
  <si>
    <t>RESULTS</t>
  </si>
  <si>
    <t>%</t>
  </si>
  <si>
    <t>VOTES</t>
  </si>
  <si>
    <t>Dametia Mensah</t>
  </si>
  <si>
    <t xml:space="preserve">Abraham </t>
  </si>
  <si>
    <t>Samuel Tika Yeyu</t>
  </si>
  <si>
    <t>PROVISIONAL RESULTS</t>
  </si>
  <si>
    <t>PROVISIONAL RESULT</t>
  </si>
  <si>
    <t>Results</t>
  </si>
  <si>
    <t>Charles Bintim</t>
  </si>
  <si>
    <t>VOLTA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</si>
</sst>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43" fontId="0" fillId="0" borderId="0" xfId="1" applyFont="1" applyAlignment="1">
      <alignment horizontal="center"/>
    </xf>
    <xf numFmtId="43" fontId="0" fillId="0" borderId="0" xfId="1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3" fontId="8" fillId="0" borderId="1" xfId="1" applyFont="1" applyBorder="1"/>
    <xf numFmtId="43" fontId="8" fillId="0" borderId="1" xfId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3" fontId="3" fillId="0" borderId="1" xfId="1" applyFont="1" applyBorder="1"/>
    <xf numFmtId="43" fontId="3" fillId="0" borderId="1" xfId="1" applyFont="1" applyBorder="1" applyAlignment="1">
      <alignment horizontal="center"/>
    </xf>
    <xf numFmtId="43" fontId="3" fillId="0" borderId="1" xfId="1" applyFont="1" applyBorder="1" applyAlignment="1"/>
    <xf numFmtId="43" fontId="8" fillId="0" borderId="1" xfId="1" applyFont="1" applyBorder="1" applyAlignment="1"/>
    <xf numFmtId="15" fontId="3" fillId="0" borderId="1" xfId="0" applyNumberFormat="1" applyFont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3" fontId="4" fillId="0" borderId="0" xfId="1" applyFont="1" applyAlignment="1">
      <alignment horizontal="center"/>
    </xf>
    <xf numFmtId="0" fontId="3" fillId="0" borderId="1" xfId="0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4" fillId="0" borderId="0" xfId="0" applyFont="1"/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/>
    <xf numFmtId="43" fontId="5" fillId="0" borderId="1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Fill="1" applyBorder="1"/>
    <xf numFmtId="0" fontId="5" fillId="0" borderId="0" xfId="0" applyFont="1" applyBorder="1"/>
    <xf numFmtId="0" fontId="5" fillId="0" borderId="2" xfId="0" applyFont="1" applyBorder="1"/>
    <xf numFmtId="0" fontId="4" fillId="0" borderId="2" xfId="0" applyFont="1" applyBorder="1"/>
    <xf numFmtId="0" fontId="7" fillId="0" borderId="1" xfId="0" applyFont="1" applyBorder="1" applyAlignment="1">
      <alignment horizontal="center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4" fillId="0" borderId="1" xfId="1" applyFont="1" applyBorder="1"/>
    <xf numFmtId="1" fontId="4" fillId="0" borderId="1" xfId="1" applyNumberFormat="1" applyFont="1" applyBorder="1"/>
    <xf numFmtId="1" fontId="5" fillId="0" borderId="1" xfId="1" applyNumberFormat="1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9" fontId="3" fillId="0" borderId="1" xfId="2" applyFont="1" applyBorder="1"/>
    <xf numFmtId="0" fontId="3" fillId="0" borderId="1" xfId="0" applyFont="1" applyBorder="1" applyAlignment="1">
      <alignment horizontal="right"/>
    </xf>
    <xf numFmtId="0" fontId="8" fillId="0" borderId="1" xfId="0" applyFont="1" applyBorder="1" applyAlignment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9" fontId="6" fillId="0" borderId="1" xfId="2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9" fontId="4" fillId="0" borderId="1" xfId="2" applyFont="1" applyBorder="1"/>
    <xf numFmtId="9" fontId="0" fillId="0" borderId="1" xfId="2" applyFont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9" fontId="4" fillId="0" borderId="1" xfId="2" applyFont="1" applyBorder="1" applyAlignment="1"/>
    <xf numFmtId="43" fontId="4" fillId="0" borderId="1" xfId="1" applyFont="1" applyBorder="1" applyAlignment="1"/>
    <xf numFmtId="1" fontId="0" fillId="0" borderId="0" xfId="1" applyNumberFormat="1" applyFont="1"/>
    <xf numFmtId="0" fontId="0" fillId="0" borderId="0" xfId="0" applyAlignment="1">
      <alignment horizontal="left"/>
    </xf>
    <xf numFmtId="0" fontId="14" fillId="0" borderId="1" xfId="0" applyFont="1" applyBorder="1" applyAlignment="1"/>
    <xf numFmtId="0" fontId="14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14" fillId="0" borderId="1" xfId="0" applyFont="1" applyBorder="1"/>
    <xf numFmtId="9" fontId="14" fillId="0" borderId="1" xfId="2" applyFont="1" applyBorder="1"/>
    <xf numFmtId="9" fontId="13" fillId="0" borderId="1" xfId="2" applyFont="1" applyBorder="1"/>
    <xf numFmtId="0" fontId="8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view="pageBreakPreview" zoomScale="60" workbookViewId="0">
      <selection activeCell="C18" sqref="C18"/>
    </sheetView>
  </sheetViews>
  <sheetFormatPr defaultRowHeight="21" x14ac:dyDescent="0.35"/>
  <cols>
    <col min="1" max="1" width="15.5703125" style="21" bestFit="1" customWidth="1"/>
    <col min="2" max="2" width="47.7109375" style="21" bestFit="1" customWidth="1"/>
    <col min="3" max="3" width="85.5703125" style="17" bestFit="1" customWidth="1"/>
    <col min="4" max="4" width="9" style="21" bestFit="1" customWidth="1"/>
    <col min="5" max="5" width="11.85546875" style="21" bestFit="1" customWidth="1"/>
    <col min="6" max="6" width="12.7109375" style="20" bestFit="1" customWidth="1"/>
    <col min="7" max="7" width="17" style="20" bestFit="1" customWidth="1"/>
    <col min="8" max="8" width="6.140625" style="21" bestFit="1" customWidth="1"/>
    <col min="9" max="9" width="5.85546875" style="21" bestFit="1" customWidth="1"/>
    <col min="10" max="10" width="18.42578125" style="23" bestFit="1" customWidth="1"/>
    <col min="11" max="11" width="22.7109375" style="24" bestFit="1" customWidth="1"/>
    <col min="12" max="12" width="18.42578125" style="23" bestFit="1" customWidth="1"/>
    <col min="13" max="13" width="18.42578125" style="22" bestFit="1" customWidth="1"/>
    <col min="14" max="14" width="111.85546875" style="21" bestFit="1" customWidth="1"/>
    <col min="15" max="16384" width="9.140625" style="20"/>
  </cols>
  <sheetData>
    <row r="1" spans="1:14" ht="17.25" customHeight="1" x14ac:dyDescent="0.35"/>
    <row r="2" spans="1:14" ht="18.75" customHeight="1" x14ac:dyDescent="0.35"/>
    <row r="3" spans="1:14" s="16" customFormat="1" x14ac:dyDescent="0.35">
      <c r="A3" s="17"/>
      <c r="B3" s="17"/>
      <c r="C3" s="17"/>
      <c r="D3" s="87"/>
      <c r="E3" s="87"/>
      <c r="F3" s="87"/>
      <c r="G3" s="87"/>
      <c r="H3" s="87"/>
      <c r="I3" s="87"/>
      <c r="J3" s="19"/>
      <c r="K3" s="25"/>
      <c r="L3" s="19"/>
      <c r="M3" s="18"/>
      <c r="N3" s="17"/>
    </row>
    <row r="4" spans="1:14" s="17" customFormat="1" x14ac:dyDescent="0.35">
      <c r="J4" s="19"/>
      <c r="K4" s="25"/>
      <c r="L4" s="19"/>
      <c r="M4" s="19"/>
    </row>
    <row r="5" spans="1:14" s="16" customFormat="1" x14ac:dyDescent="0.35">
      <c r="A5" s="17"/>
      <c r="B5" s="17"/>
      <c r="C5" s="17"/>
      <c r="D5" s="17"/>
      <c r="E5" s="17"/>
      <c r="H5" s="17"/>
      <c r="I5" s="17"/>
      <c r="J5" s="19"/>
      <c r="K5" s="25"/>
      <c r="L5" s="19"/>
      <c r="M5" s="19"/>
      <c r="N5" s="17"/>
    </row>
    <row r="6" spans="1:14" x14ac:dyDescent="0.35">
      <c r="G6" s="17"/>
    </row>
    <row r="7" spans="1:14" x14ac:dyDescent="0.35">
      <c r="A7" s="26"/>
    </row>
    <row r="8" spans="1:14" x14ac:dyDescent="0.35">
      <c r="A8" s="26"/>
    </row>
    <row r="12" spans="1:14" x14ac:dyDescent="0.35">
      <c r="G12" s="17"/>
    </row>
    <row r="18" spans="1:7" x14ac:dyDescent="0.35">
      <c r="G18" s="17"/>
    </row>
    <row r="19" spans="1:7" x14ac:dyDescent="0.35">
      <c r="A19" s="26"/>
    </row>
    <row r="22" spans="1:7" x14ac:dyDescent="0.35">
      <c r="A22" s="26"/>
    </row>
    <row r="24" spans="1:7" x14ac:dyDescent="0.35">
      <c r="G24" s="17"/>
    </row>
    <row r="25" spans="1:7" x14ac:dyDescent="0.35">
      <c r="A25" s="26"/>
    </row>
    <row r="29" spans="1:7" x14ac:dyDescent="0.35">
      <c r="G29" s="17"/>
    </row>
    <row r="31" spans="1:7" x14ac:dyDescent="0.35">
      <c r="A31" s="26"/>
    </row>
    <row r="36" spans="7:7" x14ac:dyDescent="0.35">
      <c r="G36" s="17"/>
    </row>
    <row r="42" spans="7:7" x14ac:dyDescent="0.35">
      <c r="G42" s="17"/>
    </row>
    <row r="47" spans="7:7" x14ac:dyDescent="0.35">
      <c r="G47" s="17"/>
    </row>
    <row r="49" spans="1:7" x14ac:dyDescent="0.35">
      <c r="A49" s="26"/>
    </row>
    <row r="51" spans="1:7" x14ac:dyDescent="0.35">
      <c r="A51" s="26"/>
    </row>
    <row r="53" spans="1:7" x14ac:dyDescent="0.35">
      <c r="G53" s="17"/>
    </row>
    <row r="55" spans="1:7" x14ac:dyDescent="0.35">
      <c r="A55" s="26"/>
    </row>
    <row r="56" spans="1:7" x14ac:dyDescent="0.35">
      <c r="A56" s="26"/>
    </row>
    <row r="60" spans="1:7" x14ac:dyDescent="0.35">
      <c r="G60" s="17"/>
    </row>
    <row r="65" spans="1:14" x14ac:dyDescent="0.35">
      <c r="G65" s="17"/>
    </row>
    <row r="67" spans="1:14" x14ac:dyDescent="0.35">
      <c r="A67" s="26"/>
    </row>
    <row r="68" spans="1:14" x14ac:dyDescent="0.35">
      <c r="A68" s="26"/>
    </row>
    <row r="69" spans="1:14" x14ac:dyDescent="0.35">
      <c r="A69" s="26"/>
    </row>
    <row r="71" spans="1:14" x14ac:dyDescent="0.35">
      <c r="N71" s="27"/>
    </row>
    <row r="72" spans="1:14" x14ac:dyDescent="0.35">
      <c r="G72" s="17"/>
    </row>
    <row r="76" spans="1:14" x14ac:dyDescent="0.35">
      <c r="A76" s="26"/>
    </row>
    <row r="80" spans="1:14" x14ac:dyDescent="0.35">
      <c r="A80" s="26"/>
    </row>
    <row r="91" spans="1:1" x14ac:dyDescent="0.35">
      <c r="A91" s="26"/>
    </row>
    <row r="92" spans="1:1" ht="27.75" customHeight="1" x14ac:dyDescent="0.35">
      <c r="A92" s="26"/>
    </row>
    <row r="93" spans="1:1" x14ac:dyDescent="0.35">
      <c r="A93" s="26"/>
    </row>
    <row r="97" spans="1:1" x14ac:dyDescent="0.35">
      <c r="A97" s="26"/>
    </row>
    <row r="103" spans="1:1" x14ac:dyDescent="0.35">
      <c r="A103" s="26"/>
    </row>
    <row r="104" spans="1:1" x14ac:dyDescent="0.35">
      <c r="A104" s="26"/>
    </row>
    <row r="109" spans="1:1" x14ac:dyDescent="0.35">
      <c r="A109" s="26"/>
    </row>
    <row r="110" spans="1:1" x14ac:dyDescent="0.35">
      <c r="A110" s="26"/>
    </row>
    <row r="117" spans="1:1" x14ac:dyDescent="0.35">
      <c r="A117" s="26"/>
    </row>
    <row r="121" spans="1:1" x14ac:dyDescent="0.35">
      <c r="A121" s="26"/>
    </row>
    <row r="123" spans="1:1" x14ac:dyDescent="0.35">
      <c r="A123" s="26"/>
    </row>
    <row r="127" spans="1:1" x14ac:dyDescent="0.35">
      <c r="A127" s="26"/>
    </row>
    <row r="128" spans="1:1" x14ac:dyDescent="0.35">
      <c r="A128" s="26"/>
    </row>
    <row r="139" spans="1:1" x14ac:dyDescent="0.35">
      <c r="A139" s="26"/>
    </row>
    <row r="140" spans="1:1" x14ac:dyDescent="0.35">
      <c r="A140" s="26"/>
    </row>
    <row r="141" spans="1:1" x14ac:dyDescent="0.35">
      <c r="A141" s="26"/>
    </row>
    <row r="157" spans="1:1" x14ac:dyDescent="0.35">
      <c r="A157" s="26"/>
    </row>
    <row r="158" spans="1:1" x14ac:dyDescent="0.35">
      <c r="A158" s="26"/>
    </row>
    <row r="159" spans="1:1" x14ac:dyDescent="0.35">
      <c r="A159" s="26"/>
    </row>
    <row r="164" spans="1:1" x14ac:dyDescent="0.35">
      <c r="A164" s="26"/>
    </row>
    <row r="169" spans="1:1" x14ac:dyDescent="0.35">
      <c r="A169" s="26"/>
    </row>
    <row r="184" spans="1:1" x14ac:dyDescent="0.35">
      <c r="A184" s="26"/>
    </row>
    <row r="187" spans="1:1" x14ac:dyDescent="0.35">
      <c r="A187" s="26"/>
    </row>
    <row r="193" spans="1:1" x14ac:dyDescent="0.35">
      <c r="A193" s="26"/>
    </row>
    <row r="199" spans="1:1" x14ac:dyDescent="0.35">
      <c r="A199" s="26"/>
    </row>
    <row r="211" spans="1:1" x14ac:dyDescent="0.35">
      <c r="A211" s="26"/>
    </row>
    <row r="217" spans="1:1" x14ac:dyDescent="0.35">
      <c r="A217" s="26"/>
    </row>
    <row r="238" spans="1:1" x14ac:dyDescent="0.35">
      <c r="A238" s="26"/>
    </row>
    <row r="242" spans="10:13" x14ac:dyDescent="0.35">
      <c r="J242" s="19"/>
      <c r="K242" s="25"/>
      <c r="L242" s="19"/>
      <c r="M242" s="18"/>
    </row>
  </sheetData>
  <mergeCells count="3">
    <mergeCell ref="D3:E3"/>
    <mergeCell ref="F3:G3"/>
    <mergeCell ref="H3:I3"/>
  </mergeCells>
  <pageMargins left="0.7" right="0.7" top="0.75" bottom="0.75" header="0.3" footer="0.3"/>
  <pageSetup paperSize="9" scale="2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view="pageBreakPreview" topLeftCell="A82" zoomScale="60" workbookViewId="0">
      <selection activeCell="A2" sqref="A2:D108"/>
    </sheetView>
  </sheetViews>
  <sheetFormatPr defaultRowHeight="18.75" x14ac:dyDescent="0.3"/>
  <cols>
    <col min="1" max="1" width="43.7109375" style="5" customWidth="1"/>
    <col min="2" max="2" width="43.5703125" style="4" hidden="1" customWidth="1"/>
    <col min="3" max="3" width="14.140625" style="4" customWidth="1"/>
    <col min="4" max="16384" width="9.140625" style="4"/>
  </cols>
  <sheetData>
    <row r="1" spans="1:4" x14ac:dyDescent="0.3">
      <c r="A1" s="107" t="s">
        <v>816</v>
      </c>
      <c r="B1" s="108"/>
      <c r="C1" s="108"/>
      <c r="D1" s="109"/>
    </row>
    <row r="2" spans="1:4" ht="28.5" x14ac:dyDescent="0.45">
      <c r="A2" s="115" t="s">
        <v>638</v>
      </c>
      <c r="B2" s="116"/>
      <c r="C2" s="116"/>
      <c r="D2" s="117"/>
    </row>
    <row r="3" spans="1:4" s="5" customFormat="1" ht="21" x14ac:dyDescent="0.35">
      <c r="A3" s="34"/>
      <c r="B3" s="34" t="s">
        <v>405</v>
      </c>
    </row>
    <row r="4" spans="1:4" s="5" customFormat="1" ht="21" x14ac:dyDescent="0.35">
      <c r="A4" s="34"/>
      <c r="B4" s="34"/>
    </row>
    <row r="5" spans="1:4" s="5" customFormat="1" ht="21" x14ac:dyDescent="0.35">
      <c r="A5" s="34"/>
      <c r="B5" s="34"/>
    </row>
    <row r="6" spans="1:4" ht="21" x14ac:dyDescent="0.35">
      <c r="A6" s="30" t="s">
        <v>369</v>
      </c>
      <c r="B6" s="20"/>
      <c r="C6" s="4" t="s">
        <v>810</v>
      </c>
      <c r="D6" s="4" t="s">
        <v>811</v>
      </c>
    </row>
    <row r="7" spans="1:4" ht="21" x14ac:dyDescent="0.35">
      <c r="A7" s="37" t="s">
        <v>540</v>
      </c>
      <c r="B7" s="20" t="s">
        <v>686</v>
      </c>
      <c r="C7" s="4">
        <v>133</v>
      </c>
      <c r="D7" s="72">
        <f>C7/569</f>
        <v>0.23374340949033393</v>
      </c>
    </row>
    <row r="8" spans="1:4" ht="21" x14ac:dyDescent="0.35">
      <c r="A8" s="37" t="s">
        <v>461</v>
      </c>
      <c r="B8" s="20" t="s">
        <v>686</v>
      </c>
      <c r="C8" s="4">
        <v>28</v>
      </c>
      <c r="D8" s="72">
        <f t="shared" ref="D8:D10" si="0">C8/569</f>
        <v>4.9209138840070298E-2</v>
      </c>
    </row>
    <row r="9" spans="1:4" ht="21" x14ac:dyDescent="0.35">
      <c r="A9" s="37" t="s">
        <v>538</v>
      </c>
      <c r="B9" s="20" t="s">
        <v>686</v>
      </c>
      <c r="C9" s="4">
        <v>284</v>
      </c>
      <c r="D9" s="72">
        <f t="shared" si="0"/>
        <v>0.49912126537785589</v>
      </c>
    </row>
    <row r="10" spans="1:4" ht="21" x14ac:dyDescent="0.35">
      <c r="A10" s="37" t="s">
        <v>539</v>
      </c>
      <c r="B10" s="20" t="s">
        <v>686</v>
      </c>
      <c r="C10" s="4">
        <v>124</v>
      </c>
      <c r="D10" s="72">
        <f t="shared" si="0"/>
        <v>0.2179261862917399</v>
      </c>
    </row>
    <row r="11" spans="1:4" ht="21" x14ac:dyDescent="0.35">
      <c r="A11" s="30"/>
      <c r="B11" s="20"/>
      <c r="C11" s="4">
        <f>SUM(C7:C10)</f>
        <v>569</v>
      </c>
    </row>
    <row r="12" spans="1:4" ht="21" x14ac:dyDescent="0.35">
      <c r="A12" s="30"/>
      <c r="B12" s="20"/>
    </row>
    <row r="13" spans="1:4" ht="21" x14ac:dyDescent="0.35">
      <c r="A13" s="30" t="s">
        <v>347</v>
      </c>
      <c r="B13" s="20"/>
    </row>
    <row r="14" spans="1:4" ht="21" x14ac:dyDescent="0.35">
      <c r="A14" s="37" t="s">
        <v>514</v>
      </c>
      <c r="B14" s="20" t="s">
        <v>686</v>
      </c>
      <c r="C14" s="4">
        <v>148</v>
      </c>
      <c r="D14" s="72">
        <f>C14/624</f>
        <v>0.23717948717948717</v>
      </c>
    </row>
    <row r="15" spans="1:4" ht="21" x14ac:dyDescent="0.35">
      <c r="A15" s="37" t="s">
        <v>515</v>
      </c>
      <c r="B15" s="20" t="s">
        <v>686</v>
      </c>
      <c r="C15" s="4">
        <v>198</v>
      </c>
      <c r="D15" s="72">
        <f t="shared" ref="D15:D18" si="1">C15/624</f>
        <v>0.31730769230769229</v>
      </c>
    </row>
    <row r="16" spans="1:4" ht="21" x14ac:dyDescent="0.35">
      <c r="A16" s="37" t="s">
        <v>778</v>
      </c>
      <c r="B16" s="20" t="s">
        <v>686</v>
      </c>
      <c r="C16" s="4">
        <v>163</v>
      </c>
      <c r="D16" s="72">
        <f t="shared" si="1"/>
        <v>0.26121794871794873</v>
      </c>
    </row>
    <row r="17" spans="1:4" ht="21" x14ac:dyDescent="0.35">
      <c r="A17" s="37" t="s">
        <v>513</v>
      </c>
      <c r="B17" s="20" t="s">
        <v>686</v>
      </c>
      <c r="C17" s="4">
        <v>92</v>
      </c>
      <c r="D17" s="72">
        <f t="shared" si="1"/>
        <v>0.14743589743589744</v>
      </c>
    </row>
    <row r="18" spans="1:4" ht="21" x14ac:dyDescent="0.35">
      <c r="A18" s="37" t="s">
        <v>781</v>
      </c>
      <c r="B18" s="20" t="s">
        <v>686</v>
      </c>
      <c r="C18" s="4">
        <v>23</v>
      </c>
      <c r="D18" s="72">
        <f t="shared" si="1"/>
        <v>3.685897435897436E-2</v>
      </c>
    </row>
    <row r="19" spans="1:4" ht="21" x14ac:dyDescent="0.35">
      <c r="A19" s="30"/>
      <c r="B19" s="20"/>
      <c r="C19" s="4">
        <f>SUM(C14:C18)</f>
        <v>624</v>
      </c>
    </row>
    <row r="20" spans="1:4" ht="21" x14ac:dyDescent="0.35">
      <c r="A20" s="30"/>
      <c r="B20" s="20"/>
    </row>
    <row r="21" spans="1:4" ht="21" x14ac:dyDescent="0.35">
      <c r="A21" s="30" t="s">
        <v>348</v>
      </c>
      <c r="B21" s="20"/>
    </row>
    <row r="22" spans="1:4" ht="21" x14ac:dyDescent="0.35">
      <c r="A22" s="37" t="s">
        <v>368</v>
      </c>
      <c r="B22" s="20" t="s">
        <v>686</v>
      </c>
      <c r="C22" s="4">
        <v>363</v>
      </c>
      <c r="D22" s="72">
        <f>C22/489</f>
        <v>0.74233128834355833</v>
      </c>
    </row>
    <row r="23" spans="1:4" ht="21" x14ac:dyDescent="0.35">
      <c r="A23" s="37" t="s">
        <v>516</v>
      </c>
      <c r="B23" s="20" t="s">
        <v>686</v>
      </c>
      <c r="C23" s="4">
        <v>126</v>
      </c>
      <c r="D23" s="72">
        <f>C23/489</f>
        <v>0.25766871165644173</v>
      </c>
    </row>
    <row r="24" spans="1:4" ht="21" x14ac:dyDescent="0.35">
      <c r="A24" s="30"/>
      <c r="B24" s="20"/>
      <c r="C24" s="4">
        <f>SUM(C22:C23)</f>
        <v>489</v>
      </c>
    </row>
    <row r="25" spans="1:4" ht="21" x14ac:dyDescent="0.35">
      <c r="A25" s="30"/>
      <c r="B25" s="20"/>
    </row>
    <row r="26" spans="1:4" ht="21" x14ac:dyDescent="0.35">
      <c r="A26" s="30" t="s">
        <v>349</v>
      </c>
      <c r="B26" s="20"/>
    </row>
    <row r="27" spans="1:4" ht="21" x14ac:dyDescent="0.35">
      <c r="A27" s="37" t="s">
        <v>517</v>
      </c>
      <c r="B27" s="16" t="s">
        <v>703</v>
      </c>
      <c r="C27" s="100" t="s">
        <v>703</v>
      </c>
      <c r="D27" s="101"/>
    </row>
    <row r="28" spans="1:4" ht="21" x14ac:dyDescent="0.35">
      <c r="A28" s="33"/>
      <c r="B28" s="20"/>
    </row>
    <row r="29" spans="1:4" ht="21" x14ac:dyDescent="0.35">
      <c r="A29" s="30" t="s">
        <v>350</v>
      </c>
      <c r="B29" s="20"/>
    </row>
    <row r="30" spans="1:4" ht="21" x14ac:dyDescent="0.35">
      <c r="A30" s="37" t="s">
        <v>522</v>
      </c>
      <c r="B30" s="20" t="s">
        <v>686</v>
      </c>
      <c r="C30" s="4">
        <v>224</v>
      </c>
      <c r="D30" s="72">
        <f>C30/498</f>
        <v>0.44979919678714858</v>
      </c>
    </row>
    <row r="31" spans="1:4" ht="21" x14ac:dyDescent="0.35">
      <c r="A31" s="37" t="s">
        <v>460</v>
      </c>
      <c r="B31" s="20" t="s">
        <v>686</v>
      </c>
      <c r="C31" s="4">
        <v>178</v>
      </c>
      <c r="D31" s="72">
        <f t="shared" ref="D31:D32" si="2">C31/498</f>
        <v>0.35742971887550201</v>
      </c>
    </row>
    <row r="32" spans="1:4" ht="21" x14ac:dyDescent="0.35">
      <c r="A32" s="37" t="s">
        <v>523</v>
      </c>
      <c r="B32" s="20" t="s">
        <v>686</v>
      </c>
      <c r="C32" s="4">
        <v>96</v>
      </c>
      <c r="D32" s="72">
        <f t="shared" si="2"/>
        <v>0.19277108433734941</v>
      </c>
    </row>
    <row r="33" spans="1:4" ht="21" x14ac:dyDescent="0.35">
      <c r="A33" s="30"/>
      <c r="B33" s="20"/>
      <c r="C33" s="4">
        <f>SUM(C30:C32)</f>
        <v>498</v>
      </c>
    </row>
    <row r="34" spans="1:4" ht="21" x14ac:dyDescent="0.35">
      <c r="A34" s="30"/>
      <c r="B34" s="20"/>
    </row>
    <row r="35" spans="1:4" ht="21" x14ac:dyDescent="0.35">
      <c r="A35" s="30" t="s">
        <v>356</v>
      </c>
      <c r="B35" s="20"/>
    </row>
    <row r="36" spans="1:4" ht="21" x14ac:dyDescent="0.35">
      <c r="A36" s="37" t="s">
        <v>524</v>
      </c>
      <c r="B36" s="16" t="s">
        <v>703</v>
      </c>
      <c r="C36" s="100" t="s">
        <v>703</v>
      </c>
      <c r="D36" s="101"/>
    </row>
    <row r="37" spans="1:4" ht="21" x14ac:dyDescent="0.35">
      <c r="A37" s="30"/>
      <c r="B37" s="20"/>
    </row>
    <row r="38" spans="1:4" ht="21" x14ac:dyDescent="0.35">
      <c r="A38" s="30" t="s">
        <v>352</v>
      </c>
      <c r="B38" s="20"/>
    </row>
    <row r="39" spans="1:4" ht="21" x14ac:dyDescent="0.35">
      <c r="A39" s="37" t="s">
        <v>363</v>
      </c>
      <c r="B39" s="20" t="s">
        <v>686</v>
      </c>
      <c r="C39" s="4">
        <v>119</v>
      </c>
      <c r="D39" s="72">
        <f>C39/462</f>
        <v>0.25757575757575757</v>
      </c>
    </row>
    <row r="40" spans="1:4" ht="21" x14ac:dyDescent="0.35">
      <c r="A40" s="37" t="s">
        <v>630</v>
      </c>
      <c r="B40" s="20" t="s">
        <v>686</v>
      </c>
      <c r="C40" s="4">
        <v>343</v>
      </c>
      <c r="D40" s="72">
        <f>C40/462</f>
        <v>0.74242424242424243</v>
      </c>
    </row>
    <row r="41" spans="1:4" ht="21" x14ac:dyDescent="0.35">
      <c r="A41" s="30"/>
      <c r="B41" s="20"/>
      <c r="C41" s="4">
        <f>SUM(C39:C40)</f>
        <v>462</v>
      </c>
    </row>
    <row r="42" spans="1:4" ht="21" x14ac:dyDescent="0.35">
      <c r="A42" s="30"/>
      <c r="B42" s="20"/>
    </row>
    <row r="43" spans="1:4" ht="21" x14ac:dyDescent="0.35">
      <c r="A43" s="30" t="s">
        <v>353</v>
      </c>
      <c r="B43" s="20"/>
    </row>
    <row r="44" spans="1:4" ht="21" x14ac:dyDescent="0.35">
      <c r="A44" s="37" t="s">
        <v>644</v>
      </c>
      <c r="B44" s="20" t="s">
        <v>686</v>
      </c>
      <c r="C44" s="4">
        <v>84</v>
      </c>
      <c r="D44" s="72">
        <f>C44/282</f>
        <v>0.2978723404255319</v>
      </c>
    </row>
    <row r="45" spans="1:4" ht="21" x14ac:dyDescent="0.35">
      <c r="A45" s="37" t="s">
        <v>535</v>
      </c>
      <c r="B45" s="20" t="s">
        <v>686</v>
      </c>
      <c r="C45" s="4">
        <v>198</v>
      </c>
      <c r="D45" s="72">
        <f>C45/282</f>
        <v>0.7021276595744681</v>
      </c>
    </row>
    <row r="46" spans="1:4" ht="21" x14ac:dyDescent="0.35">
      <c r="A46" s="30"/>
      <c r="B46" s="20"/>
      <c r="C46" s="4">
        <f>SUM(C44:C45)</f>
        <v>282</v>
      </c>
    </row>
    <row r="47" spans="1:4" ht="21" x14ac:dyDescent="0.35">
      <c r="A47" s="30"/>
      <c r="B47" s="20"/>
    </row>
    <row r="48" spans="1:4" ht="21" x14ac:dyDescent="0.35">
      <c r="A48" s="30" t="s">
        <v>351</v>
      </c>
      <c r="B48" s="20"/>
    </row>
    <row r="49" spans="1:4" ht="21" x14ac:dyDescent="0.35">
      <c r="A49" s="37" t="s">
        <v>780</v>
      </c>
      <c r="B49" s="20" t="s">
        <v>686</v>
      </c>
      <c r="C49" s="4">
        <v>96</v>
      </c>
      <c r="D49" s="72">
        <f>C49/571</f>
        <v>0.1681260945709282</v>
      </c>
    </row>
    <row r="50" spans="1:4" ht="21" x14ac:dyDescent="0.35">
      <c r="A50" s="37" t="s">
        <v>547</v>
      </c>
      <c r="B50" s="20" t="s">
        <v>686</v>
      </c>
      <c r="C50" s="4">
        <v>26</v>
      </c>
      <c r="D50" s="72">
        <f t="shared" ref="D50:D53" si="3">C50/571</f>
        <v>4.553415061295972E-2</v>
      </c>
    </row>
    <row r="51" spans="1:4" ht="21" x14ac:dyDescent="0.35">
      <c r="A51" s="37" t="s">
        <v>546</v>
      </c>
      <c r="B51" s="20" t="s">
        <v>686</v>
      </c>
      <c r="C51" s="4">
        <v>57</v>
      </c>
      <c r="D51" s="72">
        <f t="shared" si="3"/>
        <v>9.982486865148861E-2</v>
      </c>
    </row>
    <row r="52" spans="1:4" ht="21" x14ac:dyDescent="0.35">
      <c r="A52" s="37" t="s">
        <v>544</v>
      </c>
      <c r="B52" s="20" t="s">
        <v>686</v>
      </c>
      <c r="C52" s="4">
        <v>199</v>
      </c>
      <c r="D52" s="72">
        <f t="shared" si="3"/>
        <v>0.34851138353765326</v>
      </c>
    </row>
    <row r="53" spans="1:4" ht="21" x14ac:dyDescent="0.35">
      <c r="A53" s="37" t="s">
        <v>545</v>
      </c>
      <c r="B53" s="20" t="s">
        <v>686</v>
      </c>
      <c r="C53" s="4">
        <v>193</v>
      </c>
      <c r="D53" s="72">
        <f t="shared" si="3"/>
        <v>0.33800350262697021</v>
      </c>
    </row>
    <row r="54" spans="1:4" ht="21" x14ac:dyDescent="0.35">
      <c r="A54" s="30"/>
      <c r="B54" s="20"/>
      <c r="C54" s="4">
        <f>SUM(C49:C53)</f>
        <v>571</v>
      </c>
    </row>
    <row r="55" spans="1:4" ht="21" x14ac:dyDescent="0.35">
      <c r="A55" s="30"/>
      <c r="B55" s="20"/>
    </row>
    <row r="56" spans="1:4" ht="21" x14ac:dyDescent="0.35">
      <c r="A56" s="30" t="s">
        <v>355</v>
      </c>
      <c r="B56" s="20"/>
    </row>
    <row r="57" spans="1:4" ht="21" x14ac:dyDescent="0.35">
      <c r="A57" s="37" t="s">
        <v>541</v>
      </c>
      <c r="B57" s="20" t="s">
        <v>686</v>
      </c>
      <c r="C57" s="4">
        <v>73</v>
      </c>
      <c r="D57" s="72">
        <f>C57/302</f>
        <v>0.24172185430463577</v>
      </c>
    </row>
    <row r="58" spans="1:4" ht="21" x14ac:dyDescent="0.35">
      <c r="A58" s="38" t="s">
        <v>542</v>
      </c>
      <c r="B58" s="20" t="s">
        <v>686</v>
      </c>
      <c r="C58" s="4">
        <v>169</v>
      </c>
      <c r="D58" s="72">
        <f t="shared" ref="D58:D59" si="4">C58/302</f>
        <v>0.55960264900662249</v>
      </c>
    </row>
    <row r="59" spans="1:4" ht="21" x14ac:dyDescent="0.35">
      <c r="A59" s="37" t="s">
        <v>543</v>
      </c>
      <c r="B59" s="20" t="s">
        <v>686</v>
      </c>
      <c r="C59" s="4">
        <v>60</v>
      </c>
      <c r="D59" s="72">
        <f t="shared" si="4"/>
        <v>0.19867549668874171</v>
      </c>
    </row>
    <row r="60" spans="1:4" ht="21" x14ac:dyDescent="0.35">
      <c r="A60" s="30"/>
      <c r="B60" s="20"/>
      <c r="C60" s="4">
        <f>SUM(C57:C59)</f>
        <v>302</v>
      </c>
    </row>
    <row r="61" spans="1:4" ht="21" x14ac:dyDescent="0.35">
      <c r="A61" s="30"/>
      <c r="B61" s="20"/>
    </row>
    <row r="62" spans="1:4" ht="21" x14ac:dyDescent="0.35">
      <c r="A62" s="30" t="s">
        <v>354</v>
      </c>
      <c r="B62" s="20"/>
    </row>
    <row r="63" spans="1:4" ht="21" x14ac:dyDescent="0.35">
      <c r="A63" s="37" t="s">
        <v>549</v>
      </c>
      <c r="B63" s="20" t="s">
        <v>686</v>
      </c>
      <c r="C63" s="4">
        <v>240</v>
      </c>
      <c r="D63" s="72">
        <f>C63/609</f>
        <v>0.39408866995073893</v>
      </c>
    </row>
    <row r="64" spans="1:4" ht="21" x14ac:dyDescent="0.35">
      <c r="A64" s="37" t="s">
        <v>714</v>
      </c>
      <c r="B64" s="20" t="s">
        <v>686</v>
      </c>
      <c r="C64" s="4">
        <v>36</v>
      </c>
      <c r="D64" s="72">
        <f t="shared" ref="D64:D65" si="5">C64/609</f>
        <v>5.9113300492610835E-2</v>
      </c>
    </row>
    <row r="65" spans="1:4" ht="21" x14ac:dyDescent="0.35">
      <c r="A65" s="37" t="s">
        <v>548</v>
      </c>
      <c r="B65" s="20" t="s">
        <v>686</v>
      </c>
      <c r="C65" s="7">
        <v>333</v>
      </c>
      <c r="D65" s="72">
        <f t="shared" si="5"/>
        <v>0.54679802955665024</v>
      </c>
    </row>
    <row r="66" spans="1:4" ht="21" x14ac:dyDescent="0.35">
      <c r="A66" s="30"/>
      <c r="B66" s="20"/>
      <c r="C66" s="4">
        <f>SUM(C63:C65)</f>
        <v>609</v>
      </c>
    </row>
    <row r="67" spans="1:4" ht="21" x14ac:dyDescent="0.35">
      <c r="A67" s="30"/>
      <c r="B67" s="20"/>
    </row>
    <row r="68" spans="1:4" ht="21" x14ac:dyDescent="0.35">
      <c r="A68" s="30" t="s">
        <v>357</v>
      </c>
      <c r="B68" s="20"/>
    </row>
    <row r="69" spans="1:4" ht="21" x14ac:dyDescent="0.35">
      <c r="A69" s="37" t="s">
        <v>550</v>
      </c>
      <c r="B69" s="20" t="s">
        <v>686</v>
      </c>
      <c r="C69" s="4">
        <v>21</v>
      </c>
      <c r="D69" s="72">
        <f>C69/664</f>
        <v>3.1626506024096383E-2</v>
      </c>
    </row>
    <row r="70" spans="1:4" ht="21" x14ac:dyDescent="0.35">
      <c r="A70" s="37" t="s">
        <v>551</v>
      </c>
      <c r="B70" s="20" t="s">
        <v>686</v>
      </c>
      <c r="C70" s="4">
        <v>643</v>
      </c>
      <c r="D70" s="72">
        <f>C70/664</f>
        <v>0.96837349397590367</v>
      </c>
    </row>
    <row r="71" spans="1:4" ht="21" x14ac:dyDescent="0.35">
      <c r="A71" s="30"/>
      <c r="B71" s="20"/>
      <c r="C71" s="4">
        <f>SUM(C69:C70)</f>
        <v>664</v>
      </c>
    </row>
    <row r="72" spans="1:4" ht="21" x14ac:dyDescent="0.35">
      <c r="A72" s="30"/>
      <c r="B72" s="20"/>
    </row>
    <row r="73" spans="1:4" ht="21" x14ac:dyDescent="0.35">
      <c r="A73" s="30" t="s">
        <v>358</v>
      </c>
      <c r="B73" s="20"/>
    </row>
    <row r="74" spans="1:4" ht="21" x14ac:dyDescent="0.35">
      <c r="A74" s="37" t="s">
        <v>518</v>
      </c>
      <c r="B74" s="20" t="s">
        <v>686</v>
      </c>
      <c r="C74" s="4">
        <v>130</v>
      </c>
      <c r="D74" s="72">
        <f>C74/588</f>
        <v>0.22108843537414966</v>
      </c>
    </row>
    <row r="75" spans="1:4" ht="21" x14ac:dyDescent="0.35">
      <c r="A75" s="37" t="s">
        <v>519</v>
      </c>
      <c r="B75" s="20" t="s">
        <v>686</v>
      </c>
      <c r="C75" s="7">
        <v>299</v>
      </c>
      <c r="D75" s="72">
        <f t="shared" ref="D75:D76" si="6">C75/588</f>
        <v>0.50850340136054417</v>
      </c>
    </row>
    <row r="76" spans="1:4" ht="21" x14ac:dyDescent="0.35">
      <c r="A76" s="37" t="s">
        <v>779</v>
      </c>
      <c r="B76" s="20" t="s">
        <v>686</v>
      </c>
      <c r="C76" s="4">
        <v>159</v>
      </c>
      <c r="D76" s="72">
        <f t="shared" si="6"/>
        <v>0.27040816326530615</v>
      </c>
    </row>
    <row r="77" spans="1:4" ht="21" x14ac:dyDescent="0.35">
      <c r="A77" s="30"/>
      <c r="B77" s="20"/>
      <c r="C77" s="4">
        <f>SUM(C74:C76)</f>
        <v>588</v>
      </c>
    </row>
    <row r="78" spans="1:4" ht="21" x14ac:dyDescent="0.35">
      <c r="A78" s="30"/>
      <c r="B78" s="20"/>
    </row>
    <row r="79" spans="1:4" ht="21" x14ac:dyDescent="0.35">
      <c r="A79" s="30" t="s">
        <v>359</v>
      </c>
      <c r="B79" s="20"/>
    </row>
    <row r="80" spans="1:4" ht="21" x14ac:dyDescent="0.35">
      <c r="A80" s="37" t="s">
        <v>530</v>
      </c>
      <c r="B80" s="20" t="s">
        <v>686</v>
      </c>
      <c r="C80" s="4">
        <v>105</v>
      </c>
      <c r="D80" s="72">
        <f>C80/460</f>
        <v>0.22826086956521738</v>
      </c>
    </row>
    <row r="81" spans="1:4" ht="21" x14ac:dyDescent="0.35">
      <c r="A81" s="37" t="s">
        <v>529</v>
      </c>
      <c r="B81" s="20" t="s">
        <v>686</v>
      </c>
      <c r="C81" s="4">
        <v>31</v>
      </c>
      <c r="D81" s="72">
        <f t="shared" ref="D81:D85" si="7">C81/460</f>
        <v>6.7391304347826086E-2</v>
      </c>
    </row>
    <row r="82" spans="1:4" ht="21" x14ac:dyDescent="0.35">
      <c r="A82" s="37" t="s">
        <v>527</v>
      </c>
      <c r="B82" s="20" t="s">
        <v>686</v>
      </c>
      <c r="C82" s="4">
        <v>65</v>
      </c>
      <c r="D82" s="72">
        <f t="shared" si="7"/>
        <v>0.14130434782608695</v>
      </c>
    </row>
    <row r="83" spans="1:4" ht="21" x14ac:dyDescent="0.35">
      <c r="A83" s="37" t="s">
        <v>713</v>
      </c>
      <c r="B83" s="20" t="s">
        <v>686</v>
      </c>
      <c r="C83" s="4">
        <v>192</v>
      </c>
      <c r="D83" s="72">
        <f t="shared" si="7"/>
        <v>0.41739130434782606</v>
      </c>
    </row>
    <row r="84" spans="1:4" ht="21" x14ac:dyDescent="0.35">
      <c r="A84" s="37" t="s">
        <v>528</v>
      </c>
      <c r="B84" s="20" t="s">
        <v>686</v>
      </c>
      <c r="C84" s="4">
        <v>22</v>
      </c>
      <c r="D84" s="72">
        <f t="shared" si="7"/>
        <v>4.7826086956521741E-2</v>
      </c>
    </row>
    <row r="85" spans="1:4" ht="21" x14ac:dyDescent="0.35">
      <c r="A85" s="37" t="s">
        <v>531</v>
      </c>
      <c r="B85" s="20" t="s">
        <v>686</v>
      </c>
      <c r="C85" s="4">
        <v>45</v>
      </c>
      <c r="D85" s="72">
        <f t="shared" si="7"/>
        <v>9.7826086956521743E-2</v>
      </c>
    </row>
    <row r="86" spans="1:4" ht="21" x14ac:dyDescent="0.35">
      <c r="A86" s="30"/>
      <c r="B86" s="20"/>
      <c r="C86" s="4">
        <f>SUM(C80:C85)</f>
        <v>460</v>
      </c>
    </row>
    <row r="87" spans="1:4" ht="21" x14ac:dyDescent="0.35">
      <c r="A87" s="30"/>
      <c r="B87" s="20"/>
    </row>
    <row r="88" spans="1:4" ht="21" x14ac:dyDescent="0.35">
      <c r="A88" s="30" t="s">
        <v>360</v>
      </c>
      <c r="B88" s="20"/>
    </row>
    <row r="89" spans="1:4" ht="21" x14ac:dyDescent="0.35">
      <c r="A89" s="37" t="s">
        <v>512</v>
      </c>
      <c r="B89" s="20" t="s">
        <v>686</v>
      </c>
      <c r="C89" s="4">
        <v>34</v>
      </c>
      <c r="D89" s="72">
        <f>C89/243</f>
        <v>0.13991769547325103</v>
      </c>
    </row>
    <row r="90" spans="1:4" ht="21" x14ac:dyDescent="0.35">
      <c r="A90" s="37" t="s">
        <v>609</v>
      </c>
      <c r="B90" s="20" t="s">
        <v>686</v>
      </c>
      <c r="C90" s="4">
        <v>209</v>
      </c>
      <c r="D90" s="72">
        <f>C90/243</f>
        <v>0.86008230452674894</v>
      </c>
    </row>
    <row r="91" spans="1:4" ht="21" x14ac:dyDescent="0.35">
      <c r="A91" s="30"/>
      <c r="B91" s="20"/>
      <c r="C91" s="4">
        <f>SUM(C89:C90)</f>
        <v>243</v>
      </c>
    </row>
    <row r="92" spans="1:4" ht="21" x14ac:dyDescent="0.35">
      <c r="A92" s="30"/>
      <c r="B92" s="20"/>
    </row>
    <row r="93" spans="1:4" ht="21" x14ac:dyDescent="0.35">
      <c r="A93" s="30" t="s">
        <v>361</v>
      </c>
      <c r="B93" s="20"/>
    </row>
    <row r="94" spans="1:4" ht="21" x14ac:dyDescent="0.35">
      <c r="A94" s="37" t="s">
        <v>533</v>
      </c>
      <c r="B94" s="20" t="s">
        <v>686</v>
      </c>
      <c r="C94" s="4">
        <v>8</v>
      </c>
      <c r="D94" s="72">
        <f>C94/583</f>
        <v>1.3722126929674099E-2</v>
      </c>
    </row>
    <row r="95" spans="1:4" ht="21" x14ac:dyDescent="0.35">
      <c r="A95" s="37" t="s">
        <v>534</v>
      </c>
      <c r="B95" s="20" t="s">
        <v>686</v>
      </c>
      <c r="C95" s="4">
        <v>307</v>
      </c>
      <c r="D95" s="72">
        <f t="shared" ref="D95:D97" si="8">C95/583</f>
        <v>0.52658662092624353</v>
      </c>
    </row>
    <row r="96" spans="1:4" ht="21" x14ac:dyDescent="0.35">
      <c r="A96" s="37" t="s">
        <v>362</v>
      </c>
      <c r="B96" s="20" t="s">
        <v>686</v>
      </c>
      <c r="C96" s="4">
        <v>110</v>
      </c>
      <c r="D96" s="72">
        <f t="shared" si="8"/>
        <v>0.18867924528301888</v>
      </c>
    </row>
    <row r="97" spans="1:4" ht="21" x14ac:dyDescent="0.35">
      <c r="A97" s="37" t="s">
        <v>532</v>
      </c>
      <c r="B97" s="20" t="s">
        <v>686</v>
      </c>
      <c r="C97" s="4">
        <v>158</v>
      </c>
      <c r="D97" s="72">
        <f t="shared" si="8"/>
        <v>0.27101200686106347</v>
      </c>
    </row>
    <row r="98" spans="1:4" ht="21" x14ac:dyDescent="0.35">
      <c r="A98" s="30"/>
      <c r="B98" s="20"/>
      <c r="C98" s="4">
        <f>SUM(C94:C97)</f>
        <v>583</v>
      </c>
    </row>
    <row r="99" spans="1:4" ht="21" x14ac:dyDescent="0.35">
      <c r="A99" s="30"/>
      <c r="B99" s="20"/>
    </row>
    <row r="100" spans="1:4" ht="21" x14ac:dyDescent="0.35">
      <c r="A100" s="30" t="s">
        <v>520</v>
      </c>
      <c r="B100" s="20"/>
    </row>
    <row r="101" spans="1:4" ht="21" x14ac:dyDescent="0.35">
      <c r="A101" s="37" t="s">
        <v>521</v>
      </c>
      <c r="B101" s="16" t="s">
        <v>703</v>
      </c>
      <c r="C101" s="100" t="s">
        <v>703</v>
      </c>
      <c r="D101" s="101"/>
    </row>
    <row r="102" spans="1:4" ht="21" x14ac:dyDescent="0.35">
      <c r="A102" s="30"/>
      <c r="B102" s="16"/>
    </row>
    <row r="103" spans="1:4" ht="21" x14ac:dyDescent="0.35">
      <c r="A103" s="30"/>
      <c r="B103" s="16"/>
    </row>
    <row r="104" spans="1:4" ht="21" x14ac:dyDescent="0.35">
      <c r="A104" s="30" t="s">
        <v>525</v>
      </c>
      <c r="B104" s="16"/>
    </row>
    <row r="105" spans="1:4" ht="21" x14ac:dyDescent="0.35">
      <c r="A105" s="37" t="s">
        <v>526</v>
      </c>
      <c r="B105" s="16" t="s">
        <v>703</v>
      </c>
      <c r="C105" s="100" t="s">
        <v>703</v>
      </c>
      <c r="D105" s="101"/>
    </row>
    <row r="106" spans="1:4" ht="21" x14ac:dyDescent="0.35">
      <c r="A106" s="30"/>
      <c r="B106" s="16"/>
    </row>
    <row r="107" spans="1:4" ht="21" x14ac:dyDescent="0.35">
      <c r="A107" s="30" t="s">
        <v>536</v>
      </c>
      <c r="B107" s="16"/>
    </row>
    <row r="108" spans="1:4" ht="21" x14ac:dyDescent="0.35">
      <c r="A108" s="37" t="s">
        <v>537</v>
      </c>
      <c r="B108" s="16" t="s">
        <v>703</v>
      </c>
      <c r="C108" s="100" t="s">
        <v>703</v>
      </c>
      <c r="D108" s="101"/>
    </row>
    <row r="109" spans="1:4" ht="21" x14ac:dyDescent="0.35">
      <c r="A109" s="34"/>
      <c r="B109" s="20"/>
    </row>
    <row r="111" spans="1:4" s="7" customFormat="1" x14ac:dyDescent="0.3">
      <c r="A111" s="5"/>
    </row>
  </sheetData>
  <mergeCells count="7">
    <mergeCell ref="C108:D108"/>
    <mergeCell ref="C27:D27"/>
    <mergeCell ref="A1:D1"/>
    <mergeCell ref="A2:D2"/>
    <mergeCell ref="C36:D36"/>
    <mergeCell ref="C101:D101"/>
    <mergeCell ref="C105:D105"/>
  </mergeCells>
  <pageMargins left="0.55000000000000004" right="0.23622047244094491" top="0.74803149606299213" bottom="0.74803149606299213" header="0.31496062992125984" footer="0.31496062992125984"/>
  <pageSetup paperSize="9" scale="5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view="pageBreakPreview" topLeftCell="A172" zoomScale="60" workbookViewId="0">
      <selection activeCell="E193" sqref="E193"/>
    </sheetView>
  </sheetViews>
  <sheetFormatPr defaultRowHeight="15" x14ac:dyDescent="0.25"/>
  <cols>
    <col min="1" max="1" width="30.85546875" style="79" customWidth="1"/>
    <col min="2" max="2" width="24.5703125" hidden="1" customWidth="1"/>
    <col min="3" max="3" width="42.7109375" style="1" hidden="1" customWidth="1"/>
    <col min="4" max="4" width="18.28515625" style="2" customWidth="1"/>
    <col min="5" max="5" width="13.140625" style="1" customWidth="1"/>
    <col min="6" max="6" width="14.5703125" style="1" customWidth="1"/>
  </cols>
  <sheetData>
    <row r="1" spans="1:8" ht="18.75" customHeight="1" x14ac:dyDescent="0.25">
      <c r="A1" s="120" t="s">
        <v>816</v>
      </c>
      <c r="B1" s="120"/>
      <c r="C1" s="120"/>
      <c r="D1" s="120"/>
      <c r="E1" s="120"/>
    </row>
    <row r="2" spans="1:8" ht="31.5" x14ac:dyDescent="0.5">
      <c r="A2" s="121" t="s">
        <v>685</v>
      </c>
      <c r="B2" s="121"/>
      <c r="C2" s="121"/>
      <c r="D2" s="121"/>
      <c r="E2" s="121"/>
    </row>
    <row r="3" spans="1:8" ht="18.75" x14ac:dyDescent="0.3">
      <c r="C3" s="36"/>
    </row>
    <row r="4" spans="1:8" s="3" customFormat="1" ht="18.75" x14ac:dyDescent="0.3">
      <c r="A4" s="33" t="s">
        <v>0</v>
      </c>
      <c r="B4" s="43" t="s">
        <v>687</v>
      </c>
      <c r="C4" s="43" t="s">
        <v>684</v>
      </c>
      <c r="D4" s="57"/>
      <c r="E4" s="57"/>
      <c r="F4" s="57"/>
      <c r="G4" s="14"/>
      <c r="H4" s="14"/>
    </row>
    <row r="5" spans="1:8" s="3" customFormat="1" ht="18.75" x14ac:dyDescent="0.3">
      <c r="A5" s="33"/>
      <c r="B5" s="43"/>
      <c r="C5" s="46"/>
      <c r="D5" s="57"/>
      <c r="E5" s="57"/>
      <c r="F5" s="57"/>
      <c r="G5" s="14"/>
      <c r="H5" s="14"/>
    </row>
    <row r="6" spans="1:8" s="3" customFormat="1" ht="18.75" x14ac:dyDescent="0.3">
      <c r="A6" s="33"/>
      <c r="B6" s="43"/>
      <c r="C6" s="46"/>
      <c r="D6" s="57"/>
      <c r="E6" s="57"/>
      <c r="F6" s="57"/>
      <c r="G6" s="14"/>
      <c r="H6" s="14"/>
    </row>
    <row r="7" spans="1:8" ht="18.75" x14ac:dyDescent="0.3">
      <c r="A7" s="33" t="s">
        <v>5</v>
      </c>
      <c r="B7" s="4"/>
      <c r="C7" s="47"/>
      <c r="D7" s="59" t="s">
        <v>810</v>
      </c>
      <c r="E7" s="47" t="s">
        <v>811</v>
      </c>
      <c r="F7" s="58"/>
      <c r="G7" s="12"/>
      <c r="H7" s="12"/>
    </row>
    <row r="8" spans="1:8" ht="18.75" x14ac:dyDescent="0.3">
      <c r="A8" s="32" t="s">
        <v>719</v>
      </c>
      <c r="B8" s="4"/>
      <c r="C8" s="47" t="s">
        <v>686</v>
      </c>
      <c r="D8" s="60">
        <v>479</v>
      </c>
      <c r="E8" s="76">
        <f>D8/607</f>
        <v>0.78912685337726529</v>
      </c>
      <c r="F8" s="58"/>
      <c r="G8" s="12"/>
      <c r="H8" s="12"/>
    </row>
    <row r="9" spans="1:8" ht="18.75" x14ac:dyDescent="0.3">
      <c r="A9" s="32" t="s">
        <v>606</v>
      </c>
      <c r="B9" s="4"/>
      <c r="C9" s="47" t="s">
        <v>686</v>
      </c>
      <c r="D9" s="60">
        <v>57</v>
      </c>
      <c r="E9" s="76">
        <f t="shared" ref="E9:E11" si="0">D9/607</f>
        <v>9.3904448105436578E-2</v>
      </c>
      <c r="F9" s="58"/>
      <c r="G9" s="12"/>
      <c r="H9" s="12"/>
    </row>
    <row r="10" spans="1:8" ht="18.75" x14ac:dyDescent="0.3">
      <c r="A10" s="32" t="s">
        <v>625</v>
      </c>
      <c r="B10" s="4"/>
      <c r="C10" s="47" t="s">
        <v>686</v>
      </c>
      <c r="D10" s="60">
        <v>48</v>
      </c>
      <c r="E10" s="76">
        <f t="shared" si="0"/>
        <v>7.907742998352553E-2</v>
      </c>
      <c r="F10" s="58"/>
      <c r="G10" s="12"/>
      <c r="H10" s="12"/>
    </row>
    <row r="11" spans="1:8" ht="18.75" x14ac:dyDescent="0.3">
      <c r="A11" s="32" t="s">
        <v>674</v>
      </c>
      <c r="B11" s="4"/>
      <c r="C11" s="47" t="s">
        <v>686</v>
      </c>
      <c r="D11" s="60">
        <v>23</v>
      </c>
      <c r="E11" s="76">
        <f t="shared" si="0"/>
        <v>3.789126853377265E-2</v>
      </c>
      <c r="F11" s="58"/>
      <c r="G11" s="12"/>
      <c r="H11" s="12"/>
    </row>
    <row r="12" spans="1:8" ht="18.75" x14ac:dyDescent="0.3">
      <c r="A12" s="32"/>
      <c r="B12" s="4"/>
      <c r="C12" s="47"/>
      <c r="D12" s="60"/>
      <c r="E12" s="77"/>
      <c r="F12" s="58"/>
      <c r="G12" s="12"/>
      <c r="H12" s="12"/>
    </row>
    <row r="13" spans="1:8" ht="18.75" x14ac:dyDescent="0.3">
      <c r="A13" s="33" t="s">
        <v>6</v>
      </c>
      <c r="B13" s="4"/>
      <c r="C13" s="47"/>
      <c r="D13" s="60"/>
      <c r="E13" s="77"/>
      <c r="F13" s="58"/>
      <c r="G13" s="12"/>
      <c r="H13" s="12"/>
    </row>
    <row r="14" spans="1:8" ht="18.75" x14ac:dyDescent="0.3">
      <c r="A14" s="32" t="s">
        <v>655</v>
      </c>
      <c r="B14" s="4"/>
      <c r="C14" s="47" t="s">
        <v>686</v>
      </c>
      <c r="D14" s="60">
        <v>661</v>
      </c>
      <c r="E14" s="76">
        <f>D14/941</f>
        <v>0.70244420828905418</v>
      </c>
      <c r="F14" s="58"/>
      <c r="G14" s="12"/>
      <c r="H14" s="12"/>
    </row>
    <row r="15" spans="1:8" ht="18.75" x14ac:dyDescent="0.3">
      <c r="A15" s="32" t="s">
        <v>143</v>
      </c>
      <c r="B15" s="4"/>
      <c r="C15" s="47" t="s">
        <v>686</v>
      </c>
      <c r="D15" s="60">
        <v>82</v>
      </c>
      <c r="E15" s="76">
        <f t="shared" ref="E15:E17" si="1">D15/941</f>
        <v>8.7141339001062704E-2</v>
      </c>
      <c r="F15" s="58"/>
      <c r="G15" s="12"/>
      <c r="H15" s="12"/>
    </row>
    <row r="16" spans="1:8" ht="18.75" x14ac:dyDescent="0.3">
      <c r="A16" s="32" t="s">
        <v>673</v>
      </c>
      <c r="B16" s="4"/>
      <c r="C16" s="47" t="s">
        <v>686</v>
      </c>
      <c r="D16" s="60">
        <v>173</v>
      </c>
      <c r="E16" s="76">
        <f t="shared" si="1"/>
        <v>0.18384697130712008</v>
      </c>
      <c r="F16" s="58"/>
      <c r="G16" s="12"/>
      <c r="H16" s="12"/>
    </row>
    <row r="17" spans="1:8" ht="18.75" x14ac:dyDescent="0.3">
      <c r="A17" s="32" t="s">
        <v>184</v>
      </c>
      <c r="B17" s="4"/>
      <c r="C17" s="47" t="s">
        <v>686</v>
      </c>
      <c r="D17" s="60">
        <v>25</v>
      </c>
      <c r="E17" s="76">
        <f t="shared" si="1"/>
        <v>2.6567481402763018E-2</v>
      </c>
      <c r="F17" s="58"/>
      <c r="G17" s="12"/>
      <c r="H17" s="12"/>
    </row>
    <row r="18" spans="1:8" ht="18.75" x14ac:dyDescent="0.3">
      <c r="A18" s="32"/>
      <c r="B18" s="4"/>
      <c r="C18" s="47"/>
      <c r="D18" s="60">
        <f>SUM(D14:D17)</f>
        <v>941</v>
      </c>
      <c r="E18" s="77"/>
      <c r="F18" s="58"/>
      <c r="G18" s="12"/>
      <c r="H18" s="12"/>
    </row>
    <row r="19" spans="1:8" ht="18.75" x14ac:dyDescent="0.3">
      <c r="A19" s="32"/>
      <c r="B19" s="4"/>
      <c r="C19" s="47"/>
      <c r="D19" s="60"/>
      <c r="E19" s="77"/>
      <c r="F19" s="58"/>
      <c r="G19" s="12"/>
      <c r="H19" s="12"/>
    </row>
    <row r="20" spans="1:8" ht="18.75" x14ac:dyDescent="0.3">
      <c r="A20" s="33" t="s">
        <v>7</v>
      </c>
      <c r="B20" s="4"/>
      <c r="C20" s="47"/>
      <c r="D20" s="60"/>
      <c r="E20" s="77"/>
      <c r="F20" s="58"/>
      <c r="G20" s="12"/>
      <c r="H20" s="12"/>
    </row>
    <row r="21" spans="1:8" ht="18.75" x14ac:dyDescent="0.3">
      <c r="A21" s="32" t="s">
        <v>112</v>
      </c>
      <c r="B21" s="4"/>
      <c r="C21" s="47" t="s">
        <v>686</v>
      </c>
      <c r="D21" s="60">
        <v>205</v>
      </c>
      <c r="E21" s="76">
        <f>D21/410</f>
        <v>0.5</v>
      </c>
      <c r="F21" s="58"/>
      <c r="G21" s="12"/>
      <c r="H21" s="12"/>
    </row>
    <row r="22" spans="1:8" ht="18.75" x14ac:dyDescent="0.3">
      <c r="A22" s="32" t="s">
        <v>661</v>
      </c>
      <c r="B22" s="4"/>
      <c r="C22" s="47" t="s">
        <v>686</v>
      </c>
      <c r="D22" s="60">
        <v>205</v>
      </c>
      <c r="E22" s="76">
        <f>D22/410</f>
        <v>0.5</v>
      </c>
      <c r="F22" s="58"/>
      <c r="G22" s="12"/>
      <c r="H22" s="12"/>
    </row>
    <row r="23" spans="1:8" ht="18.75" x14ac:dyDescent="0.3">
      <c r="A23" s="32"/>
      <c r="B23" s="4"/>
      <c r="C23" s="47"/>
      <c r="D23" s="60"/>
      <c r="E23" s="77"/>
      <c r="F23" s="58"/>
      <c r="G23" s="12"/>
      <c r="H23" s="12"/>
    </row>
    <row r="24" spans="1:8" ht="18.75" x14ac:dyDescent="0.3">
      <c r="A24" s="32"/>
      <c r="B24" s="4"/>
      <c r="C24" s="47"/>
      <c r="D24" s="60"/>
      <c r="E24" s="77"/>
      <c r="F24" s="58"/>
      <c r="G24" s="12"/>
      <c r="H24" s="12"/>
    </row>
    <row r="25" spans="1:8" ht="18.75" x14ac:dyDescent="0.3">
      <c r="A25" s="33" t="s">
        <v>8</v>
      </c>
      <c r="B25" s="4"/>
      <c r="C25" s="47"/>
      <c r="D25" s="60"/>
      <c r="E25" s="77"/>
      <c r="F25" s="58"/>
      <c r="G25" s="12"/>
      <c r="H25" s="12"/>
    </row>
    <row r="26" spans="1:8" ht="18.75" x14ac:dyDescent="0.3">
      <c r="A26" s="32" t="s">
        <v>654</v>
      </c>
      <c r="B26" s="4"/>
      <c r="C26" s="6" t="s">
        <v>686</v>
      </c>
      <c r="D26" s="60">
        <v>276</v>
      </c>
      <c r="E26" s="76">
        <f>D26/D28</f>
        <v>0.8288288288288288</v>
      </c>
      <c r="F26" s="58"/>
      <c r="G26" s="12"/>
      <c r="H26" s="12"/>
    </row>
    <row r="27" spans="1:8" ht="18.75" x14ac:dyDescent="0.3">
      <c r="A27" s="32" t="s">
        <v>120</v>
      </c>
      <c r="B27" s="4"/>
      <c r="C27" s="6" t="s">
        <v>686</v>
      </c>
      <c r="D27" s="60">
        <v>57</v>
      </c>
      <c r="E27" s="76">
        <f>D27/333</f>
        <v>0.17117117117117117</v>
      </c>
      <c r="F27" s="58"/>
      <c r="G27" s="12"/>
      <c r="H27" s="12"/>
    </row>
    <row r="28" spans="1:8" ht="18.75" x14ac:dyDescent="0.3">
      <c r="A28" s="32"/>
      <c r="B28" s="4"/>
      <c r="C28" s="47"/>
      <c r="D28" s="60">
        <f>SUM(D26:D27)</f>
        <v>333</v>
      </c>
      <c r="E28" s="77"/>
      <c r="F28" s="58"/>
      <c r="G28" s="12"/>
      <c r="H28" s="12"/>
    </row>
    <row r="29" spans="1:8" ht="18.75" x14ac:dyDescent="0.3">
      <c r="A29" s="33" t="s">
        <v>9</v>
      </c>
      <c r="B29" s="4"/>
      <c r="C29" s="47"/>
      <c r="D29" s="60"/>
      <c r="E29" s="77"/>
      <c r="F29" s="58"/>
      <c r="G29" s="12"/>
      <c r="H29" s="12"/>
    </row>
    <row r="30" spans="1:8" ht="18.75" x14ac:dyDescent="0.3">
      <c r="A30" s="32" t="s">
        <v>129</v>
      </c>
      <c r="B30" s="4"/>
      <c r="C30" s="6" t="s">
        <v>686</v>
      </c>
      <c r="D30" s="60">
        <v>117</v>
      </c>
      <c r="E30" s="76">
        <f>D30/314</f>
        <v>0.37261146496815284</v>
      </c>
      <c r="F30" s="58"/>
      <c r="G30" s="12"/>
      <c r="H30" s="12"/>
    </row>
    <row r="31" spans="1:8" ht="18.75" x14ac:dyDescent="0.3">
      <c r="A31" s="32" t="s">
        <v>183</v>
      </c>
      <c r="B31" s="4"/>
      <c r="C31" s="6" t="s">
        <v>686</v>
      </c>
      <c r="D31" s="60">
        <v>197</v>
      </c>
      <c r="E31" s="76">
        <f>D31/314</f>
        <v>0.62738853503184711</v>
      </c>
      <c r="F31" s="58"/>
      <c r="G31" s="12"/>
      <c r="H31" s="12"/>
    </row>
    <row r="32" spans="1:8" ht="18.75" x14ac:dyDescent="0.3">
      <c r="A32" s="32"/>
      <c r="B32" s="4"/>
      <c r="C32" s="47"/>
      <c r="D32" s="60">
        <f>SUM(D30:D31)</f>
        <v>314</v>
      </c>
      <c r="E32" s="77"/>
      <c r="F32" s="58"/>
      <c r="G32" s="12"/>
      <c r="H32" s="12"/>
    </row>
    <row r="33" spans="1:8" ht="18.75" x14ac:dyDescent="0.3">
      <c r="A33" s="32"/>
      <c r="B33" s="4"/>
      <c r="C33" s="47"/>
      <c r="D33" s="60"/>
      <c r="E33" s="77"/>
      <c r="F33" s="58"/>
      <c r="G33" s="12"/>
      <c r="H33" s="12"/>
    </row>
    <row r="34" spans="1:8" ht="18.75" x14ac:dyDescent="0.3">
      <c r="A34" s="33" t="s">
        <v>10</v>
      </c>
      <c r="B34" s="4"/>
      <c r="C34" s="47"/>
      <c r="D34" s="60"/>
      <c r="E34" s="77"/>
      <c r="F34" s="58"/>
      <c r="G34" s="12"/>
      <c r="H34" s="12"/>
    </row>
    <row r="35" spans="1:8" ht="18.75" x14ac:dyDescent="0.3">
      <c r="A35" s="32" t="s">
        <v>125</v>
      </c>
      <c r="B35" s="4"/>
      <c r="C35" s="6" t="s">
        <v>686</v>
      </c>
      <c r="D35" s="60">
        <v>61</v>
      </c>
      <c r="E35" s="76">
        <f>D35/361</f>
        <v>0.16897506925207756</v>
      </c>
      <c r="F35" s="58"/>
      <c r="G35" s="12"/>
      <c r="H35" s="12"/>
    </row>
    <row r="36" spans="1:8" ht="18.75" x14ac:dyDescent="0.3">
      <c r="A36" s="32" t="s">
        <v>128</v>
      </c>
      <c r="B36" s="4"/>
      <c r="C36" s="6" t="s">
        <v>686</v>
      </c>
      <c r="D36" s="60">
        <v>26</v>
      </c>
      <c r="E36" s="76">
        <f t="shared" ref="E36:E39" si="2">D36/361</f>
        <v>7.2022160664819951E-2</v>
      </c>
      <c r="F36" s="58"/>
      <c r="G36" s="12"/>
      <c r="H36" s="12"/>
    </row>
    <row r="37" spans="1:8" ht="18.75" x14ac:dyDescent="0.3">
      <c r="A37" s="32" t="s">
        <v>118</v>
      </c>
      <c r="B37" s="4"/>
      <c r="C37" s="6" t="s">
        <v>686</v>
      </c>
      <c r="D37" s="60">
        <v>29</v>
      </c>
      <c r="E37" s="76">
        <f t="shared" si="2"/>
        <v>8.0332409972299165E-2</v>
      </c>
      <c r="F37" s="58"/>
      <c r="G37" s="12"/>
      <c r="H37" s="12"/>
    </row>
    <row r="38" spans="1:8" ht="18.75" x14ac:dyDescent="0.3">
      <c r="A38" s="32" t="s">
        <v>126</v>
      </c>
      <c r="B38" s="4"/>
      <c r="C38" s="6" t="s">
        <v>686</v>
      </c>
      <c r="D38" s="60">
        <v>234</v>
      </c>
      <c r="E38" s="76">
        <f t="shared" si="2"/>
        <v>0.64819944598337953</v>
      </c>
      <c r="F38" s="58"/>
      <c r="G38" s="12"/>
      <c r="H38" s="12"/>
    </row>
    <row r="39" spans="1:8" ht="18.75" x14ac:dyDescent="0.3">
      <c r="A39" s="32" t="s">
        <v>127</v>
      </c>
      <c r="B39" s="4"/>
      <c r="C39" s="6" t="s">
        <v>686</v>
      </c>
      <c r="D39" s="60">
        <v>11</v>
      </c>
      <c r="E39" s="76">
        <f t="shared" si="2"/>
        <v>3.0470914127423823E-2</v>
      </c>
      <c r="F39" s="58"/>
      <c r="G39" s="12"/>
      <c r="H39" s="12"/>
    </row>
    <row r="40" spans="1:8" ht="18.75" x14ac:dyDescent="0.3">
      <c r="A40" s="32"/>
      <c r="B40" s="4"/>
      <c r="C40" s="47"/>
      <c r="D40" s="60">
        <f>SUM(D35:D39)</f>
        <v>361</v>
      </c>
      <c r="E40" s="77"/>
      <c r="F40" s="58"/>
      <c r="G40" s="12"/>
      <c r="H40" s="12"/>
    </row>
    <row r="41" spans="1:8" ht="18.75" x14ac:dyDescent="0.3">
      <c r="A41" s="32"/>
      <c r="B41" s="4"/>
      <c r="C41" s="47"/>
      <c r="D41" s="60"/>
      <c r="E41" s="77"/>
      <c r="F41" s="58"/>
      <c r="G41" s="12"/>
      <c r="H41" s="12"/>
    </row>
    <row r="42" spans="1:8" ht="18.75" x14ac:dyDescent="0.3">
      <c r="A42" s="33" t="s">
        <v>11</v>
      </c>
      <c r="B42" s="4"/>
      <c r="C42" s="47"/>
      <c r="D42" s="60"/>
      <c r="E42" s="77"/>
      <c r="F42" s="58"/>
      <c r="G42" s="12"/>
      <c r="H42" s="12"/>
    </row>
    <row r="43" spans="1:8" ht="18.75" x14ac:dyDescent="0.3">
      <c r="A43" s="32" t="s">
        <v>652</v>
      </c>
      <c r="B43" s="4"/>
      <c r="C43" s="46" t="s">
        <v>703</v>
      </c>
      <c r="D43" s="118" t="s">
        <v>703</v>
      </c>
      <c r="E43" s="119"/>
      <c r="F43" s="58"/>
      <c r="G43" s="12"/>
      <c r="H43" s="12"/>
    </row>
    <row r="44" spans="1:8" ht="18.75" x14ac:dyDescent="0.3">
      <c r="A44" s="32"/>
      <c r="B44" s="4"/>
      <c r="C44" s="47"/>
      <c r="D44" s="60"/>
      <c r="E44" s="77"/>
      <c r="F44" s="58"/>
      <c r="G44" s="12"/>
      <c r="H44" s="12"/>
    </row>
    <row r="45" spans="1:8" ht="18.75" x14ac:dyDescent="0.3">
      <c r="A45" s="33" t="s">
        <v>12</v>
      </c>
      <c r="B45" s="4"/>
      <c r="C45" s="47"/>
      <c r="D45" s="60"/>
      <c r="E45" s="77"/>
      <c r="F45" s="58"/>
      <c r="G45" s="12"/>
      <c r="H45" s="12"/>
    </row>
    <row r="46" spans="1:8" ht="18.75" x14ac:dyDescent="0.3">
      <c r="A46" s="32" t="s">
        <v>113</v>
      </c>
      <c r="B46" s="4"/>
      <c r="C46" s="47" t="s">
        <v>686</v>
      </c>
      <c r="D46" s="60">
        <v>16</v>
      </c>
      <c r="E46" s="76">
        <f>D46/812</f>
        <v>1.9704433497536946E-2</v>
      </c>
      <c r="F46" s="58"/>
      <c r="G46" s="12"/>
      <c r="H46" s="12"/>
    </row>
    <row r="47" spans="1:8" ht="18.75" x14ac:dyDescent="0.3">
      <c r="A47" s="32" t="s">
        <v>45</v>
      </c>
      <c r="B47" s="4"/>
      <c r="C47" s="47" t="s">
        <v>686</v>
      </c>
      <c r="D47" s="61">
        <v>561</v>
      </c>
      <c r="E47" s="76">
        <f t="shared" ref="E47:E48" si="3">D47/812</f>
        <v>0.69088669950738912</v>
      </c>
      <c r="F47" s="58"/>
      <c r="G47" s="12"/>
      <c r="H47" s="12"/>
    </row>
    <row r="48" spans="1:8" ht="18.75" x14ac:dyDescent="0.3">
      <c r="A48" s="32" t="s">
        <v>40</v>
      </c>
      <c r="B48" s="4"/>
      <c r="C48" s="47" t="s">
        <v>686</v>
      </c>
      <c r="D48" s="60">
        <v>235</v>
      </c>
      <c r="E48" s="76">
        <f t="shared" si="3"/>
        <v>0.2894088669950739</v>
      </c>
      <c r="F48" s="58"/>
      <c r="G48" s="12"/>
      <c r="H48" s="12"/>
    </row>
    <row r="49" spans="1:8" ht="18.75" x14ac:dyDescent="0.3">
      <c r="A49" s="32"/>
      <c r="B49" s="4"/>
      <c r="C49" s="47"/>
      <c r="D49" s="60">
        <f>SUM(D46:D48)</f>
        <v>812</v>
      </c>
      <c r="E49" s="77"/>
      <c r="F49" s="58"/>
      <c r="G49" s="12"/>
      <c r="H49" s="12"/>
    </row>
    <row r="50" spans="1:8" ht="18.75" x14ac:dyDescent="0.3">
      <c r="A50" s="32"/>
      <c r="B50" s="4"/>
      <c r="C50" s="47"/>
      <c r="D50" s="60"/>
      <c r="E50" s="77"/>
      <c r="F50" s="58"/>
      <c r="G50" s="12"/>
      <c r="H50" s="12"/>
    </row>
    <row r="51" spans="1:8" ht="18.75" x14ac:dyDescent="0.3">
      <c r="A51" s="33" t="s">
        <v>13</v>
      </c>
      <c r="B51" s="4"/>
      <c r="C51" s="47"/>
      <c r="D51" s="60"/>
      <c r="E51" s="77"/>
      <c r="F51" s="58"/>
      <c r="G51" s="12"/>
      <c r="H51" s="12"/>
    </row>
    <row r="52" spans="1:8" ht="18.75" x14ac:dyDescent="0.3">
      <c r="A52" s="32" t="s">
        <v>627</v>
      </c>
      <c r="B52" s="4"/>
      <c r="C52" s="47" t="s">
        <v>686</v>
      </c>
      <c r="D52" s="60">
        <v>246</v>
      </c>
      <c r="E52" s="76">
        <f>D52/461</f>
        <v>0.53362255965292837</v>
      </c>
      <c r="F52" s="58"/>
      <c r="G52" s="12"/>
      <c r="H52" s="12"/>
    </row>
    <row r="53" spans="1:8" ht="18.75" x14ac:dyDescent="0.3">
      <c r="A53" s="32" t="s">
        <v>676</v>
      </c>
      <c r="B53" s="4"/>
      <c r="C53" s="47" t="s">
        <v>686</v>
      </c>
      <c r="D53" s="60">
        <v>215</v>
      </c>
      <c r="E53" s="76">
        <f>D53/461</f>
        <v>0.46637744034707157</v>
      </c>
      <c r="F53" s="58"/>
      <c r="G53" s="12"/>
      <c r="H53" s="12"/>
    </row>
    <row r="54" spans="1:8" ht="18.75" x14ac:dyDescent="0.3">
      <c r="A54" s="32"/>
      <c r="B54" s="4"/>
      <c r="C54" s="47"/>
      <c r="D54" s="60">
        <f>SUM(D52:D53)</f>
        <v>461</v>
      </c>
      <c r="E54" s="77"/>
      <c r="F54" s="58"/>
      <c r="G54" s="12"/>
      <c r="H54" s="12"/>
    </row>
    <row r="55" spans="1:8" ht="18.75" x14ac:dyDescent="0.3">
      <c r="A55" s="32"/>
      <c r="B55" s="4"/>
      <c r="C55" s="47"/>
      <c r="D55" s="60"/>
      <c r="E55" s="77"/>
      <c r="F55" s="58"/>
      <c r="G55" s="12"/>
      <c r="H55" s="12"/>
    </row>
    <row r="56" spans="1:8" ht="18.75" x14ac:dyDescent="0.3">
      <c r="A56" s="33" t="s">
        <v>650</v>
      </c>
      <c r="B56" s="4"/>
      <c r="C56" s="47"/>
      <c r="D56" s="60"/>
      <c r="E56" s="77"/>
      <c r="F56" s="58"/>
      <c r="G56" s="12"/>
      <c r="H56" s="12"/>
    </row>
    <row r="57" spans="1:8" ht="18.75" x14ac:dyDescent="0.3">
      <c r="A57" s="32" t="s">
        <v>42</v>
      </c>
      <c r="B57" s="33"/>
      <c r="C57" s="47" t="s">
        <v>686</v>
      </c>
      <c r="D57" s="60">
        <v>108</v>
      </c>
      <c r="E57" s="76">
        <f>D57/354</f>
        <v>0.30508474576271188</v>
      </c>
      <c r="F57" s="58"/>
      <c r="G57" s="12"/>
      <c r="H57" s="12"/>
    </row>
    <row r="58" spans="1:8" ht="18.75" x14ac:dyDescent="0.3">
      <c r="A58" s="32" t="s">
        <v>44</v>
      </c>
      <c r="B58" s="33"/>
      <c r="C58" s="47" t="s">
        <v>686</v>
      </c>
      <c r="D58" s="60">
        <v>74</v>
      </c>
      <c r="E58" s="76">
        <f t="shared" ref="E58:E60" si="4">D58/354</f>
        <v>0.20903954802259886</v>
      </c>
      <c r="F58" s="58"/>
      <c r="G58" s="12"/>
      <c r="H58" s="12"/>
    </row>
    <row r="59" spans="1:8" ht="18.75" x14ac:dyDescent="0.3">
      <c r="A59" s="32" t="s">
        <v>140</v>
      </c>
      <c r="B59" s="33"/>
      <c r="C59" s="47" t="s">
        <v>686</v>
      </c>
      <c r="D59" s="60">
        <v>153</v>
      </c>
      <c r="E59" s="76">
        <f t="shared" si="4"/>
        <v>0.43220338983050849</v>
      </c>
      <c r="F59" s="58"/>
      <c r="G59" s="12"/>
      <c r="H59" s="12"/>
    </row>
    <row r="60" spans="1:8" ht="18.75" x14ac:dyDescent="0.3">
      <c r="A60" s="32" t="s">
        <v>139</v>
      </c>
      <c r="B60" s="33"/>
      <c r="C60" s="47" t="s">
        <v>686</v>
      </c>
      <c r="D60" s="60">
        <v>19</v>
      </c>
      <c r="E60" s="76">
        <f t="shared" si="4"/>
        <v>5.3672316384180789E-2</v>
      </c>
      <c r="F60" s="58"/>
      <c r="G60" s="12"/>
      <c r="H60" s="12"/>
    </row>
    <row r="61" spans="1:8" ht="18.75" x14ac:dyDescent="0.3">
      <c r="A61" s="32"/>
      <c r="B61" s="4"/>
      <c r="C61" s="47"/>
      <c r="D61" s="60">
        <f>SUM(D57:D60)</f>
        <v>354</v>
      </c>
      <c r="E61" s="77"/>
      <c r="F61" s="58"/>
      <c r="G61" s="12"/>
      <c r="H61" s="12"/>
    </row>
    <row r="62" spans="1:8" ht="18.75" x14ac:dyDescent="0.3">
      <c r="A62" s="32"/>
      <c r="B62" s="4"/>
      <c r="C62" s="47"/>
      <c r="D62" s="60"/>
      <c r="E62" s="77"/>
      <c r="F62" s="58"/>
      <c r="G62" s="12"/>
      <c r="H62" s="12"/>
    </row>
    <row r="63" spans="1:8" ht="18.75" x14ac:dyDescent="0.3">
      <c r="A63" s="33" t="s">
        <v>14</v>
      </c>
      <c r="B63" s="4"/>
      <c r="C63" s="47"/>
      <c r="D63" s="60"/>
      <c r="E63" s="77"/>
      <c r="F63" s="58"/>
      <c r="G63" s="12"/>
      <c r="H63" s="12"/>
    </row>
    <row r="64" spans="1:8" ht="18.75" x14ac:dyDescent="0.3">
      <c r="A64" s="32" t="s">
        <v>429</v>
      </c>
      <c r="B64" s="4"/>
      <c r="C64" s="47" t="s">
        <v>686</v>
      </c>
      <c r="D64" s="60">
        <v>384</v>
      </c>
      <c r="E64" s="76">
        <f>D64/571</f>
        <v>0.67250437828371279</v>
      </c>
      <c r="F64" s="58"/>
      <c r="G64" s="12"/>
      <c r="H64" s="12"/>
    </row>
    <row r="65" spans="1:8" ht="18.75" x14ac:dyDescent="0.3">
      <c r="A65" s="32" t="s">
        <v>716</v>
      </c>
      <c r="B65" s="4"/>
      <c r="C65" s="47" t="s">
        <v>686</v>
      </c>
      <c r="D65" s="60">
        <v>187</v>
      </c>
      <c r="E65" s="76">
        <f>D65/571</f>
        <v>0.32749562171628721</v>
      </c>
      <c r="F65" s="58"/>
      <c r="G65" s="12"/>
      <c r="H65" s="12"/>
    </row>
    <row r="66" spans="1:8" ht="18.75" x14ac:dyDescent="0.3">
      <c r="A66" s="32"/>
      <c r="B66" s="4"/>
      <c r="C66" s="47"/>
      <c r="D66" s="60">
        <f>SUM(D64:D65)</f>
        <v>571</v>
      </c>
      <c r="E66" s="77"/>
      <c r="F66" s="58"/>
      <c r="G66" s="12"/>
      <c r="H66" s="12"/>
    </row>
    <row r="67" spans="1:8" ht="18.75" x14ac:dyDescent="0.3">
      <c r="A67" s="32"/>
      <c r="B67" s="4"/>
      <c r="C67" s="47"/>
      <c r="D67" s="60"/>
      <c r="E67" s="77"/>
      <c r="F67" s="58"/>
      <c r="G67" s="12"/>
      <c r="H67" s="12"/>
    </row>
    <row r="68" spans="1:8" ht="18.75" x14ac:dyDescent="0.3">
      <c r="A68" s="33" t="s">
        <v>15</v>
      </c>
      <c r="B68" s="4"/>
      <c r="C68" s="47"/>
      <c r="D68" s="60"/>
      <c r="E68" s="77"/>
      <c r="F68" s="58"/>
      <c r="G68" s="12"/>
      <c r="H68" s="12"/>
    </row>
    <row r="69" spans="1:8" ht="18.75" x14ac:dyDescent="0.3">
      <c r="A69" s="32" t="s">
        <v>137</v>
      </c>
      <c r="B69" s="4"/>
      <c r="C69" s="47" t="s">
        <v>686</v>
      </c>
      <c r="D69" s="60">
        <v>161</v>
      </c>
      <c r="E69" s="76">
        <f>D69/615</f>
        <v>0.26178861788617885</v>
      </c>
      <c r="F69" s="58"/>
      <c r="G69" s="12"/>
      <c r="H69" s="12"/>
    </row>
    <row r="70" spans="1:8" ht="18.75" x14ac:dyDescent="0.3">
      <c r="A70" s="32" t="s">
        <v>138</v>
      </c>
      <c r="B70" s="4"/>
      <c r="C70" s="47" t="s">
        <v>686</v>
      </c>
      <c r="D70" s="60">
        <v>379</v>
      </c>
      <c r="E70" s="76">
        <f t="shared" ref="E70:E71" si="5">D70/615</f>
        <v>0.61626016260162597</v>
      </c>
      <c r="F70" s="58"/>
      <c r="G70" s="12"/>
      <c r="H70" s="12"/>
    </row>
    <row r="71" spans="1:8" ht="18.75" x14ac:dyDescent="0.3">
      <c r="A71" s="32" t="s">
        <v>136</v>
      </c>
      <c r="B71" s="4"/>
      <c r="C71" s="47" t="s">
        <v>686</v>
      </c>
      <c r="D71" s="60">
        <v>75</v>
      </c>
      <c r="E71" s="76">
        <f t="shared" si="5"/>
        <v>0.12195121951219512</v>
      </c>
      <c r="F71" s="58"/>
      <c r="G71" s="12"/>
      <c r="H71" s="12"/>
    </row>
    <row r="72" spans="1:8" ht="18.75" x14ac:dyDescent="0.3">
      <c r="A72" s="32"/>
      <c r="B72" s="4"/>
      <c r="C72" s="47"/>
      <c r="D72" s="60">
        <f>SUM(D69:D71)</f>
        <v>615</v>
      </c>
      <c r="E72" s="77"/>
      <c r="F72" s="58"/>
      <c r="G72" s="12"/>
      <c r="H72" s="12"/>
    </row>
    <row r="73" spans="1:8" ht="18.75" x14ac:dyDescent="0.3">
      <c r="A73" s="32"/>
      <c r="B73" s="4"/>
      <c r="C73" s="47"/>
      <c r="D73" s="60"/>
      <c r="E73" s="77"/>
      <c r="F73" s="58"/>
      <c r="G73" s="12"/>
      <c r="H73" s="12"/>
    </row>
    <row r="74" spans="1:8" ht="18.75" x14ac:dyDescent="0.3">
      <c r="A74" s="33" t="s">
        <v>16</v>
      </c>
      <c r="B74" s="4"/>
      <c r="C74" s="47"/>
      <c r="D74" s="60"/>
      <c r="E74" s="77"/>
      <c r="F74" s="58"/>
      <c r="G74" s="12"/>
      <c r="H74" s="12"/>
    </row>
    <row r="75" spans="1:8" ht="18.75" x14ac:dyDescent="0.3">
      <c r="A75" s="32" t="s">
        <v>43</v>
      </c>
      <c r="B75" s="4"/>
      <c r="C75" s="47" t="s">
        <v>686</v>
      </c>
      <c r="D75" s="60">
        <v>294</v>
      </c>
      <c r="E75" s="76">
        <f>D75/489</f>
        <v>0.60122699386503065</v>
      </c>
      <c r="F75" s="58"/>
      <c r="G75" s="12"/>
      <c r="H75" s="12"/>
    </row>
    <row r="76" spans="1:8" ht="18.75" x14ac:dyDescent="0.3">
      <c r="A76" s="32" t="s">
        <v>658</v>
      </c>
      <c r="B76" s="4"/>
      <c r="C76" s="47" t="s">
        <v>686</v>
      </c>
      <c r="D76" s="60">
        <v>195</v>
      </c>
      <c r="E76" s="76">
        <f>D76/489</f>
        <v>0.3987730061349693</v>
      </c>
      <c r="F76" s="58"/>
      <c r="G76" s="12"/>
      <c r="H76" s="12"/>
    </row>
    <row r="77" spans="1:8" ht="18.75" x14ac:dyDescent="0.3">
      <c r="A77" s="32"/>
      <c r="B77" s="4"/>
      <c r="C77" s="47"/>
      <c r="D77" s="60">
        <f>SUM(D75:D76)</f>
        <v>489</v>
      </c>
      <c r="E77" s="77"/>
      <c r="F77" s="58"/>
      <c r="G77" s="12"/>
      <c r="H77" s="12"/>
    </row>
    <row r="78" spans="1:8" ht="18.75" x14ac:dyDescent="0.3">
      <c r="A78" s="32"/>
      <c r="B78" s="4"/>
      <c r="C78" s="47"/>
      <c r="D78" s="60"/>
      <c r="E78" s="77"/>
      <c r="F78" s="58"/>
      <c r="G78" s="12"/>
      <c r="H78" s="12"/>
    </row>
    <row r="79" spans="1:8" ht="18.75" x14ac:dyDescent="0.3">
      <c r="A79" s="33" t="s">
        <v>17</v>
      </c>
      <c r="B79" s="4"/>
      <c r="C79" s="47"/>
      <c r="D79" s="60"/>
      <c r="E79" s="77"/>
      <c r="F79" s="58"/>
      <c r="G79" s="12"/>
      <c r="H79" s="12"/>
    </row>
    <row r="80" spans="1:8" ht="18.75" x14ac:dyDescent="0.3">
      <c r="A80" s="32" t="s">
        <v>659</v>
      </c>
      <c r="B80" s="4"/>
      <c r="C80" s="47" t="s">
        <v>686</v>
      </c>
      <c r="D80" s="60">
        <v>359</v>
      </c>
      <c r="E80" s="76">
        <f>D80/579</f>
        <v>0.62003454231433508</v>
      </c>
      <c r="F80" s="58"/>
      <c r="G80" s="12"/>
      <c r="H80" s="12"/>
    </row>
    <row r="81" spans="1:8" ht="18.75" x14ac:dyDescent="0.3">
      <c r="A81" s="32" t="s">
        <v>773</v>
      </c>
      <c r="B81" s="4"/>
      <c r="C81" s="47" t="s">
        <v>686</v>
      </c>
      <c r="D81" s="60">
        <v>220</v>
      </c>
      <c r="E81" s="76">
        <f>D81/579</f>
        <v>0.37996545768566492</v>
      </c>
      <c r="F81" s="58"/>
      <c r="G81" s="12"/>
      <c r="H81" s="12"/>
    </row>
    <row r="82" spans="1:8" ht="18.75" x14ac:dyDescent="0.3">
      <c r="A82" s="32"/>
      <c r="B82" s="4"/>
      <c r="C82" s="47"/>
      <c r="D82" s="60">
        <f>SUM(D80:D81)</f>
        <v>579</v>
      </c>
      <c r="E82" s="77"/>
      <c r="F82" s="58"/>
      <c r="G82" s="12"/>
      <c r="H82" s="12"/>
    </row>
    <row r="83" spans="1:8" ht="18.75" x14ac:dyDescent="0.3">
      <c r="A83" s="32"/>
      <c r="B83" s="4"/>
      <c r="C83" s="47"/>
      <c r="D83" s="60"/>
      <c r="E83" s="77"/>
      <c r="F83" s="58"/>
      <c r="G83" s="12"/>
      <c r="H83" s="12"/>
    </row>
    <row r="84" spans="1:8" ht="18.75" x14ac:dyDescent="0.3">
      <c r="A84" s="33" t="s">
        <v>19</v>
      </c>
      <c r="B84" s="4"/>
      <c r="C84" s="47"/>
      <c r="D84" s="60"/>
      <c r="E84" s="77"/>
      <c r="F84" s="58"/>
      <c r="G84" s="12"/>
      <c r="H84" s="12"/>
    </row>
    <row r="85" spans="1:8" ht="18.75" x14ac:dyDescent="0.3">
      <c r="A85" s="32" t="s">
        <v>677</v>
      </c>
      <c r="B85" s="4"/>
      <c r="C85" s="47" t="s">
        <v>686</v>
      </c>
      <c r="D85" s="61">
        <v>236</v>
      </c>
      <c r="E85" s="76">
        <f>D85/332</f>
        <v>0.71084337349397586</v>
      </c>
      <c r="F85" s="58"/>
      <c r="G85" s="12"/>
      <c r="H85" s="12"/>
    </row>
    <row r="86" spans="1:8" ht="18.75" x14ac:dyDescent="0.3">
      <c r="A86" s="32" t="s">
        <v>624</v>
      </c>
      <c r="B86" s="4"/>
      <c r="C86" s="47" t="s">
        <v>686</v>
      </c>
      <c r="D86" s="60">
        <v>96</v>
      </c>
      <c r="E86" s="76">
        <f>D86/332</f>
        <v>0.28915662650602408</v>
      </c>
      <c r="F86" s="58"/>
      <c r="G86" s="12"/>
      <c r="H86" s="12"/>
    </row>
    <row r="87" spans="1:8" ht="18.75" x14ac:dyDescent="0.3">
      <c r="A87" s="32"/>
      <c r="B87" s="4"/>
      <c r="C87" s="47"/>
      <c r="D87" s="60">
        <f>SUM(D85:D86)</f>
        <v>332</v>
      </c>
      <c r="E87" s="77"/>
      <c r="F87" s="58"/>
      <c r="G87" s="12"/>
      <c r="H87" s="12"/>
    </row>
    <row r="88" spans="1:8" ht="18.75" x14ac:dyDescent="0.3">
      <c r="A88" s="32"/>
      <c r="B88" s="4"/>
      <c r="C88" s="47"/>
      <c r="D88" s="60"/>
      <c r="E88" s="77"/>
      <c r="F88" s="58"/>
      <c r="G88" s="12"/>
      <c r="H88" s="12"/>
    </row>
    <row r="89" spans="1:8" ht="18.75" x14ac:dyDescent="0.3">
      <c r="A89" s="33" t="s">
        <v>18</v>
      </c>
      <c r="B89" s="4"/>
      <c r="C89" s="47"/>
      <c r="D89" s="60"/>
      <c r="E89" s="77"/>
      <c r="F89" s="58"/>
      <c r="G89" s="12"/>
      <c r="H89" s="12"/>
    </row>
    <row r="90" spans="1:8" ht="18.75" x14ac:dyDescent="0.3">
      <c r="A90" s="32" t="s">
        <v>808</v>
      </c>
      <c r="B90" s="4" t="s">
        <v>4</v>
      </c>
      <c r="C90" s="46" t="s">
        <v>703</v>
      </c>
      <c r="D90" s="60">
        <v>140</v>
      </c>
      <c r="E90" s="76">
        <f>D90/649</f>
        <v>0.21571648690292758</v>
      </c>
      <c r="F90" s="58"/>
      <c r="G90" s="12"/>
      <c r="H90" s="12"/>
    </row>
    <row r="91" spans="1:8" ht="18.75" x14ac:dyDescent="0.3">
      <c r="A91" s="32" t="s">
        <v>790</v>
      </c>
      <c r="B91" s="4"/>
      <c r="C91" s="47"/>
      <c r="D91" s="61">
        <v>509</v>
      </c>
      <c r="E91" s="76">
        <f>D91/649</f>
        <v>0.78428351309707245</v>
      </c>
      <c r="F91" s="58"/>
      <c r="G91" s="12"/>
      <c r="H91" s="12"/>
    </row>
    <row r="92" spans="1:8" ht="18.75" x14ac:dyDescent="0.3">
      <c r="A92" s="32"/>
      <c r="B92" s="4"/>
      <c r="C92" s="47"/>
      <c r="D92" s="60">
        <f>SUM(D90:D91)</f>
        <v>649</v>
      </c>
      <c r="E92" s="77"/>
      <c r="F92" s="58"/>
      <c r="G92" s="12"/>
      <c r="H92" s="12"/>
    </row>
    <row r="93" spans="1:8" ht="18.75" x14ac:dyDescent="0.3">
      <c r="A93" s="32"/>
      <c r="B93" s="4"/>
      <c r="C93" s="47"/>
      <c r="D93" s="60"/>
      <c r="E93" s="77"/>
      <c r="F93" s="58"/>
      <c r="G93" s="12"/>
      <c r="H93" s="12"/>
    </row>
    <row r="94" spans="1:8" ht="18.75" x14ac:dyDescent="0.3">
      <c r="A94" s="33" t="s">
        <v>20</v>
      </c>
      <c r="B94" s="4"/>
      <c r="C94" s="47"/>
      <c r="D94" s="60"/>
      <c r="E94" s="77"/>
      <c r="F94" s="58"/>
      <c r="G94" s="12"/>
      <c r="H94" s="12"/>
    </row>
    <row r="95" spans="1:8" ht="18.75" x14ac:dyDescent="0.3">
      <c r="A95" s="32" t="s">
        <v>607</v>
      </c>
      <c r="B95" s="4"/>
      <c r="C95" s="47" t="s">
        <v>686</v>
      </c>
      <c r="D95" s="60">
        <v>2</v>
      </c>
      <c r="E95" s="76">
        <f>D95/417</f>
        <v>4.7961630695443642E-3</v>
      </c>
      <c r="F95" s="58"/>
      <c r="G95" s="12"/>
      <c r="H95" s="12"/>
    </row>
    <row r="96" spans="1:8" ht="18.75" x14ac:dyDescent="0.3">
      <c r="A96" s="32" t="s">
        <v>119</v>
      </c>
      <c r="B96" s="4"/>
      <c r="C96" s="47" t="s">
        <v>686</v>
      </c>
      <c r="D96" s="60">
        <v>140</v>
      </c>
      <c r="E96" s="76">
        <f t="shared" ref="E96:E97" si="6">D96/417</f>
        <v>0.33573141486810554</v>
      </c>
      <c r="F96" s="58"/>
      <c r="G96" s="12"/>
      <c r="H96" s="12"/>
    </row>
    <row r="97" spans="1:8" ht="18.75" x14ac:dyDescent="0.3">
      <c r="A97" s="32" t="s">
        <v>671</v>
      </c>
      <c r="B97" s="4"/>
      <c r="C97" s="47" t="s">
        <v>686</v>
      </c>
      <c r="D97" s="60">
        <v>275</v>
      </c>
      <c r="E97" s="76">
        <f t="shared" si="6"/>
        <v>0.65947242206235013</v>
      </c>
      <c r="F97" s="58"/>
      <c r="G97" s="12"/>
      <c r="H97" s="12"/>
    </row>
    <row r="98" spans="1:8" ht="18.75" x14ac:dyDescent="0.3">
      <c r="A98" s="32"/>
      <c r="B98" s="4"/>
      <c r="C98" s="47"/>
      <c r="D98" s="60">
        <f>SUM(D95:D97)</f>
        <v>417</v>
      </c>
      <c r="E98" s="77"/>
      <c r="F98" s="58"/>
      <c r="G98" s="12"/>
      <c r="H98" s="12"/>
    </row>
    <row r="99" spans="1:8" ht="18.75" x14ac:dyDescent="0.3">
      <c r="A99" s="32"/>
      <c r="B99" s="4"/>
      <c r="C99" s="47"/>
      <c r="D99" s="60"/>
      <c r="E99" s="77"/>
      <c r="F99" s="58"/>
      <c r="G99" s="12"/>
      <c r="H99" s="12"/>
    </row>
    <row r="100" spans="1:8" ht="18.75" x14ac:dyDescent="0.3">
      <c r="A100" s="33" t="s">
        <v>21</v>
      </c>
      <c r="B100" s="4"/>
      <c r="C100" s="47"/>
      <c r="D100" s="60"/>
      <c r="E100" s="77"/>
      <c r="F100" s="58"/>
      <c r="G100" s="12"/>
      <c r="H100" s="12"/>
    </row>
    <row r="101" spans="1:8" ht="18.75" x14ac:dyDescent="0.3">
      <c r="A101" s="32" t="s">
        <v>675</v>
      </c>
      <c r="B101" s="4"/>
      <c r="C101" s="47" t="s">
        <v>686</v>
      </c>
      <c r="D101" s="60">
        <v>53</v>
      </c>
      <c r="E101" s="76">
        <f>D101/248</f>
        <v>0.21370967741935484</v>
      </c>
      <c r="F101" s="58"/>
      <c r="G101" s="12"/>
      <c r="H101" s="12"/>
    </row>
    <row r="102" spans="1:8" ht="18.75" x14ac:dyDescent="0.3">
      <c r="A102" s="32" t="s">
        <v>672</v>
      </c>
      <c r="B102" s="4"/>
      <c r="C102" s="47" t="s">
        <v>686</v>
      </c>
      <c r="D102" s="61">
        <v>126</v>
      </c>
      <c r="E102" s="76">
        <f t="shared" ref="E102:E104" si="7">D102/248</f>
        <v>0.50806451612903225</v>
      </c>
      <c r="F102" s="58"/>
      <c r="G102" s="12"/>
      <c r="H102" s="12"/>
    </row>
    <row r="103" spans="1:8" ht="18.75" x14ac:dyDescent="0.3">
      <c r="A103" s="32" t="s">
        <v>653</v>
      </c>
      <c r="B103" s="4"/>
      <c r="C103" s="47" t="s">
        <v>686</v>
      </c>
      <c r="D103" s="60">
        <v>35</v>
      </c>
      <c r="E103" s="76">
        <f t="shared" si="7"/>
        <v>0.14112903225806453</v>
      </c>
      <c r="F103" s="58"/>
      <c r="G103" s="12"/>
      <c r="H103" s="12"/>
    </row>
    <row r="104" spans="1:8" ht="18.75" x14ac:dyDescent="0.3">
      <c r="A104" s="32" t="s">
        <v>628</v>
      </c>
      <c r="B104" s="4"/>
      <c r="C104" s="47" t="s">
        <v>686</v>
      </c>
      <c r="D104" s="60">
        <v>34</v>
      </c>
      <c r="E104" s="76">
        <f t="shared" si="7"/>
        <v>0.13709677419354838</v>
      </c>
      <c r="F104" s="58"/>
      <c r="G104" s="12"/>
      <c r="H104" s="12"/>
    </row>
    <row r="105" spans="1:8" ht="18.75" x14ac:dyDescent="0.3">
      <c r="A105" s="32"/>
      <c r="B105" s="4"/>
      <c r="C105" s="47"/>
      <c r="D105" s="60">
        <f>SUM(D101:D104)</f>
        <v>248</v>
      </c>
      <c r="E105" s="77"/>
      <c r="F105" s="58"/>
      <c r="G105" s="12"/>
      <c r="H105" s="12"/>
    </row>
    <row r="106" spans="1:8" ht="18.75" x14ac:dyDescent="0.3">
      <c r="A106" s="32"/>
      <c r="B106" s="4"/>
      <c r="C106" s="47"/>
      <c r="D106" s="60"/>
      <c r="E106" s="77"/>
      <c r="F106" s="58"/>
      <c r="G106" s="12"/>
      <c r="H106" s="12"/>
    </row>
    <row r="107" spans="1:8" ht="18.75" x14ac:dyDescent="0.3">
      <c r="A107" s="33" t="s">
        <v>22</v>
      </c>
      <c r="B107" s="4"/>
      <c r="C107" s="47"/>
      <c r="D107" s="60"/>
      <c r="E107" s="77"/>
      <c r="F107" s="58"/>
      <c r="G107" s="12"/>
      <c r="H107" s="12"/>
    </row>
    <row r="108" spans="1:8" ht="18.75" x14ac:dyDescent="0.3">
      <c r="A108" s="32" t="s">
        <v>718</v>
      </c>
      <c r="B108" s="4"/>
      <c r="C108" s="47" t="s">
        <v>686</v>
      </c>
      <c r="D108" s="60">
        <v>89</v>
      </c>
      <c r="E108" s="76">
        <f>D108/525</f>
        <v>0.16952380952380952</v>
      </c>
      <c r="F108" s="58"/>
      <c r="G108" s="12"/>
      <c r="H108" s="12"/>
    </row>
    <row r="109" spans="1:8" ht="18.75" x14ac:dyDescent="0.3">
      <c r="A109" s="32" t="s">
        <v>117</v>
      </c>
      <c r="B109" s="4"/>
      <c r="C109" s="47" t="s">
        <v>686</v>
      </c>
      <c r="D109" s="61">
        <v>209</v>
      </c>
      <c r="E109" s="76">
        <f t="shared" ref="E109:E111" si="8">D109/525</f>
        <v>0.39809523809523811</v>
      </c>
      <c r="F109" s="58"/>
      <c r="G109" s="12"/>
      <c r="H109" s="12"/>
    </row>
    <row r="110" spans="1:8" ht="18.75" x14ac:dyDescent="0.3">
      <c r="A110" s="32" t="s">
        <v>678</v>
      </c>
      <c r="B110" s="4"/>
      <c r="C110" s="47" t="s">
        <v>686</v>
      </c>
      <c r="D110" s="60">
        <v>39</v>
      </c>
      <c r="E110" s="76">
        <f t="shared" si="8"/>
        <v>7.4285714285714288E-2</v>
      </c>
      <c r="F110" s="58"/>
      <c r="G110" s="12"/>
      <c r="H110" s="12"/>
    </row>
    <row r="111" spans="1:8" ht="18.75" x14ac:dyDescent="0.3">
      <c r="A111" s="32" t="s">
        <v>104</v>
      </c>
      <c r="B111" s="4"/>
      <c r="C111" s="47" t="s">
        <v>686</v>
      </c>
      <c r="D111" s="60">
        <v>188</v>
      </c>
      <c r="E111" s="76">
        <f t="shared" si="8"/>
        <v>0.35809523809523808</v>
      </c>
      <c r="F111" s="58"/>
      <c r="G111" s="12"/>
      <c r="H111" s="12"/>
    </row>
    <row r="112" spans="1:8" ht="18.75" x14ac:dyDescent="0.3">
      <c r="A112" s="32"/>
      <c r="B112" s="4"/>
      <c r="C112" s="47"/>
      <c r="D112" s="60">
        <f>SUM(D108:D111)</f>
        <v>525</v>
      </c>
      <c r="E112" s="77"/>
      <c r="F112" s="58"/>
      <c r="G112" s="12"/>
      <c r="H112" s="12"/>
    </row>
    <row r="113" spans="1:8" ht="18.75" x14ac:dyDescent="0.3">
      <c r="A113" s="32"/>
      <c r="B113" s="4"/>
      <c r="C113" s="47"/>
      <c r="D113" s="60"/>
      <c r="E113" s="77"/>
      <c r="F113" s="58"/>
      <c r="G113" s="12"/>
      <c r="H113" s="12"/>
    </row>
    <row r="114" spans="1:8" ht="18.75" x14ac:dyDescent="0.3">
      <c r="A114" s="33" t="s">
        <v>23</v>
      </c>
      <c r="B114" s="4"/>
      <c r="C114" s="47"/>
      <c r="D114" s="60"/>
      <c r="E114" s="77"/>
      <c r="F114" s="58"/>
      <c r="G114" s="12"/>
      <c r="H114" s="12"/>
    </row>
    <row r="115" spans="1:8" ht="18.75" x14ac:dyDescent="0.3">
      <c r="A115" s="32" t="s">
        <v>664</v>
      </c>
      <c r="B115" s="4"/>
      <c r="C115" s="47" t="s">
        <v>686</v>
      </c>
      <c r="D115" s="60">
        <v>290</v>
      </c>
      <c r="E115" s="76">
        <f>D115/757</f>
        <v>0.38309114927344784</v>
      </c>
      <c r="F115" s="58"/>
      <c r="G115" s="12"/>
      <c r="H115" s="12"/>
    </row>
    <row r="116" spans="1:8" ht="18.75" x14ac:dyDescent="0.3">
      <c r="A116" s="32" t="s">
        <v>721</v>
      </c>
      <c r="B116" s="4"/>
      <c r="C116" s="47" t="s">
        <v>686</v>
      </c>
      <c r="D116" s="60">
        <v>60</v>
      </c>
      <c r="E116" s="76">
        <f t="shared" ref="E116:E119" si="9">D116/757</f>
        <v>7.9260237780713338E-2</v>
      </c>
      <c r="F116" s="58"/>
      <c r="G116" s="12"/>
      <c r="H116" s="12"/>
    </row>
    <row r="117" spans="1:8" ht="18.75" x14ac:dyDescent="0.3">
      <c r="A117" s="32" t="s">
        <v>131</v>
      </c>
      <c r="B117" s="4"/>
      <c r="C117" s="47" t="s">
        <v>686</v>
      </c>
      <c r="D117" s="60">
        <v>2</v>
      </c>
      <c r="E117" s="76">
        <f t="shared" si="9"/>
        <v>2.6420079260237781E-3</v>
      </c>
      <c r="F117" s="58"/>
      <c r="G117" s="12"/>
      <c r="H117" s="12"/>
    </row>
    <row r="118" spans="1:8" ht="18.75" x14ac:dyDescent="0.3">
      <c r="A118" s="32" t="s">
        <v>720</v>
      </c>
      <c r="B118" s="4"/>
      <c r="C118" s="47" t="s">
        <v>686</v>
      </c>
      <c r="D118" s="60">
        <v>405</v>
      </c>
      <c r="E118" s="76">
        <f t="shared" si="9"/>
        <v>0.53500660501981501</v>
      </c>
      <c r="F118" s="58"/>
      <c r="G118" s="12"/>
      <c r="H118" s="12"/>
    </row>
    <row r="119" spans="1:8" ht="18.75" x14ac:dyDescent="0.3">
      <c r="A119" s="32"/>
      <c r="B119" s="4"/>
      <c r="C119" s="47"/>
      <c r="D119" s="60">
        <f>SUM(D115:D118)</f>
        <v>757</v>
      </c>
      <c r="E119" s="76">
        <f t="shared" si="9"/>
        <v>1</v>
      </c>
      <c r="F119" s="58"/>
      <c r="G119" s="12"/>
      <c r="H119" s="12"/>
    </row>
    <row r="120" spans="1:8" ht="18.75" x14ac:dyDescent="0.3">
      <c r="A120" s="33" t="s">
        <v>24</v>
      </c>
      <c r="B120" s="4"/>
      <c r="C120" s="47"/>
      <c r="D120" s="60"/>
      <c r="E120" s="77"/>
      <c r="F120" s="58"/>
      <c r="G120" s="12"/>
      <c r="H120" s="12"/>
    </row>
    <row r="121" spans="1:8" ht="18.75" x14ac:dyDescent="0.3">
      <c r="A121" s="32" t="s">
        <v>109</v>
      </c>
      <c r="B121" s="4"/>
      <c r="C121" s="47" t="s">
        <v>686</v>
      </c>
      <c r="D121" s="60">
        <v>143</v>
      </c>
      <c r="E121" s="76">
        <f>D121/279</f>
        <v>0.51254480286738346</v>
      </c>
      <c r="F121" s="58"/>
      <c r="G121" s="12"/>
      <c r="H121" s="12"/>
    </row>
    <row r="122" spans="1:8" ht="18.75" x14ac:dyDescent="0.3">
      <c r="A122" s="32" t="s">
        <v>110</v>
      </c>
      <c r="B122" s="4"/>
      <c r="C122" s="47" t="s">
        <v>686</v>
      </c>
      <c r="D122" s="60">
        <v>129</v>
      </c>
      <c r="E122" s="76">
        <f t="shared" ref="E122:E123" si="10">D122/279</f>
        <v>0.46236559139784944</v>
      </c>
      <c r="F122" s="58"/>
      <c r="G122" s="12"/>
      <c r="H122" s="12"/>
    </row>
    <row r="123" spans="1:8" ht="18.75" x14ac:dyDescent="0.3">
      <c r="A123" s="32" t="s">
        <v>111</v>
      </c>
      <c r="B123" s="4"/>
      <c r="C123" s="47" t="s">
        <v>686</v>
      </c>
      <c r="D123" s="60">
        <v>7</v>
      </c>
      <c r="E123" s="76">
        <f t="shared" si="10"/>
        <v>2.5089605734767026E-2</v>
      </c>
      <c r="F123" s="58"/>
      <c r="G123" s="12"/>
      <c r="H123" s="12"/>
    </row>
    <row r="124" spans="1:8" ht="18.75" x14ac:dyDescent="0.3">
      <c r="A124" s="32"/>
      <c r="B124" s="4"/>
      <c r="C124" s="47"/>
      <c r="D124" s="60">
        <f>SUM(D121:D123)</f>
        <v>279</v>
      </c>
      <c r="E124" s="77"/>
      <c r="F124" s="58"/>
      <c r="G124" s="12"/>
      <c r="H124" s="12"/>
    </row>
    <row r="125" spans="1:8" ht="18.75" x14ac:dyDescent="0.3">
      <c r="A125" s="32"/>
      <c r="B125" s="4"/>
      <c r="C125" s="47"/>
      <c r="D125" s="60"/>
      <c r="E125" s="77"/>
      <c r="F125" s="58"/>
      <c r="G125" s="12"/>
      <c r="H125" s="12"/>
    </row>
    <row r="126" spans="1:8" ht="18.75" x14ac:dyDescent="0.3">
      <c r="A126" s="33" t="s">
        <v>25</v>
      </c>
      <c r="B126" s="4"/>
      <c r="C126" s="47"/>
      <c r="D126" s="60"/>
      <c r="E126" s="77"/>
      <c r="F126" s="58"/>
      <c r="G126" s="12"/>
      <c r="H126" s="12"/>
    </row>
    <row r="127" spans="1:8" ht="18.75" x14ac:dyDescent="0.3">
      <c r="A127" s="32" t="s">
        <v>142</v>
      </c>
      <c r="B127" s="4"/>
      <c r="C127" s="46" t="s">
        <v>703</v>
      </c>
      <c r="D127" s="118" t="s">
        <v>703</v>
      </c>
      <c r="E127" s="119"/>
      <c r="F127" s="58"/>
      <c r="G127" s="12"/>
      <c r="H127" s="12"/>
    </row>
    <row r="128" spans="1:8" ht="18.75" x14ac:dyDescent="0.3">
      <c r="A128" s="32"/>
      <c r="B128" s="4"/>
      <c r="C128" s="47"/>
      <c r="D128" s="60"/>
      <c r="E128" s="77"/>
      <c r="F128" s="58"/>
      <c r="G128" s="12"/>
      <c r="H128" s="12"/>
    </row>
    <row r="129" spans="1:8" ht="18.75" x14ac:dyDescent="0.3">
      <c r="A129" s="32" t="s">
        <v>26</v>
      </c>
      <c r="B129" s="4"/>
      <c r="C129" s="47"/>
      <c r="D129" s="60"/>
      <c r="E129" s="77"/>
      <c r="F129" s="58"/>
      <c r="G129" s="12"/>
      <c r="H129" s="12"/>
    </row>
    <row r="130" spans="1:8" ht="18.75" x14ac:dyDescent="0.3">
      <c r="A130" s="33" t="s">
        <v>141</v>
      </c>
      <c r="B130" s="4" t="s">
        <v>4</v>
      </c>
      <c r="C130" s="46" t="s">
        <v>703</v>
      </c>
      <c r="D130" s="60"/>
      <c r="E130" s="77"/>
      <c r="F130" s="58"/>
      <c r="G130" s="12"/>
      <c r="H130" s="12"/>
    </row>
    <row r="131" spans="1:8" ht="18.75" x14ac:dyDescent="0.3">
      <c r="A131" s="32"/>
      <c r="B131" s="4"/>
      <c r="C131" s="47"/>
      <c r="D131" s="60"/>
      <c r="E131" s="77"/>
      <c r="F131" s="58"/>
      <c r="G131" s="12"/>
      <c r="H131" s="12"/>
    </row>
    <row r="132" spans="1:8" ht="18.75" x14ac:dyDescent="0.3">
      <c r="A132" s="33" t="s">
        <v>651</v>
      </c>
      <c r="B132" s="39"/>
      <c r="C132" s="47"/>
      <c r="D132" s="60"/>
      <c r="E132" s="77"/>
      <c r="F132" s="58"/>
      <c r="G132" s="12"/>
      <c r="H132" s="12"/>
    </row>
    <row r="133" spans="1:8" ht="18.75" x14ac:dyDescent="0.3">
      <c r="A133" s="32" t="s">
        <v>105</v>
      </c>
      <c r="B133" s="4" t="s">
        <v>701</v>
      </c>
      <c r="C133" s="47" t="s">
        <v>686</v>
      </c>
      <c r="D133" s="60">
        <v>39</v>
      </c>
      <c r="E133" s="76">
        <f>D133/491</f>
        <v>7.9429735234215884E-2</v>
      </c>
      <c r="F133" s="58"/>
      <c r="G133" s="12"/>
      <c r="H133" s="12"/>
    </row>
    <row r="134" spans="1:8" ht="18.75" x14ac:dyDescent="0.3">
      <c r="A134" s="32" t="s">
        <v>657</v>
      </c>
      <c r="B134" s="4" t="s">
        <v>698</v>
      </c>
      <c r="C134" s="47" t="s">
        <v>686</v>
      </c>
      <c r="D134" s="60">
        <v>200</v>
      </c>
      <c r="E134" s="76">
        <f t="shared" ref="E134:E136" si="11">D134/491</f>
        <v>0.40733197556008149</v>
      </c>
      <c r="F134" s="58"/>
      <c r="G134" s="12"/>
      <c r="H134" s="12"/>
    </row>
    <row r="135" spans="1:8" ht="18.75" x14ac:dyDescent="0.3">
      <c r="A135" s="32" t="s">
        <v>700</v>
      </c>
      <c r="B135" s="4" t="s">
        <v>699</v>
      </c>
      <c r="C135" s="47" t="s">
        <v>686</v>
      </c>
      <c r="D135" s="60">
        <v>170</v>
      </c>
      <c r="E135" s="76">
        <f t="shared" si="11"/>
        <v>0.34623217922606925</v>
      </c>
      <c r="F135" s="58"/>
      <c r="G135" s="12"/>
      <c r="H135" s="12"/>
    </row>
    <row r="136" spans="1:8" ht="18.75" x14ac:dyDescent="0.3">
      <c r="A136" s="32" t="s">
        <v>106</v>
      </c>
      <c r="B136" s="4" t="s">
        <v>697</v>
      </c>
      <c r="C136" s="47" t="s">
        <v>686</v>
      </c>
      <c r="D136" s="60">
        <v>82</v>
      </c>
      <c r="E136" s="76">
        <f t="shared" si="11"/>
        <v>0.16700610997963339</v>
      </c>
      <c r="F136" s="58"/>
      <c r="G136" s="12"/>
      <c r="H136" s="12"/>
    </row>
    <row r="137" spans="1:8" ht="18.75" x14ac:dyDescent="0.3">
      <c r="A137" s="32"/>
      <c r="C137" s="47"/>
      <c r="D137" s="60">
        <f>SUM(D133:D136)</f>
        <v>491</v>
      </c>
      <c r="E137" s="77"/>
      <c r="F137" s="58"/>
      <c r="G137" s="12"/>
      <c r="H137" s="12"/>
    </row>
    <row r="138" spans="1:8" ht="18.75" x14ac:dyDescent="0.3">
      <c r="A138" s="32"/>
      <c r="B138" s="4"/>
      <c r="C138" s="47"/>
      <c r="D138" s="60"/>
      <c r="E138" s="77"/>
      <c r="F138" s="58"/>
      <c r="G138" s="12"/>
      <c r="H138" s="12"/>
    </row>
    <row r="139" spans="1:8" ht="18.75" x14ac:dyDescent="0.3">
      <c r="A139" s="33" t="s">
        <v>27</v>
      </c>
      <c r="B139" s="4"/>
      <c r="C139" s="47"/>
      <c r="D139" s="60"/>
      <c r="E139" s="77"/>
      <c r="F139" s="58"/>
      <c r="G139" s="12"/>
      <c r="H139" s="12"/>
    </row>
    <row r="140" spans="1:8" ht="18.75" x14ac:dyDescent="0.3">
      <c r="A140" s="32" t="s">
        <v>108</v>
      </c>
      <c r="B140" s="4"/>
      <c r="C140" s="46" t="s">
        <v>703</v>
      </c>
      <c r="D140" s="118" t="s">
        <v>703</v>
      </c>
      <c r="E140" s="119"/>
      <c r="F140" s="58"/>
      <c r="G140" s="12"/>
      <c r="H140" s="12"/>
    </row>
    <row r="141" spans="1:8" ht="18.75" x14ac:dyDescent="0.3">
      <c r="A141" s="32"/>
      <c r="B141" s="4"/>
      <c r="C141" s="47"/>
      <c r="D141" s="60"/>
      <c r="E141" s="77"/>
      <c r="F141" s="58"/>
      <c r="G141" s="12"/>
      <c r="H141" s="12"/>
    </row>
    <row r="142" spans="1:8" ht="18.75" x14ac:dyDescent="0.3">
      <c r="A142" s="33" t="s">
        <v>28</v>
      </c>
      <c r="B142" s="4"/>
      <c r="C142" s="47"/>
      <c r="D142" s="60"/>
      <c r="E142" s="77"/>
      <c r="F142" s="58"/>
      <c r="G142" s="12"/>
      <c r="H142" s="12"/>
    </row>
    <row r="143" spans="1:8" ht="18.75" x14ac:dyDescent="0.3">
      <c r="A143" s="32" t="s">
        <v>121</v>
      </c>
      <c r="B143" s="4" t="s">
        <v>695</v>
      </c>
      <c r="C143" s="47" t="s">
        <v>686</v>
      </c>
      <c r="D143" s="60">
        <v>268</v>
      </c>
      <c r="E143" s="76">
        <f>D143/613</f>
        <v>0.43719412724306689</v>
      </c>
      <c r="F143" s="58"/>
      <c r="G143" s="12"/>
      <c r="H143" s="12"/>
    </row>
    <row r="144" spans="1:8" ht="18.75" x14ac:dyDescent="0.3">
      <c r="A144" s="32" t="s">
        <v>41</v>
      </c>
      <c r="B144" s="4" t="s">
        <v>696</v>
      </c>
      <c r="C144" s="47" t="s">
        <v>686</v>
      </c>
      <c r="D144" s="60">
        <v>345</v>
      </c>
      <c r="E144" s="76">
        <f>D144/613</f>
        <v>0.56280587275693317</v>
      </c>
      <c r="F144" s="58"/>
      <c r="G144" s="12"/>
      <c r="H144" s="12"/>
    </row>
    <row r="145" spans="1:8" ht="18.75" x14ac:dyDescent="0.3">
      <c r="A145" s="32"/>
      <c r="B145" s="4"/>
      <c r="C145" s="47"/>
      <c r="D145" s="60">
        <f>SUM(D143:D144)</f>
        <v>613</v>
      </c>
      <c r="E145" s="77"/>
      <c r="F145" s="58"/>
      <c r="G145" s="12"/>
      <c r="H145" s="12"/>
    </row>
    <row r="146" spans="1:8" ht="18.75" x14ac:dyDescent="0.3">
      <c r="A146" s="32"/>
      <c r="B146" s="4"/>
      <c r="C146" s="47"/>
      <c r="D146" s="60"/>
      <c r="E146" s="77"/>
      <c r="F146" s="58"/>
      <c r="G146" s="12"/>
      <c r="H146" s="12"/>
    </row>
    <row r="147" spans="1:8" ht="18.75" x14ac:dyDescent="0.3">
      <c r="A147" s="33" t="s">
        <v>29</v>
      </c>
      <c r="B147" s="4"/>
      <c r="C147" s="47"/>
      <c r="D147" s="60"/>
      <c r="E147" s="77"/>
      <c r="F147" s="58"/>
      <c r="G147" s="12"/>
      <c r="H147" s="12"/>
    </row>
    <row r="148" spans="1:8" ht="18.75" x14ac:dyDescent="0.3">
      <c r="A148" s="32" t="s">
        <v>122</v>
      </c>
      <c r="B148" s="33"/>
      <c r="C148" s="47" t="s">
        <v>686</v>
      </c>
      <c r="D148" s="60">
        <v>6</v>
      </c>
      <c r="E148" s="76">
        <f>D148/632</f>
        <v>9.4936708860759497E-3</v>
      </c>
      <c r="F148" s="58"/>
      <c r="G148" s="12"/>
      <c r="H148" s="12"/>
    </row>
    <row r="149" spans="1:8" ht="18.75" x14ac:dyDescent="0.3">
      <c r="A149" s="32" t="s">
        <v>666</v>
      </c>
      <c r="B149" s="33"/>
      <c r="C149" s="47" t="s">
        <v>686</v>
      </c>
      <c r="D149" s="60">
        <v>1</v>
      </c>
      <c r="E149" s="76">
        <f t="shared" ref="E149:E152" si="12">D149/632</f>
        <v>1.5822784810126582E-3</v>
      </c>
      <c r="F149" s="58"/>
      <c r="G149" s="12"/>
      <c r="H149" s="12"/>
    </row>
    <row r="150" spans="1:8" ht="18.75" x14ac:dyDescent="0.3">
      <c r="A150" s="32" t="s">
        <v>665</v>
      </c>
      <c r="B150" s="33"/>
      <c r="C150" s="47" t="s">
        <v>686</v>
      </c>
      <c r="D150" s="60">
        <v>3</v>
      </c>
      <c r="E150" s="76">
        <f t="shared" si="12"/>
        <v>4.7468354430379748E-3</v>
      </c>
      <c r="F150" s="58"/>
      <c r="G150" s="12"/>
      <c r="H150" s="12"/>
    </row>
    <row r="151" spans="1:8" ht="18.75" x14ac:dyDescent="0.3">
      <c r="A151" s="32" t="s">
        <v>667</v>
      </c>
      <c r="B151" s="33"/>
      <c r="C151" s="47" t="s">
        <v>686</v>
      </c>
      <c r="D151" s="60">
        <v>279</v>
      </c>
      <c r="E151" s="76">
        <f t="shared" si="12"/>
        <v>0.44145569620253167</v>
      </c>
      <c r="F151" s="58"/>
      <c r="G151" s="12"/>
      <c r="H151" s="12"/>
    </row>
    <row r="152" spans="1:8" ht="18.75" x14ac:dyDescent="0.3">
      <c r="A152" s="32" t="s">
        <v>124</v>
      </c>
      <c r="B152" s="33"/>
      <c r="C152" s="47" t="s">
        <v>686</v>
      </c>
      <c r="D152" s="60">
        <v>343</v>
      </c>
      <c r="E152" s="76">
        <f t="shared" si="12"/>
        <v>0.54272151898734178</v>
      </c>
      <c r="F152" s="58"/>
      <c r="G152" s="12"/>
      <c r="H152" s="12"/>
    </row>
    <row r="153" spans="1:8" ht="18.75" x14ac:dyDescent="0.3">
      <c r="A153" s="32"/>
      <c r="B153" s="4"/>
      <c r="C153" s="47"/>
      <c r="D153" s="60">
        <f>SUM(D148:D152)</f>
        <v>632</v>
      </c>
      <c r="E153" s="77"/>
      <c r="F153" s="58"/>
      <c r="G153" s="12"/>
      <c r="H153" s="12"/>
    </row>
    <row r="154" spans="1:8" ht="18.75" x14ac:dyDescent="0.3">
      <c r="A154" s="32"/>
      <c r="B154" s="4"/>
      <c r="C154" s="47"/>
      <c r="D154" s="60"/>
      <c r="E154" s="77"/>
      <c r="F154" s="58"/>
      <c r="G154" s="12"/>
      <c r="H154" s="12"/>
    </row>
    <row r="155" spans="1:8" ht="18.75" x14ac:dyDescent="0.3">
      <c r="A155" s="33" t="s">
        <v>30</v>
      </c>
      <c r="B155" s="4"/>
      <c r="C155" s="47"/>
      <c r="D155" s="60"/>
      <c r="E155" s="77"/>
      <c r="F155" s="58"/>
      <c r="G155" s="12"/>
      <c r="H155" s="12"/>
    </row>
    <row r="156" spans="1:8" ht="18.75" x14ac:dyDescent="0.3">
      <c r="A156" s="32" t="s">
        <v>428</v>
      </c>
      <c r="B156" s="4" t="s">
        <v>4</v>
      </c>
      <c r="C156" s="47" t="s">
        <v>686</v>
      </c>
      <c r="D156" s="60">
        <v>730</v>
      </c>
      <c r="E156" s="76">
        <f>D156/766</f>
        <v>0.95300261096605743</v>
      </c>
      <c r="F156" s="58"/>
      <c r="G156" s="12"/>
      <c r="H156" s="12"/>
    </row>
    <row r="157" spans="1:8" ht="18.75" x14ac:dyDescent="0.3">
      <c r="A157" s="32" t="s">
        <v>132</v>
      </c>
      <c r="B157" s="4"/>
      <c r="C157" s="47" t="s">
        <v>686</v>
      </c>
      <c r="D157" s="60">
        <v>36</v>
      </c>
      <c r="E157" s="76">
        <f>D157/766</f>
        <v>4.6997389033942558E-2</v>
      </c>
      <c r="F157" s="58"/>
      <c r="G157" s="12"/>
      <c r="H157" s="12"/>
    </row>
    <row r="158" spans="1:8" ht="18.75" x14ac:dyDescent="0.3">
      <c r="A158" s="32"/>
      <c r="B158" s="4"/>
      <c r="C158" s="47"/>
      <c r="D158" s="60">
        <f>SUM(D156:D157)</f>
        <v>766</v>
      </c>
      <c r="E158" s="77"/>
      <c r="F158" s="58"/>
      <c r="G158" s="12"/>
      <c r="H158" s="12"/>
    </row>
    <row r="159" spans="1:8" ht="18.75" x14ac:dyDescent="0.3">
      <c r="A159" s="32"/>
      <c r="B159" s="4"/>
      <c r="C159" s="47"/>
      <c r="D159" s="60"/>
      <c r="E159" s="77"/>
      <c r="F159" s="58"/>
      <c r="G159" s="12"/>
      <c r="H159" s="12"/>
    </row>
    <row r="160" spans="1:8" ht="18.75" x14ac:dyDescent="0.3">
      <c r="A160" s="33" t="s">
        <v>31</v>
      </c>
      <c r="B160" s="4"/>
      <c r="C160" s="47"/>
      <c r="D160" s="60"/>
      <c r="E160" s="77"/>
      <c r="F160" s="58"/>
      <c r="G160" s="12"/>
      <c r="H160" s="12"/>
    </row>
    <row r="161" spans="1:8" ht="18.75" x14ac:dyDescent="0.3">
      <c r="A161" s="32" t="s">
        <v>660</v>
      </c>
      <c r="B161" t="s">
        <v>4</v>
      </c>
      <c r="C161" s="47" t="s">
        <v>686</v>
      </c>
      <c r="D161" s="60">
        <v>269</v>
      </c>
      <c r="E161" s="76">
        <f>D161/473</f>
        <v>0.56871035940803383</v>
      </c>
      <c r="F161" s="58"/>
      <c r="G161" s="12"/>
      <c r="H161" s="12"/>
    </row>
    <row r="162" spans="1:8" ht="18.75" x14ac:dyDescent="0.3">
      <c r="A162" s="32" t="s">
        <v>107</v>
      </c>
      <c r="B162" s="4" t="s">
        <v>692</v>
      </c>
      <c r="C162" s="47" t="s">
        <v>686</v>
      </c>
      <c r="D162" s="60">
        <v>204</v>
      </c>
      <c r="E162" s="76">
        <f>D162/473</f>
        <v>0.43128964059196617</v>
      </c>
      <c r="F162" s="58"/>
      <c r="G162" s="12"/>
      <c r="H162" s="12"/>
    </row>
    <row r="163" spans="1:8" ht="18.75" x14ac:dyDescent="0.3">
      <c r="A163" s="32"/>
      <c r="B163" s="4"/>
      <c r="C163" s="47"/>
      <c r="D163" s="60">
        <f>SUM(D161:D162)</f>
        <v>473</v>
      </c>
      <c r="E163" s="77"/>
      <c r="F163" s="58"/>
      <c r="G163" s="12"/>
      <c r="H163" s="12"/>
    </row>
    <row r="164" spans="1:8" ht="18.75" x14ac:dyDescent="0.3">
      <c r="A164" s="32"/>
      <c r="B164" s="4"/>
      <c r="C164" s="47"/>
      <c r="D164" s="60"/>
      <c r="E164" s="77"/>
      <c r="F164" s="58"/>
      <c r="G164" s="12"/>
      <c r="H164" s="12"/>
    </row>
    <row r="165" spans="1:8" ht="18.75" x14ac:dyDescent="0.3">
      <c r="A165" s="33" t="s">
        <v>32</v>
      </c>
      <c r="B165" s="4"/>
      <c r="C165" s="47"/>
      <c r="D165" s="60"/>
      <c r="E165" s="77"/>
      <c r="F165" s="58"/>
      <c r="G165" s="12"/>
      <c r="H165" s="12"/>
    </row>
    <row r="166" spans="1:8" ht="18.75" x14ac:dyDescent="0.3">
      <c r="A166" s="32" t="s">
        <v>626</v>
      </c>
      <c r="B166" s="4" t="s">
        <v>4</v>
      </c>
      <c r="C166" s="46" t="s">
        <v>717</v>
      </c>
      <c r="D166" s="118" t="s">
        <v>703</v>
      </c>
      <c r="E166" s="119"/>
      <c r="F166" s="58"/>
      <c r="G166" s="12"/>
      <c r="H166" s="12"/>
    </row>
    <row r="167" spans="1:8" ht="18.75" x14ac:dyDescent="0.3">
      <c r="A167" s="32"/>
      <c r="B167" s="4"/>
      <c r="C167" s="47"/>
      <c r="D167" s="60"/>
      <c r="E167" s="77"/>
      <c r="F167" s="58"/>
      <c r="G167" s="12"/>
      <c r="H167" s="12"/>
    </row>
    <row r="168" spans="1:8" ht="18.75" x14ac:dyDescent="0.3">
      <c r="A168" s="32"/>
      <c r="B168" s="4"/>
      <c r="C168" s="47"/>
      <c r="D168" s="60"/>
      <c r="E168" s="77"/>
      <c r="F168" s="58"/>
      <c r="G168" s="12"/>
      <c r="H168" s="12"/>
    </row>
    <row r="169" spans="1:8" ht="18.75" x14ac:dyDescent="0.3">
      <c r="A169" s="33" t="s">
        <v>33</v>
      </c>
      <c r="B169" s="4"/>
      <c r="C169" s="47"/>
      <c r="D169" s="60"/>
      <c r="E169" s="77"/>
      <c r="F169" s="58"/>
      <c r="G169" s="12"/>
      <c r="H169" s="12"/>
    </row>
    <row r="170" spans="1:8" ht="18.75" x14ac:dyDescent="0.3">
      <c r="A170" s="32" t="s">
        <v>656</v>
      </c>
      <c r="B170" s="4" t="s">
        <v>4</v>
      </c>
      <c r="C170" s="47" t="s">
        <v>686</v>
      </c>
      <c r="D170" s="60">
        <v>75</v>
      </c>
      <c r="E170" s="76">
        <f>D170/676</f>
        <v>0.11094674556213018</v>
      </c>
      <c r="F170" s="58"/>
      <c r="G170" s="12"/>
      <c r="H170" s="12"/>
    </row>
    <row r="171" spans="1:8" ht="18.75" x14ac:dyDescent="0.3">
      <c r="A171" s="32" t="s">
        <v>130</v>
      </c>
      <c r="B171" s="4"/>
      <c r="C171" s="47" t="s">
        <v>686</v>
      </c>
      <c r="D171" s="61">
        <v>387</v>
      </c>
      <c r="E171" s="76">
        <f t="shared" ref="E171:E173" si="13">D171/676</f>
        <v>0.5724852071005917</v>
      </c>
      <c r="F171" s="58"/>
      <c r="G171" s="12"/>
      <c r="H171" s="12"/>
    </row>
    <row r="172" spans="1:8" ht="18.75" x14ac:dyDescent="0.3">
      <c r="A172" s="32" t="s">
        <v>182</v>
      </c>
      <c r="B172" s="4"/>
      <c r="C172" s="47" t="s">
        <v>686</v>
      </c>
      <c r="D172" s="60">
        <v>214</v>
      </c>
      <c r="E172" s="76">
        <f t="shared" si="13"/>
        <v>0.31656804733727811</v>
      </c>
      <c r="F172" s="58"/>
      <c r="G172" s="12"/>
      <c r="H172" s="12"/>
    </row>
    <row r="173" spans="1:8" ht="18.75" x14ac:dyDescent="0.3">
      <c r="A173" s="32" t="s">
        <v>623</v>
      </c>
      <c r="B173" s="4"/>
      <c r="C173" s="47" t="s">
        <v>686</v>
      </c>
      <c r="D173" s="60">
        <v>0</v>
      </c>
      <c r="E173" s="76">
        <f t="shared" si="13"/>
        <v>0</v>
      </c>
      <c r="F173" s="58"/>
      <c r="G173" s="12"/>
      <c r="H173" s="12"/>
    </row>
    <row r="174" spans="1:8" ht="18.75" x14ac:dyDescent="0.3">
      <c r="A174" s="32"/>
      <c r="B174" s="4"/>
      <c r="C174" s="47"/>
      <c r="D174" s="60">
        <f>SUM(D170:D173)</f>
        <v>676</v>
      </c>
      <c r="E174" s="77"/>
      <c r="F174" s="58"/>
      <c r="G174" s="12"/>
      <c r="H174" s="12"/>
    </row>
    <row r="175" spans="1:8" ht="18.75" x14ac:dyDescent="0.3">
      <c r="A175" s="32"/>
      <c r="B175" s="4"/>
      <c r="C175" s="47"/>
      <c r="D175" s="60"/>
      <c r="E175" s="77"/>
      <c r="F175" s="58"/>
      <c r="G175" s="12"/>
      <c r="H175" s="12"/>
    </row>
    <row r="176" spans="1:8" ht="18.75" x14ac:dyDescent="0.3">
      <c r="A176" s="33" t="s">
        <v>34</v>
      </c>
      <c r="B176" s="4"/>
      <c r="C176" s="47"/>
      <c r="D176" s="60"/>
      <c r="E176" s="77"/>
      <c r="F176" s="58"/>
      <c r="G176" s="12"/>
      <c r="H176" s="12"/>
    </row>
    <row r="177" spans="1:8" ht="18.75" x14ac:dyDescent="0.3">
      <c r="A177" s="32" t="s">
        <v>670</v>
      </c>
      <c r="B177" s="4"/>
      <c r="C177" s="46" t="s">
        <v>703</v>
      </c>
      <c r="D177" s="118" t="s">
        <v>703</v>
      </c>
      <c r="E177" s="119"/>
      <c r="F177" s="58"/>
      <c r="G177" s="12"/>
      <c r="H177" s="12"/>
    </row>
    <row r="178" spans="1:8" ht="18.75" x14ac:dyDescent="0.3">
      <c r="A178" s="32"/>
      <c r="B178" s="4"/>
      <c r="C178" s="47"/>
      <c r="D178" s="60"/>
      <c r="E178" s="77"/>
      <c r="F178" s="58"/>
      <c r="G178" s="12"/>
      <c r="H178" s="12"/>
    </row>
    <row r="179" spans="1:8" ht="18.75" x14ac:dyDescent="0.3">
      <c r="A179" s="32"/>
      <c r="B179" s="4"/>
      <c r="C179" s="47"/>
      <c r="D179" s="60"/>
      <c r="E179" s="77"/>
      <c r="F179" s="58"/>
      <c r="G179" s="12"/>
      <c r="H179" s="12"/>
    </row>
    <row r="180" spans="1:8" ht="18.75" x14ac:dyDescent="0.3">
      <c r="A180" s="33" t="s">
        <v>35</v>
      </c>
      <c r="B180" s="4"/>
      <c r="C180" s="47"/>
      <c r="D180" s="60"/>
      <c r="E180" s="77"/>
      <c r="F180" s="58"/>
      <c r="G180" s="12"/>
      <c r="H180" s="12"/>
    </row>
    <row r="181" spans="1:8" ht="18.75" x14ac:dyDescent="0.3">
      <c r="A181" s="32" t="s">
        <v>379</v>
      </c>
      <c r="B181" s="4"/>
      <c r="C181" s="46" t="s">
        <v>703</v>
      </c>
      <c r="D181" s="118" t="s">
        <v>703</v>
      </c>
      <c r="E181" s="119"/>
      <c r="F181" s="58"/>
      <c r="G181" s="12"/>
      <c r="H181" s="12"/>
    </row>
    <row r="182" spans="1:8" ht="18.75" x14ac:dyDescent="0.3">
      <c r="A182" s="32"/>
      <c r="B182" s="4"/>
      <c r="C182" s="47"/>
      <c r="D182" s="60"/>
      <c r="E182" s="77"/>
      <c r="F182" s="58"/>
      <c r="G182" s="12"/>
      <c r="H182" s="12"/>
    </row>
    <row r="183" spans="1:8" ht="18.75" x14ac:dyDescent="0.3">
      <c r="A183" s="33" t="s">
        <v>36</v>
      </c>
      <c r="B183" s="4"/>
      <c r="C183" s="47"/>
      <c r="D183" s="60"/>
      <c r="E183" s="77"/>
      <c r="F183" s="58"/>
      <c r="G183" s="12"/>
      <c r="H183" s="12"/>
    </row>
    <row r="184" spans="1:8" ht="18.75" x14ac:dyDescent="0.3">
      <c r="A184" s="32" t="s">
        <v>114</v>
      </c>
      <c r="B184" s="4" t="s">
        <v>693</v>
      </c>
      <c r="C184" s="47" t="s">
        <v>686</v>
      </c>
      <c r="D184" s="60">
        <v>418</v>
      </c>
      <c r="E184" s="76">
        <f>D184/523</f>
        <v>0.79923518164435947</v>
      </c>
      <c r="F184" s="58"/>
      <c r="G184" s="12"/>
      <c r="H184" s="12"/>
    </row>
    <row r="185" spans="1:8" ht="18.75" x14ac:dyDescent="0.3">
      <c r="A185" s="32" t="s">
        <v>662</v>
      </c>
      <c r="B185" s="4" t="s">
        <v>694</v>
      </c>
      <c r="C185" s="47" t="s">
        <v>686</v>
      </c>
      <c r="D185" s="60">
        <v>105</v>
      </c>
      <c r="E185" s="76">
        <f>D185/523</f>
        <v>0.20076481835564053</v>
      </c>
      <c r="F185" s="58"/>
      <c r="G185" s="12"/>
      <c r="H185" s="12"/>
    </row>
    <row r="186" spans="1:8" ht="18.75" x14ac:dyDescent="0.3">
      <c r="B186" s="4"/>
      <c r="C186" s="47"/>
      <c r="D186" s="60">
        <f>SUM(D184:D185)</f>
        <v>523</v>
      </c>
      <c r="E186" s="77"/>
      <c r="F186" s="58"/>
      <c r="G186" s="12"/>
      <c r="H186" s="12"/>
    </row>
    <row r="187" spans="1:8" ht="18.75" x14ac:dyDescent="0.3">
      <c r="A187" s="32"/>
      <c r="B187" s="4"/>
      <c r="C187" s="47"/>
      <c r="D187" s="60"/>
      <c r="E187" s="77"/>
      <c r="F187" s="58"/>
      <c r="G187" s="12"/>
      <c r="H187" s="12"/>
    </row>
    <row r="188" spans="1:8" ht="18.75" x14ac:dyDescent="0.3">
      <c r="A188" s="33" t="s">
        <v>39</v>
      </c>
      <c r="B188" s="4"/>
      <c r="C188" s="47"/>
      <c r="D188" s="60"/>
      <c r="E188" s="77"/>
      <c r="F188" s="58"/>
      <c r="G188" s="12"/>
      <c r="H188" s="12"/>
    </row>
    <row r="189" spans="1:8" ht="18.75" x14ac:dyDescent="0.3">
      <c r="A189" s="32" t="s">
        <v>123</v>
      </c>
      <c r="B189" s="4"/>
      <c r="C189" s="46" t="s">
        <v>774</v>
      </c>
      <c r="D189" s="60">
        <v>274</v>
      </c>
      <c r="E189" s="76">
        <f>D189/449</f>
        <v>0.61024498886414258</v>
      </c>
      <c r="F189" s="58"/>
      <c r="G189" s="12"/>
      <c r="H189" s="12"/>
    </row>
    <row r="190" spans="1:8" ht="18.75" x14ac:dyDescent="0.3">
      <c r="A190" s="32" t="s">
        <v>809</v>
      </c>
      <c r="B190" s="4"/>
      <c r="C190" s="47"/>
      <c r="D190" s="60">
        <v>175</v>
      </c>
      <c r="E190" s="76">
        <f>D190/449</f>
        <v>0.38975501113585748</v>
      </c>
      <c r="F190" s="58"/>
      <c r="G190" s="12"/>
      <c r="H190" s="12"/>
    </row>
    <row r="191" spans="1:8" ht="18.75" x14ac:dyDescent="0.3">
      <c r="A191" s="32"/>
      <c r="B191" s="4"/>
      <c r="C191" s="47"/>
      <c r="D191" s="60">
        <f>SUM(D189:D190)</f>
        <v>449</v>
      </c>
      <c r="E191" s="77"/>
      <c r="F191" s="58"/>
      <c r="G191" s="12"/>
      <c r="H191" s="12"/>
    </row>
    <row r="192" spans="1:8" ht="18.75" x14ac:dyDescent="0.3">
      <c r="A192" s="32"/>
      <c r="B192" s="4"/>
      <c r="C192" s="47"/>
      <c r="D192" s="60"/>
      <c r="E192" s="77"/>
      <c r="F192" s="58"/>
      <c r="G192" s="12"/>
      <c r="H192" s="12"/>
    </row>
    <row r="193" spans="1:8" ht="18.75" x14ac:dyDescent="0.3">
      <c r="A193" s="33" t="s">
        <v>38</v>
      </c>
      <c r="B193" s="4"/>
      <c r="C193" s="47"/>
      <c r="D193" s="60"/>
      <c r="E193" s="77"/>
      <c r="F193" s="58"/>
      <c r="G193" s="12"/>
      <c r="H193" s="12"/>
    </row>
    <row r="194" spans="1:8" ht="18.75" x14ac:dyDescent="0.3">
      <c r="A194" s="32" t="s">
        <v>135</v>
      </c>
      <c r="B194" s="33"/>
      <c r="C194" s="47" t="s">
        <v>686</v>
      </c>
      <c r="D194" s="60">
        <v>23</v>
      </c>
      <c r="E194" s="76">
        <f>D194/550</f>
        <v>4.1818181818181817E-2</v>
      </c>
      <c r="F194" s="58"/>
      <c r="G194" s="12"/>
      <c r="H194" s="12"/>
    </row>
    <row r="195" spans="1:8" ht="18.75" x14ac:dyDescent="0.3">
      <c r="A195" s="32" t="s">
        <v>134</v>
      </c>
      <c r="B195" s="33"/>
      <c r="C195" s="47" t="s">
        <v>686</v>
      </c>
      <c r="D195" s="60">
        <v>155</v>
      </c>
      <c r="E195" s="76">
        <f t="shared" ref="E195:E198" si="14">D195/550</f>
        <v>0.2818181818181818</v>
      </c>
      <c r="F195" s="58"/>
      <c r="G195" s="12"/>
      <c r="H195" s="12"/>
    </row>
    <row r="196" spans="1:8" ht="18.75" x14ac:dyDescent="0.3">
      <c r="A196" s="32" t="s">
        <v>669</v>
      </c>
      <c r="B196" s="33"/>
      <c r="C196" s="47" t="s">
        <v>686</v>
      </c>
      <c r="D196" s="60">
        <v>212</v>
      </c>
      <c r="E196" s="76">
        <f t="shared" si="14"/>
        <v>0.38545454545454544</v>
      </c>
      <c r="F196" s="58"/>
      <c r="G196" s="12"/>
      <c r="H196" s="12"/>
    </row>
    <row r="197" spans="1:8" ht="18.75" x14ac:dyDescent="0.3">
      <c r="A197" s="32" t="s">
        <v>133</v>
      </c>
      <c r="B197" s="33"/>
      <c r="C197" s="47" t="s">
        <v>686</v>
      </c>
      <c r="D197" s="60">
        <v>150</v>
      </c>
      <c r="E197" s="76">
        <f t="shared" si="14"/>
        <v>0.27272727272727271</v>
      </c>
      <c r="F197" s="58"/>
      <c r="G197" s="12"/>
      <c r="H197" s="12"/>
    </row>
    <row r="198" spans="1:8" ht="18.75" x14ac:dyDescent="0.3">
      <c r="A198" s="32" t="s">
        <v>668</v>
      </c>
      <c r="B198" s="33"/>
      <c r="C198" s="47" t="s">
        <v>686</v>
      </c>
      <c r="D198" s="60">
        <v>10</v>
      </c>
      <c r="E198" s="76">
        <f t="shared" si="14"/>
        <v>1.8181818181818181E-2</v>
      </c>
      <c r="F198" s="58"/>
      <c r="G198" s="12"/>
      <c r="H198" s="12"/>
    </row>
    <row r="199" spans="1:8" ht="18.75" x14ac:dyDescent="0.3">
      <c r="A199" s="32"/>
      <c r="B199" s="4"/>
      <c r="C199" s="47"/>
      <c r="D199" s="60">
        <f>SUM(D194:D198)</f>
        <v>550</v>
      </c>
      <c r="E199" s="77"/>
      <c r="F199" s="58"/>
      <c r="G199" s="12"/>
      <c r="H199" s="12"/>
    </row>
    <row r="200" spans="1:8" ht="18.75" x14ac:dyDescent="0.3">
      <c r="A200" s="32"/>
      <c r="B200" s="4"/>
      <c r="C200" s="47"/>
      <c r="D200" s="60"/>
      <c r="E200" s="77"/>
      <c r="F200" s="58"/>
      <c r="G200" s="12"/>
      <c r="H200" s="12"/>
    </row>
    <row r="201" spans="1:8" ht="18.75" x14ac:dyDescent="0.3">
      <c r="A201" s="33" t="s">
        <v>37</v>
      </c>
      <c r="B201" s="4"/>
      <c r="C201" s="47"/>
      <c r="D201" s="60"/>
      <c r="E201" s="77"/>
      <c r="F201" s="58"/>
      <c r="G201" s="12"/>
      <c r="H201" s="12"/>
    </row>
    <row r="202" spans="1:8" ht="18.75" x14ac:dyDescent="0.3">
      <c r="A202" s="32" t="s">
        <v>115</v>
      </c>
      <c r="B202" s="4"/>
      <c r="C202" s="47" t="s">
        <v>686</v>
      </c>
      <c r="D202" s="60">
        <v>53</v>
      </c>
      <c r="E202" s="76">
        <f>D202/521</f>
        <v>0.1017274472168906</v>
      </c>
      <c r="F202" s="58"/>
      <c r="G202" s="12"/>
      <c r="H202" s="12"/>
    </row>
    <row r="203" spans="1:8" ht="18.75" x14ac:dyDescent="0.3">
      <c r="A203" s="32" t="s">
        <v>116</v>
      </c>
      <c r="B203" s="4"/>
      <c r="C203" s="47" t="s">
        <v>686</v>
      </c>
      <c r="D203" s="60">
        <v>95</v>
      </c>
      <c r="E203" s="76">
        <f t="shared" ref="E203:E204" si="15">D203/521</f>
        <v>0.18234165067178504</v>
      </c>
      <c r="F203" s="58"/>
      <c r="G203" s="12"/>
      <c r="H203" s="12"/>
    </row>
    <row r="204" spans="1:8" ht="18.75" x14ac:dyDescent="0.3">
      <c r="A204" s="32" t="s">
        <v>663</v>
      </c>
      <c r="B204" s="4"/>
      <c r="C204" s="47" t="s">
        <v>686</v>
      </c>
      <c r="D204" s="60">
        <v>373</v>
      </c>
      <c r="E204" s="76">
        <f t="shared" si="15"/>
        <v>0.71593090211132437</v>
      </c>
      <c r="F204" s="58"/>
      <c r="G204" s="12"/>
      <c r="H204" s="12"/>
    </row>
    <row r="205" spans="1:8" x14ac:dyDescent="0.25">
      <c r="D205" s="78">
        <f>SUM(D202:D204)</f>
        <v>521</v>
      </c>
      <c r="F205" s="58"/>
      <c r="G205" s="12"/>
      <c r="H205" s="12"/>
    </row>
    <row r="206" spans="1:8" ht="18.75" x14ac:dyDescent="0.3">
      <c r="C206" s="36"/>
    </row>
    <row r="207" spans="1:8" ht="18.75" x14ac:dyDescent="0.3">
      <c r="C207" s="36"/>
    </row>
    <row r="208" spans="1:8" x14ac:dyDescent="0.25">
      <c r="A208" s="31"/>
    </row>
  </sheetData>
  <mergeCells count="8">
    <mergeCell ref="D177:E177"/>
    <mergeCell ref="D181:E181"/>
    <mergeCell ref="A1:E1"/>
    <mergeCell ref="A2:E2"/>
    <mergeCell ref="D43:E43"/>
    <mergeCell ref="D127:E127"/>
    <mergeCell ref="D140:E140"/>
    <mergeCell ref="D166:E166"/>
  </mergeCells>
  <pageMargins left="0.66" right="0.25" top="0.75" bottom="0.75" header="0.3" footer="0.3"/>
  <pageSetup paperSize="9" scale="5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view="pageBreakPreview" topLeftCell="A4" zoomScale="60" workbookViewId="0">
      <selection activeCell="E21" sqref="E21"/>
    </sheetView>
  </sheetViews>
  <sheetFormatPr defaultRowHeight="39" customHeight="1" x14ac:dyDescent="0.25"/>
  <cols>
    <col min="2" max="2" width="19.28515625" customWidth="1"/>
    <col min="3" max="3" width="23.28515625" bestFit="1" customWidth="1"/>
    <col min="4" max="4" width="36.42578125" bestFit="1" customWidth="1"/>
    <col min="5" max="5" width="84.28515625" customWidth="1"/>
    <col min="6" max="6" width="27.85546875" hidden="1" customWidth="1"/>
    <col min="7" max="7" width="15" customWidth="1"/>
    <col min="8" max="8" width="13.42578125" customWidth="1"/>
    <col min="10" max="10" width="36.42578125" customWidth="1"/>
  </cols>
  <sheetData>
    <row r="1" spans="1:10" ht="36.75" customHeight="1" x14ac:dyDescent="0.35">
      <c r="A1" s="39"/>
      <c r="B1" s="45" t="s">
        <v>771</v>
      </c>
      <c r="C1" s="39"/>
      <c r="D1" s="39"/>
      <c r="E1" s="39"/>
      <c r="F1" s="39"/>
      <c r="G1" s="49" t="s">
        <v>1</v>
      </c>
      <c r="H1" s="48"/>
      <c r="I1" s="50"/>
      <c r="J1" s="7" t="s">
        <v>797</v>
      </c>
    </row>
    <row r="2" spans="1:10" ht="39" customHeight="1" x14ac:dyDescent="0.3">
      <c r="A2" s="4" t="s">
        <v>770</v>
      </c>
      <c r="B2" s="7" t="s">
        <v>742</v>
      </c>
      <c r="C2" s="7" t="s">
        <v>743</v>
      </c>
      <c r="D2" s="7" t="s">
        <v>744</v>
      </c>
      <c r="E2" s="7"/>
      <c r="F2" s="7" t="s">
        <v>745</v>
      </c>
      <c r="G2" s="42" t="s">
        <v>2</v>
      </c>
      <c r="H2" s="42" t="s">
        <v>3</v>
      </c>
      <c r="I2" s="51" t="s">
        <v>759</v>
      </c>
      <c r="J2" s="42" t="s">
        <v>792</v>
      </c>
    </row>
    <row r="3" spans="1:10" ht="39" customHeight="1" x14ac:dyDescent="0.3">
      <c r="A3" s="4">
        <v>1</v>
      </c>
      <c r="B3" s="4" t="s">
        <v>746</v>
      </c>
      <c r="C3" s="4">
        <v>97</v>
      </c>
      <c r="D3" s="4">
        <v>7</v>
      </c>
      <c r="E3" s="4" t="s">
        <v>772</v>
      </c>
      <c r="F3" s="4" t="s">
        <v>769</v>
      </c>
      <c r="G3" s="4">
        <v>87</v>
      </c>
      <c r="H3" s="4">
        <v>10</v>
      </c>
      <c r="I3" s="52">
        <f>SUM(G3:H3)</f>
        <v>97</v>
      </c>
      <c r="J3" s="54" t="s">
        <v>798</v>
      </c>
    </row>
    <row r="4" spans="1:10" ht="39" customHeight="1" x14ac:dyDescent="0.3">
      <c r="A4" s="4"/>
      <c r="B4" s="4"/>
      <c r="C4" s="4"/>
      <c r="D4" s="4"/>
      <c r="E4" s="4" t="s">
        <v>807</v>
      </c>
      <c r="F4" s="4"/>
      <c r="G4" s="4"/>
      <c r="H4" s="4"/>
      <c r="I4" s="52"/>
      <c r="J4" s="54" t="s">
        <v>769</v>
      </c>
    </row>
    <row r="5" spans="1:10" ht="39" customHeight="1" x14ac:dyDescent="0.3">
      <c r="A5" s="4">
        <v>2</v>
      </c>
      <c r="B5" s="4" t="s">
        <v>747</v>
      </c>
      <c r="C5" s="4">
        <v>50</v>
      </c>
      <c r="D5" s="4">
        <v>13</v>
      </c>
      <c r="E5" s="4" t="s">
        <v>756</v>
      </c>
      <c r="F5" s="4" t="s">
        <v>769</v>
      </c>
      <c r="G5" s="4">
        <v>45</v>
      </c>
      <c r="H5" s="4">
        <v>5</v>
      </c>
      <c r="I5" s="52">
        <f t="shared" ref="I5:I17" si="0">SUM(G5:H5)</f>
        <v>50</v>
      </c>
      <c r="J5" s="54" t="s">
        <v>769</v>
      </c>
    </row>
    <row r="6" spans="1:10" ht="39" customHeight="1" x14ac:dyDescent="0.3">
      <c r="A6" s="4"/>
      <c r="B6" s="4"/>
      <c r="C6" s="4"/>
      <c r="D6" s="4"/>
      <c r="E6" s="4" t="s">
        <v>757</v>
      </c>
      <c r="F6" s="4" t="s">
        <v>769</v>
      </c>
      <c r="G6" s="4"/>
      <c r="H6" s="4"/>
      <c r="I6" s="52"/>
      <c r="J6" s="54"/>
    </row>
    <row r="7" spans="1:10" ht="39" customHeight="1" x14ac:dyDescent="0.3">
      <c r="A7" s="4"/>
      <c r="B7" s="4"/>
      <c r="C7" s="4"/>
      <c r="D7" s="4"/>
      <c r="E7" s="4" t="s">
        <v>758</v>
      </c>
      <c r="F7" s="4"/>
      <c r="G7" s="4"/>
      <c r="H7" s="4"/>
      <c r="I7" s="52"/>
      <c r="J7" s="54"/>
    </row>
    <row r="8" spans="1:10" ht="39" customHeight="1" x14ac:dyDescent="0.3">
      <c r="A8" s="4">
        <v>3</v>
      </c>
      <c r="B8" s="4" t="s">
        <v>748</v>
      </c>
      <c r="C8" s="4">
        <v>51</v>
      </c>
      <c r="D8" s="4">
        <v>5</v>
      </c>
      <c r="E8" s="4" t="s">
        <v>760</v>
      </c>
      <c r="F8" s="4" t="s">
        <v>769</v>
      </c>
      <c r="G8" s="4">
        <v>46</v>
      </c>
      <c r="H8" s="4">
        <v>5</v>
      </c>
      <c r="I8" s="52">
        <f t="shared" si="0"/>
        <v>51</v>
      </c>
      <c r="J8" s="54" t="s">
        <v>769</v>
      </c>
    </row>
    <row r="9" spans="1:10" ht="39" customHeight="1" x14ac:dyDescent="0.3">
      <c r="A9" s="4">
        <v>4</v>
      </c>
      <c r="B9" s="4" t="s">
        <v>749</v>
      </c>
      <c r="C9" s="4">
        <v>62</v>
      </c>
      <c r="D9" s="4">
        <v>6</v>
      </c>
      <c r="E9" s="4" t="s">
        <v>761</v>
      </c>
      <c r="F9" s="4"/>
      <c r="G9" s="4">
        <v>55</v>
      </c>
      <c r="H9" s="4">
        <v>7</v>
      </c>
      <c r="I9" s="52">
        <f t="shared" si="0"/>
        <v>62</v>
      </c>
      <c r="J9" s="54" t="s">
        <v>802</v>
      </c>
    </row>
    <row r="10" spans="1:10" ht="39" customHeight="1" x14ac:dyDescent="0.3">
      <c r="A10" s="4"/>
      <c r="B10" s="4"/>
      <c r="C10" s="4"/>
      <c r="D10" s="4"/>
      <c r="E10" s="4" t="s">
        <v>762</v>
      </c>
      <c r="F10" s="4"/>
      <c r="G10" s="4"/>
      <c r="H10" s="4"/>
      <c r="I10" s="52"/>
      <c r="J10" s="54"/>
    </row>
    <row r="11" spans="1:10" ht="39" customHeight="1" x14ac:dyDescent="0.3">
      <c r="A11" s="4">
        <v>5</v>
      </c>
      <c r="B11" s="4" t="s">
        <v>750</v>
      </c>
      <c r="C11" s="4">
        <v>77</v>
      </c>
      <c r="D11" s="4">
        <v>5</v>
      </c>
      <c r="E11" s="4" t="s">
        <v>788</v>
      </c>
      <c r="F11" s="4" t="s">
        <v>769</v>
      </c>
      <c r="G11" s="4">
        <v>63</v>
      </c>
      <c r="H11" s="4">
        <v>14</v>
      </c>
      <c r="I11" s="52">
        <f t="shared" si="0"/>
        <v>77</v>
      </c>
      <c r="J11" s="54" t="s">
        <v>800</v>
      </c>
    </row>
    <row r="12" spans="1:10" ht="39" customHeight="1" x14ac:dyDescent="0.3">
      <c r="A12" s="4">
        <v>6</v>
      </c>
      <c r="B12" s="4" t="s">
        <v>751</v>
      </c>
      <c r="C12" s="4">
        <v>68</v>
      </c>
      <c r="D12" s="4">
        <v>6</v>
      </c>
      <c r="E12" s="4" t="s">
        <v>794</v>
      </c>
      <c r="F12" s="4" t="s">
        <v>765</v>
      </c>
      <c r="G12" s="4">
        <v>59</v>
      </c>
      <c r="H12" s="4">
        <v>9</v>
      </c>
      <c r="I12" s="52">
        <f t="shared" si="0"/>
        <v>68</v>
      </c>
      <c r="J12" s="54" t="s">
        <v>769</v>
      </c>
    </row>
    <row r="13" spans="1:10" ht="39" customHeight="1" x14ac:dyDescent="0.3">
      <c r="A13" s="4">
        <v>7</v>
      </c>
      <c r="B13" s="4" t="s">
        <v>752</v>
      </c>
      <c r="C13" s="4">
        <v>24</v>
      </c>
      <c r="D13" s="4">
        <v>5</v>
      </c>
      <c r="E13" s="4" t="s">
        <v>763</v>
      </c>
      <c r="F13" s="4" t="s">
        <v>769</v>
      </c>
      <c r="G13" s="4">
        <v>21</v>
      </c>
      <c r="H13" s="4">
        <v>3</v>
      </c>
      <c r="I13" s="52">
        <f t="shared" si="0"/>
        <v>24</v>
      </c>
      <c r="J13" s="54" t="s">
        <v>799</v>
      </c>
    </row>
    <row r="14" spans="1:10" ht="39" customHeight="1" x14ac:dyDescent="0.3">
      <c r="A14" s="4">
        <v>8</v>
      </c>
      <c r="B14" s="4" t="s">
        <v>753</v>
      </c>
      <c r="C14" s="4">
        <v>14</v>
      </c>
      <c r="D14" s="4">
        <v>6</v>
      </c>
      <c r="E14" s="4" t="s">
        <v>764</v>
      </c>
      <c r="F14" s="4" t="s">
        <v>769</v>
      </c>
      <c r="G14" s="4">
        <v>14</v>
      </c>
      <c r="H14" s="4">
        <v>0</v>
      </c>
      <c r="I14" s="52">
        <f t="shared" si="0"/>
        <v>14</v>
      </c>
      <c r="J14" s="54" t="s">
        <v>801</v>
      </c>
    </row>
    <row r="15" spans="1:10" ht="39" customHeight="1" x14ac:dyDescent="0.3">
      <c r="A15" s="4">
        <v>9</v>
      </c>
      <c r="B15" s="4" t="s">
        <v>754</v>
      </c>
      <c r="C15" s="4">
        <v>32</v>
      </c>
      <c r="D15" s="4">
        <v>12</v>
      </c>
      <c r="E15" s="4" t="s">
        <v>766</v>
      </c>
      <c r="F15" s="4" t="s">
        <v>769</v>
      </c>
      <c r="G15" s="4">
        <v>27</v>
      </c>
      <c r="H15" s="4">
        <v>5</v>
      </c>
      <c r="I15" s="52">
        <f t="shared" si="0"/>
        <v>32</v>
      </c>
      <c r="J15" s="54"/>
    </row>
    <row r="16" spans="1:10" ht="39" customHeight="1" x14ac:dyDescent="0.3">
      <c r="A16" s="4"/>
      <c r="B16" s="4"/>
      <c r="C16" s="4"/>
      <c r="D16" s="4"/>
      <c r="E16" s="4" t="s">
        <v>795</v>
      </c>
      <c r="F16" s="4"/>
      <c r="G16" s="4"/>
      <c r="H16" s="4"/>
      <c r="I16" s="52"/>
      <c r="J16" s="54"/>
    </row>
    <row r="17" spans="1:10" ht="39" customHeight="1" x14ac:dyDescent="0.3">
      <c r="A17" s="4">
        <v>10</v>
      </c>
      <c r="B17" s="4" t="s">
        <v>755</v>
      </c>
      <c r="C17" s="4">
        <v>45</v>
      </c>
      <c r="D17" s="4">
        <v>8</v>
      </c>
      <c r="E17" s="4" t="s">
        <v>767</v>
      </c>
      <c r="F17" s="4" t="s">
        <v>769</v>
      </c>
      <c r="G17" s="4">
        <v>39</v>
      </c>
      <c r="H17" s="4">
        <v>6</v>
      </c>
      <c r="I17" s="52">
        <f t="shared" si="0"/>
        <v>45</v>
      </c>
      <c r="J17" s="54" t="s">
        <v>769</v>
      </c>
    </row>
    <row r="18" spans="1:10" ht="39" customHeight="1" x14ac:dyDescent="0.3">
      <c r="A18" s="4"/>
      <c r="B18" s="4"/>
      <c r="C18" s="4"/>
      <c r="D18" s="4"/>
      <c r="E18" s="4" t="s">
        <v>768</v>
      </c>
      <c r="F18" s="4"/>
      <c r="G18" s="4"/>
      <c r="H18" s="4"/>
      <c r="I18" s="52"/>
      <c r="J18" s="54"/>
    </row>
    <row r="19" spans="1:10" ht="39" customHeight="1" x14ac:dyDescent="0.3">
      <c r="A19" s="4"/>
      <c r="B19" s="7" t="s">
        <v>759</v>
      </c>
      <c r="C19" s="7">
        <f>SUM(C3:C18)</f>
        <v>520</v>
      </c>
      <c r="D19" s="7">
        <f>SUM(D3:D18)</f>
        <v>73</v>
      </c>
      <c r="E19" s="4"/>
      <c r="F19" s="4"/>
      <c r="G19" s="4">
        <f>SUM(G3:G18)</f>
        <v>456</v>
      </c>
      <c r="H19" s="4">
        <f>SUM(H3:H18)</f>
        <v>64</v>
      </c>
      <c r="I19" s="52">
        <f>I3+I5+I8+I9+I11+I12+I13+I14+I15+I17</f>
        <v>520</v>
      </c>
      <c r="J19" s="54"/>
    </row>
    <row r="20" spans="1:10" ht="39" customHeight="1" x14ac:dyDescent="0.3">
      <c r="A20" s="39"/>
      <c r="B20" s="39"/>
      <c r="C20" s="39"/>
      <c r="D20" s="39"/>
      <c r="E20" s="39"/>
      <c r="F20" s="39"/>
    </row>
    <row r="21" spans="1:10" ht="39" customHeight="1" x14ac:dyDescent="0.3">
      <c r="A21" s="39"/>
      <c r="B21" s="39"/>
      <c r="C21" s="39"/>
      <c r="D21" s="39"/>
      <c r="E21" s="39"/>
      <c r="F21" s="39"/>
    </row>
    <row r="22" spans="1:10" ht="39" customHeight="1" x14ac:dyDescent="0.3">
      <c r="A22" s="39"/>
      <c r="B22" s="39"/>
      <c r="C22" s="39"/>
      <c r="D22" s="39"/>
      <c r="E22" s="39"/>
      <c r="F22" s="39"/>
    </row>
    <row r="23" spans="1:10" ht="39" customHeight="1" x14ac:dyDescent="0.3">
      <c r="A23" s="39"/>
      <c r="B23" s="39"/>
      <c r="C23" s="39"/>
      <c r="D23" s="39"/>
      <c r="E23" s="39"/>
      <c r="F23" s="39"/>
    </row>
    <row r="24" spans="1:10" ht="39" customHeight="1" x14ac:dyDescent="0.3">
      <c r="A24" s="39"/>
      <c r="B24" s="39"/>
      <c r="C24" s="39"/>
      <c r="D24" s="39"/>
      <c r="E24" s="39"/>
      <c r="F24" s="39"/>
    </row>
    <row r="25" spans="1:10" ht="39" customHeight="1" x14ac:dyDescent="0.3">
      <c r="A25" s="39"/>
      <c r="B25" s="39"/>
      <c r="C25" s="39"/>
      <c r="D25" s="39"/>
      <c r="E25" s="39"/>
      <c r="F25" s="39"/>
    </row>
    <row r="26" spans="1:10" ht="39" customHeight="1" x14ac:dyDescent="0.3">
      <c r="A26" s="39"/>
      <c r="B26" s="39"/>
      <c r="C26" s="39"/>
      <c r="D26" s="39"/>
      <c r="E26" s="39"/>
      <c r="F26" s="39"/>
    </row>
    <row r="27" spans="1:10" ht="39" customHeight="1" x14ac:dyDescent="0.3">
      <c r="A27" s="39"/>
      <c r="B27" s="39"/>
      <c r="C27" s="39"/>
      <c r="D27" s="39"/>
      <c r="E27" s="39"/>
      <c r="F27" s="39"/>
    </row>
    <row r="28" spans="1:10" ht="39" customHeight="1" x14ac:dyDescent="0.3">
      <c r="A28" s="39"/>
      <c r="B28" s="39"/>
      <c r="C28" s="39"/>
      <c r="D28" s="39"/>
      <c r="E28" s="39"/>
      <c r="F28" s="39"/>
    </row>
    <row r="29" spans="1:10" ht="39" customHeight="1" x14ac:dyDescent="0.3">
      <c r="A29" s="39"/>
      <c r="B29" s="39"/>
      <c r="C29" s="39"/>
      <c r="D29" s="39"/>
      <c r="E29" s="39"/>
      <c r="F29" s="39"/>
    </row>
    <row r="30" spans="1:10" ht="39" customHeight="1" x14ac:dyDescent="0.3">
      <c r="A30" s="39"/>
      <c r="B30" s="39"/>
      <c r="C30" s="39"/>
      <c r="D30" s="39"/>
      <c r="E30" s="39"/>
      <c r="F30" s="39"/>
    </row>
    <row r="31" spans="1:10" ht="39" customHeight="1" x14ac:dyDescent="0.3">
      <c r="A31" s="39"/>
      <c r="B31" s="39"/>
      <c r="C31" s="39"/>
      <c r="D31" s="39"/>
      <c r="E31" s="39"/>
      <c r="F31" s="39"/>
    </row>
    <row r="32" spans="1:10" ht="39" customHeight="1" x14ac:dyDescent="0.3">
      <c r="A32" s="39"/>
      <c r="B32" s="39"/>
      <c r="C32" s="39"/>
      <c r="D32" s="39"/>
      <c r="E32" s="39"/>
      <c r="F32" s="39"/>
    </row>
    <row r="33" spans="1:6" ht="39" customHeight="1" x14ac:dyDescent="0.3">
      <c r="A33" s="39"/>
      <c r="B33" s="39"/>
      <c r="C33" s="39"/>
      <c r="D33" s="39"/>
      <c r="E33" s="39"/>
      <c r="F33" s="39"/>
    </row>
    <row r="34" spans="1:6" ht="39" customHeight="1" x14ac:dyDescent="0.3">
      <c r="A34" s="39"/>
      <c r="B34" s="39"/>
      <c r="C34" s="39"/>
      <c r="D34" s="39"/>
      <c r="E34" s="39"/>
      <c r="F34" s="39"/>
    </row>
  </sheetData>
  <pageMargins left="0.70866141732283472" right="0.70866141732283472" top="0.74803149606299213" bottom="0.74803149606299213" header="0.31496062992125984" footer="0.31496062992125984"/>
  <pageSetup paperSize="9" scale="53" orientation="landscape" r:id="rId1"/>
  <headerFooter>
    <oddHeader>&amp;C13TH APRIL, 2011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view="pageBreakPreview" topLeftCell="A66" zoomScale="60" workbookViewId="0">
      <selection activeCell="B71" sqref="B71:B72"/>
    </sheetView>
  </sheetViews>
  <sheetFormatPr defaultRowHeight="21" x14ac:dyDescent="0.35"/>
  <cols>
    <col min="1" max="1" width="57.140625" style="66" customWidth="1"/>
    <col min="2" max="2" width="15.5703125" style="20" customWidth="1"/>
    <col min="3" max="3" width="13.42578125" style="20" customWidth="1"/>
    <col min="4" max="4" width="10.85546875" style="20" customWidth="1"/>
    <col min="5" max="5" width="9.140625" style="20"/>
    <col min="6" max="6" width="13.42578125" style="20" customWidth="1"/>
    <col min="7" max="16384" width="9.140625" style="20"/>
  </cols>
  <sheetData>
    <row r="1" spans="1:3" ht="24.75" customHeight="1" x14ac:dyDescent="0.35"/>
    <row r="2" spans="1:3" ht="38.25" customHeight="1" x14ac:dyDescent="0.35">
      <c r="A2" s="90" t="s">
        <v>643</v>
      </c>
      <c r="B2" s="91"/>
      <c r="C2" s="92"/>
    </row>
    <row r="3" spans="1:3" s="17" customFormat="1" x14ac:dyDescent="0.35">
      <c r="A3" s="80" t="s">
        <v>0</v>
      </c>
      <c r="B3" s="81"/>
      <c r="C3" s="82"/>
    </row>
    <row r="4" spans="1:3" s="17" customFormat="1" x14ac:dyDescent="0.35">
      <c r="A4" s="80"/>
      <c r="B4" s="82" t="s">
        <v>812</v>
      </c>
      <c r="C4" s="82" t="s">
        <v>811</v>
      </c>
    </row>
    <row r="5" spans="1:3" x14ac:dyDescent="0.35">
      <c r="A5" s="80" t="s">
        <v>46</v>
      </c>
      <c r="B5" s="54"/>
      <c r="C5" s="54"/>
    </row>
    <row r="6" spans="1:3" x14ac:dyDescent="0.35">
      <c r="A6" s="83" t="s">
        <v>93</v>
      </c>
      <c r="B6" s="88" t="s">
        <v>703</v>
      </c>
      <c r="C6" s="89"/>
    </row>
    <row r="7" spans="1:3" x14ac:dyDescent="0.35">
      <c r="A7" s="80"/>
      <c r="B7" s="84"/>
      <c r="C7" s="54"/>
    </row>
    <row r="8" spans="1:3" x14ac:dyDescent="0.35">
      <c r="A8" s="80" t="s">
        <v>47</v>
      </c>
      <c r="B8" s="84"/>
      <c r="C8" s="54"/>
    </row>
    <row r="9" spans="1:3" x14ac:dyDescent="0.35">
      <c r="A9" s="83" t="s">
        <v>398</v>
      </c>
      <c r="B9" s="88" t="s">
        <v>703</v>
      </c>
      <c r="C9" s="89"/>
    </row>
    <row r="10" spans="1:3" x14ac:dyDescent="0.35">
      <c r="A10" s="80"/>
      <c r="B10" s="54"/>
      <c r="C10" s="54"/>
    </row>
    <row r="11" spans="1:3" x14ac:dyDescent="0.35">
      <c r="A11" s="80" t="s">
        <v>48</v>
      </c>
      <c r="B11" s="54"/>
      <c r="C11" s="54"/>
    </row>
    <row r="12" spans="1:3" x14ac:dyDescent="0.35">
      <c r="A12" s="83" t="s">
        <v>400</v>
      </c>
      <c r="B12" s="84">
        <v>249</v>
      </c>
      <c r="C12" s="85">
        <f>B12/588</f>
        <v>0.42346938775510207</v>
      </c>
    </row>
    <row r="13" spans="1:3" x14ac:dyDescent="0.35">
      <c r="A13" s="83" t="s">
        <v>401</v>
      </c>
      <c r="B13" s="54">
        <v>194</v>
      </c>
      <c r="C13" s="86">
        <f t="shared" ref="C13:C14" si="0">B13/588</f>
        <v>0.32993197278911562</v>
      </c>
    </row>
    <row r="14" spans="1:3" x14ac:dyDescent="0.35">
      <c r="A14" s="83" t="s">
        <v>601</v>
      </c>
      <c r="B14" s="54">
        <v>145</v>
      </c>
      <c r="C14" s="86">
        <f t="shared" si="0"/>
        <v>0.24659863945578231</v>
      </c>
    </row>
    <row r="15" spans="1:3" x14ac:dyDescent="0.35">
      <c r="A15" s="80"/>
      <c r="B15" s="54">
        <f>SUM(B12:B14)</f>
        <v>588</v>
      </c>
      <c r="C15" s="54"/>
    </row>
    <row r="16" spans="1:3" x14ac:dyDescent="0.35">
      <c r="A16" s="80"/>
      <c r="B16" s="54"/>
      <c r="C16" s="54"/>
    </row>
    <row r="17" spans="1:3" x14ac:dyDescent="0.35">
      <c r="A17" s="80" t="s">
        <v>49</v>
      </c>
      <c r="B17" s="54"/>
      <c r="C17" s="54"/>
    </row>
    <row r="18" spans="1:3" x14ac:dyDescent="0.35">
      <c r="A18" s="83" t="s">
        <v>86</v>
      </c>
      <c r="B18" s="54">
        <v>7</v>
      </c>
      <c r="C18" s="86">
        <f>B18/448</f>
        <v>1.5625E-2</v>
      </c>
    </row>
    <row r="19" spans="1:3" x14ac:dyDescent="0.35">
      <c r="A19" s="83" t="s">
        <v>103</v>
      </c>
      <c r="B19" s="84">
        <v>239</v>
      </c>
      <c r="C19" s="85">
        <f t="shared" ref="C19:C23" si="1">B19/448</f>
        <v>0.5334821428571429</v>
      </c>
    </row>
    <row r="20" spans="1:3" x14ac:dyDescent="0.35">
      <c r="A20" s="83" t="s">
        <v>88</v>
      </c>
      <c r="B20" s="54">
        <v>15</v>
      </c>
      <c r="C20" s="86">
        <f t="shared" si="1"/>
        <v>3.3482142857142856E-2</v>
      </c>
    </row>
    <row r="21" spans="1:3" x14ac:dyDescent="0.35">
      <c r="A21" s="83" t="s">
        <v>87</v>
      </c>
      <c r="B21" s="54">
        <v>10</v>
      </c>
      <c r="C21" s="86">
        <f t="shared" si="1"/>
        <v>2.2321428571428572E-2</v>
      </c>
    </row>
    <row r="22" spans="1:3" x14ac:dyDescent="0.35">
      <c r="A22" s="83" t="s">
        <v>367</v>
      </c>
      <c r="B22" s="54">
        <v>166</v>
      </c>
      <c r="C22" s="86">
        <f t="shared" si="1"/>
        <v>0.3705357142857143</v>
      </c>
    </row>
    <row r="23" spans="1:3" x14ac:dyDescent="0.35">
      <c r="A23" s="83" t="s">
        <v>89</v>
      </c>
      <c r="B23" s="54">
        <v>11</v>
      </c>
      <c r="C23" s="86">
        <f t="shared" si="1"/>
        <v>2.4553571428571428E-2</v>
      </c>
    </row>
    <row r="24" spans="1:3" x14ac:dyDescent="0.35">
      <c r="A24" s="80"/>
      <c r="B24" s="54">
        <f>SUM(B18:B23)</f>
        <v>448</v>
      </c>
      <c r="C24" s="54"/>
    </row>
    <row r="25" spans="1:3" x14ac:dyDescent="0.35">
      <c r="A25" s="80"/>
      <c r="B25" s="54"/>
      <c r="C25" s="54"/>
    </row>
    <row r="26" spans="1:3" x14ac:dyDescent="0.35">
      <c r="A26" s="80" t="s">
        <v>50</v>
      </c>
      <c r="B26" s="54"/>
      <c r="C26" s="54"/>
    </row>
    <row r="27" spans="1:3" x14ac:dyDescent="0.35">
      <c r="A27" s="83" t="s">
        <v>73</v>
      </c>
      <c r="B27" s="54">
        <v>154</v>
      </c>
      <c r="C27" s="86">
        <f>B27/410</f>
        <v>0.37560975609756098</v>
      </c>
    </row>
    <row r="28" spans="1:3" x14ac:dyDescent="0.35">
      <c r="A28" s="83" t="s">
        <v>395</v>
      </c>
      <c r="B28" s="84">
        <v>256</v>
      </c>
      <c r="C28" s="85">
        <f t="shared" ref="C28" si="2">B28/410</f>
        <v>0.62439024390243902</v>
      </c>
    </row>
    <row r="29" spans="1:3" x14ac:dyDescent="0.35">
      <c r="A29" s="80"/>
      <c r="B29" s="54">
        <f>SUM(B27:B28)</f>
        <v>410</v>
      </c>
      <c r="C29" s="86"/>
    </row>
    <row r="30" spans="1:3" x14ac:dyDescent="0.35">
      <c r="A30" s="80"/>
      <c r="B30" s="54"/>
      <c r="C30" s="54"/>
    </row>
    <row r="31" spans="1:3" x14ac:dyDescent="0.35">
      <c r="A31" s="80" t="s">
        <v>51</v>
      </c>
      <c r="B31" s="54"/>
      <c r="C31" s="54"/>
    </row>
    <row r="32" spans="1:3" x14ac:dyDescent="0.35">
      <c r="A32" s="83" t="s">
        <v>603</v>
      </c>
      <c r="B32" s="54">
        <v>101</v>
      </c>
      <c r="C32" s="86">
        <f>B32/534</f>
        <v>0.18913857677902621</v>
      </c>
    </row>
    <row r="33" spans="1:3" x14ac:dyDescent="0.35">
      <c r="A33" s="83" t="s">
        <v>385</v>
      </c>
      <c r="B33" s="84">
        <v>296</v>
      </c>
      <c r="C33" s="86">
        <f t="shared" ref="C33:C34" si="3">B33/534</f>
        <v>0.55430711610486894</v>
      </c>
    </row>
    <row r="34" spans="1:3" x14ac:dyDescent="0.35">
      <c r="A34" s="83" t="s">
        <v>403</v>
      </c>
      <c r="B34" s="54">
        <v>137</v>
      </c>
      <c r="C34" s="86">
        <f t="shared" si="3"/>
        <v>0.25655430711610488</v>
      </c>
    </row>
    <row r="35" spans="1:3" x14ac:dyDescent="0.35">
      <c r="A35" s="80"/>
      <c r="B35" s="54">
        <f>SUM(B32:B34)</f>
        <v>534</v>
      </c>
      <c r="C35" s="54"/>
    </row>
    <row r="36" spans="1:3" x14ac:dyDescent="0.35">
      <c r="A36" s="80"/>
      <c r="B36" s="54"/>
      <c r="C36" s="54"/>
    </row>
    <row r="37" spans="1:3" x14ac:dyDescent="0.35">
      <c r="A37" s="80" t="s">
        <v>52</v>
      </c>
      <c r="B37" s="54"/>
      <c r="C37" s="54"/>
    </row>
    <row r="38" spans="1:3" x14ac:dyDescent="0.35">
      <c r="A38" s="83" t="s">
        <v>96</v>
      </c>
      <c r="B38" s="54">
        <v>116</v>
      </c>
      <c r="C38" s="86">
        <f>B38/285</f>
        <v>0.40701754385964911</v>
      </c>
    </row>
    <row r="39" spans="1:3" x14ac:dyDescent="0.35">
      <c r="A39" s="83" t="s">
        <v>95</v>
      </c>
      <c r="B39" s="84">
        <v>169</v>
      </c>
      <c r="C39" s="86">
        <f>B39/285</f>
        <v>0.59298245614035083</v>
      </c>
    </row>
    <row r="40" spans="1:3" x14ac:dyDescent="0.35">
      <c r="A40" s="80"/>
      <c r="B40" s="54">
        <f>SUM(B38:B39)</f>
        <v>285</v>
      </c>
      <c r="C40" s="54"/>
    </row>
    <row r="41" spans="1:3" x14ac:dyDescent="0.35">
      <c r="A41" s="80"/>
      <c r="B41" s="54"/>
      <c r="C41" s="54"/>
    </row>
    <row r="42" spans="1:3" x14ac:dyDescent="0.35">
      <c r="A42" s="80" t="s">
        <v>53</v>
      </c>
      <c r="B42" s="54"/>
      <c r="C42" s="54"/>
    </row>
    <row r="43" spans="1:3" x14ac:dyDescent="0.35">
      <c r="A43" s="83" t="s">
        <v>92</v>
      </c>
      <c r="B43" s="84">
        <v>240</v>
      </c>
      <c r="C43" s="86">
        <f>B43/524</f>
        <v>0.4580152671755725</v>
      </c>
    </row>
    <row r="44" spans="1:3" x14ac:dyDescent="0.35">
      <c r="A44" s="83" t="s">
        <v>91</v>
      </c>
      <c r="B44" s="54">
        <v>174</v>
      </c>
      <c r="C44" s="86">
        <f t="shared" ref="C44:C45" si="4">B44/524</f>
        <v>0.33206106870229007</v>
      </c>
    </row>
    <row r="45" spans="1:3" x14ac:dyDescent="0.35">
      <c r="A45" s="83" t="s">
        <v>90</v>
      </c>
      <c r="B45" s="54">
        <v>110</v>
      </c>
      <c r="C45" s="86">
        <f t="shared" si="4"/>
        <v>0.20992366412213739</v>
      </c>
    </row>
    <row r="46" spans="1:3" x14ac:dyDescent="0.35">
      <c r="A46" s="80"/>
      <c r="B46" s="54">
        <f>SUM(B43:B45)</f>
        <v>524</v>
      </c>
      <c r="C46" s="54"/>
    </row>
    <row r="47" spans="1:3" x14ac:dyDescent="0.35">
      <c r="A47" s="80"/>
      <c r="B47" s="54"/>
      <c r="C47" s="54"/>
    </row>
    <row r="48" spans="1:3" x14ac:dyDescent="0.35">
      <c r="A48" s="80" t="s">
        <v>54</v>
      </c>
      <c r="B48" s="54"/>
      <c r="C48" s="54"/>
    </row>
    <row r="49" spans="1:3" x14ac:dyDescent="0.35">
      <c r="A49" s="83" t="s">
        <v>391</v>
      </c>
      <c r="B49" s="54">
        <v>212</v>
      </c>
      <c r="C49" s="86">
        <f>B49/533</f>
        <v>0.39774859287054409</v>
      </c>
    </row>
    <row r="50" spans="1:3" x14ac:dyDescent="0.35">
      <c r="A50" s="83" t="s">
        <v>78</v>
      </c>
      <c r="B50" s="84">
        <v>321</v>
      </c>
      <c r="C50" s="86">
        <f>B50/533</f>
        <v>0.60225140712945591</v>
      </c>
    </row>
    <row r="51" spans="1:3" x14ac:dyDescent="0.35">
      <c r="A51" s="80"/>
      <c r="B51" s="54">
        <f>SUM(B49:B50)</f>
        <v>533</v>
      </c>
      <c r="C51" s="54"/>
    </row>
    <row r="52" spans="1:3" x14ac:dyDescent="0.35">
      <c r="A52" s="80"/>
      <c r="B52" s="54"/>
      <c r="C52" s="54"/>
    </row>
    <row r="53" spans="1:3" x14ac:dyDescent="0.35">
      <c r="A53" s="80" t="s">
        <v>55</v>
      </c>
      <c r="B53" s="54"/>
      <c r="C53" s="54"/>
    </row>
    <row r="54" spans="1:3" x14ac:dyDescent="0.35">
      <c r="A54" s="83" t="s">
        <v>390</v>
      </c>
      <c r="B54" s="84">
        <v>233</v>
      </c>
      <c r="C54" s="86">
        <f>B54/477</f>
        <v>0.48846960167714887</v>
      </c>
    </row>
    <row r="55" spans="1:3" x14ac:dyDescent="0.35">
      <c r="A55" s="83" t="s">
        <v>600</v>
      </c>
      <c r="B55" s="54">
        <v>40</v>
      </c>
      <c r="C55" s="86">
        <f t="shared" ref="C55:C56" si="5">B55/477</f>
        <v>8.385744234800839E-2</v>
      </c>
    </row>
    <row r="56" spans="1:3" x14ac:dyDescent="0.35">
      <c r="A56" s="83" t="s">
        <v>394</v>
      </c>
      <c r="B56" s="54">
        <v>204</v>
      </c>
      <c r="C56" s="86">
        <f t="shared" si="5"/>
        <v>0.42767295597484278</v>
      </c>
    </row>
    <row r="57" spans="1:3" x14ac:dyDescent="0.35">
      <c r="A57" s="80"/>
      <c r="B57" s="54">
        <f>SUM(B54:B56)</f>
        <v>477</v>
      </c>
      <c r="C57" s="54"/>
    </row>
    <row r="58" spans="1:3" x14ac:dyDescent="0.35">
      <c r="A58" s="80"/>
      <c r="B58" s="54"/>
      <c r="C58" s="54"/>
    </row>
    <row r="59" spans="1:3" x14ac:dyDescent="0.35">
      <c r="A59" s="80" t="s">
        <v>56</v>
      </c>
      <c r="B59" s="54"/>
      <c r="C59" s="54"/>
    </row>
    <row r="60" spans="1:3" x14ac:dyDescent="0.35">
      <c r="A60" s="83" t="s">
        <v>386</v>
      </c>
      <c r="B60" s="84">
        <v>209</v>
      </c>
      <c r="C60" s="86">
        <f>B60/353</f>
        <v>0.59206798866855526</v>
      </c>
    </row>
    <row r="61" spans="1:3" x14ac:dyDescent="0.35">
      <c r="A61" s="83" t="s">
        <v>392</v>
      </c>
      <c r="B61" s="54">
        <v>76</v>
      </c>
      <c r="C61" s="86">
        <f t="shared" ref="C61:C63" si="6">B61/353</f>
        <v>0.21529745042492918</v>
      </c>
    </row>
    <row r="62" spans="1:3" x14ac:dyDescent="0.35">
      <c r="A62" s="83" t="s">
        <v>602</v>
      </c>
      <c r="B62" s="54">
        <v>52</v>
      </c>
      <c r="C62" s="86">
        <f t="shared" si="6"/>
        <v>0.14730878186968838</v>
      </c>
    </row>
    <row r="63" spans="1:3" x14ac:dyDescent="0.35">
      <c r="A63" s="83" t="s">
        <v>75</v>
      </c>
      <c r="B63" s="54">
        <v>16</v>
      </c>
      <c r="C63" s="86">
        <f t="shared" si="6"/>
        <v>4.5325779036827198E-2</v>
      </c>
    </row>
    <row r="64" spans="1:3" x14ac:dyDescent="0.35">
      <c r="A64" s="80"/>
      <c r="B64" s="54">
        <f>SUM(B60:B63)</f>
        <v>353</v>
      </c>
      <c r="C64" s="86"/>
    </row>
    <row r="65" spans="1:3" x14ac:dyDescent="0.35">
      <c r="A65" s="80"/>
      <c r="B65" s="54"/>
      <c r="C65" s="54"/>
    </row>
    <row r="66" spans="1:3" x14ac:dyDescent="0.35">
      <c r="A66" s="80" t="s">
        <v>57</v>
      </c>
      <c r="B66" s="54"/>
      <c r="C66" s="54"/>
    </row>
    <row r="67" spans="1:3" x14ac:dyDescent="0.35">
      <c r="A67" s="83" t="s">
        <v>370</v>
      </c>
      <c r="B67" s="54">
        <v>352</v>
      </c>
      <c r="C67" s="86">
        <f>B67/955</f>
        <v>0.36858638743455496</v>
      </c>
    </row>
    <row r="68" spans="1:3" x14ac:dyDescent="0.35">
      <c r="A68" s="83" t="s">
        <v>393</v>
      </c>
      <c r="B68" s="84">
        <v>603</v>
      </c>
      <c r="C68" s="86">
        <f>B68/955</f>
        <v>0.63141361256544504</v>
      </c>
    </row>
    <row r="69" spans="1:3" x14ac:dyDescent="0.35">
      <c r="A69" s="80"/>
      <c r="B69" s="54">
        <f>SUM(B67:B68)</f>
        <v>955</v>
      </c>
      <c r="C69" s="54"/>
    </row>
    <row r="70" spans="1:3" x14ac:dyDescent="0.35">
      <c r="A70" s="80" t="s">
        <v>58</v>
      </c>
      <c r="B70" s="54"/>
      <c r="C70" s="54"/>
    </row>
    <row r="71" spans="1:3" x14ac:dyDescent="0.35">
      <c r="A71" s="83" t="s">
        <v>599</v>
      </c>
      <c r="B71" s="54">
        <v>67</v>
      </c>
      <c r="C71" s="86">
        <f>B71/323</f>
        <v>0.20743034055727555</v>
      </c>
    </row>
    <row r="72" spans="1:3" x14ac:dyDescent="0.35">
      <c r="A72" s="83" t="s">
        <v>396</v>
      </c>
      <c r="B72" s="54">
        <v>95</v>
      </c>
      <c r="C72" s="86">
        <f t="shared" ref="C72:C73" si="7">B72/323</f>
        <v>0.29411764705882354</v>
      </c>
    </row>
    <row r="73" spans="1:3" x14ac:dyDescent="0.35">
      <c r="A73" s="83" t="s">
        <v>397</v>
      </c>
      <c r="B73" s="84">
        <v>161</v>
      </c>
      <c r="C73" s="86">
        <f t="shared" si="7"/>
        <v>0.49845201238390091</v>
      </c>
    </row>
    <row r="74" spans="1:3" x14ac:dyDescent="0.35">
      <c r="A74" s="80"/>
      <c r="B74" s="54">
        <f>SUM(B71:B73)</f>
        <v>323</v>
      </c>
      <c r="C74" s="54"/>
    </row>
    <row r="75" spans="1:3" x14ac:dyDescent="0.35">
      <c r="A75" s="80"/>
      <c r="B75" s="54"/>
      <c r="C75" s="54"/>
    </row>
    <row r="76" spans="1:3" x14ac:dyDescent="0.35">
      <c r="A76" s="80" t="s">
        <v>59</v>
      </c>
      <c r="B76" s="54"/>
      <c r="C76" s="54"/>
    </row>
    <row r="77" spans="1:3" x14ac:dyDescent="0.35">
      <c r="A77" s="83" t="s">
        <v>77</v>
      </c>
      <c r="B77" s="54">
        <v>2</v>
      </c>
      <c r="C77" s="86">
        <f>B77/298</f>
        <v>6.7114093959731542E-3</v>
      </c>
    </row>
    <row r="78" spans="1:3" x14ac:dyDescent="0.35">
      <c r="A78" s="83" t="s">
        <v>402</v>
      </c>
      <c r="B78" s="54">
        <v>296</v>
      </c>
      <c r="C78" s="86">
        <f>B78/298</f>
        <v>0.99328859060402686</v>
      </c>
    </row>
    <row r="79" spans="1:3" x14ac:dyDescent="0.35">
      <c r="A79" s="80"/>
      <c r="B79" s="54">
        <f>SUM(B77:B78)</f>
        <v>298</v>
      </c>
      <c r="C79" s="54"/>
    </row>
    <row r="80" spans="1:3" x14ac:dyDescent="0.35">
      <c r="A80" s="80"/>
      <c r="B80" s="54"/>
      <c r="C80" s="54"/>
    </row>
    <row r="81" spans="1:10" x14ac:dyDescent="0.35">
      <c r="A81" s="80"/>
      <c r="B81" s="54"/>
      <c r="C81" s="54"/>
    </row>
    <row r="82" spans="1:10" x14ac:dyDescent="0.35">
      <c r="A82" s="80" t="s">
        <v>60</v>
      </c>
      <c r="B82" s="54"/>
      <c r="C82" s="54"/>
    </row>
    <row r="83" spans="1:10" x14ac:dyDescent="0.35">
      <c r="A83" s="83" t="s">
        <v>74</v>
      </c>
      <c r="B83" s="54">
        <v>544</v>
      </c>
      <c r="C83" s="86">
        <f>B83/758</f>
        <v>0.71767810026385226</v>
      </c>
    </row>
    <row r="84" spans="1:10" x14ac:dyDescent="0.35">
      <c r="A84" s="83" t="s">
        <v>181</v>
      </c>
      <c r="B84" s="54">
        <v>214</v>
      </c>
      <c r="C84" s="86">
        <f>B84/758</f>
        <v>0.28232189973614774</v>
      </c>
    </row>
    <row r="85" spans="1:10" x14ac:dyDescent="0.35">
      <c r="A85" s="80"/>
      <c r="B85" s="54">
        <f>SUM(B83:B84)</f>
        <v>758</v>
      </c>
      <c r="C85" s="54"/>
    </row>
    <row r="86" spans="1:10" x14ac:dyDescent="0.35">
      <c r="A86" s="80"/>
      <c r="B86" s="54"/>
      <c r="C86" s="54"/>
    </row>
    <row r="87" spans="1:10" x14ac:dyDescent="0.35">
      <c r="A87" s="80"/>
      <c r="B87" s="54"/>
      <c r="C87" s="54"/>
    </row>
    <row r="88" spans="1:10" x14ac:dyDescent="0.35">
      <c r="A88" s="80" t="s">
        <v>61</v>
      </c>
      <c r="B88" s="54"/>
      <c r="C88" s="54"/>
    </row>
    <row r="89" spans="1:10" x14ac:dyDescent="0.35">
      <c r="A89" s="83" t="s">
        <v>384</v>
      </c>
      <c r="B89" s="84">
        <v>219</v>
      </c>
      <c r="C89" s="86">
        <f>B89/419</f>
        <v>0.52267303102625295</v>
      </c>
      <c r="J89" s="21"/>
    </row>
    <row r="90" spans="1:10" x14ac:dyDescent="0.35">
      <c r="A90" s="83" t="s">
        <v>102</v>
      </c>
      <c r="B90" s="54">
        <v>5</v>
      </c>
      <c r="C90" s="86">
        <f t="shared" ref="C90:C92" si="8">B90/419</f>
        <v>1.1933174224343675E-2</v>
      </c>
    </row>
    <row r="91" spans="1:10" x14ac:dyDescent="0.35">
      <c r="A91" s="83" t="s">
        <v>715</v>
      </c>
      <c r="B91" s="54">
        <v>6</v>
      </c>
      <c r="C91" s="86">
        <f t="shared" si="8"/>
        <v>1.4319809069212411E-2</v>
      </c>
    </row>
    <row r="92" spans="1:10" x14ac:dyDescent="0.35">
      <c r="A92" s="83" t="s">
        <v>101</v>
      </c>
      <c r="B92" s="54">
        <v>189</v>
      </c>
      <c r="C92" s="86">
        <f t="shared" si="8"/>
        <v>0.45107398568019091</v>
      </c>
    </row>
    <row r="93" spans="1:10" x14ac:dyDescent="0.35">
      <c r="A93" s="80"/>
      <c r="B93" s="54">
        <f>SUM(B89:B92)</f>
        <v>419</v>
      </c>
      <c r="C93" s="54"/>
    </row>
    <row r="94" spans="1:10" x14ac:dyDescent="0.35">
      <c r="A94" s="80"/>
      <c r="B94" s="54"/>
      <c r="C94" s="54"/>
    </row>
    <row r="95" spans="1:10" x14ac:dyDescent="0.35">
      <c r="A95" s="80" t="s">
        <v>62</v>
      </c>
      <c r="B95" s="54"/>
      <c r="C95" s="54"/>
    </row>
    <row r="96" spans="1:10" x14ac:dyDescent="0.35">
      <c r="A96" s="83" t="s">
        <v>97</v>
      </c>
      <c r="B96" s="88" t="s">
        <v>703</v>
      </c>
      <c r="C96" s="89"/>
    </row>
    <row r="97" spans="1:3" x14ac:dyDescent="0.35">
      <c r="A97" s="80"/>
      <c r="B97" s="54"/>
      <c r="C97" s="54"/>
    </row>
    <row r="98" spans="1:3" x14ac:dyDescent="0.35">
      <c r="A98" s="80" t="s">
        <v>63</v>
      </c>
      <c r="B98" s="54"/>
      <c r="C98" s="54"/>
    </row>
    <row r="99" spans="1:3" x14ac:dyDescent="0.35">
      <c r="A99" s="83" t="s">
        <v>387</v>
      </c>
      <c r="B99" s="54">
        <v>232</v>
      </c>
      <c r="C99" s="86">
        <f>B99/503</f>
        <v>0.46123260437375746</v>
      </c>
    </row>
    <row r="100" spans="1:3" x14ac:dyDescent="0.35">
      <c r="A100" s="83" t="s">
        <v>94</v>
      </c>
      <c r="B100" s="54">
        <v>271</v>
      </c>
      <c r="C100" s="86">
        <f>B100/503</f>
        <v>0.53876739562624254</v>
      </c>
    </row>
    <row r="101" spans="1:3" x14ac:dyDescent="0.35">
      <c r="A101" s="80"/>
      <c r="B101" s="54">
        <f>SUM(B99:B100)</f>
        <v>503</v>
      </c>
      <c r="C101" s="54"/>
    </row>
    <row r="102" spans="1:3" x14ac:dyDescent="0.35">
      <c r="A102" s="80"/>
      <c r="B102" s="54"/>
      <c r="C102" s="54"/>
    </row>
    <row r="103" spans="1:3" x14ac:dyDescent="0.35">
      <c r="A103" s="80"/>
      <c r="B103" s="54"/>
      <c r="C103" s="54"/>
    </row>
    <row r="104" spans="1:3" x14ac:dyDescent="0.35">
      <c r="A104" s="80" t="s">
        <v>64</v>
      </c>
      <c r="B104" s="54"/>
      <c r="C104" s="54"/>
    </row>
    <row r="105" spans="1:3" x14ac:dyDescent="0.35">
      <c r="A105" s="83" t="s">
        <v>82</v>
      </c>
      <c r="B105" s="88" t="s">
        <v>703</v>
      </c>
      <c r="C105" s="89"/>
    </row>
    <row r="106" spans="1:3" x14ac:dyDescent="0.35">
      <c r="A106" s="80"/>
      <c r="B106" s="54"/>
      <c r="C106" s="54"/>
    </row>
    <row r="107" spans="1:3" x14ac:dyDescent="0.35">
      <c r="A107" s="80" t="s">
        <v>65</v>
      </c>
      <c r="B107" s="54"/>
      <c r="C107" s="54"/>
    </row>
    <row r="108" spans="1:3" x14ac:dyDescent="0.35">
      <c r="A108" s="83" t="s">
        <v>72</v>
      </c>
      <c r="B108" s="54">
        <v>172</v>
      </c>
      <c r="C108" s="86">
        <f>B108/490</f>
        <v>0.3510204081632653</v>
      </c>
    </row>
    <row r="109" spans="1:3" x14ac:dyDescent="0.35">
      <c r="A109" s="83" t="s">
        <v>389</v>
      </c>
      <c r="B109" s="54">
        <v>318</v>
      </c>
      <c r="C109" s="86">
        <f>B109/490</f>
        <v>0.6489795918367347</v>
      </c>
    </row>
    <row r="110" spans="1:3" x14ac:dyDescent="0.35">
      <c r="A110" s="80"/>
      <c r="B110" s="54">
        <f>SUM(B108:B109)</f>
        <v>490</v>
      </c>
      <c r="C110" s="54"/>
    </row>
    <row r="111" spans="1:3" x14ac:dyDescent="0.35">
      <c r="A111" s="80"/>
      <c r="B111" s="54"/>
      <c r="C111" s="54"/>
    </row>
    <row r="112" spans="1:3" x14ac:dyDescent="0.35">
      <c r="A112" s="80" t="s">
        <v>66</v>
      </c>
      <c r="B112" s="54"/>
      <c r="C112" s="54"/>
    </row>
    <row r="113" spans="1:3" x14ac:dyDescent="0.35">
      <c r="A113" s="83" t="s">
        <v>81</v>
      </c>
      <c r="B113" s="54">
        <v>458</v>
      </c>
      <c r="C113" s="86">
        <f>B113/595</f>
        <v>0.76974789915966391</v>
      </c>
    </row>
    <row r="114" spans="1:3" x14ac:dyDescent="0.35">
      <c r="A114" s="83" t="s">
        <v>80</v>
      </c>
      <c r="B114" s="54">
        <v>135</v>
      </c>
      <c r="C114" s="86">
        <f>B114/595</f>
        <v>0.22689075630252101</v>
      </c>
    </row>
    <row r="115" spans="1:3" x14ac:dyDescent="0.35">
      <c r="A115" s="80"/>
      <c r="B115" s="54">
        <f>SUM(B113:B114)</f>
        <v>593</v>
      </c>
      <c r="C115" s="54"/>
    </row>
    <row r="116" spans="1:3" x14ac:dyDescent="0.35">
      <c r="A116" s="80"/>
      <c r="B116" s="54"/>
      <c r="C116" s="54"/>
    </row>
    <row r="117" spans="1:3" x14ac:dyDescent="0.35">
      <c r="A117" s="80" t="s">
        <v>67</v>
      </c>
      <c r="B117" s="54"/>
      <c r="C117" s="54"/>
    </row>
    <row r="118" spans="1:3" x14ac:dyDescent="0.35">
      <c r="A118" s="83" t="s">
        <v>629</v>
      </c>
      <c r="B118" s="88" t="s">
        <v>703</v>
      </c>
      <c r="C118" s="89"/>
    </row>
    <row r="119" spans="1:3" x14ac:dyDescent="0.35">
      <c r="A119" s="80"/>
      <c r="B119" s="54"/>
      <c r="C119" s="54"/>
    </row>
    <row r="120" spans="1:3" x14ac:dyDescent="0.35">
      <c r="A120" s="80" t="s">
        <v>68</v>
      </c>
      <c r="B120" s="54"/>
      <c r="C120" s="54"/>
    </row>
    <row r="121" spans="1:3" x14ac:dyDescent="0.35">
      <c r="A121" s="83" t="s">
        <v>388</v>
      </c>
      <c r="B121" s="54">
        <v>196</v>
      </c>
      <c r="C121" s="86">
        <f>B121/383</f>
        <v>0.51174934725848564</v>
      </c>
    </row>
    <row r="122" spans="1:3" x14ac:dyDescent="0.35">
      <c r="A122" s="83" t="s">
        <v>399</v>
      </c>
      <c r="B122" s="54">
        <v>186</v>
      </c>
      <c r="C122" s="86">
        <f>B122/383</f>
        <v>0.48563968668407309</v>
      </c>
    </row>
    <row r="123" spans="1:3" x14ac:dyDescent="0.35">
      <c r="A123" s="80"/>
      <c r="B123" s="54">
        <f>SUM(B121:B122)</f>
        <v>382</v>
      </c>
      <c r="C123" s="54"/>
    </row>
    <row r="124" spans="1:3" x14ac:dyDescent="0.35">
      <c r="A124" s="80"/>
      <c r="B124" s="54"/>
      <c r="C124" s="54"/>
    </row>
    <row r="125" spans="1:3" x14ac:dyDescent="0.35">
      <c r="A125" s="80" t="s">
        <v>69</v>
      </c>
      <c r="B125" s="54"/>
      <c r="C125" s="54"/>
    </row>
    <row r="126" spans="1:3" x14ac:dyDescent="0.35">
      <c r="A126" s="83" t="s">
        <v>98</v>
      </c>
      <c r="B126" s="54">
        <v>259</v>
      </c>
      <c r="C126" s="86">
        <f>B126/489</f>
        <v>0.52965235173824132</v>
      </c>
    </row>
    <row r="127" spans="1:3" x14ac:dyDescent="0.35">
      <c r="A127" s="83" t="s">
        <v>99</v>
      </c>
      <c r="B127" s="54">
        <v>140</v>
      </c>
      <c r="C127" s="86">
        <f t="shared" ref="C127:C128" si="9">B127/489</f>
        <v>0.28629856850715746</v>
      </c>
    </row>
    <row r="128" spans="1:3" x14ac:dyDescent="0.35">
      <c r="A128" s="83" t="s">
        <v>100</v>
      </c>
      <c r="B128" s="54">
        <v>90</v>
      </c>
      <c r="C128" s="86">
        <f t="shared" si="9"/>
        <v>0.18404907975460122</v>
      </c>
    </row>
    <row r="129" spans="1:3" x14ac:dyDescent="0.35">
      <c r="A129" s="80"/>
      <c r="B129" s="54">
        <f>SUM(B126:B128)</f>
        <v>489</v>
      </c>
      <c r="C129" s="54"/>
    </row>
    <row r="130" spans="1:3" x14ac:dyDescent="0.35">
      <c r="A130" s="80"/>
      <c r="B130" s="54"/>
      <c r="C130" s="54"/>
    </row>
    <row r="131" spans="1:3" x14ac:dyDescent="0.35">
      <c r="A131" s="80" t="s">
        <v>70</v>
      </c>
      <c r="B131" s="54"/>
      <c r="C131" s="54"/>
    </row>
    <row r="132" spans="1:3" x14ac:dyDescent="0.35">
      <c r="A132" s="83" t="s">
        <v>378</v>
      </c>
      <c r="B132" s="54">
        <v>178</v>
      </c>
      <c r="C132" s="86">
        <f>B132/576</f>
        <v>0.30902777777777779</v>
      </c>
    </row>
    <row r="133" spans="1:3" x14ac:dyDescent="0.35">
      <c r="A133" s="83" t="s">
        <v>79</v>
      </c>
      <c r="B133" s="54">
        <v>398</v>
      </c>
      <c r="C133" s="86">
        <f>B133/576</f>
        <v>0.69097222222222221</v>
      </c>
    </row>
    <row r="134" spans="1:3" x14ac:dyDescent="0.35">
      <c r="A134" s="80"/>
      <c r="B134" s="54">
        <f>SUM(B132:B133)</f>
        <v>576</v>
      </c>
      <c r="C134" s="54"/>
    </row>
    <row r="135" spans="1:3" x14ac:dyDescent="0.35">
      <c r="A135" s="80"/>
      <c r="B135" s="54"/>
      <c r="C135" s="54"/>
    </row>
    <row r="136" spans="1:3" x14ac:dyDescent="0.35">
      <c r="A136" s="80" t="s">
        <v>71</v>
      </c>
      <c r="B136" s="54"/>
      <c r="C136" s="54"/>
    </row>
    <row r="137" spans="1:3" x14ac:dyDescent="0.35">
      <c r="A137" s="83" t="s">
        <v>76</v>
      </c>
      <c r="B137" s="88" t="s">
        <v>703</v>
      </c>
      <c r="C137" s="89"/>
    </row>
    <row r="138" spans="1:3" x14ac:dyDescent="0.35">
      <c r="A138" s="80"/>
      <c r="B138" s="54"/>
      <c r="C138" s="54"/>
    </row>
    <row r="139" spans="1:3" x14ac:dyDescent="0.35">
      <c r="A139" s="80" t="s">
        <v>83</v>
      </c>
      <c r="B139" s="54"/>
      <c r="C139" s="54"/>
    </row>
    <row r="140" spans="1:3" x14ac:dyDescent="0.35">
      <c r="A140" s="83" t="s">
        <v>85</v>
      </c>
      <c r="B140" s="54">
        <v>192</v>
      </c>
      <c r="C140" s="86">
        <f>B140/513</f>
        <v>0.3742690058479532</v>
      </c>
    </row>
    <row r="141" spans="1:3" x14ac:dyDescent="0.35">
      <c r="A141" s="83" t="s">
        <v>84</v>
      </c>
      <c r="B141" s="84">
        <v>321</v>
      </c>
      <c r="C141" s="86">
        <f>B141/513</f>
        <v>0.6257309941520468</v>
      </c>
    </row>
    <row r="142" spans="1:3" x14ac:dyDescent="0.35">
      <c r="A142" s="80"/>
      <c r="B142" s="54">
        <f>SUM(B140:B141)</f>
        <v>513</v>
      </c>
      <c r="C142" s="54"/>
    </row>
  </sheetData>
  <mergeCells count="7">
    <mergeCell ref="B105:C105"/>
    <mergeCell ref="B118:C118"/>
    <mergeCell ref="B137:C137"/>
    <mergeCell ref="A2:C2"/>
    <mergeCell ref="B6:C6"/>
    <mergeCell ref="B9:C9"/>
    <mergeCell ref="B96:C96"/>
  </mergeCells>
  <pageMargins left="0.56999999999999995" right="0.25" top="0.75" bottom="0.75" header="0.3" footer="0.3"/>
  <pageSetup paperSize="9" scale="52" fitToWidth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view="pageBreakPreview" topLeftCell="A85" zoomScale="60" workbookViewId="0">
      <selection activeCell="E17" sqref="E17"/>
    </sheetView>
  </sheetViews>
  <sheetFormatPr defaultColWidth="13.42578125" defaultRowHeight="21" x14ac:dyDescent="0.35"/>
  <cols>
    <col min="1" max="1" width="51.42578125" style="30" customWidth="1"/>
    <col min="2" max="2" width="40.5703125" style="20" hidden="1" customWidth="1"/>
    <col min="3" max="3" width="0.42578125" style="20" hidden="1" customWidth="1"/>
    <col min="4" max="4" width="13.42578125" style="20" hidden="1" customWidth="1"/>
    <col min="5" max="16384" width="13.42578125" style="20"/>
  </cols>
  <sheetData>
    <row r="1" spans="1:6" x14ac:dyDescent="0.35">
      <c r="A1" s="30" t="s">
        <v>816</v>
      </c>
    </row>
    <row r="2" spans="1:6" ht="31.5" x14ac:dyDescent="0.5">
      <c r="A2" s="67" t="s">
        <v>637</v>
      </c>
    </row>
    <row r="3" spans="1:6" s="17" customFormat="1" x14ac:dyDescent="0.35">
      <c r="A3" s="30" t="s">
        <v>0</v>
      </c>
      <c r="B3" s="29" t="s">
        <v>405</v>
      </c>
    </row>
    <row r="4" spans="1:6" s="17" customFormat="1" x14ac:dyDescent="0.35">
      <c r="A4" s="30"/>
    </row>
    <row r="5" spans="1:6" s="40" customFormat="1" x14ac:dyDescent="0.35">
      <c r="A5" s="30"/>
    </row>
    <row r="6" spans="1:6" x14ac:dyDescent="0.35">
      <c r="A6" s="30" t="s">
        <v>796</v>
      </c>
      <c r="E6" s="20" t="s">
        <v>810</v>
      </c>
      <c r="F6" s="21" t="s">
        <v>811</v>
      </c>
    </row>
    <row r="7" spans="1:6" x14ac:dyDescent="0.35">
      <c r="A7" s="37" t="s">
        <v>180</v>
      </c>
      <c r="B7" s="16" t="s">
        <v>703</v>
      </c>
      <c r="E7" s="93" t="s">
        <v>703</v>
      </c>
      <c r="F7" s="94"/>
    </row>
    <row r="10" spans="1:6" x14ac:dyDescent="0.35">
      <c r="A10" s="30" t="s">
        <v>144</v>
      </c>
    </row>
    <row r="11" spans="1:6" x14ac:dyDescent="0.35">
      <c r="A11" s="37" t="s">
        <v>458</v>
      </c>
      <c r="B11" s="20" t="s">
        <v>686</v>
      </c>
      <c r="E11" s="20">
        <v>241</v>
      </c>
      <c r="F11" s="64">
        <f>E11/E13</f>
        <v>0.39966832504145938</v>
      </c>
    </row>
    <row r="12" spans="1:6" x14ac:dyDescent="0.35">
      <c r="A12" s="37" t="s">
        <v>364</v>
      </c>
      <c r="B12" s="20" t="s">
        <v>686</v>
      </c>
      <c r="E12" s="16">
        <v>362</v>
      </c>
      <c r="F12" s="64">
        <f>E12/E13</f>
        <v>0.60033167495854067</v>
      </c>
    </row>
    <row r="13" spans="1:6" x14ac:dyDescent="0.35">
      <c r="E13" s="20">
        <f>SUM(E11:E12)</f>
        <v>603</v>
      </c>
    </row>
    <row r="15" spans="1:6" x14ac:dyDescent="0.35">
      <c r="A15" s="30" t="s">
        <v>145</v>
      </c>
    </row>
    <row r="16" spans="1:6" x14ac:dyDescent="0.35">
      <c r="A16" s="37" t="s">
        <v>456</v>
      </c>
      <c r="B16" s="20" t="s">
        <v>686</v>
      </c>
      <c r="E16" s="20">
        <v>128</v>
      </c>
      <c r="F16" s="64">
        <f>E16/362</f>
        <v>0.35359116022099446</v>
      </c>
    </row>
    <row r="17" spans="1:6" x14ac:dyDescent="0.35">
      <c r="A17" s="37" t="s">
        <v>165</v>
      </c>
      <c r="B17" s="20" t="s">
        <v>686</v>
      </c>
      <c r="E17" s="16">
        <v>234</v>
      </c>
      <c r="F17" s="64">
        <f>E17/362</f>
        <v>0.64640883977900554</v>
      </c>
    </row>
    <row r="18" spans="1:6" x14ac:dyDescent="0.35">
      <c r="E18" s="20">
        <f>SUM(E16:E17)</f>
        <v>362</v>
      </c>
    </row>
    <row r="20" spans="1:6" x14ac:dyDescent="0.35">
      <c r="A20" s="30" t="s">
        <v>146</v>
      </c>
    </row>
    <row r="21" spans="1:6" x14ac:dyDescent="0.35">
      <c r="A21" s="37" t="s">
        <v>167</v>
      </c>
      <c r="B21" s="20" t="s">
        <v>686</v>
      </c>
      <c r="E21" s="20">
        <v>85</v>
      </c>
      <c r="F21" s="64">
        <f>E21/585</f>
        <v>0.14529914529914531</v>
      </c>
    </row>
    <row r="22" spans="1:6" x14ac:dyDescent="0.35">
      <c r="A22" s="37" t="s">
        <v>168</v>
      </c>
      <c r="B22" s="20" t="s">
        <v>686</v>
      </c>
      <c r="E22" s="16">
        <v>155</v>
      </c>
      <c r="F22" s="64">
        <f t="shared" ref="F22:F25" si="0">E22/585</f>
        <v>0.26495726495726496</v>
      </c>
    </row>
    <row r="23" spans="1:6" x14ac:dyDescent="0.35">
      <c r="A23" s="37" t="s">
        <v>169</v>
      </c>
      <c r="B23" s="20" t="s">
        <v>686</v>
      </c>
      <c r="E23" s="20">
        <v>154</v>
      </c>
      <c r="F23" s="64">
        <f t="shared" si="0"/>
        <v>0.26324786324786326</v>
      </c>
    </row>
    <row r="24" spans="1:6" x14ac:dyDescent="0.35">
      <c r="A24" s="37" t="s">
        <v>170</v>
      </c>
      <c r="B24" s="20" t="s">
        <v>686</v>
      </c>
      <c r="E24" s="20">
        <v>63</v>
      </c>
      <c r="F24" s="64">
        <f t="shared" si="0"/>
        <v>0.1076923076923077</v>
      </c>
    </row>
    <row r="25" spans="1:6" x14ac:dyDescent="0.35">
      <c r="A25" s="37" t="s">
        <v>173</v>
      </c>
      <c r="B25" s="20" t="s">
        <v>686</v>
      </c>
      <c r="E25" s="20">
        <v>128</v>
      </c>
      <c r="F25" s="64">
        <f t="shared" si="0"/>
        <v>0.2188034188034188</v>
      </c>
    </row>
    <row r="26" spans="1:6" x14ac:dyDescent="0.35">
      <c r="E26" s="20">
        <f>SUM(E21:E25)</f>
        <v>585</v>
      </c>
    </row>
    <row r="28" spans="1:6" x14ac:dyDescent="0.35">
      <c r="A28" s="30" t="s">
        <v>147</v>
      </c>
    </row>
    <row r="29" spans="1:6" x14ac:dyDescent="0.35">
      <c r="A29" s="37" t="s">
        <v>171</v>
      </c>
      <c r="B29" s="16" t="s">
        <v>703</v>
      </c>
      <c r="E29" s="93" t="s">
        <v>703</v>
      </c>
      <c r="F29" s="94"/>
    </row>
    <row r="31" spans="1:6" x14ac:dyDescent="0.35">
      <c r="A31" s="30" t="s">
        <v>148</v>
      </c>
    </row>
    <row r="32" spans="1:6" x14ac:dyDescent="0.35">
      <c r="A32" s="37" t="s">
        <v>177</v>
      </c>
      <c r="B32" s="20" t="s">
        <v>686</v>
      </c>
      <c r="E32" s="16">
        <v>158</v>
      </c>
      <c r="F32" s="64">
        <f>E32/276</f>
        <v>0.57246376811594202</v>
      </c>
    </row>
    <row r="33" spans="1:6" x14ac:dyDescent="0.35">
      <c r="A33" s="37" t="s">
        <v>178</v>
      </c>
      <c r="B33" s="20" t="s">
        <v>686</v>
      </c>
      <c r="E33" s="20">
        <v>90</v>
      </c>
      <c r="F33" s="64">
        <f t="shared" ref="F33:F34" si="1">E33/276</f>
        <v>0.32608695652173914</v>
      </c>
    </row>
    <row r="34" spans="1:6" x14ac:dyDescent="0.35">
      <c r="A34" s="37" t="s">
        <v>179</v>
      </c>
      <c r="B34" s="20" t="s">
        <v>686</v>
      </c>
      <c r="E34" s="20">
        <v>28</v>
      </c>
      <c r="F34" s="64">
        <f t="shared" si="1"/>
        <v>0.10144927536231885</v>
      </c>
    </row>
    <row r="35" spans="1:6" x14ac:dyDescent="0.35">
      <c r="E35" s="20">
        <f>SUM(E32:E34)</f>
        <v>276</v>
      </c>
    </row>
    <row r="37" spans="1:6" x14ac:dyDescent="0.35">
      <c r="A37" s="30" t="s">
        <v>149</v>
      </c>
    </row>
    <row r="38" spans="1:6" x14ac:dyDescent="0.35">
      <c r="A38" s="37" t="s">
        <v>451</v>
      </c>
      <c r="B38" s="16" t="s">
        <v>703</v>
      </c>
      <c r="E38" s="93" t="s">
        <v>703</v>
      </c>
      <c r="F38" s="94"/>
    </row>
    <row r="39" spans="1:6" x14ac:dyDescent="0.35">
      <c r="B39" s="16"/>
    </row>
    <row r="40" spans="1:6" x14ac:dyDescent="0.35">
      <c r="B40" s="16"/>
    </row>
    <row r="41" spans="1:6" x14ac:dyDescent="0.35">
      <c r="A41" s="30" t="s">
        <v>150</v>
      </c>
      <c r="B41" s="16"/>
    </row>
    <row r="42" spans="1:6" x14ac:dyDescent="0.35">
      <c r="A42" s="37" t="s">
        <v>453</v>
      </c>
      <c r="B42" s="16" t="s">
        <v>703</v>
      </c>
      <c r="E42" s="93" t="s">
        <v>703</v>
      </c>
      <c r="F42" s="94"/>
    </row>
    <row r="43" spans="1:6" x14ac:dyDescent="0.35">
      <c r="B43" s="16"/>
    </row>
    <row r="44" spans="1:6" x14ac:dyDescent="0.35">
      <c r="B44" s="16"/>
    </row>
    <row r="45" spans="1:6" x14ac:dyDescent="0.35">
      <c r="A45" s="30" t="s">
        <v>151</v>
      </c>
      <c r="B45" s="16"/>
    </row>
    <row r="46" spans="1:6" x14ac:dyDescent="0.35">
      <c r="A46" s="37" t="s">
        <v>711</v>
      </c>
      <c r="B46" s="16" t="s">
        <v>703</v>
      </c>
      <c r="E46" s="93" t="s">
        <v>703</v>
      </c>
      <c r="F46" s="94"/>
    </row>
    <row r="49" spans="1:6" x14ac:dyDescent="0.35">
      <c r="A49" s="30" t="s">
        <v>152</v>
      </c>
    </row>
    <row r="50" spans="1:6" x14ac:dyDescent="0.35">
      <c r="A50" s="37" t="s">
        <v>450</v>
      </c>
      <c r="B50" s="20" t="s">
        <v>686</v>
      </c>
      <c r="E50" s="16">
        <v>342</v>
      </c>
      <c r="F50" s="64">
        <f>E50/609</f>
        <v>0.56157635467980294</v>
      </c>
    </row>
    <row r="51" spans="1:6" x14ac:dyDescent="0.35">
      <c r="A51" s="37" t="s">
        <v>594</v>
      </c>
      <c r="B51" s="20" t="s">
        <v>686</v>
      </c>
      <c r="E51" s="20">
        <v>267</v>
      </c>
      <c r="F51" s="64">
        <f>E51/609</f>
        <v>0.43842364532019706</v>
      </c>
    </row>
    <row r="52" spans="1:6" x14ac:dyDescent="0.35">
      <c r="E52" s="20">
        <f>SUM(E50:E51)</f>
        <v>609</v>
      </c>
    </row>
    <row r="54" spans="1:6" x14ac:dyDescent="0.35">
      <c r="A54" s="30" t="s">
        <v>153</v>
      </c>
    </row>
    <row r="55" spans="1:6" x14ac:dyDescent="0.35">
      <c r="A55" s="37" t="s">
        <v>176</v>
      </c>
      <c r="B55" s="20" t="s">
        <v>686</v>
      </c>
      <c r="E55" s="16">
        <v>350</v>
      </c>
      <c r="F55" s="64">
        <f>E55/635</f>
        <v>0.55118110236220474</v>
      </c>
    </row>
    <row r="56" spans="1:6" x14ac:dyDescent="0.35">
      <c r="A56" s="37" t="s">
        <v>455</v>
      </c>
      <c r="B56" s="20" t="s">
        <v>686</v>
      </c>
      <c r="E56" s="20">
        <v>285</v>
      </c>
      <c r="F56" s="64">
        <f>E56/635</f>
        <v>0.44881889763779526</v>
      </c>
    </row>
    <row r="57" spans="1:6" x14ac:dyDescent="0.35">
      <c r="E57" s="20">
        <f>SUM(E55:E56)</f>
        <v>635</v>
      </c>
    </row>
    <row r="59" spans="1:6" x14ac:dyDescent="0.35">
      <c r="A59" s="30" t="s">
        <v>154</v>
      </c>
    </row>
    <row r="60" spans="1:6" x14ac:dyDescent="0.35">
      <c r="A60" s="37" t="s">
        <v>448</v>
      </c>
      <c r="B60" s="20" t="s">
        <v>686</v>
      </c>
      <c r="E60" s="20">
        <v>275</v>
      </c>
      <c r="F60" s="64">
        <f>E60/620</f>
        <v>0.44354838709677419</v>
      </c>
    </row>
    <row r="61" spans="1:6" x14ac:dyDescent="0.35">
      <c r="A61" s="37" t="s">
        <v>709</v>
      </c>
      <c r="B61" s="20" t="s">
        <v>686</v>
      </c>
      <c r="E61" s="20">
        <v>345</v>
      </c>
      <c r="F61" s="64">
        <f>E61/620</f>
        <v>0.55645161290322576</v>
      </c>
    </row>
    <row r="62" spans="1:6" x14ac:dyDescent="0.35">
      <c r="E62" s="20">
        <f>SUM(E60:E61)</f>
        <v>620</v>
      </c>
    </row>
    <row r="64" spans="1:6" x14ac:dyDescent="0.35">
      <c r="A64" s="30" t="s">
        <v>155</v>
      </c>
    </row>
    <row r="65" spans="1:6" x14ac:dyDescent="0.35">
      <c r="A65" s="37" t="s">
        <v>459</v>
      </c>
      <c r="B65" s="20" t="s">
        <v>686</v>
      </c>
      <c r="E65" s="20">
        <v>234</v>
      </c>
      <c r="F65" s="64">
        <f>E65/528</f>
        <v>0.44318181818181818</v>
      </c>
    </row>
    <row r="66" spans="1:6" x14ac:dyDescent="0.35">
      <c r="A66" s="37" t="s">
        <v>452</v>
      </c>
      <c r="B66" s="20" t="s">
        <v>686</v>
      </c>
      <c r="E66" s="20">
        <v>208</v>
      </c>
      <c r="F66" s="64">
        <f t="shared" ref="F66:F67" si="2">E66/528</f>
        <v>0.39393939393939392</v>
      </c>
    </row>
    <row r="67" spans="1:6" x14ac:dyDescent="0.35">
      <c r="A67" s="37" t="s">
        <v>593</v>
      </c>
      <c r="B67" s="20" t="s">
        <v>686</v>
      </c>
      <c r="E67" s="20">
        <v>86</v>
      </c>
      <c r="F67" s="64">
        <f t="shared" si="2"/>
        <v>0.16287878787878787</v>
      </c>
    </row>
    <row r="68" spans="1:6" x14ac:dyDescent="0.35">
      <c r="E68" s="20">
        <f>SUM(E65:E67)</f>
        <v>528</v>
      </c>
    </row>
    <row r="70" spans="1:6" x14ac:dyDescent="0.35">
      <c r="A70" s="30" t="s">
        <v>156</v>
      </c>
    </row>
    <row r="71" spans="1:6" x14ac:dyDescent="0.35">
      <c r="A71" s="37" t="s">
        <v>454</v>
      </c>
      <c r="B71" s="16" t="s">
        <v>703</v>
      </c>
      <c r="E71" s="93" t="s">
        <v>703</v>
      </c>
      <c r="F71" s="94"/>
    </row>
    <row r="73" spans="1:6" x14ac:dyDescent="0.35">
      <c r="A73" s="30" t="s">
        <v>157</v>
      </c>
    </row>
    <row r="74" spans="1:6" x14ac:dyDescent="0.35">
      <c r="A74" s="37" t="s">
        <v>681</v>
      </c>
      <c r="B74" s="20" t="s">
        <v>686</v>
      </c>
      <c r="E74" s="20">
        <v>183</v>
      </c>
      <c r="F74" s="64">
        <f>E74/407</f>
        <v>0.44963144963144963</v>
      </c>
    </row>
    <row r="75" spans="1:6" x14ac:dyDescent="0.35">
      <c r="A75" s="37" t="s">
        <v>449</v>
      </c>
      <c r="B75" s="20" t="s">
        <v>686</v>
      </c>
      <c r="E75" s="16">
        <v>224</v>
      </c>
      <c r="F75" s="64">
        <f>E75/407</f>
        <v>0.55036855036855037</v>
      </c>
    </row>
    <row r="76" spans="1:6" x14ac:dyDescent="0.35">
      <c r="E76" s="20">
        <f>SUM(E74:E75)</f>
        <v>407</v>
      </c>
    </row>
    <row r="78" spans="1:6" x14ac:dyDescent="0.35">
      <c r="A78" s="30" t="s">
        <v>158</v>
      </c>
    </row>
    <row r="79" spans="1:6" x14ac:dyDescent="0.35">
      <c r="A79" s="37" t="s">
        <v>164</v>
      </c>
      <c r="B79" s="20" t="s">
        <v>686</v>
      </c>
      <c r="E79" s="20">
        <v>86</v>
      </c>
      <c r="F79" s="64">
        <f>E79/471</f>
        <v>0.18259023354564755</v>
      </c>
    </row>
    <row r="80" spans="1:6" x14ac:dyDescent="0.35">
      <c r="A80" s="37" t="s">
        <v>166</v>
      </c>
      <c r="B80" s="20" t="s">
        <v>686</v>
      </c>
      <c r="E80" s="65">
        <v>385</v>
      </c>
      <c r="F80" s="64">
        <f>E80/471</f>
        <v>0.81740976645435248</v>
      </c>
    </row>
    <row r="81" spans="1:6" x14ac:dyDescent="0.35">
      <c r="E81" s="20">
        <f>SUM(E79:E80)</f>
        <v>471</v>
      </c>
    </row>
    <row r="83" spans="1:6" x14ac:dyDescent="0.35">
      <c r="A83" s="30" t="s">
        <v>159</v>
      </c>
    </row>
    <row r="84" spans="1:6" x14ac:dyDescent="0.35">
      <c r="A84" s="37" t="s">
        <v>591</v>
      </c>
      <c r="B84" s="20" t="s">
        <v>686</v>
      </c>
      <c r="E84" s="20">
        <v>76</v>
      </c>
      <c r="F84" s="64">
        <f>E84/493</f>
        <v>0.15415821501014199</v>
      </c>
    </row>
    <row r="85" spans="1:6" x14ac:dyDescent="0.35">
      <c r="A85" s="37" t="s">
        <v>457</v>
      </c>
      <c r="B85" s="20" t="s">
        <v>686</v>
      </c>
      <c r="E85" s="20">
        <v>228</v>
      </c>
      <c r="F85" s="64">
        <f t="shared" ref="F85:F87" si="3">E85/493</f>
        <v>0.46247464503042596</v>
      </c>
    </row>
    <row r="86" spans="1:6" x14ac:dyDescent="0.35">
      <c r="A86" s="37" t="s">
        <v>427</v>
      </c>
      <c r="B86" s="20" t="s">
        <v>686</v>
      </c>
      <c r="E86" s="20">
        <v>20</v>
      </c>
      <c r="F86" s="64">
        <f t="shared" si="3"/>
        <v>4.0567951318458417E-2</v>
      </c>
    </row>
    <row r="87" spans="1:6" x14ac:dyDescent="0.35">
      <c r="A87" s="37" t="s">
        <v>592</v>
      </c>
      <c r="B87" s="20" t="s">
        <v>686</v>
      </c>
      <c r="E87" s="20">
        <v>169</v>
      </c>
      <c r="F87" s="64">
        <f t="shared" si="3"/>
        <v>0.34279918864097364</v>
      </c>
    </row>
    <row r="88" spans="1:6" x14ac:dyDescent="0.35">
      <c r="E88" s="20">
        <f>SUM(E84:E87)</f>
        <v>493</v>
      </c>
    </row>
    <row r="90" spans="1:6" x14ac:dyDescent="0.35">
      <c r="A90" s="30" t="s">
        <v>160</v>
      </c>
    </row>
    <row r="91" spans="1:6" x14ac:dyDescent="0.35">
      <c r="A91" s="37" t="s">
        <v>174</v>
      </c>
      <c r="B91" s="20" t="s">
        <v>686</v>
      </c>
      <c r="E91" s="20">
        <v>102</v>
      </c>
      <c r="F91" s="64">
        <f>E91/271</f>
        <v>0.37638376383763839</v>
      </c>
    </row>
    <row r="92" spans="1:6" x14ac:dyDescent="0.35">
      <c r="A92" s="37" t="s">
        <v>175</v>
      </c>
      <c r="B92" s="20" t="s">
        <v>686</v>
      </c>
      <c r="E92" s="20">
        <v>169</v>
      </c>
      <c r="F92" s="64">
        <f>E92/271</f>
        <v>0.62361623616236161</v>
      </c>
    </row>
    <row r="93" spans="1:6" x14ac:dyDescent="0.35">
      <c r="E93" s="20">
        <f>SUM(E91:E92)</f>
        <v>271</v>
      </c>
    </row>
    <row r="95" spans="1:6" x14ac:dyDescent="0.35">
      <c r="A95" s="30" t="s">
        <v>161</v>
      </c>
    </row>
    <row r="96" spans="1:6" x14ac:dyDescent="0.35">
      <c r="A96" s="37" t="s">
        <v>172</v>
      </c>
      <c r="B96" s="16" t="s">
        <v>703</v>
      </c>
      <c r="E96" s="93" t="s">
        <v>703</v>
      </c>
      <c r="F96" s="94"/>
    </row>
    <row r="98" spans="1:6" x14ac:dyDescent="0.35">
      <c r="A98" s="30" t="s">
        <v>162</v>
      </c>
    </row>
    <row r="99" spans="1:6" x14ac:dyDescent="0.35">
      <c r="A99" s="37" t="s">
        <v>598</v>
      </c>
      <c r="B99" s="20" t="s">
        <v>686</v>
      </c>
      <c r="E99" s="20">
        <v>147</v>
      </c>
      <c r="F99" s="64">
        <f>E99/428</f>
        <v>0.34345794392523366</v>
      </c>
    </row>
    <row r="100" spans="1:6" x14ac:dyDescent="0.35">
      <c r="A100" s="37" t="s">
        <v>597</v>
      </c>
      <c r="B100" s="20" t="s">
        <v>686</v>
      </c>
      <c r="E100" s="20">
        <v>70</v>
      </c>
      <c r="F100" s="64">
        <f t="shared" ref="F100:F102" si="4">E100/428</f>
        <v>0.16355140186915887</v>
      </c>
    </row>
    <row r="101" spans="1:6" x14ac:dyDescent="0.35">
      <c r="A101" s="37" t="s">
        <v>596</v>
      </c>
      <c r="B101" s="20" t="s">
        <v>686</v>
      </c>
      <c r="E101" s="16">
        <v>174</v>
      </c>
      <c r="F101" s="64">
        <f t="shared" si="4"/>
        <v>0.40654205607476634</v>
      </c>
    </row>
    <row r="102" spans="1:6" x14ac:dyDescent="0.35">
      <c r="A102" s="37" t="s">
        <v>595</v>
      </c>
      <c r="B102" s="20" t="s">
        <v>686</v>
      </c>
      <c r="E102" s="20">
        <v>37</v>
      </c>
      <c r="F102" s="64">
        <f t="shared" si="4"/>
        <v>8.6448598130841117E-2</v>
      </c>
    </row>
    <row r="103" spans="1:6" x14ac:dyDescent="0.35">
      <c r="E103" s="20">
        <f>SUM(E99:E102)</f>
        <v>428</v>
      </c>
    </row>
    <row r="105" spans="1:6" x14ac:dyDescent="0.35">
      <c r="A105" s="30" t="s">
        <v>710</v>
      </c>
    </row>
    <row r="106" spans="1:6" x14ac:dyDescent="0.35">
      <c r="A106" s="37" t="s">
        <v>683</v>
      </c>
      <c r="B106" s="20" t="s">
        <v>686</v>
      </c>
      <c r="E106" s="20">
        <v>79</v>
      </c>
      <c r="F106" s="64">
        <f>E106/193</f>
        <v>0.40932642487046633</v>
      </c>
    </row>
    <row r="107" spans="1:6" x14ac:dyDescent="0.35">
      <c r="A107" s="37" t="s">
        <v>682</v>
      </c>
      <c r="B107" s="20" t="s">
        <v>686</v>
      </c>
      <c r="E107" s="20">
        <v>114</v>
      </c>
      <c r="F107" s="64">
        <f>E107/193</f>
        <v>0.59067357512953367</v>
      </c>
    </row>
    <row r="108" spans="1:6" x14ac:dyDescent="0.35">
      <c r="E108" s="20">
        <f>SUM(E106:E107)</f>
        <v>193</v>
      </c>
    </row>
    <row r="110" spans="1:6" x14ac:dyDescent="0.35">
      <c r="A110" s="30" t="s">
        <v>163</v>
      </c>
    </row>
    <row r="111" spans="1:6" x14ac:dyDescent="0.35">
      <c r="A111" s="37" t="s">
        <v>708</v>
      </c>
      <c r="B111" s="16" t="s">
        <v>703</v>
      </c>
      <c r="E111" s="93" t="s">
        <v>703</v>
      </c>
      <c r="F111" s="94"/>
    </row>
  </sheetData>
  <mergeCells count="8">
    <mergeCell ref="E46:F46"/>
    <mergeCell ref="E71:F71"/>
    <mergeCell ref="E96:F96"/>
    <mergeCell ref="E111:F111"/>
    <mergeCell ref="E7:F7"/>
    <mergeCell ref="E29:F29"/>
    <mergeCell ref="E38:F38"/>
    <mergeCell ref="E42:F42"/>
  </mergeCells>
  <pageMargins left="0.51181102362204722" right="0.27559055118110237" top="0.74803149606299213" bottom="0.74803149606299213" header="0.31496062992125984" footer="0.31496062992125984"/>
  <pageSetup paperSize="9" scale="5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view="pageBreakPreview" topLeftCell="A31" zoomScale="60" workbookViewId="0">
      <selection activeCell="F63" sqref="F63"/>
    </sheetView>
  </sheetViews>
  <sheetFormatPr defaultRowHeight="21" x14ac:dyDescent="0.35"/>
  <cols>
    <col min="1" max="1" width="45.85546875" style="30" customWidth="1"/>
    <col min="2" max="2" width="39.85546875" style="20" hidden="1" customWidth="1"/>
    <col min="3" max="3" width="12" style="20" bestFit="1" customWidth="1"/>
    <col min="4" max="4" width="11.28515625" style="20" customWidth="1"/>
    <col min="5" max="16384" width="9.140625" style="20"/>
  </cols>
  <sheetData>
    <row r="1" spans="1:4" x14ac:dyDescent="0.35">
      <c r="A1" s="30" t="s">
        <v>816</v>
      </c>
    </row>
    <row r="2" spans="1:4" ht="33.75" x14ac:dyDescent="0.5">
      <c r="A2" s="68" t="s">
        <v>642</v>
      </c>
    </row>
    <row r="3" spans="1:4" s="17" customFormat="1" x14ac:dyDescent="0.35">
      <c r="A3" s="30" t="s">
        <v>0</v>
      </c>
      <c r="B3" s="29" t="s">
        <v>405</v>
      </c>
    </row>
    <row r="4" spans="1:4" s="17" customFormat="1" x14ac:dyDescent="0.35">
      <c r="A4" s="30"/>
    </row>
    <row r="5" spans="1:4" s="17" customFormat="1" x14ac:dyDescent="0.35">
      <c r="A5" s="30"/>
    </row>
    <row r="6" spans="1:4" x14ac:dyDescent="0.35">
      <c r="A6" s="30" t="s">
        <v>185</v>
      </c>
      <c r="C6" s="20" t="s">
        <v>810</v>
      </c>
      <c r="D6" s="21" t="s">
        <v>811</v>
      </c>
    </row>
    <row r="7" spans="1:4" x14ac:dyDescent="0.35">
      <c r="A7" s="37" t="s">
        <v>201</v>
      </c>
      <c r="B7" s="16" t="s">
        <v>703</v>
      </c>
      <c r="C7" s="93" t="s">
        <v>703</v>
      </c>
      <c r="D7" s="94"/>
    </row>
    <row r="9" spans="1:4" x14ac:dyDescent="0.35">
      <c r="A9" s="30" t="s">
        <v>186</v>
      </c>
    </row>
    <row r="10" spans="1:4" x14ac:dyDescent="0.35">
      <c r="A10" s="37" t="s">
        <v>198</v>
      </c>
      <c r="B10" s="20" t="s">
        <v>686</v>
      </c>
      <c r="C10" s="20">
        <v>145</v>
      </c>
      <c r="D10" s="64">
        <f>C10/337</f>
        <v>0.43026706231454004</v>
      </c>
    </row>
    <row r="11" spans="1:4" x14ac:dyDescent="0.35">
      <c r="A11" s="37" t="s">
        <v>196</v>
      </c>
      <c r="B11" s="20" t="s">
        <v>686</v>
      </c>
      <c r="C11" s="20">
        <v>192</v>
      </c>
      <c r="D11" s="64">
        <f>C11/337</f>
        <v>0.56973293768545996</v>
      </c>
    </row>
    <row r="12" spans="1:4" x14ac:dyDescent="0.35">
      <c r="C12" s="20">
        <f>SUM(C10:C11)</f>
        <v>337</v>
      </c>
    </row>
    <row r="13" spans="1:4" x14ac:dyDescent="0.35">
      <c r="A13" s="30" t="s">
        <v>187</v>
      </c>
    </row>
    <row r="14" spans="1:4" x14ac:dyDescent="0.35">
      <c r="A14" s="37" t="s">
        <v>208</v>
      </c>
      <c r="B14" s="20" t="s">
        <v>686</v>
      </c>
      <c r="C14" s="20">
        <v>116</v>
      </c>
      <c r="D14" s="64">
        <f>C14/358</f>
        <v>0.32402234636871508</v>
      </c>
    </row>
    <row r="15" spans="1:4" x14ac:dyDescent="0.35">
      <c r="A15" s="37" t="s">
        <v>207</v>
      </c>
      <c r="B15" s="20" t="s">
        <v>686</v>
      </c>
      <c r="C15" s="20">
        <v>70</v>
      </c>
      <c r="D15" s="64">
        <f t="shared" ref="D15:D16" si="0">C15/358</f>
        <v>0.19553072625698323</v>
      </c>
    </row>
    <row r="16" spans="1:4" x14ac:dyDescent="0.35">
      <c r="A16" s="37" t="s">
        <v>199</v>
      </c>
      <c r="B16" s="20" t="s">
        <v>686</v>
      </c>
      <c r="C16" s="20">
        <v>172</v>
      </c>
      <c r="D16" s="64">
        <f t="shared" si="0"/>
        <v>0.48044692737430167</v>
      </c>
    </row>
    <row r="17" spans="1:4" x14ac:dyDescent="0.35">
      <c r="C17" s="20">
        <f>SUM(C14:C16)</f>
        <v>358</v>
      </c>
    </row>
    <row r="19" spans="1:4" x14ac:dyDescent="0.35">
      <c r="A19" s="30" t="s">
        <v>188</v>
      </c>
    </row>
    <row r="20" spans="1:4" x14ac:dyDescent="0.35">
      <c r="A20" s="37" t="s">
        <v>447</v>
      </c>
      <c r="B20" s="20" t="s">
        <v>686</v>
      </c>
      <c r="C20" s="20">
        <v>400</v>
      </c>
      <c r="D20" s="64">
        <f>C20/450</f>
        <v>0.88888888888888884</v>
      </c>
    </row>
    <row r="21" spans="1:4" x14ac:dyDescent="0.35">
      <c r="A21" s="37" t="s">
        <v>204</v>
      </c>
      <c r="B21" s="20" t="s">
        <v>686</v>
      </c>
      <c r="C21" s="20">
        <v>50</v>
      </c>
      <c r="D21" s="64">
        <f>C21/450</f>
        <v>0.1111111111111111</v>
      </c>
    </row>
    <row r="22" spans="1:4" x14ac:dyDescent="0.35">
      <c r="C22" s="20">
        <f>SUM(C20:C21)</f>
        <v>450</v>
      </c>
    </row>
    <row r="23" spans="1:4" x14ac:dyDescent="0.35">
      <c r="A23" s="30" t="s">
        <v>189</v>
      </c>
    </row>
    <row r="24" spans="1:4" x14ac:dyDescent="0.35">
      <c r="A24" s="37" t="s">
        <v>197</v>
      </c>
      <c r="B24" s="20" t="s">
        <v>686</v>
      </c>
      <c r="C24" s="16">
        <v>121</v>
      </c>
      <c r="D24" s="64">
        <f>C24/185</f>
        <v>0.65405405405405403</v>
      </c>
    </row>
    <row r="25" spans="1:4" x14ac:dyDescent="0.35">
      <c r="A25" s="37" t="s">
        <v>632</v>
      </c>
      <c r="B25" s="20" t="s">
        <v>686</v>
      </c>
      <c r="C25" s="20">
        <v>47</v>
      </c>
      <c r="D25" s="64">
        <f t="shared" ref="D25:D26" si="1">C25/185</f>
        <v>0.25405405405405407</v>
      </c>
    </row>
    <row r="26" spans="1:4" x14ac:dyDescent="0.35">
      <c r="A26" s="37" t="s">
        <v>633</v>
      </c>
      <c r="B26" s="20" t="s">
        <v>686</v>
      </c>
      <c r="C26" s="20">
        <v>17</v>
      </c>
      <c r="D26" s="64">
        <f t="shared" si="1"/>
        <v>9.1891891891891897E-2</v>
      </c>
    </row>
    <row r="27" spans="1:4" x14ac:dyDescent="0.35">
      <c r="C27" s="20">
        <f>SUM(C24:C26)</f>
        <v>185</v>
      </c>
    </row>
    <row r="28" spans="1:4" x14ac:dyDescent="0.35">
      <c r="A28" s="30" t="s">
        <v>190</v>
      </c>
    </row>
    <row r="29" spans="1:4" x14ac:dyDescent="0.35">
      <c r="A29" s="37" t="s">
        <v>203</v>
      </c>
      <c r="B29" s="20" t="s">
        <v>686</v>
      </c>
      <c r="C29" s="20">
        <v>64</v>
      </c>
      <c r="D29" s="64">
        <f>C29/438</f>
        <v>0.14611872146118721</v>
      </c>
    </row>
    <row r="30" spans="1:4" x14ac:dyDescent="0.35">
      <c r="A30" s="37" t="s">
        <v>202</v>
      </c>
      <c r="B30" s="20" t="s">
        <v>686</v>
      </c>
      <c r="C30" s="20">
        <v>374</v>
      </c>
      <c r="D30" s="64">
        <f>C30/438</f>
        <v>0.85388127853881279</v>
      </c>
    </row>
    <row r="31" spans="1:4" x14ac:dyDescent="0.35">
      <c r="C31" s="20">
        <f>SUM(C29:C30)</f>
        <v>438</v>
      </c>
    </row>
    <row r="32" spans="1:4" x14ac:dyDescent="0.35">
      <c r="A32" s="30" t="s">
        <v>191</v>
      </c>
    </row>
    <row r="33" spans="1:4" x14ac:dyDescent="0.35">
      <c r="A33" s="37" t="s">
        <v>206</v>
      </c>
      <c r="B33" s="20" t="s">
        <v>686</v>
      </c>
      <c r="C33" s="20">
        <v>166</v>
      </c>
      <c r="D33" s="64">
        <f>C33/533</f>
        <v>0.31144465290806755</v>
      </c>
    </row>
    <row r="34" spans="1:4" x14ac:dyDescent="0.35">
      <c r="A34" s="37" t="s">
        <v>200</v>
      </c>
      <c r="B34" s="20" t="s">
        <v>686</v>
      </c>
      <c r="C34" s="20">
        <v>367</v>
      </c>
      <c r="D34" s="64">
        <f>C34/533</f>
        <v>0.68855534709193245</v>
      </c>
    </row>
    <row r="35" spans="1:4" x14ac:dyDescent="0.35">
      <c r="C35" s="20">
        <f>SUM(C33:C34)</f>
        <v>533</v>
      </c>
    </row>
    <row r="36" spans="1:4" x14ac:dyDescent="0.35">
      <c r="A36" s="30" t="s">
        <v>192</v>
      </c>
    </row>
    <row r="37" spans="1:4" x14ac:dyDescent="0.35">
      <c r="A37" s="37" t="s">
        <v>205</v>
      </c>
      <c r="B37" s="20" t="s">
        <v>686</v>
      </c>
      <c r="C37" s="20">
        <v>351</v>
      </c>
      <c r="D37" s="64">
        <f>C37/652</f>
        <v>0.53834355828220859</v>
      </c>
    </row>
    <row r="38" spans="1:4" x14ac:dyDescent="0.35">
      <c r="A38" s="37" t="s">
        <v>631</v>
      </c>
      <c r="B38" s="20" t="s">
        <v>686</v>
      </c>
      <c r="C38" s="20">
        <v>248</v>
      </c>
      <c r="D38" s="64">
        <f t="shared" ref="D38:D39" si="2">C38/652</f>
        <v>0.38036809815950923</v>
      </c>
    </row>
    <row r="39" spans="1:4" x14ac:dyDescent="0.35">
      <c r="A39" s="37" t="s">
        <v>634</v>
      </c>
      <c r="B39" s="20" t="s">
        <v>686</v>
      </c>
      <c r="C39" s="20">
        <v>53</v>
      </c>
      <c r="D39" s="64">
        <f t="shared" si="2"/>
        <v>8.1288343558282211E-2</v>
      </c>
    </row>
    <row r="40" spans="1:4" x14ac:dyDescent="0.35">
      <c r="C40" s="20">
        <f>SUM(C37:C39)</f>
        <v>652</v>
      </c>
    </row>
    <row r="41" spans="1:4" x14ac:dyDescent="0.35">
      <c r="A41" s="30" t="s">
        <v>193</v>
      </c>
    </row>
    <row r="42" spans="1:4" x14ac:dyDescent="0.35">
      <c r="A42" s="37" t="s">
        <v>787</v>
      </c>
      <c r="B42" s="16" t="s">
        <v>703</v>
      </c>
      <c r="C42" s="93" t="s">
        <v>703</v>
      </c>
      <c r="D42" s="94"/>
    </row>
    <row r="43" spans="1:4" x14ac:dyDescent="0.35">
      <c r="B43" s="16"/>
    </row>
    <row r="44" spans="1:4" x14ac:dyDescent="0.35">
      <c r="A44" s="30" t="s">
        <v>194</v>
      </c>
    </row>
    <row r="45" spans="1:4" x14ac:dyDescent="0.35">
      <c r="A45" s="37" t="s">
        <v>635</v>
      </c>
      <c r="B45" s="20" t="s">
        <v>686</v>
      </c>
      <c r="C45" s="20">
        <v>117</v>
      </c>
      <c r="D45" s="64">
        <f>C45/281</f>
        <v>0.41637010676156583</v>
      </c>
    </row>
    <row r="46" spans="1:4" x14ac:dyDescent="0.35">
      <c r="A46" s="37" t="s">
        <v>636</v>
      </c>
      <c r="B46" s="20" t="s">
        <v>686</v>
      </c>
      <c r="C46" s="20">
        <v>164</v>
      </c>
      <c r="D46" s="64">
        <f>C46/281</f>
        <v>0.58362989323843417</v>
      </c>
    </row>
    <row r="47" spans="1:4" x14ac:dyDescent="0.35">
      <c r="C47" s="20">
        <f>SUM(C45:C46)</f>
        <v>281</v>
      </c>
    </row>
    <row r="49" spans="1:4" x14ac:dyDescent="0.35">
      <c r="A49" s="30" t="s">
        <v>195</v>
      </c>
    </row>
    <row r="50" spans="1:4" x14ac:dyDescent="0.35">
      <c r="A50" s="37" t="s">
        <v>209</v>
      </c>
      <c r="B50" s="16" t="s">
        <v>703</v>
      </c>
      <c r="C50" s="93" t="s">
        <v>703</v>
      </c>
      <c r="D50" s="94"/>
    </row>
    <row r="52" spans="1:4" s="16" customFormat="1" x14ac:dyDescent="0.35">
      <c r="A52" s="30"/>
    </row>
  </sheetData>
  <mergeCells count="3">
    <mergeCell ref="C7:D7"/>
    <mergeCell ref="C42:D42"/>
    <mergeCell ref="C50:D50"/>
  </mergeCells>
  <pageMargins left="0.54" right="0.18" top="0.74803149606299213" bottom="0.74803149606299213" header="0.31496062992125984" footer="0.31496062992125984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view="pageBreakPreview" zoomScale="60" workbookViewId="0">
      <selection activeCell="C30" sqref="C30"/>
    </sheetView>
  </sheetViews>
  <sheetFormatPr defaultRowHeight="23.25" x14ac:dyDescent="0.35"/>
  <cols>
    <col min="1" max="1" width="49.42578125" style="70" customWidth="1"/>
    <col min="2" max="2" width="42.5703125" style="8" hidden="1" customWidth="1"/>
    <col min="3" max="3" width="17.5703125" style="8" customWidth="1"/>
    <col min="4" max="4" width="14.140625" style="8" customWidth="1"/>
    <col min="5" max="16384" width="9.140625" style="8"/>
  </cols>
  <sheetData>
    <row r="1" spans="1:4" x14ac:dyDescent="0.35">
      <c r="A1" s="97" t="s">
        <v>816</v>
      </c>
      <c r="B1" s="98"/>
      <c r="C1" s="98"/>
      <c r="D1" s="99"/>
    </row>
    <row r="2" spans="1:4" x14ac:dyDescent="0.35">
      <c r="A2" s="97" t="s">
        <v>641</v>
      </c>
      <c r="B2" s="98"/>
      <c r="C2" s="98"/>
      <c r="D2" s="99"/>
    </row>
    <row r="3" spans="1:4" s="9" customFormat="1" x14ac:dyDescent="0.35">
      <c r="A3" s="70"/>
      <c r="B3" s="63" t="s">
        <v>405</v>
      </c>
      <c r="C3" s="63"/>
      <c r="D3" s="63"/>
    </row>
    <row r="4" spans="1:4" s="9" customFormat="1" x14ac:dyDescent="0.35">
      <c r="A4" s="70"/>
    </row>
    <row r="5" spans="1:4" x14ac:dyDescent="0.35">
      <c r="A5" s="70" t="s">
        <v>210</v>
      </c>
      <c r="C5" s="8" t="s">
        <v>810</v>
      </c>
      <c r="D5" s="10" t="s">
        <v>811</v>
      </c>
    </row>
    <row r="6" spans="1:4" x14ac:dyDescent="0.35">
      <c r="A6" s="71" t="s">
        <v>578</v>
      </c>
      <c r="B6" s="8" t="s">
        <v>686</v>
      </c>
      <c r="C6" s="8">
        <v>219</v>
      </c>
      <c r="D6" s="69">
        <f>C6/511</f>
        <v>0.42857142857142855</v>
      </c>
    </row>
    <row r="7" spans="1:4" x14ac:dyDescent="0.35">
      <c r="A7" s="71" t="s">
        <v>783</v>
      </c>
      <c r="B7" s="8" t="s">
        <v>686</v>
      </c>
      <c r="C7" s="8">
        <v>279</v>
      </c>
      <c r="D7" s="69">
        <f t="shared" ref="D7:D8" si="0">C7/511</f>
        <v>0.54598825831702547</v>
      </c>
    </row>
    <row r="8" spans="1:4" x14ac:dyDescent="0.35">
      <c r="A8" s="71" t="s">
        <v>577</v>
      </c>
      <c r="B8" s="8" t="s">
        <v>686</v>
      </c>
      <c r="C8" s="8">
        <v>13</v>
      </c>
      <c r="D8" s="69">
        <f t="shared" si="0"/>
        <v>2.5440313111545987E-2</v>
      </c>
    </row>
    <row r="9" spans="1:4" x14ac:dyDescent="0.35">
      <c r="C9" s="8">
        <f>SUM(C6:C8)</f>
        <v>511</v>
      </c>
      <c r="D9" s="69"/>
    </row>
    <row r="11" spans="1:4" x14ac:dyDescent="0.35">
      <c r="A11" s="70" t="s">
        <v>211</v>
      </c>
    </row>
    <row r="12" spans="1:4" x14ac:dyDescent="0.35">
      <c r="A12" s="71" t="s">
        <v>589</v>
      </c>
      <c r="B12" s="8" t="s">
        <v>686</v>
      </c>
      <c r="C12" s="8">
        <v>270</v>
      </c>
      <c r="D12" s="69">
        <f>C12/448</f>
        <v>0.6026785714285714</v>
      </c>
    </row>
    <row r="13" spans="1:4" x14ac:dyDescent="0.35">
      <c r="A13" s="71" t="s">
        <v>444</v>
      </c>
      <c r="B13" s="8" t="s">
        <v>686</v>
      </c>
      <c r="C13" s="8">
        <v>178</v>
      </c>
      <c r="D13" s="69">
        <f>C13/448</f>
        <v>0.39732142857142855</v>
      </c>
    </row>
    <row r="14" spans="1:4" x14ac:dyDescent="0.35">
      <c r="C14" s="8">
        <f>SUM(C12:C13)</f>
        <v>448</v>
      </c>
    </row>
    <row r="16" spans="1:4" x14ac:dyDescent="0.35">
      <c r="A16" s="70" t="s">
        <v>212</v>
      </c>
    </row>
    <row r="17" spans="1:4" x14ac:dyDescent="0.35">
      <c r="A17" s="71" t="s">
        <v>571</v>
      </c>
      <c r="B17" s="8" t="s">
        <v>686</v>
      </c>
      <c r="C17" s="8">
        <v>190</v>
      </c>
      <c r="D17" s="69">
        <f>C17/697</f>
        <v>0.27259684361549497</v>
      </c>
    </row>
    <row r="18" spans="1:4" x14ac:dyDescent="0.35">
      <c r="A18" s="71" t="s">
        <v>572</v>
      </c>
      <c r="B18" s="8" t="s">
        <v>686</v>
      </c>
      <c r="C18" s="8">
        <v>100</v>
      </c>
      <c r="D18" s="69">
        <f t="shared" ref="D18:D20" si="1">C18/697</f>
        <v>0.14347202295552366</v>
      </c>
    </row>
    <row r="19" spans="1:4" x14ac:dyDescent="0.35">
      <c r="A19" s="71" t="s">
        <v>237</v>
      </c>
      <c r="B19" s="8" t="s">
        <v>686</v>
      </c>
      <c r="C19" s="8">
        <v>401</v>
      </c>
      <c r="D19" s="69">
        <f t="shared" si="1"/>
        <v>0.57532281205164992</v>
      </c>
    </row>
    <row r="20" spans="1:4" x14ac:dyDescent="0.35">
      <c r="A20" s="71" t="s">
        <v>573</v>
      </c>
      <c r="B20" s="8" t="s">
        <v>686</v>
      </c>
      <c r="C20" s="8">
        <v>6</v>
      </c>
      <c r="D20" s="69">
        <f t="shared" si="1"/>
        <v>8.60832137733142E-3</v>
      </c>
    </row>
    <row r="21" spans="1:4" x14ac:dyDescent="0.35">
      <c r="C21" s="8">
        <f>SUM(C17:C20)</f>
        <v>697</v>
      </c>
    </row>
    <row r="23" spans="1:4" x14ac:dyDescent="0.35">
      <c r="A23" s="70" t="s">
        <v>213</v>
      </c>
    </row>
    <row r="24" spans="1:4" x14ac:dyDescent="0.35">
      <c r="A24" s="71" t="s">
        <v>508</v>
      </c>
      <c r="B24" s="8" t="s">
        <v>686</v>
      </c>
      <c r="C24" s="8">
        <v>202</v>
      </c>
      <c r="D24" s="69">
        <f>C24/564</f>
        <v>0.35815602836879434</v>
      </c>
    </row>
    <row r="25" spans="1:4" x14ac:dyDescent="0.35">
      <c r="A25" s="71" t="s">
        <v>612</v>
      </c>
      <c r="B25" s="8" t="s">
        <v>686</v>
      </c>
      <c r="C25" s="8">
        <v>295</v>
      </c>
      <c r="D25" s="69">
        <f t="shared" ref="D25:D26" si="2">C25/564</f>
        <v>0.52304964539007093</v>
      </c>
    </row>
    <row r="26" spans="1:4" x14ac:dyDescent="0.35">
      <c r="A26" s="71" t="s">
        <v>613</v>
      </c>
      <c r="B26" s="8" t="s">
        <v>686</v>
      </c>
      <c r="C26" s="8">
        <v>67</v>
      </c>
      <c r="D26" s="69">
        <f t="shared" si="2"/>
        <v>0.11879432624113476</v>
      </c>
    </row>
    <row r="27" spans="1:4" x14ac:dyDescent="0.35">
      <c r="C27" s="8">
        <f>SUM(C24:C26)</f>
        <v>564</v>
      </c>
    </row>
    <row r="29" spans="1:4" x14ac:dyDescent="0.35">
      <c r="A29" s="70" t="s">
        <v>214</v>
      </c>
    </row>
    <row r="30" spans="1:4" x14ac:dyDescent="0.35">
      <c r="A30" s="71" t="s">
        <v>236</v>
      </c>
      <c r="B30" s="8" t="s">
        <v>686</v>
      </c>
      <c r="C30" s="8">
        <v>166</v>
      </c>
      <c r="D30" s="69">
        <f>C30/443</f>
        <v>0.37471783295711059</v>
      </c>
    </row>
    <row r="31" spans="1:4" x14ac:dyDescent="0.35">
      <c r="A31" s="71" t="s">
        <v>404</v>
      </c>
      <c r="B31" s="8" t="s">
        <v>686</v>
      </c>
      <c r="C31" s="8">
        <v>220</v>
      </c>
      <c r="D31" s="69">
        <f t="shared" ref="D31:D32" si="3">C31/443</f>
        <v>0.49661399548532731</v>
      </c>
    </row>
    <row r="32" spans="1:4" x14ac:dyDescent="0.35">
      <c r="A32" s="71" t="s">
        <v>579</v>
      </c>
      <c r="B32" s="8" t="s">
        <v>686</v>
      </c>
      <c r="C32" s="8">
        <v>57</v>
      </c>
      <c r="D32" s="69">
        <f t="shared" si="3"/>
        <v>0.12866817155756208</v>
      </c>
    </row>
    <row r="33" spans="1:4" x14ac:dyDescent="0.35">
      <c r="C33" s="8">
        <f>SUM(C30:C32)</f>
        <v>443</v>
      </c>
    </row>
    <row r="35" spans="1:4" x14ac:dyDescent="0.35">
      <c r="A35" s="70" t="s">
        <v>215</v>
      </c>
    </row>
    <row r="36" spans="1:4" x14ac:dyDescent="0.35">
      <c r="A36" s="71" t="s">
        <v>619</v>
      </c>
      <c r="B36" s="8" t="s">
        <v>686</v>
      </c>
      <c r="C36" s="8">
        <v>48</v>
      </c>
      <c r="D36" s="69">
        <f>C36/577</f>
        <v>8.3188908145580595E-2</v>
      </c>
    </row>
    <row r="37" spans="1:4" x14ac:dyDescent="0.35">
      <c r="A37" s="71" t="s">
        <v>620</v>
      </c>
      <c r="B37" s="8" t="s">
        <v>686</v>
      </c>
      <c r="C37" s="8">
        <v>293</v>
      </c>
      <c r="D37" s="69">
        <f t="shared" ref="D37:D38" si="4">C37/577</f>
        <v>0.50779896013864823</v>
      </c>
    </row>
    <row r="38" spans="1:4" x14ac:dyDescent="0.35">
      <c r="A38" s="71" t="s">
        <v>621</v>
      </c>
      <c r="B38" s="8" t="s">
        <v>686</v>
      </c>
      <c r="C38" s="8">
        <v>236</v>
      </c>
      <c r="D38" s="69">
        <f t="shared" si="4"/>
        <v>0.40901213171577122</v>
      </c>
    </row>
    <row r="39" spans="1:4" x14ac:dyDescent="0.35">
      <c r="C39" s="8">
        <f>SUM(C36:C38)</f>
        <v>577</v>
      </c>
    </row>
    <row r="41" spans="1:4" x14ac:dyDescent="0.35">
      <c r="A41" s="70" t="s">
        <v>216</v>
      </c>
    </row>
    <row r="42" spans="1:4" x14ac:dyDescent="0.35">
      <c r="A42" s="71" t="s">
        <v>646</v>
      </c>
      <c r="B42" s="8" t="s">
        <v>686</v>
      </c>
      <c r="C42" s="8">
        <v>227</v>
      </c>
      <c r="D42" s="69">
        <f>C42/362</f>
        <v>0.6270718232044199</v>
      </c>
    </row>
    <row r="43" spans="1:4" x14ac:dyDescent="0.35">
      <c r="A43" s="71" t="s">
        <v>587</v>
      </c>
      <c r="B43" s="8" t="s">
        <v>686</v>
      </c>
      <c r="C43" s="8">
        <v>8</v>
      </c>
      <c r="D43" s="69">
        <f t="shared" ref="D43:D46" si="5">C43/362</f>
        <v>2.2099447513812154E-2</v>
      </c>
    </row>
    <row r="44" spans="1:4" x14ac:dyDescent="0.35">
      <c r="A44" s="71" t="s">
        <v>588</v>
      </c>
      <c r="B44" s="8" t="s">
        <v>686</v>
      </c>
      <c r="C44" s="8">
        <v>11</v>
      </c>
      <c r="D44" s="69">
        <f t="shared" si="5"/>
        <v>3.0386740331491711E-2</v>
      </c>
    </row>
    <row r="45" spans="1:4" x14ac:dyDescent="0.35">
      <c r="A45" s="71" t="s">
        <v>446</v>
      </c>
      <c r="B45" s="8" t="s">
        <v>686</v>
      </c>
      <c r="C45" s="8">
        <v>111</v>
      </c>
      <c r="D45" s="69">
        <f t="shared" si="5"/>
        <v>0.30662983425414364</v>
      </c>
    </row>
    <row r="46" spans="1:4" x14ac:dyDescent="0.35">
      <c r="A46" s="71" t="s">
        <v>586</v>
      </c>
      <c r="B46" s="8" t="s">
        <v>686</v>
      </c>
      <c r="C46" s="8">
        <v>5</v>
      </c>
      <c r="D46" s="69">
        <f t="shared" si="5"/>
        <v>1.3812154696132596E-2</v>
      </c>
    </row>
    <row r="47" spans="1:4" x14ac:dyDescent="0.35">
      <c r="C47" s="8">
        <f>SUM(C42:C46)</f>
        <v>362</v>
      </c>
    </row>
    <row r="49" spans="1:4" x14ac:dyDescent="0.35">
      <c r="A49" s="70" t="s">
        <v>217</v>
      </c>
    </row>
    <row r="50" spans="1:4" x14ac:dyDescent="0.35">
      <c r="A50" s="71" t="s">
        <v>239</v>
      </c>
      <c r="B50" s="11" t="s">
        <v>703</v>
      </c>
      <c r="C50" s="95" t="s">
        <v>703</v>
      </c>
      <c r="D50" s="96"/>
    </row>
    <row r="52" spans="1:4" x14ac:dyDescent="0.35">
      <c r="A52" s="70" t="s">
        <v>218</v>
      </c>
    </row>
    <row r="53" spans="1:4" x14ac:dyDescent="0.35">
      <c r="A53" s="71" t="s">
        <v>622</v>
      </c>
      <c r="B53" s="11" t="s">
        <v>703</v>
      </c>
      <c r="C53" s="95" t="s">
        <v>703</v>
      </c>
      <c r="D53" s="96"/>
    </row>
    <row r="54" spans="1:4" x14ac:dyDescent="0.35">
      <c r="B54" s="11"/>
    </row>
    <row r="55" spans="1:4" x14ac:dyDescent="0.35">
      <c r="A55" s="70" t="s">
        <v>219</v>
      </c>
      <c r="B55" s="11"/>
    </row>
    <row r="56" spans="1:4" x14ac:dyDescent="0.35">
      <c r="A56" s="71" t="s">
        <v>618</v>
      </c>
      <c r="B56" s="11" t="s">
        <v>703</v>
      </c>
      <c r="C56" s="95" t="s">
        <v>703</v>
      </c>
      <c r="D56" s="96"/>
    </row>
    <row r="57" spans="1:4" x14ac:dyDescent="0.35">
      <c r="B57" s="11"/>
    </row>
    <row r="58" spans="1:4" x14ac:dyDescent="0.35">
      <c r="B58" s="11"/>
    </row>
    <row r="59" spans="1:4" x14ac:dyDescent="0.35">
      <c r="A59" s="70" t="s">
        <v>220</v>
      </c>
      <c r="B59" s="11"/>
    </row>
    <row r="60" spans="1:4" x14ac:dyDescent="0.35">
      <c r="A60" s="71" t="s">
        <v>574</v>
      </c>
      <c r="B60" s="11" t="s">
        <v>703</v>
      </c>
      <c r="C60" s="95" t="s">
        <v>703</v>
      </c>
      <c r="D60" s="96"/>
    </row>
    <row r="63" spans="1:4" x14ac:dyDescent="0.35">
      <c r="A63" s="70" t="s">
        <v>221</v>
      </c>
    </row>
    <row r="64" spans="1:4" x14ac:dyDescent="0.35">
      <c r="A64" s="71" t="s">
        <v>506</v>
      </c>
      <c r="B64" s="8" t="s">
        <v>686</v>
      </c>
      <c r="C64" s="8">
        <v>185</v>
      </c>
      <c r="D64" s="69">
        <f>C64/397</f>
        <v>0.46599496221662468</v>
      </c>
    </row>
    <row r="65" spans="1:4" x14ac:dyDescent="0.35">
      <c r="A65" s="71" t="s">
        <v>242</v>
      </c>
      <c r="B65" s="8" t="s">
        <v>686</v>
      </c>
      <c r="C65" s="8">
        <v>208</v>
      </c>
      <c r="D65" s="69">
        <f t="shared" ref="D65:D66" si="6">C65/397</f>
        <v>0.52392947103274556</v>
      </c>
    </row>
    <row r="66" spans="1:4" x14ac:dyDescent="0.35">
      <c r="A66" s="71" t="s">
        <v>443</v>
      </c>
      <c r="B66" s="8" t="s">
        <v>686</v>
      </c>
      <c r="C66" s="8">
        <v>4</v>
      </c>
      <c r="D66" s="69">
        <f t="shared" si="6"/>
        <v>1.0075566750629723E-2</v>
      </c>
    </row>
    <row r="67" spans="1:4" x14ac:dyDescent="0.35">
      <c r="C67" s="8">
        <f>SUM(C64:C66)</f>
        <v>397</v>
      </c>
    </row>
    <row r="69" spans="1:4" x14ac:dyDescent="0.35">
      <c r="A69" s="70" t="s">
        <v>222</v>
      </c>
    </row>
    <row r="70" spans="1:4" x14ac:dyDescent="0.35">
      <c r="A70" s="71" t="s">
        <v>610</v>
      </c>
      <c r="B70" s="8" t="s">
        <v>686</v>
      </c>
      <c r="C70" s="8">
        <v>19</v>
      </c>
      <c r="D70" s="69">
        <f>C70/329</f>
        <v>5.7750759878419454E-2</v>
      </c>
    </row>
    <row r="71" spans="1:4" x14ac:dyDescent="0.35">
      <c r="A71" s="71" t="s">
        <v>611</v>
      </c>
      <c r="B71" s="8" t="s">
        <v>686</v>
      </c>
      <c r="C71" s="8">
        <v>124</v>
      </c>
      <c r="D71" s="69">
        <f t="shared" ref="D71:D72" si="7">C71/329</f>
        <v>0.37689969604863222</v>
      </c>
    </row>
    <row r="72" spans="1:4" x14ac:dyDescent="0.35">
      <c r="A72" s="71" t="s">
        <v>418</v>
      </c>
      <c r="B72" s="8" t="s">
        <v>686</v>
      </c>
      <c r="C72" s="8">
        <v>186</v>
      </c>
      <c r="D72" s="69">
        <f t="shared" si="7"/>
        <v>0.56534954407294835</v>
      </c>
    </row>
    <row r="73" spans="1:4" x14ac:dyDescent="0.35">
      <c r="C73" s="8">
        <f>SUM(C70:C72)</f>
        <v>329</v>
      </c>
    </row>
    <row r="75" spans="1:4" x14ac:dyDescent="0.35">
      <c r="A75" s="70" t="s">
        <v>223</v>
      </c>
    </row>
    <row r="76" spans="1:4" x14ac:dyDescent="0.35">
      <c r="A76" s="71" t="s">
        <v>784</v>
      </c>
      <c r="B76" s="8" t="s">
        <v>686</v>
      </c>
      <c r="C76" s="8">
        <v>237</v>
      </c>
      <c r="D76" s="69">
        <f>C76/644</f>
        <v>0.36801242236024845</v>
      </c>
    </row>
    <row r="77" spans="1:4" x14ac:dyDescent="0.35">
      <c r="A77" s="71" t="s">
        <v>785</v>
      </c>
      <c r="B77" s="8" t="s">
        <v>686</v>
      </c>
      <c r="C77" s="8">
        <v>159</v>
      </c>
      <c r="D77" s="69">
        <f t="shared" ref="D77:D79" si="8">C77/644</f>
        <v>0.24689440993788819</v>
      </c>
    </row>
    <row r="78" spans="1:4" x14ac:dyDescent="0.35">
      <c r="A78" s="71" t="s">
        <v>786</v>
      </c>
      <c r="B78" s="8" t="s">
        <v>686</v>
      </c>
      <c r="C78" s="8">
        <v>22</v>
      </c>
      <c r="D78" s="69">
        <f t="shared" si="8"/>
        <v>3.4161490683229816E-2</v>
      </c>
    </row>
    <row r="79" spans="1:4" x14ac:dyDescent="0.35">
      <c r="A79" s="71" t="s">
        <v>243</v>
      </c>
      <c r="B79" s="8" t="s">
        <v>686</v>
      </c>
      <c r="C79" s="8">
        <v>226</v>
      </c>
      <c r="D79" s="69">
        <f t="shared" si="8"/>
        <v>0.35093167701863354</v>
      </c>
    </row>
    <row r="80" spans="1:4" x14ac:dyDescent="0.35">
      <c r="C80" s="8">
        <f>SUM(C76:C79)</f>
        <v>644</v>
      </c>
    </row>
    <row r="82" spans="1:4" x14ac:dyDescent="0.35">
      <c r="A82" s="70" t="s">
        <v>224</v>
      </c>
    </row>
    <row r="83" spans="1:4" x14ac:dyDescent="0.35">
      <c r="A83" s="71" t="s">
        <v>416</v>
      </c>
      <c r="B83" s="8" t="s">
        <v>686</v>
      </c>
      <c r="C83" s="8">
        <v>64</v>
      </c>
      <c r="D83" s="69">
        <f>C83/851</f>
        <v>7.5205640423031725E-2</v>
      </c>
    </row>
    <row r="84" spans="1:4" x14ac:dyDescent="0.35">
      <c r="A84" s="71" t="s">
        <v>507</v>
      </c>
      <c r="B84" s="8" t="s">
        <v>686</v>
      </c>
      <c r="C84" s="8">
        <v>291</v>
      </c>
      <c r="D84" s="69">
        <f t="shared" ref="D84:D86" si="9">C84/851</f>
        <v>0.34195064629847238</v>
      </c>
    </row>
    <row r="85" spans="1:4" x14ac:dyDescent="0.35">
      <c r="A85" s="71" t="s">
        <v>424</v>
      </c>
      <c r="B85" s="8" t="s">
        <v>686</v>
      </c>
      <c r="C85" s="8">
        <v>495</v>
      </c>
      <c r="D85" s="69">
        <f t="shared" si="9"/>
        <v>0.581668625146886</v>
      </c>
    </row>
    <row r="86" spans="1:4" x14ac:dyDescent="0.35">
      <c r="A86" s="71" t="s">
        <v>376</v>
      </c>
      <c r="B86" s="8" t="s">
        <v>686</v>
      </c>
      <c r="C86" s="8">
        <v>1</v>
      </c>
      <c r="D86" s="69">
        <f t="shared" si="9"/>
        <v>1.1750881316098707E-3</v>
      </c>
    </row>
    <row r="87" spans="1:4" x14ac:dyDescent="0.35">
      <c r="C87" s="8">
        <f>SUM(C83:C86)</f>
        <v>851</v>
      </c>
    </row>
    <row r="89" spans="1:4" x14ac:dyDescent="0.35">
      <c r="A89" s="70" t="s">
        <v>225</v>
      </c>
    </row>
    <row r="90" spans="1:4" x14ac:dyDescent="0.35">
      <c r="A90" s="71" t="s">
        <v>712</v>
      </c>
      <c r="B90" s="8" t="s">
        <v>686</v>
      </c>
      <c r="C90" s="8">
        <v>120</v>
      </c>
      <c r="D90" s="69">
        <f>C90/499</f>
        <v>0.24048096192384769</v>
      </c>
    </row>
    <row r="91" spans="1:4" x14ac:dyDescent="0.35">
      <c r="A91" s="71" t="s">
        <v>570</v>
      </c>
      <c r="B91" s="8" t="s">
        <v>686</v>
      </c>
      <c r="C91" s="8">
        <v>341</v>
      </c>
      <c r="D91" s="69">
        <f t="shared" ref="D91:D92" si="10">C91/499</f>
        <v>0.68336673346693388</v>
      </c>
    </row>
    <row r="92" spans="1:4" x14ac:dyDescent="0.35">
      <c r="A92" s="71" t="s">
        <v>789</v>
      </c>
      <c r="B92" s="8" t="s">
        <v>686</v>
      </c>
      <c r="C92" s="8">
        <v>38</v>
      </c>
      <c r="D92" s="69">
        <f t="shared" si="10"/>
        <v>7.6152304609218444E-2</v>
      </c>
    </row>
    <row r="93" spans="1:4" x14ac:dyDescent="0.35">
      <c r="C93" s="8">
        <f>SUM(C90:C92)</f>
        <v>499</v>
      </c>
    </row>
    <row r="95" spans="1:4" x14ac:dyDescent="0.35">
      <c r="A95" s="70" t="s">
        <v>226</v>
      </c>
    </row>
    <row r="96" spans="1:4" x14ac:dyDescent="0.35">
      <c r="A96" s="71" t="s">
        <v>421</v>
      </c>
      <c r="B96" s="8" t="s">
        <v>686</v>
      </c>
      <c r="C96" s="8">
        <v>92</v>
      </c>
      <c r="D96" s="69">
        <f>C96/365</f>
        <v>0.25205479452054796</v>
      </c>
    </row>
    <row r="97" spans="1:4" x14ac:dyDescent="0.35">
      <c r="A97" s="71" t="s">
        <v>423</v>
      </c>
      <c r="B97" s="8" t="s">
        <v>686</v>
      </c>
      <c r="C97" s="8">
        <v>193</v>
      </c>
      <c r="D97" s="69">
        <f t="shared" ref="D97:D98" si="11">C97/365</f>
        <v>0.52876712328767128</v>
      </c>
    </row>
    <row r="98" spans="1:4" x14ac:dyDescent="0.35">
      <c r="A98" s="71" t="s">
        <v>782</v>
      </c>
      <c r="B98" s="8" t="s">
        <v>686</v>
      </c>
      <c r="C98" s="8">
        <v>80</v>
      </c>
      <c r="D98" s="69">
        <f t="shared" si="11"/>
        <v>0.21917808219178081</v>
      </c>
    </row>
    <row r="99" spans="1:4" x14ac:dyDescent="0.35">
      <c r="C99" s="8">
        <f>SUM(C96:C98)</f>
        <v>365</v>
      </c>
    </row>
    <row r="101" spans="1:4" x14ac:dyDescent="0.35">
      <c r="A101" s="70" t="s">
        <v>227</v>
      </c>
    </row>
    <row r="102" spans="1:4" x14ac:dyDescent="0.35">
      <c r="A102" s="71" t="s">
        <v>581</v>
      </c>
      <c r="B102" s="8" t="s">
        <v>686</v>
      </c>
      <c r="C102" s="8">
        <v>55</v>
      </c>
      <c r="D102" s="69">
        <f>C102/499</f>
        <v>0.11022044088176353</v>
      </c>
    </row>
    <row r="103" spans="1:4" x14ac:dyDescent="0.35">
      <c r="A103" s="71" t="s">
        <v>580</v>
      </c>
      <c r="B103" s="8" t="s">
        <v>686</v>
      </c>
      <c r="C103" s="8">
        <v>111</v>
      </c>
      <c r="D103" s="69">
        <f t="shared" ref="D103:D105" si="12">C103/499</f>
        <v>0.22244488977955912</v>
      </c>
    </row>
    <row r="104" spans="1:4" x14ac:dyDescent="0.35">
      <c r="A104" s="71" t="s">
        <v>582</v>
      </c>
      <c r="B104" s="8" t="s">
        <v>686</v>
      </c>
      <c r="C104" s="11">
        <v>228</v>
      </c>
      <c r="D104" s="69">
        <f t="shared" si="12"/>
        <v>0.45691382765531063</v>
      </c>
    </row>
    <row r="105" spans="1:4" x14ac:dyDescent="0.35">
      <c r="A105" s="71" t="s">
        <v>510</v>
      </c>
      <c r="B105" s="8" t="s">
        <v>686</v>
      </c>
      <c r="C105" s="8">
        <v>105</v>
      </c>
      <c r="D105" s="69">
        <f t="shared" si="12"/>
        <v>0.21042084168336672</v>
      </c>
    </row>
    <row r="106" spans="1:4" x14ac:dyDescent="0.35">
      <c r="C106" s="8">
        <f>SUM(C102:C105)</f>
        <v>499</v>
      </c>
    </row>
    <row r="108" spans="1:4" x14ac:dyDescent="0.35">
      <c r="A108" s="70" t="s">
        <v>228</v>
      </c>
    </row>
    <row r="109" spans="1:4" x14ac:dyDescent="0.35">
      <c r="A109" s="71" t="s">
        <v>241</v>
      </c>
      <c r="B109" s="8" t="s">
        <v>686</v>
      </c>
      <c r="C109" s="8">
        <v>212</v>
      </c>
      <c r="D109" s="69">
        <f>C109/628</f>
        <v>0.33757961783439489</v>
      </c>
    </row>
    <row r="110" spans="1:4" x14ac:dyDescent="0.35">
      <c r="A110" s="71" t="s">
        <v>617</v>
      </c>
      <c r="B110" s="8" t="s">
        <v>686</v>
      </c>
      <c r="C110" s="8">
        <v>1</v>
      </c>
      <c r="D110" s="69">
        <f t="shared" ref="D110:D113" si="13">C110/628</f>
        <v>1.5923566878980893E-3</v>
      </c>
    </row>
    <row r="111" spans="1:4" x14ac:dyDescent="0.35">
      <c r="A111" s="71" t="s">
        <v>616</v>
      </c>
      <c r="B111" s="8" t="s">
        <v>686</v>
      </c>
      <c r="C111" s="8">
        <v>65</v>
      </c>
      <c r="D111" s="69">
        <f t="shared" si="13"/>
        <v>0.1035031847133758</v>
      </c>
    </row>
    <row r="112" spans="1:4" x14ac:dyDescent="0.35">
      <c r="A112" s="71" t="s">
        <v>420</v>
      </c>
      <c r="B112" s="8" t="s">
        <v>686</v>
      </c>
      <c r="C112" s="8">
        <v>350</v>
      </c>
      <c r="D112" s="69">
        <f t="shared" si="13"/>
        <v>0.5573248407643312</v>
      </c>
    </row>
    <row r="113" spans="1:4" x14ac:dyDescent="0.35">
      <c r="A113" s="71" t="s">
        <v>417</v>
      </c>
      <c r="B113" s="8" t="s">
        <v>686</v>
      </c>
      <c r="C113" s="8">
        <v>0</v>
      </c>
      <c r="D113" s="69">
        <f t="shared" si="13"/>
        <v>0</v>
      </c>
    </row>
    <row r="114" spans="1:4" x14ac:dyDescent="0.35">
      <c r="C114" s="8">
        <f>SUM(C109:C113)</f>
        <v>628</v>
      </c>
    </row>
    <row r="116" spans="1:4" x14ac:dyDescent="0.35">
      <c r="A116" s="70" t="s">
        <v>229</v>
      </c>
    </row>
    <row r="117" spans="1:4" x14ac:dyDescent="0.35">
      <c r="A117" s="71" t="s">
        <v>381</v>
      </c>
      <c r="B117" s="8" t="s">
        <v>686</v>
      </c>
      <c r="C117" s="8">
        <v>248</v>
      </c>
      <c r="D117" s="69">
        <f>C117/508</f>
        <v>0.48818897637795278</v>
      </c>
    </row>
    <row r="118" spans="1:4" x14ac:dyDescent="0.35">
      <c r="A118" s="71" t="s">
        <v>422</v>
      </c>
      <c r="B118" s="8" t="s">
        <v>686</v>
      </c>
      <c r="C118" s="8">
        <v>260</v>
      </c>
      <c r="D118" s="69">
        <f>C118/508</f>
        <v>0.51181102362204722</v>
      </c>
    </row>
    <row r="119" spans="1:4" x14ac:dyDescent="0.35">
      <c r="C119" s="8">
        <f>SUM(C117:C118)</f>
        <v>508</v>
      </c>
    </row>
    <row r="121" spans="1:4" x14ac:dyDescent="0.35">
      <c r="A121" s="70" t="s">
        <v>230</v>
      </c>
    </row>
    <row r="122" spans="1:4" x14ac:dyDescent="0.35">
      <c r="A122" s="71" t="s">
        <v>445</v>
      </c>
      <c r="B122" s="8" t="s">
        <v>686</v>
      </c>
      <c r="C122" s="8">
        <v>306</v>
      </c>
      <c r="D122" s="69">
        <f>C122/526</f>
        <v>0.58174904942965777</v>
      </c>
    </row>
    <row r="123" spans="1:4" x14ac:dyDescent="0.35">
      <c r="A123" s="71" t="s">
        <v>377</v>
      </c>
      <c r="B123" s="8" t="s">
        <v>686</v>
      </c>
      <c r="C123" s="8">
        <v>220</v>
      </c>
      <c r="D123" s="69">
        <f>C123/526</f>
        <v>0.41825095057034223</v>
      </c>
    </row>
    <row r="124" spans="1:4" x14ac:dyDescent="0.35">
      <c r="C124" s="8">
        <f>SUM(C122:C123)</f>
        <v>526</v>
      </c>
    </row>
    <row r="126" spans="1:4" x14ac:dyDescent="0.35">
      <c r="A126" s="70" t="s">
        <v>231</v>
      </c>
    </row>
    <row r="127" spans="1:4" x14ac:dyDescent="0.35">
      <c r="A127" s="71" t="s">
        <v>240</v>
      </c>
      <c r="B127" s="8" t="s">
        <v>686</v>
      </c>
      <c r="C127" s="8">
        <v>129</v>
      </c>
      <c r="D127" s="69">
        <f>C127/273</f>
        <v>0.47252747252747251</v>
      </c>
    </row>
    <row r="128" spans="1:4" x14ac:dyDescent="0.35">
      <c r="A128" s="71" t="s">
        <v>590</v>
      </c>
      <c r="B128" s="8" t="s">
        <v>686</v>
      </c>
      <c r="C128" s="8">
        <v>57</v>
      </c>
      <c r="D128" s="69">
        <f t="shared" ref="D128:D131" si="14">C128/273</f>
        <v>0.2087912087912088</v>
      </c>
    </row>
    <row r="129" spans="1:4" x14ac:dyDescent="0.35">
      <c r="A129" s="71" t="s">
        <v>244</v>
      </c>
      <c r="B129" s="8" t="s">
        <v>686</v>
      </c>
      <c r="C129" s="8">
        <v>13</v>
      </c>
      <c r="D129" s="69">
        <f t="shared" si="14"/>
        <v>4.7619047619047616E-2</v>
      </c>
    </row>
    <row r="130" spans="1:4" x14ac:dyDescent="0.35">
      <c r="A130" s="71" t="s">
        <v>238</v>
      </c>
      <c r="B130" s="8" t="s">
        <v>686</v>
      </c>
      <c r="C130" s="8">
        <v>64</v>
      </c>
      <c r="D130" s="69">
        <f t="shared" si="14"/>
        <v>0.23443223443223443</v>
      </c>
    </row>
    <row r="131" spans="1:4" x14ac:dyDescent="0.35">
      <c r="A131" s="71" t="s">
        <v>509</v>
      </c>
      <c r="B131" s="8" t="s">
        <v>686</v>
      </c>
      <c r="C131" s="8">
        <v>10</v>
      </c>
      <c r="D131" s="69">
        <f t="shared" si="14"/>
        <v>3.6630036630036632E-2</v>
      </c>
    </row>
    <row r="132" spans="1:4" x14ac:dyDescent="0.35">
      <c r="C132" s="8">
        <f>SUM(C127:C131)</f>
        <v>273</v>
      </c>
    </row>
    <row r="134" spans="1:4" x14ac:dyDescent="0.35">
      <c r="A134" s="70" t="s">
        <v>232</v>
      </c>
    </row>
    <row r="135" spans="1:4" x14ac:dyDescent="0.35">
      <c r="A135" s="71" t="s">
        <v>583</v>
      </c>
      <c r="B135" s="8" t="s">
        <v>686</v>
      </c>
      <c r="C135" s="8">
        <v>94</v>
      </c>
      <c r="D135" s="69">
        <f>C135/453</f>
        <v>0.20750551876379691</v>
      </c>
    </row>
    <row r="136" spans="1:4" x14ac:dyDescent="0.35">
      <c r="A136" s="71" t="s">
        <v>585</v>
      </c>
      <c r="B136" s="8" t="s">
        <v>686</v>
      </c>
      <c r="C136" s="8">
        <v>244</v>
      </c>
      <c r="D136" s="69">
        <f t="shared" ref="D136:D137" si="15">C136/453</f>
        <v>0.53863134657836642</v>
      </c>
    </row>
    <row r="137" spans="1:4" x14ac:dyDescent="0.35">
      <c r="A137" s="71" t="s">
        <v>584</v>
      </c>
      <c r="B137" s="8" t="s">
        <v>686</v>
      </c>
      <c r="C137" s="8">
        <v>115</v>
      </c>
      <c r="D137" s="69">
        <f t="shared" si="15"/>
        <v>0.25386313465783666</v>
      </c>
    </row>
    <row r="138" spans="1:4" x14ac:dyDescent="0.35">
      <c r="C138" s="8">
        <f>SUM(C135:C137)</f>
        <v>453</v>
      </c>
    </row>
    <row r="140" spans="1:4" x14ac:dyDescent="0.35">
      <c r="A140" s="70" t="s">
        <v>233</v>
      </c>
    </row>
    <row r="141" spans="1:4" x14ac:dyDescent="0.35">
      <c r="A141" s="71" t="s">
        <v>615</v>
      </c>
      <c r="B141" s="8" t="s">
        <v>686</v>
      </c>
      <c r="C141" s="8">
        <v>67</v>
      </c>
      <c r="D141" s="69">
        <f>C141/202</f>
        <v>0.3316831683168317</v>
      </c>
    </row>
    <row r="142" spans="1:4" x14ac:dyDescent="0.35">
      <c r="A142" s="71" t="s">
        <v>614</v>
      </c>
      <c r="B142" s="8" t="s">
        <v>686</v>
      </c>
      <c r="C142" s="8">
        <v>102</v>
      </c>
      <c r="D142" s="69">
        <f t="shared" ref="D142:D143" si="16">C142/202</f>
        <v>0.50495049504950495</v>
      </c>
    </row>
    <row r="143" spans="1:4" x14ac:dyDescent="0.35">
      <c r="A143" s="71" t="s">
        <v>511</v>
      </c>
      <c r="B143" s="8" t="s">
        <v>686</v>
      </c>
      <c r="C143" s="8">
        <v>33</v>
      </c>
      <c r="D143" s="69">
        <f t="shared" si="16"/>
        <v>0.16336633663366337</v>
      </c>
    </row>
    <row r="144" spans="1:4" x14ac:dyDescent="0.35">
      <c r="C144" s="8">
        <f>SUM(C141:C143)</f>
        <v>202</v>
      </c>
    </row>
    <row r="146" spans="1:4" x14ac:dyDescent="0.35">
      <c r="A146" s="70" t="s">
        <v>234</v>
      </c>
    </row>
    <row r="147" spans="1:4" x14ac:dyDescent="0.35">
      <c r="A147" s="71" t="s">
        <v>245</v>
      </c>
      <c r="B147" s="8" t="s">
        <v>686</v>
      </c>
      <c r="C147" s="8">
        <v>108</v>
      </c>
      <c r="D147" s="69">
        <f>C147/572</f>
        <v>0.1888111888111888</v>
      </c>
    </row>
    <row r="148" spans="1:4" x14ac:dyDescent="0.35">
      <c r="A148" s="71" t="s">
        <v>576</v>
      </c>
      <c r="B148" s="8" t="s">
        <v>686</v>
      </c>
      <c r="C148" s="8">
        <v>91</v>
      </c>
      <c r="D148" s="69">
        <f t="shared" ref="D148:D150" si="17">C148/572</f>
        <v>0.15909090909090909</v>
      </c>
    </row>
    <row r="149" spans="1:4" x14ac:dyDescent="0.35">
      <c r="A149" s="71" t="s">
        <v>575</v>
      </c>
      <c r="B149" s="8" t="s">
        <v>686</v>
      </c>
      <c r="C149" s="8">
        <v>294</v>
      </c>
      <c r="D149" s="69">
        <f t="shared" si="17"/>
        <v>0.51398601398601396</v>
      </c>
    </row>
    <row r="150" spans="1:4" x14ac:dyDescent="0.35">
      <c r="A150" s="71" t="s">
        <v>382</v>
      </c>
      <c r="B150" s="8" t="s">
        <v>686</v>
      </c>
      <c r="C150" s="8">
        <v>79</v>
      </c>
      <c r="D150" s="69">
        <f t="shared" si="17"/>
        <v>0.1381118881118881</v>
      </c>
    </row>
    <row r="151" spans="1:4" x14ac:dyDescent="0.35">
      <c r="C151" s="8">
        <f>SUM(C147:C150)</f>
        <v>572</v>
      </c>
    </row>
    <row r="153" spans="1:4" x14ac:dyDescent="0.35">
      <c r="A153" s="70" t="s">
        <v>235</v>
      </c>
    </row>
    <row r="154" spans="1:4" x14ac:dyDescent="0.35">
      <c r="A154" s="71" t="s">
        <v>419</v>
      </c>
      <c r="B154" s="11" t="s">
        <v>703</v>
      </c>
      <c r="C154" s="95" t="s">
        <v>703</v>
      </c>
      <c r="D154" s="96"/>
    </row>
  </sheetData>
  <mergeCells count="7">
    <mergeCell ref="C154:D154"/>
    <mergeCell ref="A2:D2"/>
    <mergeCell ref="A1:D1"/>
    <mergeCell ref="C50:D50"/>
    <mergeCell ref="C53:D53"/>
    <mergeCell ref="C56:D56"/>
    <mergeCell ref="C60:D60"/>
  </mergeCells>
  <pageMargins left="0.35433070866141736" right="0.23622047244094491" top="0.59055118110236227" bottom="0.74803149606299213" header="0.31496062992125984" footer="0.31496062992125984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view="pageBreakPreview" topLeftCell="A91" zoomScale="60" workbookViewId="0">
      <selection activeCell="A2" sqref="A2:D118"/>
    </sheetView>
  </sheetViews>
  <sheetFormatPr defaultRowHeight="18.75" x14ac:dyDescent="0.3"/>
  <cols>
    <col min="1" max="1" width="51.140625" style="5" customWidth="1"/>
    <col min="2" max="2" width="37.85546875" style="4" hidden="1" customWidth="1"/>
    <col min="3" max="3" width="13.7109375" style="4" customWidth="1"/>
    <col min="4" max="4" width="13.28515625" style="4" customWidth="1"/>
    <col min="5" max="16384" width="9.140625" style="4"/>
  </cols>
  <sheetData>
    <row r="1" spans="1:4" ht="23.25" x14ac:dyDescent="0.35">
      <c r="A1" s="97" t="s">
        <v>816</v>
      </c>
      <c r="B1" s="98"/>
      <c r="C1" s="98"/>
      <c r="D1" s="99"/>
    </row>
    <row r="2" spans="1:4" ht="31.5" x14ac:dyDescent="0.5">
      <c r="A2" s="102" t="s">
        <v>640</v>
      </c>
      <c r="B2" s="103"/>
      <c r="C2" s="103"/>
      <c r="D2" s="104"/>
    </row>
    <row r="3" spans="1:4" s="5" customFormat="1" ht="21" x14ac:dyDescent="0.35">
      <c r="A3" s="34"/>
      <c r="B3" s="34" t="s">
        <v>405</v>
      </c>
    </row>
    <row r="4" spans="1:4" s="5" customFormat="1" ht="21" x14ac:dyDescent="0.35">
      <c r="A4" s="34"/>
      <c r="B4" s="34"/>
    </row>
    <row r="5" spans="1:4" s="5" customFormat="1" ht="21" x14ac:dyDescent="0.35">
      <c r="A5" s="34"/>
      <c r="B5" s="34"/>
    </row>
    <row r="6" spans="1:4" ht="21" x14ac:dyDescent="0.35">
      <c r="A6" s="30" t="s">
        <v>246</v>
      </c>
      <c r="B6" s="20"/>
      <c r="C6" s="4" t="s">
        <v>810</v>
      </c>
      <c r="D6" s="6" t="s">
        <v>811</v>
      </c>
    </row>
    <row r="7" spans="1:4" ht="21" x14ac:dyDescent="0.35">
      <c r="A7" s="37" t="s">
        <v>274</v>
      </c>
      <c r="B7" s="16" t="s">
        <v>703</v>
      </c>
      <c r="C7" s="100" t="s">
        <v>703</v>
      </c>
      <c r="D7" s="101"/>
    </row>
    <row r="8" spans="1:4" ht="21" x14ac:dyDescent="0.35">
      <c r="A8" s="30"/>
      <c r="B8" s="16"/>
    </row>
    <row r="9" spans="1:4" ht="21" x14ac:dyDescent="0.35">
      <c r="A9" s="30" t="s">
        <v>247</v>
      </c>
      <c r="B9" s="16"/>
    </row>
    <row r="10" spans="1:4" ht="21" x14ac:dyDescent="0.35">
      <c r="A10" s="37" t="s">
        <v>271</v>
      </c>
      <c r="B10" s="16" t="s">
        <v>703</v>
      </c>
      <c r="C10" s="100" t="s">
        <v>703</v>
      </c>
      <c r="D10" s="101"/>
    </row>
    <row r="11" spans="1:4" ht="21" x14ac:dyDescent="0.35">
      <c r="A11" s="30"/>
      <c r="B11" s="16"/>
    </row>
    <row r="12" spans="1:4" ht="21" x14ac:dyDescent="0.35">
      <c r="A12" s="30" t="s">
        <v>248</v>
      </c>
      <c r="B12" s="16" t="s">
        <v>703</v>
      </c>
    </row>
    <row r="13" spans="1:4" ht="21" x14ac:dyDescent="0.35">
      <c r="A13" s="37" t="s">
        <v>564</v>
      </c>
      <c r="B13" s="16"/>
      <c r="C13" s="100" t="s">
        <v>703</v>
      </c>
      <c r="D13" s="101"/>
    </row>
    <row r="14" spans="1:4" ht="21" x14ac:dyDescent="0.35">
      <c r="A14" s="33"/>
      <c r="B14" s="16"/>
    </row>
    <row r="15" spans="1:4" ht="21" x14ac:dyDescent="0.35">
      <c r="A15" s="30" t="s">
        <v>249</v>
      </c>
      <c r="B15" s="16"/>
    </row>
    <row r="16" spans="1:4" ht="21" x14ac:dyDescent="0.35">
      <c r="A16" s="37" t="s">
        <v>276</v>
      </c>
      <c r="B16" s="16" t="s">
        <v>703</v>
      </c>
      <c r="C16" s="100" t="s">
        <v>703</v>
      </c>
      <c r="D16" s="101"/>
    </row>
    <row r="17" spans="1:5" ht="21" x14ac:dyDescent="0.35">
      <c r="A17" s="30"/>
      <c r="B17" s="20"/>
    </row>
    <row r="18" spans="1:5" ht="21" x14ac:dyDescent="0.35">
      <c r="A18" s="30" t="s">
        <v>250</v>
      </c>
      <c r="B18" s="20"/>
    </row>
    <row r="19" spans="1:5" ht="21" x14ac:dyDescent="0.35">
      <c r="A19" s="37" t="s">
        <v>482</v>
      </c>
      <c r="B19" s="20" t="s">
        <v>702</v>
      </c>
      <c r="C19" s="4">
        <v>110</v>
      </c>
      <c r="D19" s="72">
        <f>C19/354</f>
        <v>0.31073446327683618</v>
      </c>
    </row>
    <row r="20" spans="1:5" ht="21" x14ac:dyDescent="0.35">
      <c r="A20" s="37" t="s">
        <v>277</v>
      </c>
      <c r="B20" s="20" t="s">
        <v>702</v>
      </c>
      <c r="C20" s="4">
        <v>127</v>
      </c>
      <c r="D20" s="72">
        <f t="shared" ref="D20:D22" si="0">C20/354</f>
        <v>0.35875706214689268</v>
      </c>
    </row>
    <row r="21" spans="1:5" ht="21" x14ac:dyDescent="0.35">
      <c r="A21" s="37" t="s">
        <v>502</v>
      </c>
      <c r="B21" s="20" t="s">
        <v>702</v>
      </c>
      <c r="C21" s="4">
        <v>94</v>
      </c>
      <c r="D21" s="72">
        <f t="shared" si="0"/>
        <v>0.2655367231638418</v>
      </c>
    </row>
    <row r="22" spans="1:5" ht="21" x14ac:dyDescent="0.35">
      <c r="A22" s="37" t="s">
        <v>501</v>
      </c>
      <c r="B22" s="20" t="s">
        <v>702</v>
      </c>
      <c r="C22" s="4">
        <v>14</v>
      </c>
      <c r="D22" s="72">
        <f t="shared" si="0"/>
        <v>3.954802259887006E-2</v>
      </c>
    </row>
    <row r="23" spans="1:5" ht="21" x14ac:dyDescent="0.35">
      <c r="A23" s="30"/>
      <c r="B23" s="20"/>
      <c r="C23" s="4">
        <f>SUM(C19:C22)</f>
        <v>345</v>
      </c>
    </row>
    <row r="24" spans="1:5" ht="21" x14ac:dyDescent="0.35">
      <c r="A24" s="30"/>
      <c r="B24" s="20"/>
    </row>
    <row r="25" spans="1:5" ht="21" x14ac:dyDescent="0.35">
      <c r="A25" s="30" t="s">
        <v>251</v>
      </c>
      <c r="B25" s="20"/>
    </row>
    <row r="26" spans="1:5" ht="21" x14ac:dyDescent="0.35">
      <c r="A26" s="37" t="s">
        <v>270</v>
      </c>
      <c r="B26" s="20" t="s">
        <v>775</v>
      </c>
      <c r="C26" s="4">
        <v>4</v>
      </c>
      <c r="D26" s="72">
        <f>C26/465</f>
        <v>8.6021505376344086E-3</v>
      </c>
    </row>
    <row r="27" spans="1:5" ht="21" x14ac:dyDescent="0.35">
      <c r="A27" s="37" t="s">
        <v>497</v>
      </c>
      <c r="B27" s="20" t="s">
        <v>702</v>
      </c>
      <c r="C27" s="4">
        <v>344</v>
      </c>
      <c r="D27" s="72">
        <f t="shared" ref="D27:D29" si="1">C27/465</f>
        <v>0.7397849462365591</v>
      </c>
    </row>
    <row r="28" spans="1:5" ht="21" x14ac:dyDescent="0.35">
      <c r="A28" s="37" t="s">
        <v>481</v>
      </c>
      <c r="B28" s="20" t="s">
        <v>702</v>
      </c>
      <c r="C28" s="4">
        <v>108</v>
      </c>
      <c r="D28" s="72">
        <f t="shared" si="1"/>
        <v>0.23225806451612904</v>
      </c>
    </row>
    <row r="29" spans="1:5" ht="21" x14ac:dyDescent="0.35">
      <c r="A29" s="37" t="s">
        <v>566</v>
      </c>
      <c r="B29" s="20" t="s">
        <v>702</v>
      </c>
      <c r="C29" s="4">
        <v>9</v>
      </c>
      <c r="D29" s="72">
        <f t="shared" si="1"/>
        <v>1.935483870967742E-2</v>
      </c>
    </row>
    <row r="30" spans="1:5" ht="21" x14ac:dyDescent="0.35">
      <c r="A30" s="30"/>
      <c r="B30" s="20" t="s">
        <v>702</v>
      </c>
      <c r="C30" s="4">
        <f>SUM(C26:C29)</f>
        <v>465</v>
      </c>
      <c r="E30" s="6"/>
    </row>
    <row r="31" spans="1:5" ht="21" x14ac:dyDescent="0.35">
      <c r="A31" s="30"/>
      <c r="B31" s="20"/>
    </row>
    <row r="32" spans="1:5" ht="21" x14ac:dyDescent="0.35">
      <c r="A32" s="30" t="s">
        <v>252</v>
      </c>
      <c r="B32" s="20"/>
    </row>
    <row r="33" spans="1:4" ht="21" x14ac:dyDescent="0.35">
      <c r="A33" s="37" t="s">
        <v>705</v>
      </c>
      <c r="B33" s="20" t="s">
        <v>686</v>
      </c>
      <c r="C33" s="4">
        <v>45</v>
      </c>
      <c r="D33" s="72">
        <f>C33/360</f>
        <v>0.125</v>
      </c>
    </row>
    <row r="34" spans="1:4" ht="21" x14ac:dyDescent="0.35">
      <c r="A34" s="37" t="s">
        <v>486</v>
      </c>
      <c r="B34" s="20" t="s">
        <v>686</v>
      </c>
      <c r="C34" s="4">
        <v>110</v>
      </c>
      <c r="D34" s="72">
        <f t="shared" ref="D34:D35" si="2">C34/360</f>
        <v>0.30555555555555558</v>
      </c>
    </row>
    <row r="35" spans="1:4" ht="21" x14ac:dyDescent="0.35">
      <c r="A35" s="37" t="s">
        <v>426</v>
      </c>
      <c r="B35" s="20" t="s">
        <v>686</v>
      </c>
      <c r="C35" s="7">
        <v>205</v>
      </c>
      <c r="D35" s="72">
        <f t="shared" si="2"/>
        <v>0.56944444444444442</v>
      </c>
    </row>
    <row r="36" spans="1:4" ht="21" x14ac:dyDescent="0.35">
      <c r="A36" s="30"/>
      <c r="B36" s="20"/>
      <c r="C36" s="4">
        <f>SUM(C33:C35)</f>
        <v>360</v>
      </c>
    </row>
    <row r="37" spans="1:4" ht="21" x14ac:dyDescent="0.35">
      <c r="A37" s="30"/>
      <c r="B37" s="20"/>
    </row>
    <row r="38" spans="1:4" ht="21" x14ac:dyDescent="0.35">
      <c r="A38" s="30" t="s">
        <v>253</v>
      </c>
      <c r="B38" s="20"/>
    </row>
    <row r="39" spans="1:4" ht="21" x14ac:dyDescent="0.35">
      <c r="A39" s="37" t="s">
        <v>494</v>
      </c>
      <c r="B39" s="20" t="s">
        <v>686</v>
      </c>
      <c r="C39" s="4">
        <v>313</v>
      </c>
      <c r="D39" s="72">
        <f>C39/652</f>
        <v>0.48006134969325154</v>
      </c>
    </row>
    <row r="40" spans="1:4" ht="21" x14ac:dyDescent="0.35">
      <c r="A40" s="37" t="s">
        <v>706</v>
      </c>
      <c r="B40" s="20" t="s">
        <v>686</v>
      </c>
      <c r="C40" s="4">
        <v>226</v>
      </c>
      <c r="D40" s="72">
        <f t="shared" ref="D40:D42" si="3">C40/652</f>
        <v>0.34662576687116564</v>
      </c>
    </row>
    <row r="41" spans="1:4" ht="21" x14ac:dyDescent="0.35">
      <c r="A41" s="37" t="s">
        <v>442</v>
      </c>
      <c r="B41" s="20" t="s">
        <v>686</v>
      </c>
      <c r="C41" s="4">
        <v>11</v>
      </c>
      <c r="D41" s="72">
        <f t="shared" si="3"/>
        <v>1.6871165644171779E-2</v>
      </c>
    </row>
    <row r="42" spans="1:4" ht="21" x14ac:dyDescent="0.35">
      <c r="A42" s="37" t="s">
        <v>483</v>
      </c>
      <c r="B42" s="20" t="s">
        <v>686</v>
      </c>
      <c r="C42" s="4">
        <v>102</v>
      </c>
      <c r="D42" s="72">
        <f t="shared" si="3"/>
        <v>0.15644171779141106</v>
      </c>
    </row>
    <row r="43" spans="1:4" ht="21" x14ac:dyDescent="0.35">
      <c r="A43" s="30"/>
      <c r="B43" s="20"/>
      <c r="C43" s="4">
        <f>SUM(C39:C42)</f>
        <v>652</v>
      </c>
    </row>
    <row r="44" spans="1:4" ht="21" x14ac:dyDescent="0.35">
      <c r="A44" s="30"/>
      <c r="B44" s="20"/>
    </row>
    <row r="45" spans="1:4" ht="21" x14ac:dyDescent="0.35">
      <c r="A45" s="30" t="s">
        <v>254</v>
      </c>
      <c r="B45" s="20"/>
    </row>
    <row r="46" spans="1:4" ht="21" x14ac:dyDescent="0.35">
      <c r="A46" s="37" t="s">
        <v>704</v>
      </c>
      <c r="B46" s="16" t="s">
        <v>703</v>
      </c>
      <c r="C46" s="100" t="s">
        <v>703</v>
      </c>
      <c r="D46" s="101"/>
    </row>
    <row r="47" spans="1:4" ht="21" x14ac:dyDescent="0.35">
      <c r="A47" s="30"/>
      <c r="B47" s="16"/>
    </row>
    <row r="48" spans="1:4" ht="21" x14ac:dyDescent="0.35">
      <c r="A48" s="30"/>
      <c r="B48" s="16"/>
    </row>
    <row r="49" spans="1:4" ht="21" x14ac:dyDescent="0.35">
      <c r="A49" s="30" t="s">
        <v>255</v>
      </c>
      <c r="B49" s="16"/>
    </row>
    <row r="50" spans="1:4" ht="21" x14ac:dyDescent="0.35">
      <c r="A50" s="37" t="s">
        <v>608</v>
      </c>
      <c r="B50" s="16" t="s">
        <v>703</v>
      </c>
      <c r="C50" s="100" t="s">
        <v>703</v>
      </c>
      <c r="D50" s="101"/>
    </row>
    <row r="51" spans="1:4" ht="21" x14ac:dyDescent="0.35">
      <c r="A51" s="30"/>
      <c r="B51" s="20"/>
    </row>
    <row r="52" spans="1:4" ht="21" x14ac:dyDescent="0.35">
      <c r="A52" s="30"/>
      <c r="B52" s="20"/>
    </row>
    <row r="53" spans="1:4" ht="21" x14ac:dyDescent="0.35">
      <c r="A53" s="30" t="s">
        <v>256</v>
      </c>
      <c r="B53" s="20"/>
    </row>
    <row r="54" spans="1:4" ht="21" x14ac:dyDescent="0.35">
      <c r="A54" s="37" t="s">
        <v>441</v>
      </c>
      <c r="B54" s="20" t="s">
        <v>686</v>
      </c>
      <c r="C54" s="4">
        <v>77</v>
      </c>
      <c r="D54" s="72">
        <f>C54/499</f>
        <v>0.15430861723446893</v>
      </c>
    </row>
    <row r="55" spans="1:4" ht="21" x14ac:dyDescent="0.35">
      <c r="A55" s="37" t="s">
        <v>485</v>
      </c>
      <c r="B55" s="20" t="s">
        <v>686</v>
      </c>
      <c r="C55" s="4">
        <v>167</v>
      </c>
      <c r="D55" s="72">
        <f t="shared" ref="D55:D56" si="4">C55/499</f>
        <v>0.33466933867735471</v>
      </c>
    </row>
    <row r="56" spans="1:4" ht="21" x14ac:dyDescent="0.35">
      <c r="A56" s="37" t="s">
        <v>495</v>
      </c>
      <c r="B56" s="20" t="s">
        <v>686</v>
      </c>
      <c r="C56" s="4">
        <v>255</v>
      </c>
      <c r="D56" s="72">
        <f t="shared" si="4"/>
        <v>0.51102204408817631</v>
      </c>
    </row>
    <row r="57" spans="1:4" ht="21" x14ac:dyDescent="0.35">
      <c r="A57" s="30"/>
      <c r="B57" s="20"/>
      <c r="C57" s="4">
        <f>SUM(C54:C56)</f>
        <v>499</v>
      </c>
      <c r="D57" s="72"/>
    </row>
    <row r="58" spans="1:4" ht="21" x14ac:dyDescent="0.35">
      <c r="A58" s="30" t="s">
        <v>257</v>
      </c>
      <c r="B58" s="16" t="s">
        <v>703</v>
      </c>
    </row>
    <row r="59" spans="1:4" ht="21" x14ac:dyDescent="0.35">
      <c r="A59" s="37" t="s">
        <v>273</v>
      </c>
      <c r="B59" s="16"/>
      <c r="C59" s="100" t="s">
        <v>703</v>
      </c>
      <c r="D59" s="101"/>
    </row>
    <row r="60" spans="1:4" ht="21" x14ac:dyDescent="0.35">
      <c r="A60" s="30"/>
      <c r="B60" s="16"/>
    </row>
    <row r="61" spans="1:4" ht="21" x14ac:dyDescent="0.35">
      <c r="A61" s="30"/>
      <c r="B61" s="16"/>
    </row>
    <row r="62" spans="1:4" ht="21" x14ac:dyDescent="0.35">
      <c r="A62" s="30" t="s">
        <v>258</v>
      </c>
      <c r="B62" s="16" t="s">
        <v>703</v>
      </c>
    </row>
    <row r="63" spans="1:4" ht="21" x14ac:dyDescent="0.35">
      <c r="A63" s="37" t="s">
        <v>278</v>
      </c>
      <c r="B63" s="16"/>
      <c r="C63" s="100" t="s">
        <v>703</v>
      </c>
      <c r="D63" s="101"/>
    </row>
    <row r="64" spans="1:4" ht="21" x14ac:dyDescent="0.35">
      <c r="A64" s="30"/>
      <c r="B64" s="16"/>
    </row>
    <row r="65" spans="1:4" ht="21" x14ac:dyDescent="0.35">
      <c r="A65" s="30"/>
      <c r="B65" s="16"/>
    </row>
    <row r="66" spans="1:4" ht="21" x14ac:dyDescent="0.35">
      <c r="A66" s="30" t="s">
        <v>259</v>
      </c>
      <c r="B66" s="16"/>
    </row>
    <row r="67" spans="1:4" ht="21" x14ac:dyDescent="0.35">
      <c r="A67" s="37" t="s">
        <v>503</v>
      </c>
      <c r="B67" s="16" t="s">
        <v>703</v>
      </c>
      <c r="C67" s="100" t="s">
        <v>703</v>
      </c>
      <c r="D67" s="101"/>
    </row>
    <row r="68" spans="1:4" ht="21" x14ac:dyDescent="0.35">
      <c r="A68" s="30"/>
      <c r="B68" s="20"/>
    </row>
    <row r="69" spans="1:4" ht="21" x14ac:dyDescent="0.35">
      <c r="A69" s="30" t="s">
        <v>260</v>
      </c>
      <c r="B69" s="20"/>
    </row>
    <row r="70" spans="1:4" ht="21" x14ac:dyDescent="0.35">
      <c r="A70" s="37" t="s">
        <v>499</v>
      </c>
      <c r="B70" s="20" t="s">
        <v>686</v>
      </c>
      <c r="C70" s="4">
        <v>196</v>
      </c>
      <c r="D70" s="72">
        <f>C70/373</f>
        <v>0.52546916890080431</v>
      </c>
    </row>
    <row r="71" spans="1:4" ht="21" x14ac:dyDescent="0.35">
      <c r="A71" s="37" t="s">
        <v>487</v>
      </c>
      <c r="B71" s="20" t="s">
        <v>686</v>
      </c>
      <c r="C71" s="4">
        <v>177</v>
      </c>
      <c r="D71" s="72">
        <f>C71/373</f>
        <v>0.47453083109919569</v>
      </c>
    </row>
    <row r="72" spans="1:4" ht="21" x14ac:dyDescent="0.35">
      <c r="A72" s="30"/>
      <c r="B72" s="20"/>
      <c r="C72" s="4">
        <f>SUM(C70:C71)</f>
        <v>373</v>
      </c>
    </row>
    <row r="73" spans="1:4" ht="21" x14ac:dyDescent="0.35">
      <c r="A73" s="30"/>
      <c r="B73" s="20"/>
    </row>
    <row r="74" spans="1:4" ht="21" x14ac:dyDescent="0.35">
      <c r="A74" s="30" t="s">
        <v>261</v>
      </c>
      <c r="B74" s="20"/>
    </row>
    <row r="75" spans="1:4" ht="21" x14ac:dyDescent="0.35">
      <c r="A75" s="37" t="s">
        <v>496</v>
      </c>
      <c r="B75" s="20" t="s">
        <v>686</v>
      </c>
      <c r="C75" s="4">
        <v>144</v>
      </c>
      <c r="D75" s="72">
        <f>C75/373</f>
        <v>0.38605898123324395</v>
      </c>
    </row>
    <row r="76" spans="1:4" ht="21" x14ac:dyDescent="0.35">
      <c r="A76" s="37" t="s">
        <v>504</v>
      </c>
      <c r="B76" s="20" t="s">
        <v>686</v>
      </c>
      <c r="C76" s="4">
        <v>229</v>
      </c>
      <c r="D76" s="72">
        <f>C76/373</f>
        <v>0.613941018766756</v>
      </c>
    </row>
    <row r="77" spans="1:4" ht="21" x14ac:dyDescent="0.35">
      <c r="A77" s="30"/>
      <c r="B77" s="20"/>
      <c r="C77" s="4">
        <f>SUM(C75:C76)</f>
        <v>373</v>
      </c>
    </row>
    <row r="78" spans="1:4" ht="21" x14ac:dyDescent="0.35">
      <c r="A78" s="30"/>
      <c r="B78" s="20"/>
    </row>
    <row r="79" spans="1:4" ht="21" x14ac:dyDescent="0.35">
      <c r="A79" s="30" t="s">
        <v>262</v>
      </c>
      <c r="B79" s="20"/>
    </row>
    <row r="80" spans="1:4" ht="21" x14ac:dyDescent="0.35">
      <c r="A80" s="37" t="s">
        <v>505</v>
      </c>
      <c r="B80" s="16" t="s">
        <v>703</v>
      </c>
      <c r="C80" s="100" t="s">
        <v>703</v>
      </c>
      <c r="D80" s="101"/>
    </row>
    <row r="81" spans="1:4" ht="21" x14ac:dyDescent="0.35">
      <c r="A81" s="30"/>
      <c r="B81" s="16"/>
    </row>
    <row r="82" spans="1:4" ht="21" x14ac:dyDescent="0.35">
      <c r="A82" s="30" t="s">
        <v>263</v>
      </c>
      <c r="B82" s="16"/>
    </row>
    <row r="83" spans="1:4" ht="21" x14ac:dyDescent="0.35">
      <c r="A83" s="37" t="s">
        <v>567</v>
      </c>
      <c r="B83" s="16" t="s">
        <v>703</v>
      </c>
      <c r="C83" s="100" t="s">
        <v>703</v>
      </c>
      <c r="D83" s="101"/>
    </row>
    <row r="84" spans="1:4" ht="21" x14ac:dyDescent="0.35">
      <c r="A84" s="30"/>
      <c r="B84" s="16"/>
    </row>
    <row r="85" spans="1:4" ht="21" x14ac:dyDescent="0.35">
      <c r="A85" s="30"/>
      <c r="B85" s="16"/>
    </row>
    <row r="86" spans="1:4" ht="21" x14ac:dyDescent="0.35">
      <c r="A86" s="30" t="s">
        <v>264</v>
      </c>
      <c r="B86" s="16"/>
    </row>
    <row r="87" spans="1:4" ht="21" x14ac:dyDescent="0.35">
      <c r="A87" s="37" t="s">
        <v>272</v>
      </c>
      <c r="B87" s="16" t="s">
        <v>703</v>
      </c>
      <c r="C87" s="100" t="s">
        <v>703</v>
      </c>
      <c r="D87" s="101"/>
    </row>
    <row r="88" spans="1:4" ht="21" x14ac:dyDescent="0.35">
      <c r="A88" s="30"/>
      <c r="B88" s="20"/>
    </row>
    <row r="89" spans="1:4" ht="21" x14ac:dyDescent="0.35">
      <c r="A89" s="30"/>
      <c r="B89" s="20"/>
    </row>
    <row r="90" spans="1:4" ht="21" x14ac:dyDescent="0.35">
      <c r="A90" s="30" t="s">
        <v>265</v>
      </c>
      <c r="B90" s="20" t="s">
        <v>686</v>
      </c>
    </row>
    <row r="91" spans="1:4" ht="21" x14ac:dyDescent="0.35">
      <c r="A91" s="37" t="s">
        <v>500</v>
      </c>
      <c r="B91" s="20" t="s">
        <v>686</v>
      </c>
      <c r="C91" s="4">
        <v>389</v>
      </c>
      <c r="D91" s="72">
        <f>C91/639</f>
        <v>0.60876369327073554</v>
      </c>
    </row>
    <row r="92" spans="1:4" ht="21" x14ac:dyDescent="0.35">
      <c r="A92" s="37" t="s">
        <v>569</v>
      </c>
      <c r="B92" s="20"/>
      <c r="C92" s="4">
        <v>250</v>
      </c>
      <c r="D92" s="72">
        <f>C92/639</f>
        <v>0.39123630672926446</v>
      </c>
    </row>
    <row r="93" spans="1:4" ht="21" x14ac:dyDescent="0.35">
      <c r="A93" s="30"/>
      <c r="B93" s="20"/>
      <c r="C93" s="4">
        <f>SUM(C91:C92)</f>
        <v>639</v>
      </c>
    </row>
    <row r="94" spans="1:4" ht="21" x14ac:dyDescent="0.35">
      <c r="A94" s="30"/>
      <c r="B94" s="20"/>
    </row>
    <row r="95" spans="1:4" ht="21" x14ac:dyDescent="0.35">
      <c r="A95" s="30" t="s">
        <v>266</v>
      </c>
      <c r="B95" s="20"/>
    </row>
    <row r="96" spans="1:4" ht="21" x14ac:dyDescent="0.35">
      <c r="A96" s="37" t="s">
        <v>568</v>
      </c>
      <c r="B96" s="16" t="s">
        <v>703</v>
      </c>
      <c r="C96" s="100" t="s">
        <v>703</v>
      </c>
      <c r="D96" s="101"/>
    </row>
    <row r="97" spans="1:4" ht="21" x14ac:dyDescent="0.35">
      <c r="A97" s="30"/>
      <c r="B97" s="20"/>
    </row>
    <row r="98" spans="1:4" ht="21" x14ac:dyDescent="0.35">
      <c r="A98" s="30"/>
      <c r="B98" s="20"/>
    </row>
    <row r="99" spans="1:4" ht="21" x14ac:dyDescent="0.35">
      <c r="A99" s="30" t="s">
        <v>267</v>
      </c>
      <c r="B99" s="20"/>
    </row>
    <row r="100" spans="1:4" ht="21" x14ac:dyDescent="0.35">
      <c r="A100" s="37" t="s">
        <v>488</v>
      </c>
      <c r="B100" s="20" t="s">
        <v>686</v>
      </c>
      <c r="C100" s="4">
        <v>53</v>
      </c>
      <c r="D100" s="72">
        <f>C100/541</f>
        <v>9.7966728280961188E-2</v>
      </c>
    </row>
    <row r="101" spans="1:4" ht="21" x14ac:dyDescent="0.35">
      <c r="A101" s="37" t="s">
        <v>489</v>
      </c>
      <c r="B101" s="20" t="s">
        <v>686</v>
      </c>
      <c r="C101" s="4">
        <v>250</v>
      </c>
      <c r="D101" s="72">
        <f t="shared" ref="D101:D103" si="5">C101/541</f>
        <v>0.46210720887245843</v>
      </c>
    </row>
    <row r="102" spans="1:4" ht="21" x14ac:dyDescent="0.35">
      <c r="A102" s="37" t="s">
        <v>776</v>
      </c>
      <c r="B102" s="20" t="s">
        <v>686</v>
      </c>
      <c r="C102" s="4">
        <v>187</v>
      </c>
      <c r="D102" s="72">
        <f t="shared" si="5"/>
        <v>0.34565619223659888</v>
      </c>
    </row>
    <row r="103" spans="1:4" ht="21" x14ac:dyDescent="0.35">
      <c r="A103" s="37" t="s">
        <v>777</v>
      </c>
      <c r="B103" s="20" t="s">
        <v>686</v>
      </c>
      <c r="C103" s="4">
        <v>51</v>
      </c>
      <c r="D103" s="72">
        <f t="shared" si="5"/>
        <v>9.4269870609981515E-2</v>
      </c>
    </row>
    <row r="104" spans="1:4" ht="21" x14ac:dyDescent="0.35">
      <c r="A104" s="30"/>
      <c r="B104" s="20"/>
      <c r="C104" s="4">
        <f>SUM(C100:C103)</f>
        <v>541</v>
      </c>
    </row>
    <row r="105" spans="1:4" ht="21" x14ac:dyDescent="0.35">
      <c r="A105" s="30"/>
      <c r="B105" s="20"/>
    </row>
    <row r="106" spans="1:4" ht="21" x14ac:dyDescent="0.35">
      <c r="A106" s="30" t="s">
        <v>268</v>
      </c>
      <c r="B106" s="20"/>
    </row>
    <row r="107" spans="1:4" ht="21" x14ac:dyDescent="0.35">
      <c r="A107" s="37" t="s">
        <v>498</v>
      </c>
      <c r="B107" s="20" t="s">
        <v>686</v>
      </c>
      <c r="C107" s="4">
        <v>251</v>
      </c>
      <c r="D107" s="72">
        <f>C107/727</f>
        <v>0.34525447042640989</v>
      </c>
    </row>
    <row r="108" spans="1:4" ht="21" x14ac:dyDescent="0.35">
      <c r="A108" s="37" t="s">
        <v>484</v>
      </c>
      <c r="B108" s="20" t="s">
        <v>686</v>
      </c>
      <c r="C108" s="4">
        <v>24</v>
      </c>
      <c r="D108" s="72">
        <f t="shared" ref="D108:D112" si="6">C108/727</f>
        <v>3.3012379642365884E-2</v>
      </c>
    </row>
    <row r="109" spans="1:4" ht="21" x14ac:dyDescent="0.35">
      <c r="A109" s="37" t="s">
        <v>493</v>
      </c>
      <c r="B109" s="20" t="s">
        <v>686</v>
      </c>
      <c r="C109" s="4">
        <v>19</v>
      </c>
      <c r="D109" s="72">
        <f t="shared" si="6"/>
        <v>2.6134800550206328E-2</v>
      </c>
    </row>
    <row r="110" spans="1:4" ht="21" x14ac:dyDescent="0.35">
      <c r="A110" s="37" t="s">
        <v>492</v>
      </c>
      <c r="B110" s="20" t="s">
        <v>686</v>
      </c>
      <c r="C110" s="4">
        <v>283</v>
      </c>
      <c r="D110" s="72">
        <f t="shared" si="6"/>
        <v>0.38927097661623111</v>
      </c>
    </row>
    <row r="111" spans="1:4" ht="21" x14ac:dyDescent="0.35">
      <c r="A111" s="37" t="s">
        <v>490</v>
      </c>
      <c r="B111" s="20" t="s">
        <v>686</v>
      </c>
      <c r="C111" s="4">
        <v>128</v>
      </c>
      <c r="D111" s="72">
        <f t="shared" si="6"/>
        <v>0.17606602475928473</v>
      </c>
    </row>
    <row r="112" spans="1:4" ht="21" x14ac:dyDescent="0.35">
      <c r="A112" s="37" t="s">
        <v>491</v>
      </c>
      <c r="B112" s="20" t="s">
        <v>686</v>
      </c>
      <c r="C112" s="4">
        <v>22</v>
      </c>
      <c r="D112" s="72">
        <f t="shared" si="6"/>
        <v>3.0261348005502064E-2</v>
      </c>
    </row>
    <row r="113" spans="1:4" ht="21" x14ac:dyDescent="0.35">
      <c r="A113" s="30"/>
      <c r="B113" s="20"/>
      <c r="C113" s="4">
        <f>SUM(C107:C112)</f>
        <v>727</v>
      </c>
    </row>
    <row r="114" spans="1:4" ht="21" x14ac:dyDescent="0.35">
      <c r="A114" s="30" t="s">
        <v>269</v>
      </c>
      <c r="B114" s="20"/>
    </row>
    <row r="115" spans="1:4" ht="21" x14ac:dyDescent="0.35">
      <c r="A115" s="37" t="s">
        <v>275</v>
      </c>
      <c r="B115" s="20" t="s">
        <v>686</v>
      </c>
      <c r="C115" s="4">
        <v>224</v>
      </c>
      <c r="D115" s="72">
        <f>C115/468</f>
        <v>0.47863247863247865</v>
      </c>
    </row>
    <row r="116" spans="1:4" ht="21" x14ac:dyDescent="0.35">
      <c r="A116" s="37" t="s">
        <v>565</v>
      </c>
      <c r="B116" s="20" t="s">
        <v>686</v>
      </c>
      <c r="C116" s="4">
        <v>122</v>
      </c>
      <c r="D116" s="72">
        <f t="shared" ref="D116:D117" si="7">C116/468</f>
        <v>0.2606837606837607</v>
      </c>
    </row>
    <row r="117" spans="1:4" ht="21" x14ac:dyDescent="0.35">
      <c r="A117" s="37" t="s">
        <v>814</v>
      </c>
      <c r="B117" s="20"/>
      <c r="C117" s="4">
        <v>122</v>
      </c>
      <c r="D117" s="72">
        <f t="shared" si="7"/>
        <v>0.2606837606837607</v>
      </c>
    </row>
    <row r="118" spans="1:4" x14ac:dyDescent="0.3">
      <c r="A118" s="32"/>
      <c r="C118" s="4">
        <f>SUM(C115:C117)</f>
        <v>468</v>
      </c>
    </row>
    <row r="119" spans="1:4" ht="21" x14ac:dyDescent="0.35">
      <c r="A119" s="62"/>
      <c r="B119" s="20"/>
    </row>
    <row r="121" spans="1:4" s="7" customFormat="1" x14ac:dyDescent="0.3">
      <c r="A121" s="5"/>
    </row>
  </sheetData>
  <mergeCells count="15">
    <mergeCell ref="A1:D1"/>
    <mergeCell ref="C80:D80"/>
    <mergeCell ref="C83:D83"/>
    <mergeCell ref="C87:D87"/>
    <mergeCell ref="C96:D96"/>
    <mergeCell ref="A2:D2"/>
    <mergeCell ref="C46:D46"/>
    <mergeCell ref="C50:D50"/>
    <mergeCell ref="C59:D59"/>
    <mergeCell ref="C63:D63"/>
    <mergeCell ref="C67:D67"/>
    <mergeCell ref="C7:D7"/>
    <mergeCell ref="C10:D10"/>
    <mergeCell ref="C13:D13"/>
    <mergeCell ref="C16:D16"/>
  </mergeCells>
  <pageMargins left="0.48" right="0.23622047244094491" top="0.74803149606299213" bottom="0.74803149606299213" header="0.31496062992125984" footer="0.31496062992125984"/>
  <pageSetup paperSize="9" scale="5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view="pageBreakPreview" topLeftCell="A19" zoomScale="80" zoomScaleSheetLayoutView="80" workbookViewId="0">
      <selection activeCell="C29" sqref="A3:E29"/>
    </sheetView>
  </sheetViews>
  <sheetFormatPr defaultRowHeight="15" x14ac:dyDescent="0.25"/>
  <cols>
    <col min="1" max="1" width="30.140625" style="13" customWidth="1"/>
    <col min="2" max="2" width="37" style="12" hidden="1" customWidth="1"/>
    <col min="3" max="3" width="11.7109375" style="12" customWidth="1"/>
    <col min="4" max="4" width="12.28515625" style="12" customWidth="1"/>
    <col min="5" max="5" width="15.28515625" style="12" customWidth="1"/>
    <col min="6" max="16384" width="9.140625" style="12"/>
  </cols>
  <sheetData>
    <row r="3" spans="1:5" s="14" customFormat="1" ht="18.75" x14ac:dyDescent="0.3">
      <c r="A3" s="107" t="s">
        <v>753</v>
      </c>
      <c r="B3" s="108"/>
      <c r="C3" s="108"/>
      <c r="D3" s="108"/>
      <c r="E3" s="109"/>
    </row>
    <row r="4" spans="1:5" s="14" customFormat="1" ht="18.75" x14ac:dyDescent="0.3">
      <c r="A4" s="35"/>
      <c r="B4" s="35"/>
    </row>
    <row r="5" spans="1:5" ht="18.75" x14ac:dyDescent="0.3">
      <c r="A5" s="35" t="s">
        <v>279</v>
      </c>
      <c r="B5" s="4"/>
      <c r="C5" s="12" t="s">
        <v>818</v>
      </c>
      <c r="D5" s="13" t="s">
        <v>811</v>
      </c>
    </row>
    <row r="6" spans="1:5" ht="18.75" x14ac:dyDescent="0.3">
      <c r="A6" s="6" t="s">
        <v>287</v>
      </c>
      <c r="B6" s="7" t="s">
        <v>703</v>
      </c>
      <c r="C6" s="105" t="s">
        <v>703</v>
      </c>
      <c r="D6" s="106"/>
    </row>
    <row r="7" spans="1:5" ht="18.75" x14ac:dyDescent="0.3">
      <c r="B7" s="7"/>
    </row>
    <row r="8" spans="1:5" ht="18.75" x14ac:dyDescent="0.3">
      <c r="A8" s="35" t="s">
        <v>280</v>
      </c>
      <c r="B8" s="7"/>
    </row>
    <row r="9" spans="1:5" ht="18.75" x14ac:dyDescent="0.3">
      <c r="A9" s="6" t="s">
        <v>288</v>
      </c>
      <c r="B9" s="7" t="s">
        <v>703</v>
      </c>
      <c r="C9" s="105" t="s">
        <v>703</v>
      </c>
      <c r="D9" s="106"/>
    </row>
    <row r="10" spans="1:5" ht="18.75" x14ac:dyDescent="0.3">
      <c r="A10" s="6"/>
      <c r="B10" s="7"/>
    </row>
    <row r="11" spans="1:5" ht="18.75" x14ac:dyDescent="0.3">
      <c r="A11" s="35" t="s">
        <v>281</v>
      </c>
      <c r="B11" s="7"/>
    </row>
    <row r="12" spans="1:5" ht="18.75" x14ac:dyDescent="0.3">
      <c r="A12" s="6" t="s">
        <v>286</v>
      </c>
      <c r="B12" s="7" t="s">
        <v>703</v>
      </c>
      <c r="C12" s="105" t="s">
        <v>703</v>
      </c>
      <c r="D12" s="106"/>
    </row>
    <row r="13" spans="1:5" ht="18.75" x14ac:dyDescent="0.3">
      <c r="A13" s="6"/>
      <c r="B13" s="4"/>
    </row>
    <row r="14" spans="1:5" ht="18.75" x14ac:dyDescent="0.3">
      <c r="A14" s="12"/>
      <c r="B14" s="4"/>
    </row>
    <row r="15" spans="1:5" ht="18.75" x14ac:dyDescent="0.3">
      <c r="A15" s="35" t="s">
        <v>282</v>
      </c>
      <c r="B15" s="4"/>
    </row>
    <row r="16" spans="1:5" ht="18.75" x14ac:dyDescent="0.3">
      <c r="A16" s="6" t="s">
        <v>562</v>
      </c>
      <c r="B16" s="4" t="s">
        <v>686</v>
      </c>
      <c r="C16" s="12">
        <v>30</v>
      </c>
      <c r="D16" s="73">
        <f>C16/577</f>
        <v>5.1993067590987867E-2</v>
      </c>
    </row>
    <row r="17" spans="1:4" ht="18.75" x14ac:dyDescent="0.3">
      <c r="A17" s="6" t="s">
        <v>563</v>
      </c>
      <c r="B17" s="4" t="s">
        <v>686</v>
      </c>
      <c r="C17" s="12">
        <v>95</v>
      </c>
      <c r="D17" s="73">
        <f t="shared" ref="D17:D19" si="0">C17/577</f>
        <v>0.16464471403812825</v>
      </c>
    </row>
    <row r="18" spans="1:4" ht="18.75" x14ac:dyDescent="0.3">
      <c r="A18" s="6" t="s">
        <v>559</v>
      </c>
      <c r="B18" s="4" t="s">
        <v>686</v>
      </c>
      <c r="C18" s="12">
        <v>120</v>
      </c>
      <c r="D18" s="73">
        <f t="shared" si="0"/>
        <v>0.20797227036395147</v>
      </c>
    </row>
    <row r="19" spans="1:4" ht="18.75" x14ac:dyDescent="0.3">
      <c r="A19" s="6" t="s">
        <v>557</v>
      </c>
      <c r="B19" s="4" t="s">
        <v>686</v>
      </c>
      <c r="C19" s="15">
        <v>332</v>
      </c>
      <c r="D19" s="73">
        <f t="shared" si="0"/>
        <v>0.57538994800693244</v>
      </c>
    </row>
    <row r="20" spans="1:4" ht="18.75" x14ac:dyDescent="0.3">
      <c r="A20" s="12"/>
      <c r="B20" s="4"/>
      <c r="C20" s="12">
        <f>SUM(C16:C19)</f>
        <v>577</v>
      </c>
    </row>
    <row r="21" spans="1:4" ht="18.75" x14ac:dyDescent="0.3">
      <c r="A21" s="12"/>
      <c r="B21" s="4"/>
    </row>
    <row r="22" spans="1:4" ht="18.75" x14ac:dyDescent="0.3">
      <c r="A22" s="35" t="s">
        <v>283</v>
      </c>
      <c r="B22" s="4"/>
    </row>
    <row r="23" spans="1:4" ht="18.75" x14ac:dyDescent="0.3">
      <c r="A23" s="6" t="s">
        <v>561</v>
      </c>
      <c r="B23" s="7" t="s">
        <v>703</v>
      </c>
      <c r="C23" s="105" t="s">
        <v>703</v>
      </c>
      <c r="D23" s="106"/>
    </row>
    <row r="24" spans="1:4" ht="18.75" x14ac:dyDescent="0.3">
      <c r="A24" s="6"/>
      <c r="B24" s="7"/>
    </row>
    <row r="25" spans="1:4" ht="18.75" x14ac:dyDescent="0.3">
      <c r="A25" s="35" t="s">
        <v>284</v>
      </c>
      <c r="B25" s="7"/>
    </row>
    <row r="26" spans="1:4" ht="18.75" x14ac:dyDescent="0.3">
      <c r="A26" s="6" t="s">
        <v>558</v>
      </c>
      <c r="B26" s="7" t="s">
        <v>703</v>
      </c>
      <c r="C26" s="105" t="s">
        <v>703</v>
      </c>
      <c r="D26" s="106"/>
    </row>
    <row r="27" spans="1:4" ht="18.75" x14ac:dyDescent="0.3">
      <c r="A27" s="12"/>
      <c r="B27" s="7"/>
    </row>
    <row r="28" spans="1:4" ht="18.75" x14ac:dyDescent="0.3">
      <c r="A28" s="35" t="s">
        <v>285</v>
      </c>
      <c r="B28" s="7"/>
    </row>
    <row r="29" spans="1:4" ht="18.75" x14ac:dyDescent="0.3">
      <c r="A29" s="6" t="s">
        <v>560</v>
      </c>
      <c r="B29" s="7" t="s">
        <v>703</v>
      </c>
      <c r="C29" s="105" t="s">
        <v>703</v>
      </c>
      <c r="D29" s="106"/>
    </row>
    <row r="30" spans="1:4" ht="18.75" x14ac:dyDescent="0.3">
      <c r="A30" s="6"/>
      <c r="B30" s="4"/>
    </row>
    <row r="31" spans="1:4" s="15" customFormat="1" ht="18.75" x14ac:dyDescent="0.3">
      <c r="A31" s="35"/>
      <c r="B31" s="7"/>
    </row>
  </sheetData>
  <mergeCells count="7">
    <mergeCell ref="C26:D26"/>
    <mergeCell ref="C29:D29"/>
    <mergeCell ref="A3:E3"/>
    <mergeCell ref="C6:D6"/>
    <mergeCell ref="C9:D9"/>
    <mergeCell ref="C12:D12"/>
    <mergeCell ref="C23:D23"/>
  </mergeCells>
  <pageMargins left="0.66" right="0.19685039370078741" top="0.68" bottom="0.74803149606299213" header="0.31496062992125984" footer="0.31496062992125984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view="pageBreakPreview" topLeftCell="A121" zoomScale="60" workbookViewId="0">
      <selection activeCell="A2" sqref="A2:D145"/>
    </sheetView>
  </sheetViews>
  <sheetFormatPr defaultRowHeight="21" x14ac:dyDescent="0.35"/>
  <cols>
    <col min="1" max="1" width="46.140625" style="30" customWidth="1"/>
    <col min="2" max="2" width="46" style="20" hidden="1" customWidth="1"/>
    <col min="3" max="3" width="11.7109375" style="20" customWidth="1"/>
    <col min="4" max="4" width="14.140625" style="20" customWidth="1"/>
    <col min="5" max="11" width="9.140625" style="20" hidden="1" customWidth="1"/>
    <col min="12" max="16384" width="9.140625" style="20"/>
  </cols>
  <sheetData>
    <row r="1" spans="1:4" s="16" customFormat="1" x14ac:dyDescent="0.35">
      <c r="A1" s="110" t="s">
        <v>817</v>
      </c>
      <c r="B1" s="111"/>
      <c r="C1" s="111"/>
      <c r="D1" s="112"/>
    </row>
    <row r="2" spans="1:4" x14ac:dyDescent="0.35">
      <c r="A2" s="110" t="s">
        <v>639</v>
      </c>
      <c r="B2" s="111"/>
      <c r="C2" s="111"/>
      <c r="D2" s="112"/>
    </row>
    <row r="3" spans="1:4" s="17" customFormat="1" x14ac:dyDescent="0.35">
      <c r="A3" s="30"/>
      <c r="B3" s="17" t="s">
        <v>405</v>
      </c>
    </row>
    <row r="4" spans="1:4" s="17" customFormat="1" x14ac:dyDescent="0.35">
      <c r="A4" s="30"/>
      <c r="C4" s="17" t="s">
        <v>810</v>
      </c>
      <c r="D4" s="17" t="s">
        <v>811</v>
      </c>
    </row>
    <row r="5" spans="1:4" x14ac:dyDescent="0.35">
      <c r="A5" s="30" t="s">
        <v>289</v>
      </c>
    </row>
    <row r="6" spans="1:4" x14ac:dyDescent="0.35">
      <c r="A6" s="37" t="s">
        <v>319</v>
      </c>
      <c r="B6" s="16" t="s">
        <v>703</v>
      </c>
      <c r="C6" s="93" t="s">
        <v>703</v>
      </c>
      <c r="D6" s="94"/>
    </row>
    <row r="8" spans="1:4" x14ac:dyDescent="0.35">
      <c r="A8" s="30" t="s">
        <v>290</v>
      </c>
    </row>
    <row r="9" spans="1:4" x14ac:dyDescent="0.35">
      <c r="A9" s="37" t="s">
        <v>409</v>
      </c>
      <c r="B9" s="20" t="s">
        <v>686</v>
      </c>
      <c r="C9" s="20">
        <v>190</v>
      </c>
      <c r="D9" s="64">
        <f>C9/C11</f>
        <v>0.43678160919540232</v>
      </c>
    </row>
    <row r="10" spans="1:4" x14ac:dyDescent="0.35">
      <c r="A10" s="37" t="s">
        <v>738</v>
      </c>
      <c r="B10" s="20" t="s">
        <v>686</v>
      </c>
      <c r="C10" s="20">
        <v>245</v>
      </c>
      <c r="D10" s="64">
        <f>C10/C11</f>
        <v>0.56321839080459768</v>
      </c>
    </row>
    <row r="11" spans="1:4" x14ac:dyDescent="0.35">
      <c r="C11" s="20">
        <f>SUM(C9:C10)</f>
        <v>435</v>
      </c>
    </row>
    <row r="13" spans="1:4" x14ac:dyDescent="0.35">
      <c r="A13" s="30" t="s">
        <v>291</v>
      </c>
    </row>
    <row r="14" spans="1:4" x14ac:dyDescent="0.35">
      <c r="A14" s="37" t="s">
        <v>433</v>
      </c>
      <c r="B14" s="20" t="s">
        <v>686</v>
      </c>
      <c r="C14" s="20">
        <v>90</v>
      </c>
      <c r="D14" s="64">
        <f>C14/354</f>
        <v>0.25423728813559321</v>
      </c>
    </row>
    <row r="15" spans="1:4" x14ac:dyDescent="0.35">
      <c r="A15" s="37" t="s">
        <v>317</v>
      </c>
      <c r="B15" s="20" t="s">
        <v>686</v>
      </c>
      <c r="C15" s="20">
        <v>264</v>
      </c>
      <c r="D15" s="64">
        <f>C15/354</f>
        <v>0.74576271186440679</v>
      </c>
    </row>
    <row r="16" spans="1:4" x14ac:dyDescent="0.35">
      <c r="C16" s="20">
        <f>SUM(C14:C15)</f>
        <v>354</v>
      </c>
    </row>
    <row r="18" spans="1:4" x14ac:dyDescent="0.35">
      <c r="A18" s="30" t="s">
        <v>292</v>
      </c>
    </row>
    <row r="19" spans="1:4" x14ac:dyDescent="0.35">
      <c r="A19" s="37" t="s">
        <v>432</v>
      </c>
      <c r="B19" s="20" t="s">
        <v>686</v>
      </c>
      <c r="C19" s="16">
        <v>302</v>
      </c>
      <c r="D19" s="64">
        <f>C19/351</f>
        <v>0.86039886039886038</v>
      </c>
    </row>
    <row r="20" spans="1:4" x14ac:dyDescent="0.35">
      <c r="A20" s="37" t="s">
        <v>439</v>
      </c>
      <c r="B20" s="20" t="s">
        <v>686</v>
      </c>
      <c r="C20" s="20">
        <v>49</v>
      </c>
      <c r="D20" s="64">
        <f>C20/351</f>
        <v>0.1396011396011396</v>
      </c>
    </row>
    <row r="21" spans="1:4" x14ac:dyDescent="0.35">
      <c r="C21" s="20">
        <f>SUM(C19:C20)</f>
        <v>351</v>
      </c>
    </row>
    <row r="23" spans="1:4" x14ac:dyDescent="0.35">
      <c r="A23" s="30" t="s">
        <v>293</v>
      </c>
    </row>
    <row r="24" spans="1:4" x14ac:dyDescent="0.35">
      <c r="A24" s="37" t="s">
        <v>437</v>
      </c>
      <c r="B24" s="20" t="s">
        <v>686</v>
      </c>
      <c r="C24" s="20">
        <v>181</v>
      </c>
      <c r="D24" s="64">
        <f>C24/368</f>
        <v>0.49184782608695654</v>
      </c>
    </row>
    <row r="25" spans="1:4" x14ac:dyDescent="0.35">
      <c r="A25" s="37" t="s">
        <v>741</v>
      </c>
      <c r="B25" s="20" t="s">
        <v>686</v>
      </c>
      <c r="C25" s="20">
        <v>88</v>
      </c>
      <c r="D25" s="64">
        <f t="shared" ref="D25:D26" si="0">C25/368</f>
        <v>0.2391304347826087</v>
      </c>
    </row>
    <row r="26" spans="1:4" x14ac:dyDescent="0.35">
      <c r="A26" s="37" t="s">
        <v>739</v>
      </c>
      <c r="B26" s="20" t="s">
        <v>686</v>
      </c>
      <c r="C26" s="20">
        <v>99</v>
      </c>
      <c r="D26" s="64">
        <f t="shared" si="0"/>
        <v>0.26902173913043476</v>
      </c>
    </row>
    <row r="27" spans="1:4" x14ac:dyDescent="0.35">
      <c r="C27" s="20">
        <f>SUM(C24:C26)</f>
        <v>368</v>
      </c>
    </row>
    <row r="29" spans="1:4" x14ac:dyDescent="0.35">
      <c r="A29" s="30" t="s">
        <v>294</v>
      </c>
    </row>
    <row r="30" spans="1:4" x14ac:dyDescent="0.35">
      <c r="A30" s="37" t="s">
        <v>313</v>
      </c>
      <c r="B30" s="16" t="s">
        <v>703</v>
      </c>
      <c r="C30" s="93" t="s">
        <v>703</v>
      </c>
      <c r="D30" s="94"/>
    </row>
    <row r="32" spans="1:4" x14ac:dyDescent="0.35">
      <c r="A32" s="30" t="s">
        <v>295</v>
      </c>
      <c r="B32" s="16"/>
    </row>
    <row r="33" spans="1:4" x14ac:dyDescent="0.35">
      <c r="A33" s="37" t="s">
        <v>793</v>
      </c>
      <c r="B33" s="16" t="s">
        <v>703</v>
      </c>
      <c r="C33" s="93" t="s">
        <v>703</v>
      </c>
      <c r="D33" s="94"/>
    </row>
    <row r="35" spans="1:4" x14ac:dyDescent="0.35">
      <c r="A35" s="30" t="s">
        <v>296</v>
      </c>
    </row>
    <row r="36" spans="1:4" x14ac:dyDescent="0.35">
      <c r="A36" s="37" t="s">
        <v>318</v>
      </c>
      <c r="B36" s="20" t="s">
        <v>686</v>
      </c>
      <c r="C36" s="20">
        <v>62</v>
      </c>
      <c r="D36" s="64">
        <f>C36/503</f>
        <v>0.12326043737574553</v>
      </c>
    </row>
    <row r="37" spans="1:4" x14ac:dyDescent="0.35">
      <c r="A37" s="37" t="s">
        <v>365</v>
      </c>
      <c r="B37" s="20" t="s">
        <v>686</v>
      </c>
      <c r="C37" s="16">
        <v>279</v>
      </c>
      <c r="D37" s="64">
        <f t="shared" ref="D37:D38" si="1">C37/503</f>
        <v>0.55467196819085485</v>
      </c>
    </row>
    <row r="38" spans="1:4" x14ac:dyDescent="0.35">
      <c r="A38" s="37" t="s">
        <v>648</v>
      </c>
      <c r="B38" s="20" t="s">
        <v>686</v>
      </c>
      <c r="C38" s="20">
        <v>162</v>
      </c>
      <c r="D38" s="64">
        <f t="shared" si="1"/>
        <v>0.32206759443339961</v>
      </c>
    </row>
    <row r="39" spans="1:4" x14ac:dyDescent="0.35">
      <c r="C39" s="20">
        <f>SUM(C36:C38)</f>
        <v>503</v>
      </c>
    </row>
    <row r="41" spans="1:4" x14ac:dyDescent="0.35">
      <c r="A41" s="30" t="s">
        <v>297</v>
      </c>
    </row>
    <row r="42" spans="1:4" x14ac:dyDescent="0.35">
      <c r="A42" s="37" t="s">
        <v>740</v>
      </c>
      <c r="B42" s="30" t="s">
        <v>703</v>
      </c>
      <c r="C42" s="93" t="s">
        <v>703</v>
      </c>
      <c r="D42" s="94"/>
    </row>
    <row r="45" spans="1:4" x14ac:dyDescent="0.35">
      <c r="A45" s="30" t="s">
        <v>298</v>
      </c>
    </row>
    <row r="46" spans="1:4" x14ac:dyDescent="0.35">
      <c r="A46" s="37" t="s">
        <v>729</v>
      </c>
      <c r="B46" s="20" t="s">
        <v>686</v>
      </c>
      <c r="C46" s="20">
        <v>29</v>
      </c>
      <c r="D46" s="64">
        <f>C46/371</f>
        <v>7.8167115902964962E-2</v>
      </c>
    </row>
    <row r="47" spans="1:4" x14ac:dyDescent="0.35">
      <c r="A47" s="37" t="s">
        <v>730</v>
      </c>
      <c r="B47" s="20" t="s">
        <v>686</v>
      </c>
      <c r="C47" s="20">
        <v>108</v>
      </c>
      <c r="D47" s="64">
        <f t="shared" ref="D47:D48" si="2">C47/371</f>
        <v>0.29110512129380056</v>
      </c>
    </row>
    <row r="48" spans="1:4" x14ac:dyDescent="0.35">
      <c r="A48" s="37" t="s">
        <v>477</v>
      </c>
      <c r="B48" s="20" t="s">
        <v>686</v>
      </c>
      <c r="C48" s="20">
        <v>234</v>
      </c>
      <c r="D48" s="64">
        <f t="shared" si="2"/>
        <v>0.6307277628032345</v>
      </c>
    </row>
    <row r="49" spans="1:4" x14ac:dyDescent="0.35">
      <c r="C49" s="20">
        <f>SUM(C46:C48)</f>
        <v>371</v>
      </c>
    </row>
    <row r="51" spans="1:4" x14ac:dyDescent="0.35">
      <c r="A51" s="30" t="s">
        <v>299</v>
      </c>
    </row>
    <row r="52" spans="1:4" x14ac:dyDescent="0.35">
      <c r="A52" s="37" t="s">
        <v>434</v>
      </c>
      <c r="B52" s="20" t="s">
        <v>686</v>
      </c>
      <c r="C52" s="20">
        <v>115</v>
      </c>
      <c r="D52" s="64">
        <f>C52/460</f>
        <v>0.25</v>
      </c>
    </row>
    <row r="53" spans="1:4" x14ac:dyDescent="0.35">
      <c r="A53" s="37" t="s">
        <v>412</v>
      </c>
      <c r="B53" s="20" t="s">
        <v>686</v>
      </c>
      <c r="C53" s="20">
        <v>102</v>
      </c>
      <c r="D53" s="64">
        <f t="shared" ref="D53:D56" si="3">C53/460</f>
        <v>0.22173913043478261</v>
      </c>
    </row>
    <row r="54" spans="1:4" x14ac:dyDescent="0.35">
      <c r="A54" s="37" t="s">
        <v>413</v>
      </c>
      <c r="B54" s="20" t="s">
        <v>686</v>
      </c>
      <c r="C54" s="16">
        <v>129</v>
      </c>
      <c r="D54" s="64">
        <f t="shared" si="3"/>
        <v>0.28043478260869564</v>
      </c>
    </row>
    <row r="55" spans="1:4" x14ac:dyDescent="0.35">
      <c r="A55" s="37" t="s">
        <v>371</v>
      </c>
      <c r="B55" s="20" t="s">
        <v>686</v>
      </c>
      <c r="C55" s="20">
        <v>93</v>
      </c>
      <c r="D55" s="64">
        <f t="shared" si="3"/>
        <v>0.20217391304347826</v>
      </c>
    </row>
    <row r="56" spans="1:4" x14ac:dyDescent="0.35">
      <c r="A56" s="37" t="s">
        <v>479</v>
      </c>
      <c r="B56" s="20" t="s">
        <v>686</v>
      </c>
      <c r="C56" s="20">
        <v>21</v>
      </c>
      <c r="D56" s="64">
        <f t="shared" si="3"/>
        <v>4.5652173913043478E-2</v>
      </c>
    </row>
    <row r="57" spans="1:4" x14ac:dyDescent="0.35">
      <c r="C57" s="20">
        <f>SUM(C52:C56)</f>
        <v>460</v>
      </c>
    </row>
    <row r="59" spans="1:4" x14ac:dyDescent="0.35">
      <c r="A59" s="30" t="s">
        <v>300</v>
      </c>
    </row>
    <row r="60" spans="1:4" x14ac:dyDescent="0.35">
      <c r="A60" s="37" t="s">
        <v>407</v>
      </c>
      <c r="B60" s="20" t="s">
        <v>686</v>
      </c>
      <c r="C60" s="20">
        <v>22</v>
      </c>
      <c r="D60" s="64">
        <f>C60/237</f>
        <v>9.2827004219409287E-2</v>
      </c>
    </row>
    <row r="61" spans="1:4" x14ac:dyDescent="0.35">
      <c r="A61" s="37" t="s">
        <v>316</v>
      </c>
      <c r="B61" s="20" t="s">
        <v>686</v>
      </c>
      <c r="C61" s="20">
        <v>62</v>
      </c>
      <c r="D61" s="64">
        <f t="shared" ref="D61:D62" si="4">C61/237</f>
        <v>0.26160337552742619</v>
      </c>
    </row>
    <row r="62" spans="1:4" x14ac:dyDescent="0.35">
      <c r="A62" s="37" t="s">
        <v>321</v>
      </c>
      <c r="B62" s="20" t="s">
        <v>686</v>
      </c>
      <c r="C62" s="16">
        <v>153</v>
      </c>
      <c r="D62" s="64">
        <f t="shared" si="4"/>
        <v>0.64556962025316456</v>
      </c>
    </row>
    <row r="63" spans="1:4" x14ac:dyDescent="0.35">
      <c r="C63" s="20">
        <f>SUM(C60:C62)</f>
        <v>237</v>
      </c>
    </row>
    <row r="65" spans="1:4" x14ac:dyDescent="0.35">
      <c r="A65" s="30" t="s">
        <v>301</v>
      </c>
    </row>
    <row r="66" spans="1:4" x14ac:dyDescent="0.35">
      <c r="A66" s="37" t="s">
        <v>414</v>
      </c>
      <c r="B66" s="20" t="s">
        <v>686</v>
      </c>
      <c r="C66" s="20">
        <v>73</v>
      </c>
      <c r="D66" s="64">
        <f>C66/306</f>
        <v>0.23856209150326799</v>
      </c>
    </row>
    <row r="67" spans="1:4" x14ac:dyDescent="0.35">
      <c r="A67" s="37" t="s">
        <v>726</v>
      </c>
      <c r="B67" s="20" t="s">
        <v>686</v>
      </c>
      <c r="C67" s="20">
        <v>2</v>
      </c>
      <c r="D67" s="64">
        <f t="shared" ref="D67:D69" si="5">C67/306</f>
        <v>6.5359477124183009E-3</v>
      </c>
    </row>
    <row r="68" spans="1:4" x14ac:dyDescent="0.35">
      <c r="A68" s="37" t="s">
        <v>727</v>
      </c>
      <c r="B68" s="20" t="s">
        <v>686</v>
      </c>
      <c r="C68" s="20">
        <v>20</v>
      </c>
      <c r="D68" s="64">
        <f t="shared" si="5"/>
        <v>6.535947712418301E-2</v>
      </c>
    </row>
    <row r="69" spans="1:4" x14ac:dyDescent="0.35">
      <c r="A69" s="37" t="s">
        <v>728</v>
      </c>
      <c r="B69" s="20" t="s">
        <v>686</v>
      </c>
      <c r="C69" s="16">
        <v>211</v>
      </c>
      <c r="D69" s="64">
        <f t="shared" si="5"/>
        <v>0.68954248366013071</v>
      </c>
    </row>
    <row r="70" spans="1:4" x14ac:dyDescent="0.35">
      <c r="C70" s="20">
        <f>SUM(C66:C69)</f>
        <v>306</v>
      </c>
    </row>
    <row r="72" spans="1:4" x14ac:dyDescent="0.35">
      <c r="A72" s="30" t="s">
        <v>302</v>
      </c>
    </row>
    <row r="73" spans="1:4" x14ac:dyDescent="0.35">
      <c r="A73" s="37" t="s">
        <v>733</v>
      </c>
      <c r="B73" s="20" t="s">
        <v>686</v>
      </c>
      <c r="C73" s="20">
        <v>89</v>
      </c>
      <c r="D73" s="64">
        <f>C73/310</f>
        <v>0.2870967741935484</v>
      </c>
    </row>
    <row r="74" spans="1:4" x14ac:dyDescent="0.35">
      <c r="A74" s="37" t="s">
        <v>734</v>
      </c>
      <c r="B74" s="20" t="s">
        <v>686</v>
      </c>
      <c r="C74" s="20">
        <v>24</v>
      </c>
      <c r="D74" s="64">
        <f t="shared" ref="D74:D76" si="6">C74/310</f>
        <v>7.7419354838709681E-2</v>
      </c>
    </row>
    <row r="75" spans="1:4" x14ac:dyDescent="0.35">
      <c r="A75" s="37" t="s">
        <v>735</v>
      </c>
      <c r="B75" s="20" t="s">
        <v>686</v>
      </c>
      <c r="C75" s="20">
        <v>8</v>
      </c>
      <c r="D75" s="64">
        <f t="shared" si="6"/>
        <v>2.5806451612903226E-2</v>
      </c>
    </row>
    <row r="76" spans="1:4" x14ac:dyDescent="0.35">
      <c r="A76" s="37" t="s">
        <v>736</v>
      </c>
      <c r="B76" s="20" t="s">
        <v>686</v>
      </c>
      <c r="C76" s="20">
        <v>189</v>
      </c>
      <c r="D76" s="64">
        <f t="shared" si="6"/>
        <v>0.60967741935483866</v>
      </c>
    </row>
    <row r="77" spans="1:4" x14ac:dyDescent="0.35">
      <c r="C77" s="20">
        <f>SUM(C73:C76)</f>
        <v>310</v>
      </c>
    </row>
    <row r="79" spans="1:4" x14ac:dyDescent="0.35">
      <c r="A79" s="30" t="s">
        <v>303</v>
      </c>
    </row>
    <row r="80" spans="1:4" x14ac:dyDescent="0.35">
      <c r="A80" s="37" t="s">
        <v>438</v>
      </c>
      <c r="B80" s="20" t="s">
        <v>686</v>
      </c>
      <c r="C80" s="20">
        <v>124</v>
      </c>
      <c r="D80" s="64">
        <f>C80/441</f>
        <v>0.28117913832199548</v>
      </c>
    </row>
    <row r="81" spans="1:4" x14ac:dyDescent="0.35">
      <c r="A81" s="37" t="s">
        <v>554</v>
      </c>
      <c r="B81" s="20" t="s">
        <v>686</v>
      </c>
      <c r="C81" s="20">
        <v>39</v>
      </c>
      <c r="D81" s="64">
        <f t="shared" ref="D81:D82" si="7">C81/441</f>
        <v>8.8435374149659865E-2</v>
      </c>
    </row>
    <row r="82" spans="1:4" x14ac:dyDescent="0.35">
      <c r="A82" s="37" t="s">
        <v>553</v>
      </c>
      <c r="B82" s="20" t="s">
        <v>686</v>
      </c>
      <c r="C82" s="20">
        <v>278</v>
      </c>
      <c r="D82" s="64">
        <f t="shared" si="7"/>
        <v>0.63038548752834467</v>
      </c>
    </row>
    <row r="83" spans="1:4" x14ac:dyDescent="0.35">
      <c r="C83" s="20">
        <f>SUM(C80:C82)</f>
        <v>441</v>
      </c>
    </row>
    <row r="85" spans="1:4" x14ac:dyDescent="0.35">
      <c r="A85" s="30" t="s">
        <v>304</v>
      </c>
    </row>
    <row r="86" spans="1:4" x14ac:dyDescent="0.35">
      <c r="A86" s="37" t="s">
        <v>366</v>
      </c>
      <c r="B86" s="20" t="s">
        <v>686</v>
      </c>
      <c r="C86" s="20">
        <v>8</v>
      </c>
      <c r="D86" s="64">
        <f>C86/388</f>
        <v>2.0618556701030927E-2</v>
      </c>
    </row>
    <row r="87" spans="1:4" x14ac:dyDescent="0.35">
      <c r="A87" s="37" t="s">
        <v>480</v>
      </c>
      <c r="B87" s="20" t="s">
        <v>686</v>
      </c>
      <c r="C87" s="20">
        <v>220</v>
      </c>
      <c r="D87" s="64">
        <f t="shared" ref="D87:D89" si="8">C87/388</f>
        <v>0.5670103092783505</v>
      </c>
    </row>
    <row r="88" spans="1:4" x14ac:dyDescent="0.35">
      <c r="A88" s="37" t="s">
        <v>475</v>
      </c>
      <c r="B88" s="20" t="s">
        <v>686</v>
      </c>
      <c r="C88" s="20">
        <v>52</v>
      </c>
      <c r="D88" s="64">
        <f t="shared" si="8"/>
        <v>0.13402061855670103</v>
      </c>
    </row>
    <row r="89" spans="1:4" x14ac:dyDescent="0.35">
      <c r="A89" s="37" t="s">
        <v>383</v>
      </c>
      <c r="B89" s="20" t="s">
        <v>686</v>
      </c>
      <c r="C89" s="20">
        <v>108</v>
      </c>
      <c r="D89" s="64">
        <f t="shared" si="8"/>
        <v>0.27835051546391754</v>
      </c>
    </row>
    <row r="90" spans="1:4" x14ac:dyDescent="0.35">
      <c r="B90" s="21"/>
      <c r="C90" s="20">
        <f>SUM(C86:C89)</f>
        <v>388</v>
      </c>
    </row>
    <row r="92" spans="1:4" x14ac:dyDescent="0.35">
      <c r="A92" s="30" t="s">
        <v>305</v>
      </c>
    </row>
    <row r="93" spans="1:4" x14ac:dyDescent="0.35">
      <c r="A93" s="37" t="s">
        <v>373</v>
      </c>
      <c r="B93" s="20" t="s">
        <v>707</v>
      </c>
      <c r="C93" s="20">
        <v>200</v>
      </c>
      <c r="D93" s="64">
        <f>C93/495</f>
        <v>0.40404040404040403</v>
      </c>
    </row>
    <row r="94" spans="1:4" x14ac:dyDescent="0.35">
      <c r="A94" s="37" t="s">
        <v>478</v>
      </c>
      <c r="B94" s="20" t="s">
        <v>707</v>
      </c>
      <c r="C94" s="20">
        <v>295</v>
      </c>
      <c r="D94" s="64">
        <f>C94/495</f>
        <v>0.59595959595959591</v>
      </c>
    </row>
    <row r="95" spans="1:4" x14ac:dyDescent="0.35">
      <c r="C95" s="20">
        <f>SUM(C93:C94)</f>
        <v>495</v>
      </c>
    </row>
    <row r="97" spans="1:4" x14ac:dyDescent="0.35">
      <c r="A97" s="30" t="s">
        <v>649</v>
      </c>
    </row>
    <row r="98" spans="1:4" x14ac:dyDescent="0.35">
      <c r="A98" s="37" t="s">
        <v>555</v>
      </c>
      <c r="B98" s="20" t="s">
        <v>707</v>
      </c>
      <c r="C98" s="20">
        <v>280</v>
      </c>
      <c r="D98" s="64">
        <f>C98/317</f>
        <v>0.88328075709779175</v>
      </c>
    </row>
    <row r="99" spans="1:4" x14ac:dyDescent="0.35">
      <c r="A99" s="37" t="s">
        <v>556</v>
      </c>
      <c r="B99" s="20" t="s">
        <v>707</v>
      </c>
      <c r="C99" s="20">
        <v>37</v>
      </c>
      <c r="D99" s="64">
        <f>C99/317</f>
        <v>0.1167192429022082</v>
      </c>
    </row>
    <row r="100" spans="1:4" x14ac:dyDescent="0.35">
      <c r="C100" s="20">
        <f>SUM(C98:C99)</f>
        <v>317</v>
      </c>
    </row>
    <row r="102" spans="1:4" x14ac:dyDescent="0.35">
      <c r="A102" s="30" t="s">
        <v>306</v>
      </c>
    </row>
    <row r="103" spans="1:4" x14ac:dyDescent="0.35">
      <c r="A103" s="37" t="s">
        <v>440</v>
      </c>
      <c r="B103" s="20" t="s">
        <v>707</v>
      </c>
      <c r="C103" s="20">
        <v>141</v>
      </c>
      <c r="D103" s="64">
        <f>C103/466</f>
        <v>0.30257510729613735</v>
      </c>
    </row>
    <row r="104" spans="1:4" x14ac:dyDescent="0.35">
      <c r="A104" s="37" t="s">
        <v>647</v>
      </c>
      <c r="B104" s="20" t="s">
        <v>707</v>
      </c>
      <c r="C104" s="20">
        <v>12</v>
      </c>
      <c r="D104" s="64">
        <f t="shared" ref="D104:D108" si="9">C104/466</f>
        <v>2.575107296137339E-2</v>
      </c>
    </row>
    <row r="105" spans="1:4" x14ac:dyDescent="0.35">
      <c r="A105" s="37" t="s">
        <v>436</v>
      </c>
      <c r="B105" s="20" t="s">
        <v>707</v>
      </c>
      <c r="C105" s="20">
        <v>93</v>
      </c>
      <c r="D105" s="64">
        <f t="shared" si="9"/>
        <v>0.19957081545064378</v>
      </c>
    </row>
    <row r="106" spans="1:4" x14ac:dyDescent="0.35">
      <c r="A106" s="37" t="s">
        <v>320</v>
      </c>
      <c r="B106" s="20" t="s">
        <v>707</v>
      </c>
      <c r="C106" s="20">
        <v>150</v>
      </c>
      <c r="D106" s="64">
        <f t="shared" si="9"/>
        <v>0.32188841201716739</v>
      </c>
    </row>
    <row r="107" spans="1:4" x14ac:dyDescent="0.35">
      <c r="A107" s="37" t="s">
        <v>374</v>
      </c>
      <c r="B107" s="20" t="s">
        <v>707</v>
      </c>
      <c r="C107" s="20">
        <v>43</v>
      </c>
      <c r="D107" s="64">
        <f t="shared" si="9"/>
        <v>9.2274678111587988E-2</v>
      </c>
    </row>
    <row r="108" spans="1:4" x14ac:dyDescent="0.35">
      <c r="A108" s="37" t="s">
        <v>815</v>
      </c>
      <c r="C108" s="20">
        <v>27</v>
      </c>
      <c r="D108" s="64">
        <f t="shared" si="9"/>
        <v>5.7939914163090127E-2</v>
      </c>
    </row>
    <row r="109" spans="1:4" x14ac:dyDescent="0.35">
      <c r="C109" s="20">
        <f>SUM(C103:C108)</f>
        <v>466</v>
      </c>
    </row>
    <row r="111" spans="1:4" x14ac:dyDescent="0.35">
      <c r="A111" s="30" t="s">
        <v>307</v>
      </c>
    </row>
    <row r="112" spans="1:4" x14ac:dyDescent="0.35">
      <c r="A112" s="37" t="s">
        <v>732</v>
      </c>
      <c r="B112" s="20" t="s">
        <v>686</v>
      </c>
      <c r="C112" s="20">
        <v>74</v>
      </c>
      <c r="D112" s="64">
        <f>C112/277</f>
        <v>0.26714801444043323</v>
      </c>
    </row>
    <row r="113" spans="1:4" x14ac:dyDescent="0.35">
      <c r="A113" s="37" t="s">
        <v>819</v>
      </c>
      <c r="B113" s="20" t="s">
        <v>686</v>
      </c>
      <c r="C113" s="20">
        <v>203</v>
      </c>
      <c r="D113" s="64">
        <f>C113/277</f>
        <v>0.73285198555956677</v>
      </c>
    </row>
    <row r="114" spans="1:4" x14ac:dyDescent="0.35">
      <c r="C114" s="20">
        <f>SUM(C112:C113)</f>
        <v>277</v>
      </c>
    </row>
    <row r="116" spans="1:4" x14ac:dyDescent="0.35">
      <c r="A116" s="30" t="s">
        <v>308</v>
      </c>
    </row>
    <row r="117" spans="1:4" x14ac:dyDescent="0.35">
      <c r="A117" s="37" t="s">
        <v>731</v>
      </c>
      <c r="B117" s="20" t="s">
        <v>686</v>
      </c>
      <c r="C117" s="20">
        <v>292</v>
      </c>
      <c r="D117" s="64">
        <f>C117/381</f>
        <v>0.76640419947506566</v>
      </c>
    </row>
    <row r="118" spans="1:4" x14ac:dyDescent="0.35">
      <c r="A118" s="37" t="s">
        <v>415</v>
      </c>
      <c r="B118" s="20" t="s">
        <v>686</v>
      </c>
      <c r="C118" s="20">
        <v>89</v>
      </c>
      <c r="D118" s="64">
        <f>C118/381</f>
        <v>0.23359580052493439</v>
      </c>
    </row>
    <row r="119" spans="1:4" x14ac:dyDescent="0.35">
      <c r="C119" s="20">
        <f>SUM(C117:C118)</f>
        <v>381</v>
      </c>
    </row>
    <row r="121" spans="1:4" x14ac:dyDescent="0.35">
      <c r="A121" s="30" t="s">
        <v>309</v>
      </c>
    </row>
    <row r="122" spans="1:4" x14ac:dyDescent="0.35">
      <c r="A122" s="37" t="s">
        <v>380</v>
      </c>
      <c r="B122" s="20" t="s">
        <v>686</v>
      </c>
      <c r="C122" s="20">
        <v>129</v>
      </c>
      <c r="D122" s="64">
        <f>C122/416</f>
        <v>0.31009615384615385</v>
      </c>
    </row>
    <row r="123" spans="1:4" x14ac:dyDescent="0.35">
      <c r="A123" s="37" t="s">
        <v>431</v>
      </c>
      <c r="B123" s="20" t="s">
        <v>686</v>
      </c>
      <c r="C123" s="20">
        <v>287</v>
      </c>
      <c r="D123" s="64">
        <f>C123/416</f>
        <v>0.68990384615384615</v>
      </c>
    </row>
    <row r="124" spans="1:4" x14ac:dyDescent="0.35">
      <c r="C124" s="20">
        <f>SUM(C122:C123)</f>
        <v>416</v>
      </c>
    </row>
    <row r="126" spans="1:4" x14ac:dyDescent="0.35">
      <c r="A126" s="30" t="s">
        <v>410</v>
      </c>
    </row>
    <row r="127" spans="1:4" x14ac:dyDescent="0.35">
      <c r="A127" s="37" t="s">
        <v>375</v>
      </c>
      <c r="B127" s="20" t="s">
        <v>686</v>
      </c>
      <c r="C127" s="20">
        <v>46</v>
      </c>
      <c r="D127" s="64">
        <f>C127/571</f>
        <v>8.0560420315236428E-2</v>
      </c>
    </row>
    <row r="128" spans="1:4" x14ac:dyDescent="0.35">
      <c r="A128" s="37" t="s">
        <v>411</v>
      </c>
      <c r="B128" s="20" t="s">
        <v>686</v>
      </c>
      <c r="C128" s="20">
        <v>56</v>
      </c>
      <c r="D128" s="64">
        <f t="shared" ref="D128:D131" si="10">C128/571</f>
        <v>9.8073555166374782E-2</v>
      </c>
    </row>
    <row r="129" spans="1:4" x14ac:dyDescent="0.35">
      <c r="A129" s="37" t="s">
        <v>406</v>
      </c>
      <c r="B129" s="20" t="s">
        <v>686</v>
      </c>
      <c r="C129" s="20">
        <v>136</v>
      </c>
      <c r="D129" s="64">
        <f t="shared" si="10"/>
        <v>0.23817863397548161</v>
      </c>
    </row>
    <row r="130" spans="1:4" x14ac:dyDescent="0.35">
      <c r="A130" s="37" t="s">
        <v>372</v>
      </c>
      <c r="B130" s="20" t="s">
        <v>686</v>
      </c>
      <c r="C130" s="20">
        <v>309</v>
      </c>
      <c r="D130" s="64">
        <f t="shared" si="10"/>
        <v>0.54115586690017514</v>
      </c>
    </row>
    <row r="131" spans="1:4" x14ac:dyDescent="0.35">
      <c r="A131" s="37" t="s">
        <v>737</v>
      </c>
      <c r="B131" s="20" t="s">
        <v>686</v>
      </c>
      <c r="C131" s="20">
        <v>24</v>
      </c>
      <c r="D131" s="64">
        <f t="shared" si="10"/>
        <v>4.2031523642732049E-2</v>
      </c>
    </row>
    <row r="132" spans="1:4" x14ac:dyDescent="0.35">
      <c r="C132" s="20">
        <f>SUM(C127:C131)</f>
        <v>571</v>
      </c>
    </row>
    <row r="134" spans="1:4" x14ac:dyDescent="0.35">
      <c r="A134" s="30" t="s">
        <v>310</v>
      </c>
    </row>
    <row r="135" spans="1:4" x14ac:dyDescent="0.35">
      <c r="A135" s="37" t="s">
        <v>314</v>
      </c>
      <c r="B135" s="16" t="s">
        <v>703</v>
      </c>
      <c r="C135" s="93" t="s">
        <v>703</v>
      </c>
      <c r="D135" s="94"/>
    </row>
    <row r="138" spans="1:4" x14ac:dyDescent="0.35">
      <c r="A138" s="30" t="s">
        <v>311</v>
      </c>
    </row>
    <row r="139" spans="1:4" x14ac:dyDescent="0.35">
      <c r="A139" s="37" t="s">
        <v>408</v>
      </c>
      <c r="B139" s="20" t="s">
        <v>686</v>
      </c>
      <c r="C139" s="20">
        <v>154</v>
      </c>
      <c r="D139" s="64">
        <f>C139/395</f>
        <v>0.38987341772151901</v>
      </c>
    </row>
    <row r="140" spans="1:4" x14ac:dyDescent="0.35">
      <c r="A140" s="37" t="s">
        <v>435</v>
      </c>
      <c r="B140" s="20" t="s">
        <v>686</v>
      </c>
      <c r="C140" s="20">
        <v>227</v>
      </c>
      <c r="D140" s="64">
        <f t="shared" ref="D140:D141" si="11">C140/395</f>
        <v>0.57468354430379742</v>
      </c>
    </row>
    <row r="141" spans="1:4" x14ac:dyDescent="0.35">
      <c r="A141" s="37" t="s">
        <v>315</v>
      </c>
      <c r="B141" s="20" t="s">
        <v>686</v>
      </c>
      <c r="C141" s="20">
        <v>14</v>
      </c>
      <c r="D141" s="64">
        <f t="shared" si="11"/>
        <v>3.5443037974683546E-2</v>
      </c>
    </row>
    <row r="142" spans="1:4" x14ac:dyDescent="0.35">
      <c r="C142" s="20">
        <f>SUM(C139:C141)</f>
        <v>395</v>
      </c>
    </row>
    <row r="144" spans="1:4" x14ac:dyDescent="0.35">
      <c r="A144" s="30" t="s">
        <v>312</v>
      </c>
    </row>
    <row r="145" spans="1:4" x14ac:dyDescent="0.35">
      <c r="A145" s="37" t="s">
        <v>476</v>
      </c>
      <c r="B145" s="16" t="s">
        <v>703</v>
      </c>
      <c r="C145" s="93" t="s">
        <v>703</v>
      </c>
      <c r="D145" s="94"/>
    </row>
  </sheetData>
  <mergeCells count="8">
    <mergeCell ref="C42:D42"/>
    <mergeCell ref="C135:D135"/>
    <mergeCell ref="C145:D145"/>
    <mergeCell ref="A1:D1"/>
    <mergeCell ref="A2:D2"/>
    <mergeCell ref="C6:D6"/>
    <mergeCell ref="C30:D30"/>
    <mergeCell ref="C33:D33"/>
  </mergeCells>
  <pageMargins left="0.63" right="0.23622047244094491" top="0.74803149606299213" bottom="0.74803149606299213" header="0.31496062992125984" footer="0.31496062992125984"/>
  <pageSetup paperSize="9" scale="4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view="pageBreakPreview" topLeftCell="A76" zoomScale="60" workbookViewId="0">
      <selection activeCell="A2" sqref="A2:E88"/>
    </sheetView>
  </sheetViews>
  <sheetFormatPr defaultRowHeight="23.25" x14ac:dyDescent="0.35"/>
  <cols>
    <col min="1" max="1" width="41.5703125" style="9" customWidth="1"/>
    <col min="2" max="2" width="32" style="10" hidden="1" customWidth="1"/>
    <col min="3" max="3" width="43" style="8" hidden="1" customWidth="1"/>
    <col min="4" max="4" width="20.140625" style="74" customWidth="1"/>
    <col min="5" max="5" width="14.85546875" style="8" customWidth="1"/>
    <col min="6" max="16384" width="9.140625" style="8"/>
  </cols>
  <sheetData>
    <row r="1" spans="1:5" x14ac:dyDescent="0.35">
      <c r="A1" s="98"/>
      <c r="B1" s="98"/>
      <c r="C1" s="98"/>
      <c r="D1" s="98"/>
      <c r="E1" s="99"/>
    </row>
    <row r="2" spans="1:5" ht="23.25" customHeight="1" x14ac:dyDescent="0.55000000000000004">
      <c r="A2" s="113" t="s">
        <v>820</v>
      </c>
      <c r="B2" s="113"/>
      <c r="C2" s="113"/>
      <c r="D2" s="113"/>
      <c r="E2" s="114"/>
    </row>
    <row r="3" spans="1:5" s="9" customFormat="1" x14ac:dyDescent="0.35">
      <c r="B3" s="28"/>
      <c r="C3" s="41" t="s">
        <v>405</v>
      </c>
      <c r="D3" s="75" t="s">
        <v>818</v>
      </c>
      <c r="E3" s="63" t="s">
        <v>811</v>
      </c>
    </row>
    <row r="4" spans="1:5" s="9" customFormat="1" x14ac:dyDescent="0.35">
      <c r="B4" s="28" t="s">
        <v>687</v>
      </c>
      <c r="D4" s="75"/>
    </row>
    <row r="5" spans="1:5" x14ac:dyDescent="0.35">
      <c r="A5" s="9" t="s">
        <v>322</v>
      </c>
    </row>
    <row r="6" spans="1:5" x14ac:dyDescent="0.35">
      <c r="A6" s="9" t="s">
        <v>679</v>
      </c>
      <c r="C6" s="11" t="s">
        <v>703</v>
      </c>
      <c r="D6" s="95" t="s">
        <v>703</v>
      </c>
      <c r="E6" s="96"/>
    </row>
    <row r="8" spans="1:5" x14ac:dyDescent="0.35">
      <c r="A8" s="9" t="s">
        <v>323</v>
      </c>
    </row>
    <row r="9" spans="1:5" x14ac:dyDescent="0.35">
      <c r="A9" s="53" t="s">
        <v>804</v>
      </c>
      <c r="C9" s="8" t="s">
        <v>686</v>
      </c>
      <c r="D9" s="74">
        <v>84</v>
      </c>
      <c r="E9" s="69">
        <f>D9/235</f>
        <v>0.35744680851063831</v>
      </c>
    </row>
    <row r="10" spans="1:5" x14ac:dyDescent="0.35">
      <c r="A10" s="53" t="s">
        <v>805</v>
      </c>
      <c r="C10" s="8" t="s">
        <v>686</v>
      </c>
      <c r="D10" s="74">
        <v>151</v>
      </c>
      <c r="E10" s="69">
        <f>D10/235</f>
        <v>0.64255319148936174</v>
      </c>
    </row>
    <row r="11" spans="1:5" x14ac:dyDescent="0.35">
      <c r="A11" s="53"/>
      <c r="D11" s="74">
        <f>SUM(D9:D10)</f>
        <v>235</v>
      </c>
    </row>
    <row r="12" spans="1:5" x14ac:dyDescent="0.35">
      <c r="C12" s="11" t="s">
        <v>792</v>
      </c>
    </row>
    <row r="13" spans="1:5" x14ac:dyDescent="0.35">
      <c r="A13" s="9" t="s">
        <v>324</v>
      </c>
    </row>
    <row r="14" spans="1:5" x14ac:dyDescent="0.35">
      <c r="A14" s="9" t="s">
        <v>462</v>
      </c>
      <c r="C14" s="11" t="s">
        <v>703</v>
      </c>
      <c r="D14" s="95" t="s">
        <v>703</v>
      </c>
      <c r="E14" s="96"/>
    </row>
    <row r="16" spans="1:5" x14ac:dyDescent="0.35">
      <c r="A16" s="9" t="s">
        <v>325</v>
      </c>
    </row>
    <row r="17" spans="1:5" x14ac:dyDescent="0.35">
      <c r="A17" s="9" t="s">
        <v>471</v>
      </c>
      <c r="C17" s="8" t="s">
        <v>686</v>
      </c>
      <c r="D17" s="74">
        <v>292</v>
      </c>
      <c r="E17" s="69">
        <f>D17/435</f>
        <v>0.671264367816092</v>
      </c>
    </row>
    <row r="18" spans="1:5" x14ac:dyDescent="0.35">
      <c r="A18" s="9" t="s">
        <v>472</v>
      </c>
      <c r="C18" s="8" t="s">
        <v>686</v>
      </c>
      <c r="D18" s="74">
        <v>143</v>
      </c>
      <c r="E18" s="69">
        <f>D18/435</f>
        <v>0.32873563218390806</v>
      </c>
    </row>
    <row r="19" spans="1:5" x14ac:dyDescent="0.35">
      <c r="D19" s="74">
        <f>SUM(D17:D18)</f>
        <v>435</v>
      </c>
    </row>
    <row r="20" spans="1:5" x14ac:dyDescent="0.35">
      <c r="A20" s="63"/>
    </row>
    <row r="21" spans="1:5" x14ac:dyDescent="0.35">
      <c r="A21" s="9" t="s">
        <v>326</v>
      </c>
    </row>
    <row r="22" spans="1:5" x14ac:dyDescent="0.35">
      <c r="A22" s="9" t="s">
        <v>680</v>
      </c>
      <c r="B22" s="10" t="s">
        <v>722</v>
      </c>
      <c r="C22" s="11" t="s">
        <v>703</v>
      </c>
      <c r="D22" s="95" t="s">
        <v>703</v>
      </c>
      <c r="E22" s="96"/>
    </row>
    <row r="24" spans="1:5" x14ac:dyDescent="0.35">
      <c r="A24" s="9" t="s">
        <v>327</v>
      </c>
    </row>
    <row r="25" spans="1:5" x14ac:dyDescent="0.35">
      <c r="A25" s="9" t="s">
        <v>467</v>
      </c>
      <c r="B25" s="10" t="s">
        <v>723</v>
      </c>
      <c r="C25" s="8" t="s">
        <v>686</v>
      </c>
      <c r="D25" s="74">
        <v>62</v>
      </c>
      <c r="E25" s="69">
        <f>D25/434</f>
        <v>0.14285714285714285</v>
      </c>
    </row>
    <row r="26" spans="1:5" x14ac:dyDescent="0.35">
      <c r="A26" s="9" t="s">
        <v>690</v>
      </c>
      <c r="B26" s="10" t="s">
        <v>724</v>
      </c>
      <c r="C26" s="8" t="s">
        <v>686</v>
      </c>
      <c r="D26" s="74">
        <v>372</v>
      </c>
      <c r="E26" s="69">
        <f>D26/434</f>
        <v>0.8571428571428571</v>
      </c>
    </row>
    <row r="27" spans="1:5" x14ac:dyDescent="0.35">
      <c r="D27" s="74">
        <f>SUM(D25:D26)</f>
        <v>434</v>
      </c>
    </row>
    <row r="28" spans="1:5" x14ac:dyDescent="0.35">
      <c r="A28" s="63"/>
    </row>
    <row r="29" spans="1:5" x14ac:dyDescent="0.35">
      <c r="A29" s="9" t="s">
        <v>328</v>
      </c>
    </row>
    <row r="30" spans="1:5" x14ac:dyDescent="0.35">
      <c r="A30" s="9" t="s">
        <v>466</v>
      </c>
      <c r="C30" s="8" t="s">
        <v>686</v>
      </c>
      <c r="D30" s="74">
        <v>176</v>
      </c>
      <c r="E30" s="69">
        <f>D30/319</f>
        <v>0.55172413793103448</v>
      </c>
    </row>
    <row r="31" spans="1:5" x14ac:dyDescent="0.35">
      <c r="A31" s="9" t="s">
        <v>691</v>
      </c>
      <c r="B31" s="10" t="s">
        <v>725</v>
      </c>
      <c r="C31" s="8" t="s">
        <v>686</v>
      </c>
      <c r="D31" s="74">
        <v>143</v>
      </c>
      <c r="E31" s="69">
        <f>D31/319</f>
        <v>0.44827586206896552</v>
      </c>
    </row>
    <row r="32" spans="1:5" x14ac:dyDescent="0.35">
      <c r="D32" s="74">
        <f>SUM(D30:D31)</f>
        <v>319</v>
      </c>
    </row>
    <row r="33" spans="1:5" x14ac:dyDescent="0.35">
      <c r="A33" s="63"/>
    </row>
    <row r="34" spans="1:5" x14ac:dyDescent="0.35">
      <c r="A34" s="9" t="s">
        <v>329</v>
      </c>
    </row>
    <row r="35" spans="1:5" x14ac:dyDescent="0.35">
      <c r="A35" s="9" t="s">
        <v>645</v>
      </c>
      <c r="C35" s="11" t="s">
        <v>703</v>
      </c>
      <c r="D35" s="95" t="s">
        <v>703</v>
      </c>
      <c r="E35" s="96"/>
    </row>
    <row r="37" spans="1:5" x14ac:dyDescent="0.35">
      <c r="A37" s="9" t="s">
        <v>330</v>
      </c>
    </row>
    <row r="38" spans="1:5" x14ac:dyDescent="0.35">
      <c r="A38" s="9" t="s">
        <v>605</v>
      </c>
      <c r="C38" s="11" t="s">
        <v>703</v>
      </c>
      <c r="D38" s="95" t="s">
        <v>703</v>
      </c>
      <c r="E38" s="96"/>
    </row>
    <row r="40" spans="1:5" x14ac:dyDescent="0.35">
      <c r="A40" s="9" t="s">
        <v>331</v>
      </c>
    </row>
    <row r="41" spans="1:5" x14ac:dyDescent="0.35">
      <c r="A41" s="9" t="s">
        <v>469</v>
      </c>
      <c r="B41" s="10" t="s">
        <v>688</v>
      </c>
      <c r="C41" s="11" t="s">
        <v>703</v>
      </c>
      <c r="D41" s="95" t="s">
        <v>703</v>
      </c>
      <c r="E41" s="96"/>
    </row>
    <row r="43" spans="1:5" x14ac:dyDescent="0.35">
      <c r="A43" s="9" t="s">
        <v>332</v>
      </c>
    </row>
    <row r="44" spans="1:5" x14ac:dyDescent="0.35">
      <c r="A44" s="9" t="s">
        <v>604</v>
      </c>
      <c r="B44" s="10" t="s">
        <v>689</v>
      </c>
      <c r="C44" s="11" t="s">
        <v>703</v>
      </c>
      <c r="D44" s="95" t="s">
        <v>703</v>
      </c>
      <c r="E44" s="96"/>
    </row>
    <row r="47" spans="1:5" x14ac:dyDescent="0.35">
      <c r="A47" s="9" t="s">
        <v>333</v>
      </c>
    </row>
    <row r="48" spans="1:5" x14ac:dyDescent="0.35">
      <c r="A48" s="9" t="s">
        <v>345</v>
      </c>
      <c r="C48" s="8" t="s">
        <v>686</v>
      </c>
      <c r="D48" s="74">
        <v>145</v>
      </c>
      <c r="E48" s="69">
        <f>D48/516</f>
        <v>0.2810077519379845</v>
      </c>
    </row>
    <row r="49" spans="1:5" x14ac:dyDescent="0.35">
      <c r="A49" s="9" t="s">
        <v>552</v>
      </c>
      <c r="C49" s="8" t="s">
        <v>686</v>
      </c>
      <c r="D49" s="74">
        <v>371</v>
      </c>
      <c r="E49" s="69">
        <f>D49/516</f>
        <v>0.71899224806201545</v>
      </c>
    </row>
    <row r="50" spans="1:5" x14ac:dyDescent="0.35">
      <c r="D50" s="74">
        <f>SUM(D48:D49)</f>
        <v>516</v>
      </c>
    </row>
    <row r="51" spans="1:5" x14ac:dyDescent="0.35">
      <c r="A51" s="63"/>
    </row>
    <row r="52" spans="1:5" x14ac:dyDescent="0.35">
      <c r="A52" s="9" t="s">
        <v>334</v>
      </c>
    </row>
    <row r="53" spans="1:5" x14ac:dyDescent="0.35">
      <c r="A53" s="9" t="s">
        <v>468</v>
      </c>
      <c r="C53" s="8" t="s">
        <v>686</v>
      </c>
      <c r="D53" s="74">
        <v>291</v>
      </c>
      <c r="E53" s="69">
        <f>D53/467</f>
        <v>0.6231263383297645</v>
      </c>
    </row>
    <row r="54" spans="1:5" x14ac:dyDescent="0.35">
      <c r="A54" s="9" t="s">
        <v>791</v>
      </c>
      <c r="C54" s="8" t="s">
        <v>686</v>
      </c>
      <c r="D54" s="74">
        <v>176</v>
      </c>
      <c r="E54" s="69">
        <f>D54/467</f>
        <v>0.37687366167023556</v>
      </c>
    </row>
    <row r="55" spans="1:5" x14ac:dyDescent="0.35">
      <c r="A55" s="44"/>
      <c r="D55" s="74">
        <f>SUM(D53:D54)</f>
        <v>467</v>
      </c>
    </row>
    <row r="56" spans="1:5" x14ac:dyDescent="0.35">
      <c r="A56" s="44"/>
    </row>
    <row r="57" spans="1:5" x14ac:dyDescent="0.35">
      <c r="A57" s="9" t="s">
        <v>335</v>
      </c>
    </row>
    <row r="58" spans="1:5" x14ac:dyDescent="0.35">
      <c r="A58" s="9" t="s">
        <v>803</v>
      </c>
      <c r="C58" s="11" t="s">
        <v>703</v>
      </c>
      <c r="D58" s="95" t="s">
        <v>703</v>
      </c>
      <c r="E58" s="96"/>
    </row>
    <row r="60" spans="1:5" x14ac:dyDescent="0.35">
      <c r="A60" s="9" t="s">
        <v>336</v>
      </c>
    </row>
    <row r="61" spans="1:5" x14ac:dyDescent="0.35">
      <c r="A61" s="9" t="s">
        <v>474</v>
      </c>
      <c r="C61" s="11" t="s">
        <v>703</v>
      </c>
      <c r="D61" s="95" t="s">
        <v>703</v>
      </c>
      <c r="E61" s="96"/>
    </row>
    <row r="63" spans="1:5" x14ac:dyDescent="0.35">
      <c r="A63" s="9" t="s">
        <v>337</v>
      </c>
    </row>
    <row r="64" spans="1:5" x14ac:dyDescent="0.35">
      <c r="A64" s="9" t="s">
        <v>343</v>
      </c>
      <c r="C64" s="11" t="s">
        <v>703</v>
      </c>
      <c r="D64" s="95" t="s">
        <v>703</v>
      </c>
      <c r="E64" s="96"/>
    </row>
    <row r="66" spans="1:5" x14ac:dyDescent="0.35">
      <c r="A66" s="9" t="s">
        <v>338</v>
      </c>
    </row>
    <row r="67" spans="1:5" x14ac:dyDescent="0.35">
      <c r="A67" s="9" t="s">
        <v>465</v>
      </c>
      <c r="C67" s="8" t="s">
        <v>686</v>
      </c>
      <c r="D67" s="74">
        <v>87</v>
      </c>
      <c r="E67" s="69">
        <f>D67/552</f>
        <v>0.15760869565217392</v>
      </c>
    </row>
    <row r="68" spans="1:5" x14ac:dyDescent="0.35">
      <c r="A68" s="9" t="s">
        <v>464</v>
      </c>
      <c r="C68" s="8" t="s">
        <v>686</v>
      </c>
      <c r="D68" s="74">
        <v>465</v>
      </c>
      <c r="E68" s="69">
        <f>D68/552</f>
        <v>0.84239130434782605</v>
      </c>
    </row>
    <row r="69" spans="1:5" x14ac:dyDescent="0.35">
      <c r="D69" s="74">
        <f>SUM(D67:D68)</f>
        <v>552</v>
      </c>
    </row>
    <row r="70" spans="1:5" x14ac:dyDescent="0.35">
      <c r="A70" s="9" t="s">
        <v>339</v>
      </c>
    </row>
    <row r="71" spans="1:5" x14ac:dyDescent="0.35">
      <c r="A71" s="9" t="s">
        <v>470</v>
      </c>
      <c r="C71" s="8" t="s">
        <v>686</v>
      </c>
      <c r="D71" s="75">
        <v>214</v>
      </c>
      <c r="E71" s="69">
        <f>D71/418</f>
        <v>0.51196172248803828</v>
      </c>
    </row>
    <row r="72" spans="1:5" x14ac:dyDescent="0.35">
      <c r="A72" s="9" t="s">
        <v>425</v>
      </c>
      <c r="C72" s="8" t="s">
        <v>686</v>
      </c>
      <c r="D72" s="74">
        <v>100</v>
      </c>
      <c r="E72" s="69">
        <f t="shared" ref="E72:E73" si="0">D72/418</f>
        <v>0.23923444976076555</v>
      </c>
    </row>
    <row r="73" spans="1:5" x14ac:dyDescent="0.35">
      <c r="A73" s="9" t="s">
        <v>463</v>
      </c>
      <c r="C73" s="8" t="s">
        <v>686</v>
      </c>
      <c r="D73" s="74">
        <v>104</v>
      </c>
      <c r="E73" s="69">
        <f t="shared" si="0"/>
        <v>0.24880382775119617</v>
      </c>
    </row>
    <row r="74" spans="1:5" x14ac:dyDescent="0.35">
      <c r="D74" s="74">
        <f>SUM(D71:D73)</f>
        <v>418</v>
      </c>
    </row>
    <row r="75" spans="1:5" x14ac:dyDescent="0.35">
      <c r="A75" s="63"/>
    </row>
    <row r="76" spans="1:5" x14ac:dyDescent="0.35">
      <c r="A76" s="9" t="s">
        <v>340</v>
      </c>
    </row>
    <row r="77" spans="1:5" x14ac:dyDescent="0.35">
      <c r="A77" s="9" t="s">
        <v>344</v>
      </c>
      <c r="C77" s="8" t="s">
        <v>686</v>
      </c>
      <c r="D77" s="74">
        <v>17</v>
      </c>
      <c r="E77" s="69">
        <f>D77/562</f>
        <v>3.0249110320284697E-2</v>
      </c>
    </row>
    <row r="78" spans="1:5" x14ac:dyDescent="0.35">
      <c r="A78" s="9" t="s">
        <v>473</v>
      </c>
      <c r="C78" s="8" t="s">
        <v>686</v>
      </c>
      <c r="D78" s="75">
        <v>292</v>
      </c>
      <c r="E78" s="69">
        <f t="shared" ref="E78:E79" si="1">D78/562</f>
        <v>0.5195729537366548</v>
      </c>
    </row>
    <row r="79" spans="1:5" x14ac:dyDescent="0.35">
      <c r="A79" s="9" t="s">
        <v>813</v>
      </c>
      <c r="D79" s="74">
        <v>253</v>
      </c>
      <c r="E79" s="69">
        <f t="shared" si="1"/>
        <v>0.45017793594306049</v>
      </c>
    </row>
    <row r="80" spans="1:5" x14ac:dyDescent="0.35">
      <c r="A80" s="56"/>
      <c r="D80" s="74">
        <f>SUM(D77:D79)</f>
        <v>562</v>
      </c>
    </row>
    <row r="81" spans="1:5" x14ac:dyDescent="0.35">
      <c r="A81" s="63"/>
    </row>
    <row r="82" spans="1:5" x14ac:dyDescent="0.35">
      <c r="A82" s="9" t="s">
        <v>341</v>
      </c>
    </row>
    <row r="83" spans="1:5" x14ac:dyDescent="0.35">
      <c r="A83" s="9" t="s">
        <v>346</v>
      </c>
      <c r="C83" s="11" t="s">
        <v>703</v>
      </c>
      <c r="D83" s="74">
        <v>147</v>
      </c>
      <c r="E83" s="69">
        <f>D83/436</f>
        <v>0.33715596330275227</v>
      </c>
    </row>
    <row r="84" spans="1:5" x14ac:dyDescent="0.35">
      <c r="A84" s="55" t="s">
        <v>806</v>
      </c>
      <c r="C84" s="11"/>
      <c r="D84" s="75">
        <v>289</v>
      </c>
      <c r="E84" s="69">
        <f>D84/436</f>
        <v>0.66284403669724767</v>
      </c>
    </row>
    <row r="85" spans="1:5" x14ac:dyDescent="0.35">
      <c r="D85" s="74">
        <f>SUM(D83:D84)</f>
        <v>436</v>
      </c>
    </row>
    <row r="86" spans="1:5" x14ac:dyDescent="0.35">
      <c r="A86" s="63"/>
    </row>
    <row r="87" spans="1:5" x14ac:dyDescent="0.35">
      <c r="A87" s="9" t="s">
        <v>342</v>
      </c>
    </row>
    <row r="88" spans="1:5" x14ac:dyDescent="0.35">
      <c r="A88" s="9" t="s">
        <v>430</v>
      </c>
      <c r="B88" s="10" t="s">
        <v>4</v>
      </c>
      <c r="C88" s="11" t="s">
        <v>703</v>
      </c>
      <c r="D88" s="95" t="s">
        <v>703</v>
      </c>
      <c r="E88" s="96"/>
    </row>
    <row r="90" spans="1:5" s="11" customFormat="1" x14ac:dyDescent="0.35">
      <c r="A90" s="9"/>
      <c r="B90" s="28"/>
      <c r="D90" s="75"/>
    </row>
  </sheetData>
  <mergeCells count="13">
    <mergeCell ref="D64:E64"/>
    <mergeCell ref="D88:E88"/>
    <mergeCell ref="D6:E6"/>
    <mergeCell ref="D35:E35"/>
    <mergeCell ref="D38:E38"/>
    <mergeCell ref="D41:E41"/>
    <mergeCell ref="D14:E14"/>
    <mergeCell ref="D22:E22"/>
    <mergeCell ref="A1:E1"/>
    <mergeCell ref="A2:E2"/>
    <mergeCell ref="D44:E44"/>
    <mergeCell ref="D58:E58"/>
    <mergeCell ref="D61:E61"/>
  </mergeCells>
  <pageMargins left="0.59055118110236227" right="0.23622047244094491" top="0.74803149606299213" bottom="0.74803149606299213" header="0.31496062992125984" footer="0.31496062992125984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ASHANTI</vt:lpstr>
      <vt:lpstr>EASTERN</vt:lpstr>
      <vt:lpstr>WESTERN</vt:lpstr>
      <vt:lpstr>UPPER EAST</vt:lpstr>
      <vt:lpstr>GREATER ACCRA</vt:lpstr>
      <vt:lpstr>BRONG AHAFO</vt:lpstr>
      <vt:lpstr>UPPER WEST</vt:lpstr>
      <vt:lpstr>NORTHERN</vt:lpstr>
      <vt:lpstr>VOLTA</vt:lpstr>
      <vt:lpstr>CENTRAL</vt:lpstr>
      <vt:lpstr>ASHANT</vt:lpstr>
      <vt:lpstr>summary</vt:lpstr>
      <vt:lpstr>ASHANT!Print_Area</vt:lpstr>
      <vt:lpstr>'BRONG AHAFO'!Print_Area</vt:lpstr>
      <vt:lpstr>CENTRAL!Print_Area</vt:lpstr>
      <vt:lpstr>EASTERN!Print_Area</vt:lpstr>
      <vt:lpstr>'GREATER ACCRA'!Print_Area</vt:lpstr>
      <vt:lpstr>NORTHERN!Print_Area</vt:lpstr>
      <vt:lpstr>summary!Print_Area</vt:lpstr>
      <vt:lpstr>'UPPER EAST'!Print_Area</vt:lpstr>
      <vt:lpstr>'UPPER WEST'!Print_Area</vt:lpstr>
      <vt:lpstr>VOLTA!Print_Area</vt:lpstr>
      <vt:lpstr>WESTERN!Print_Area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NPP</dc:creator>
  <cp:lastModifiedBy>nattobrah</cp:lastModifiedBy>
  <cp:lastPrinted>2011-05-01T14:19:30Z</cp:lastPrinted>
  <dcterms:created xsi:type="dcterms:W3CDTF">2011-03-10T08:13:16Z</dcterms:created>
  <dcterms:modified xsi:type="dcterms:W3CDTF">2015-06-13T08:17:02Z</dcterms:modified>
</cp:coreProperties>
</file>