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bacar.ba.SCASA0\Desktop\HANDOVER JANG\My March Report\"/>
    </mc:Choice>
  </mc:AlternateContent>
  <bookViews>
    <workbookView xWindow="0" yWindow="0" windowWidth="20490" windowHeight="8340" firstSheet="3" activeTab="6"/>
  </bookViews>
  <sheets>
    <sheet name="Trial Balance" sheetId="29" r:id="rId1"/>
    <sheet name="Net Income" sheetId="22" r:id="rId2"/>
    <sheet name="SoFP" sheetId="31" r:id="rId3"/>
    <sheet name="SoCI" sheetId="42" r:id="rId4"/>
    <sheet name="SoCF" sheetId="56" r:id="rId5"/>
    <sheet name="Performance" sheetId="50" r:id="rId6"/>
    <sheet name="Production Cost" sheetId="43" r:id="rId7"/>
    <sheet name="PnL Before Taxes" sheetId="45" r:id="rId8"/>
    <sheet name="Supporting Schedules ---&gt;" sheetId="55" r:id="rId9"/>
    <sheet name="Fixed Assets Schedule" sheetId="33" r:id="rId10"/>
    <sheet name="Tuna Inventory Val. Schedule" sheetId="48" r:id="rId11"/>
    <sheet name="Interest Val. Schedule" sheetId="47" r:id="rId12"/>
    <sheet name="Vessel Loan Schedule" sheetId="57" r:id="rId13"/>
    <sheet name="FC02" sheetId="4" r:id="rId14"/>
    <sheet name="FC03" sheetId="11" r:id="rId15"/>
    <sheet name="FC04" sheetId="12" r:id="rId16"/>
    <sheet name="FC05" sheetId="13" r:id="rId17"/>
    <sheet name="FC06" sheetId="16" r:id="rId18"/>
    <sheet name="SA10" sheetId="15" r:id="rId19"/>
    <sheet name="Mapping (Consolidated)" sheetId="53" state="hidden" r:id="rId20"/>
    <sheet name="Mapping (Break Down)" sheetId="54" state="hidden" r:id="rId21"/>
    <sheet name="Mapping Accounts (S&amp;A)" sheetId="18" state="hidden" r:id="rId22"/>
    <sheet name="Mapping (Categories)" sheetId="39" state="hidden" r:id="rId23"/>
  </sheets>
  <definedNames>
    <definedName name="__IntlFixup" hidden="1">TRUE</definedName>
    <definedName name="_169______123Graph_ACHART_1" localSheetId="20" hidden="1">#REF!</definedName>
    <definedName name="_169______123Graph_ACHART_1" localSheetId="7" hidden="1">#REF!</definedName>
    <definedName name="_169______123Graph_ACHART_1" hidden="1">#REF!</definedName>
    <definedName name="_170______123Graph_AChart_1A" localSheetId="20" hidden="1">#REF!</definedName>
    <definedName name="_170______123Graph_AChart_1A" localSheetId="7" hidden="1">#REF!</definedName>
    <definedName name="_170______123Graph_AChart_1A" hidden="1">#REF!</definedName>
    <definedName name="_171______123Graph_ACHART_2" localSheetId="20" hidden="1">#REF!</definedName>
    <definedName name="_171______123Graph_ACHART_2" localSheetId="7" hidden="1">#REF!</definedName>
    <definedName name="_171______123Graph_ACHART_2" hidden="1">#REF!</definedName>
    <definedName name="_175______123Graph_BCHART_1" localSheetId="20" hidden="1">#REF!</definedName>
    <definedName name="_175______123Graph_BCHART_1" localSheetId="7" hidden="1">#REF!</definedName>
    <definedName name="_175______123Graph_BCHART_1" hidden="1">#REF!</definedName>
    <definedName name="_176______123Graph_BChart_1A" localSheetId="20" hidden="1">#REF!</definedName>
    <definedName name="_176______123Graph_BChart_1A" localSheetId="7" hidden="1">#REF!</definedName>
    <definedName name="_176______123Graph_BChart_1A" hidden="1">#REF!</definedName>
    <definedName name="_177______123Graph_BCHART_2" localSheetId="20" hidden="1">#REF!</definedName>
    <definedName name="_177______123Graph_BCHART_2" localSheetId="7" hidden="1">#REF!</definedName>
    <definedName name="_177______123Graph_BCHART_2" hidden="1">#REF!</definedName>
    <definedName name="_181______123Graph_CCHART_1" localSheetId="20" hidden="1">#REF!</definedName>
    <definedName name="_181______123Graph_CCHART_1" localSheetId="7" hidden="1">#REF!</definedName>
    <definedName name="_181______123Graph_CCHART_1" hidden="1">#REF!</definedName>
    <definedName name="_182______123Graph_CChart_1A" localSheetId="20" hidden="1">#REF!</definedName>
    <definedName name="_182______123Graph_CChart_1A" localSheetId="7" hidden="1">#REF!</definedName>
    <definedName name="_182______123Graph_CChart_1A" hidden="1">#REF!</definedName>
    <definedName name="_183______123Graph_CCHART_2" localSheetId="20" hidden="1">#REF!</definedName>
    <definedName name="_183______123Graph_CCHART_2" localSheetId="7" hidden="1">#REF!</definedName>
    <definedName name="_183______123Graph_CCHART_2" hidden="1">#REF!</definedName>
    <definedName name="_186______123Graph_DChart_1A" localSheetId="20" hidden="1">#REF!</definedName>
    <definedName name="_186______123Graph_DChart_1A" localSheetId="7" hidden="1">#REF!</definedName>
    <definedName name="_186______123Graph_DChart_1A" hidden="1">#REF!</definedName>
    <definedName name="_189______123Graph_EChart_1A" localSheetId="20" hidden="1">#REF!</definedName>
    <definedName name="_189______123Graph_EChart_1A" localSheetId="7" hidden="1">#REF!</definedName>
    <definedName name="_189______123Graph_EChart_1A" hidden="1">#REF!</definedName>
    <definedName name="_194______123Graph_LBL_ACHART_1" localSheetId="20" hidden="1">#REF!</definedName>
    <definedName name="_194______123Graph_LBL_ACHART_1" localSheetId="7" hidden="1">#REF!</definedName>
    <definedName name="_194______123Graph_LBL_ACHART_1" hidden="1">#REF!</definedName>
    <definedName name="_195______123Graph_LBL_ACHART_2" localSheetId="20" hidden="1">#REF!</definedName>
    <definedName name="_195______123Graph_LBL_ACHART_2" localSheetId="7" hidden="1">#REF!</definedName>
    <definedName name="_195______123Graph_LBL_ACHART_2" hidden="1">#REF!</definedName>
    <definedName name="_196______123Graph_LBL_BCHART_1" localSheetId="20" hidden="1">#REF!</definedName>
    <definedName name="_196______123Graph_LBL_BCHART_1" localSheetId="7" hidden="1">#REF!</definedName>
    <definedName name="_196______123Graph_LBL_BCHART_1" hidden="1">#REF!</definedName>
    <definedName name="_197______123Graph_LBL_BCHART_2" localSheetId="20" hidden="1">#REF!</definedName>
    <definedName name="_197______123Graph_LBL_BCHART_2" localSheetId="7" hidden="1">#REF!</definedName>
    <definedName name="_197______123Graph_LBL_BCHART_2" hidden="1">#REF!</definedName>
    <definedName name="_198______123Graph_LBL_CCHART_1" localSheetId="20" hidden="1">#REF!</definedName>
    <definedName name="_198______123Graph_LBL_CCHART_1" localSheetId="7" hidden="1">#REF!</definedName>
    <definedName name="_198______123Graph_LBL_CCHART_1" hidden="1">#REF!</definedName>
    <definedName name="_199______123Graph_LBL_CCHART_2" localSheetId="20" hidden="1">#REF!</definedName>
    <definedName name="_199______123Graph_LBL_CCHART_2" localSheetId="7" hidden="1">#REF!</definedName>
    <definedName name="_199______123Graph_LBL_CCHART_2" hidden="1">#REF!</definedName>
    <definedName name="_200______123Graph_XCHART_1" localSheetId="20" hidden="1">#REF!</definedName>
    <definedName name="_200______123Graph_XCHART_1" localSheetId="7" hidden="1">#REF!</definedName>
    <definedName name="_200______123Graph_XCHART_1" hidden="1">#REF!</definedName>
    <definedName name="_202_____123Graph_ACHART_1" localSheetId="20" hidden="1">#REF!</definedName>
    <definedName name="_202_____123Graph_ACHART_1" localSheetId="7" hidden="1">#REF!</definedName>
    <definedName name="_202_____123Graph_ACHART_1" hidden="1">#REF!</definedName>
    <definedName name="_203_____123Graph_AChart_1A" localSheetId="20" hidden="1">#REF!</definedName>
    <definedName name="_203_____123Graph_AChart_1A" localSheetId="7" hidden="1">#REF!</definedName>
    <definedName name="_203_____123Graph_AChart_1A" hidden="1">#REF!</definedName>
    <definedName name="_204_____123Graph_ACHART_2" localSheetId="20" hidden="1">#REF!</definedName>
    <definedName name="_204_____123Graph_ACHART_2" localSheetId="7" hidden="1">#REF!</definedName>
    <definedName name="_204_____123Graph_ACHART_2" hidden="1">#REF!</definedName>
    <definedName name="_208_____123Graph_BCHART_1" localSheetId="20" hidden="1">#REF!</definedName>
    <definedName name="_208_____123Graph_BCHART_1" localSheetId="7" hidden="1">#REF!</definedName>
    <definedName name="_208_____123Graph_BCHART_1" hidden="1">#REF!</definedName>
    <definedName name="_209_____123Graph_BChart_1A" localSheetId="20" hidden="1">#REF!</definedName>
    <definedName name="_209_____123Graph_BChart_1A" localSheetId="7" hidden="1">#REF!</definedName>
    <definedName name="_209_____123Graph_BChart_1A" hidden="1">#REF!</definedName>
    <definedName name="_210_____123Graph_BCHART_2" localSheetId="20" hidden="1">#REF!</definedName>
    <definedName name="_210_____123Graph_BCHART_2" localSheetId="7" hidden="1">#REF!</definedName>
    <definedName name="_210_____123Graph_BCHART_2" hidden="1">#REF!</definedName>
    <definedName name="_214_____123Graph_CCHART_1" localSheetId="20" hidden="1">#REF!</definedName>
    <definedName name="_214_____123Graph_CCHART_1" localSheetId="7" hidden="1">#REF!</definedName>
    <definedName name="_214_____123Graph_CCHART_1" hidden="1">#REF!</definedName>
    <definedName name="_215_____123Graph_CChart_1A" localSheetId="20" hidden="1">#REF!</definedName>
    <definedName name="_215_____123Graph_CChart_1A" localSheetId="7" hidden="1">#REF!</definedName>
    <definedName name="_215_____123Graph_CChart_1A" hidden="1">#REF!</definedName>
    <definedName name="_216_____123Graph_CCHART_2" localSheetId="20" hidden="1">#REF!</definedName>
    <definedName name="_216_____123Graph_CCHART_2" localSheetId="7" hidden="1">#REF!</definedName>
    <definedName name="_216_____123Graph_CCHART_2" hidden="1">#REF!</definedName>
    <definedName name="_219_____123Graph_DChart_1A" localSheetId="20" hidden="1">#REF!</definedName>
    <definedName name="_219_____123Graph_DChart_1A" localSheetId="7" hidden="1">#REF!</definedName>
    <definedName name="_219_____123Graph_DChart_1A" hidden="1">#REF!</definedName>
    <definedName name="_222_____123Graph_EChart_1A" localSheetId="20" hidden="1">#REF!</definedName>
    <definedName name="_222_____123Graph_EChart_1A" localSheetId="7" hidden="1">#REF!</definedName>
    <definedName name="_222_____123Graph_EChart_1A" hidden="1">#REF!</definedName>
    <definedName name="_227_____123Graph_LBL_ACHART_1" localSheetId="20" hidden="1">#REF!</definedName>
    <definedName name="_227_____123Graph_LBL_ACHART_1" localSheetId="7" hidden="1">#REF!</definedName>
    <definedName name="_227_____123Graph_LBL_ACHART_1" hidden="1">#REF!</definedName>
    <definedName name="_228_____123Graph_LBL_ACHART_2" localSheetId="20" hidden="1">#REF!</definedName>
    <definedName name="_228_____123Graph_LBL_ACHART_2" localSheetId="7" hidden="1">#REF!</definedName>
    <definedName name="_228_____123Graph_LBL_ACHART_2" hidden="1">#REF!</definedName>
    <definedName name="_229_____123Graph_LBL_BCHART_1" localSheetId="20" hidden="1">#REF!</definedName>
    <definedName name="_229_____123Graph_LBL_BCHART_1" localSheetId="7" hidden="1">#REF!</definedName>
    <definedName name="_229_____123Graph_LBL_BCHART_1" hidden="1">#REF!</definedName>
    <definedName name="_230_____123Graph_LBL_BCHART_2" localSheetId="20" hidden="1">#REF!</definedName>
    <definedName name="_230_____123Graph_LBL_BCHART_2" localSheetId="7" hidden="1">#REF!</definedName>
    <definedName name="_230_____123Graph_LBL_BCHART_2" hidden="1">#REF!</definedName>
    <definedName name="_231_____123Graph_LBL_CCHART_1" localSheetId="20" hidden="1">#REF!</definedName>
    <definedName name="_231_____123Graph_LBL_CCHART_1" localSheetId="7" hidden="1">#REF!</definedName>
    <definedName name="_231_____123Graph_LBL_CCHART_1" hidden="1">#REF!</definedName>
    <definedName name="_232_____123Graph_LBL_CCHART_2" localSheetId="20" hidden="1">#REF!</definedName>
    <definedName name="_232_____123Graph_LBL_CCHART_2" localSheetId="7" hidden="1">#REF!</definedName>
    <definedName name="_232_____123Graph_LBL_CCHART_2" hidden="1">#REF!</definedName>
    <definedName name="_233_____123Graph_XCHART_1" localSheetId="20" hidden="1">#REF!</definedName>
    <definedName name="_233_____123Graph_XCHART_1" localSheetId="7" hidden="1">#REF!</definedName>
    <definedName name="_233_____123Graph_XCHART_1" hidden="1">#REF!</definedName>
    <definedName name="_Dist_Values" localSheetId="20" hidden="1">#REF!</definedName>
    <definedName name="_Dist_Values" localSheetId="7" hidden="1">#REF!</definedName>
    <definedName name="_Dist_Values" hidden="1">#REF!</definedName>
    <definedName name="_Fill" localSheetId="20" hidden="1">#REF!</definedName>
    <definedName name="_Fill" localSheetId="7" hidden="1">#REF!</definedName>
    <definedName name="_Fill" hidden="1">#REF!</definedName>
    <definedName name="_Key1" localSheetId="20" hidden="1">#REF!</definedName>
    <definedName name="_Key1" localSheetId="7" hidden="1">#REF!</definedName>
    <definedName name="_Key1" hidden="1">#REF!</definedName>
    <definedName name="_KEY123" localSheetId="20" hidden="1">#REF!</definedName>
    <definedName name="_KEY123" localSheetId="7" hidden="1">#REF!</definedName>
    <definedName name="_KEY123" hidden="1">#REF!</definedName>
    <definedName name="_Key2" localSheetId="20" hidden="1">#REF!</definedName>
    <definedName name="_Key2" localSheetId="7" hidden="1">#REF!</definedName>
    <definedName name="_Key2" hidden="1">#REF!</definedName>
    <definedName name="_MatInverse_In" localSheetId="20" hidden="1">#REF!</definedName>
    <definedName name="_MatInverse_In" localSheetId="7" hidden="1">#REF!</definedName>
    <definedName name="_MatInverse_In" hidden="1">#REF!</definedName>
    <definedName name="_Order1" hidden="1">255</definedName>
    <definedName name="_Order2" hidden="1">255</definedName>
    <definedName name="_Parse_In" localSheetId="20" hidden="1">#REF!</definedName>
    <definedName name="_Parse_In" localSheetId="7" hidden="1">#REF!</definedName>
    <definedName name="_Parse_In" hidden="1">#REF!</definedName>
    <definedName name="_Parse_Out" localSheetId="20" hidden="1">#REF!</definedName>
    <definedName name="_Parse_Out" localSheetId="7" hidden="1">#REF!</definedName>
    <definedName name="_Parse_Out" hidden="1">#REF!</definedName>
    <definedName name="_Regression_Int" hidden="1">1</definedName>
    <definedName name="_Regression_X" localSheetId="20" hidden="1">#REF!</definedName>
    <definedName name="_Regression_X" localSheetId="7" hidden="1">#REF!</definedName>
    <definedName name="_Regression_X" hidden="1">#REF!</definedName>
    <definedName name="_Sort" localSheetId="20" hidden="1">#REF!</definedName>
    <definedName name="_Sort" localSheetId="7" hidden="1">#REF!</definedName>
    <definedName name="_Sort" hidden="1">#REF!</definedName>
    <definedName name="_Table1_In1" localSheetId="20" hidden="1">#REF!</definedName>
    <definedName name="_Table1_In1" localSheetId="7" hidden="1">#REF!</definedName>
    <definedName name="_Table1_In1" hidden="1">#REF!</definedName>
    <definedName name="Access_Button" hidden="1">"X9805인원_인사기록__2__List"</definedName>
    <definedName name="AccessDatabase" hidden="1">"C:\SINS\인원현황\9805인원.mdb"</definedName>
    <definedName name="AS2DocOpenMode" hidden="1">"AS2DocumentEdit"</definedName>
    <definedName name="AS2ReportLS" hidden="1">1</definedName>
    <definedName name="AS2StaticLS" localSheetId="20" hidden="1">#REF!</definedName>
    <definedName name="AS2StaticLS" localSheetId="7" hidden="1">#REF!</definedName>
    <definedName name="AS2StaticLS" hidden="1">#REF!</definedName>
    <definedName name="AS2SyncStepLS" hidden="1">0</definedName>
    <definedName name="AS2TickmarkLS" localSheetId="20" hidden="1">#REF!</definedName>
    <definedName name="AS2TickmarkLS" localSheetId="7" hidden="1">#REF!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fakdf" localSheetId="20" hidden="1">#REF!</definedName>
    <definedName name="dfakdf" localSheetId="7" hidden="1">#REF!</definedName>
    <definedName name="dfakdf" hidden="1">#REF!</definedName>
    <definedName name="fill" localSheetId="20" hidden="1">#REF!</definedName>
    <definedName name="fill" localSheetId="7" hidden="1">#REF!</definedName>
    <definedName name="fill" hidden="1">#REF!</definedName>
    <definedName name="HTML_CodePage" hidden="1">949</definedName>
    <definedName name="HTML_Control" hidden="1">{"'보고양식'!$A$58:$K$111"}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Documents\98년\영업현황\2월 수주현황(2월 마감분).htm"</definedName>
    <definedName name="HTML_Title" hidden="1">""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NEW" localSheetId="20" hidden="1">#REF!</definedName>
    <definedName name="NEW" localSheetId="7" hidden="1">#REF!</definedName>
    <definedName name="NEW" hidden="1">#REF!</definedName>
    <definedName name="SAPBEXhrIndnt" hidden="1">"Wide"</definedName>
    <definedName name="SAPsysID" hidden="1">"708C5W7SBKP804JT78WJ0JNKI"</definedName>
    <definedName name="SAPwbID" hidden="1">"ARS"</definedName>
    <definedName name="SSS" localSheetId="20" hidden="1">#REF!</definedName>
    <definedName name="SSS" localSheetId="7" hidden="1">#REF!</definedName>
    <definedName name="SSS" hidden="1">#REF!</definedName>
    <definedName name="TextRefCopyRangeCount" hidden="1">1</definedName>
    <definedName name="XREF_COLUMN_1" localSheetId="20" hidden="1">#REF!</definedName>
    <definedName name="XREF_COLUMN_1" localSheetId="7" hidden="1">#REF!</definedName>
    <definedName name="XREF_COLUMN_1" hidden="1">#REF!</definedName>
    <definedName name="XREF_COLUMN_10" localSheetId="20" hidden="1">#REF!</definedName>
    <definedName name="XREF_COLUMN_10" localSheetId="7" hidden="1">#REF!</definedName>
    <definedName name="XREF_COLUMN_10" hidden="1">#REF!</definedName>
    <definedName name="XREF_COLUMN_11" localSheetId="20" hidden="1">#REF!</definedName>
    <definedName name="XREF_COLUMN_11" localSheetId="7" hidden="1">#REF!</definedName>
    <definedName name="XREF_COLUMN_11" hidden="1">#REF!</definedName>
    <definedName name="XREF_COLUMN_15" localSheetId="20" hidden="1">#REF!</definedName>
    <definedName name="XREF_COLUMN_15" localSheetId="7" hidden="1">#REF!</definedName>
    <definedName name="XREF_COLUMN_15" hidden="1">#REF!</definedName>
    <definedName name="XREF_COLUMN_16" localSheetId="20" hidden="1">#REF!</definedName>
    <definedName name="XREF_COLUMN_16" localSheetId="7" hidden="1">#REF!</definedName>
    <definedName name="XREF_COLUMN_16" hidden="1">#REF!</definedName>
    <definedName name="XREF_COLUMN_17" localSheetId="20" hidden="1">#REF!</definedName>
    <definedName name="XREF_COLUMN_17" localSheetId="7" hidden="1">#REF!</definedName>
    <definedName name="XREF_COLUMN_17" hidden="1">#REF!</definedName>
    <definedName name="XREF_COLUMN_18" localSheetId="20" hidden="1">#REF!</definedName>
    <definedName name="XREF_COLUMN_18" localSheetId="7" hidden="1">#REF!</definedName>
    <definedName name="XREF_COLUMN_18" hidden="1">#REF!</definedName>
    <definedName name="XREF_COLUMN_19" localSheetId="20" hidden="1">#REF!</definedName>
    <definedName name="XREF_COLUMN_19" localSheetId="7" hidden="1">#REF!</definedName>
    <definedName name="XREF_COLUMN_19" hidden="1">#REF!</definedName>
    <definedName name="XREF_COLUMN_4" localSheetId="20" hidden="1">#REF!</definedName>
    <definedName name="XREF_COLUMN_4" localSheetId="7" hidden="1">#REF!</definedName>
    <definedName name="XREF_COLUMN_4" hidden="1">#REF!</definedName>
    <definedName name="XREF_COLUMN_5" localSheetId="20" hidden="1">#REF!</definedName>
    <definedName name="XREF_COLUMN_5" localSheetId="7" hidden="1">#REF!</definedName>
    <definedName name="XREF_COLUMN_5" hidden="1">#REF!</definedName>
    <definedName name="XREF_COLUMN_6" localSheetId="20" hidden="1">#REF!</definedName>
    <definedName name="XREF_COLUMN_6" localSheetId="7" hidden="1">#REF!</definedName>
    <definedName name="XREF_COLUMN_6" hidden="1">#REF!</definedName>
    <definedName name="XREF_COLUMN_7" localSheetId="20" hidden="1">#REF!</definedName>
    <definedName name="XREF_COLUMN_7" localSheetId="7" hidden="1">#REF!</definedName>
    <definedName name="XREF_COLUMN_7" hidden="1">#REF!</definedName>
    <definedName name="XREF_COLUMN_8" localSheetId="20" hidden="1">#REF!</definedName>
    <definedName name="XREF_COLUMN_8" localSheetId="7" hidden="1">#REF!</definedName>
    <definedName name="XREF_COLUMN_8" hidden="1">#REF!</definedName>
    <definedName name="XREF_COLUMN_9" localSheetId="20" hidden="1">#REF!</definedName>
    <definedName name="XREF_COLUMN_9" localSheetId="7" hidden="1">#REF!</definedName>
    <definedName name="XREF_COLUMN_9" hidden="1">#REF!</definedName>
    <definedName name="XRefActiveRow" localSheetId="20" hidden="1">#REF!</definedName>
    <definedName name="XRefActiveRow" localSheetId="7" hidden="1">#REF!</definedName>
    <definedName name="XRefActiveRow" hidden="1">#REF!</definedName>
    <definedName name="XRefColumnsCount" hidden="1">6</definedName>
    <definedName name="XRefCopy10" localSheetId="20" hidden="1">#REF!</definedName>
    <definedName name="XRefCopy10" localSheetId="7" hidden="1">#REF!</definedName>
    <definedName name="XRefCopy10" hidden="1">#REF!</definedName>
    <definedName name="XRefCopy10Row" localSheetId="20" hidden="1">#REF!</definedName>
    <definedName name="XRefCopy10Row" localSheetId="7" hidden="1">#REF!</definedName>
    <definedName name="XRefCopy10Row" hidden="1">#REF!</definedName>
    <definedName name="XRefCopy11" localSheetId="20" hidden="1">#REF!</definedName>
    <definedName name="XRefCopy11" localSheetId="7" hidden="1">#REF!</definedName>
    <definedName name="XRefCopy11" hidden="1">#REF!</definedName>
    <definedName name="XRefCopy11Row" localSheetId="20" hidden="1">#REF!</definedName>
    <definedName name="XRefCopy11Row" localSheetId="7" hidden="1">#REF!</definedName>
    <definedName name="XRefCopy11Row" hidden="1">#REF!</definedName>
    <definedName name="XRefCopy12" localSheetId="20" hidden="1">#REF!</definedName>
    <definedName name="XRefCopy12" localSheetId="7" hidden="1">#REF!</definedName>
    <definedName name="XRefCopy12" hidden="1">#REF!</definedName>
    <definedName name="XRefCopy13" localSheetId="20" hidden="1">#REF!</definedName>
    <definedName name="XRefCopy13" localSheetId="7" hidden="1">#REF!</definedName>
    <definedName name="XRefCopy13" hidden="1">#REF!</definedName>
    <definedName name="XRefCopy14" localSheetId="20" hidden="1">#REF!</definedName>
    <definedName name="XRefCopy14" localSheetId="7" hidden="1">#REF!</definedName>
    <definedName name="XRefCopy14" hidden="1">#REF!</definedName>
    <definedName name="XRefCopy14Row" localSheetId="20" hidden="1">#REF!</definedName>
    <definedName name="XRefCopy14Row" localSheetId="7" hidden="1">#REF!</definedName>
    <definedName name="XRefCopy14Row" hidden="1">#REF!</definedName>
    <definedName name="XRefCopy15" localSheetId="20" hidden="1">#REF!</definedName>
    <definedName name="XRefCopy15" localSheetId="7" hidden="1">#REF!</definedName>
    <definedName name="XRefCopy15" hidden="1">#REF!</definedName>
    <definedName name="XRefCopy15Row" localSheetId="20" hidden="1">#REF!</definedName>
    <definedName name="XRefCopy15Row" localSheetId="7" hidden="1">#REF!</definedName>
    <definedName name="XRefCopy15Row" hidden="1">#REF!</definedName>
    <definedName name="XRefCopy16" localSheetId="20" hidden="1">#REF!</definedName>
    <definedName name="XRefCopy16" localSheetId="7" hidden="1">#REF!</definedName>
    <definedName name="XRefCopy16" hidden="1">#REF!</definedName>
    <definedName name="XRefCopy16Row" localSheetId="20" hidden="1">#REF!</definedName>
    <definedName name="XRefCopy16Row" localSheetId="7" hidden="1">#REF!</definedName>
    <definedName name="XRefCopy16Row" hidden="1">#REF!</definedName>
    <definedName name="XRefCopy17" localSheetId="20" hidden="1">#REF!</definedName>
    <definedName name="XRefCopy17" localSheetId="7" hidden="1">#REF!</definedName>
    <definedName name="XRefCopy17" hidden="1">#REF!</definedName>
    <definedName name="XRefCopy17Row" localSheetId="20" hidden="1">#REF!</definedName>
    <definedName name="XRefCopy17Row" localSheetId="7" hidden="1">#REF!</definedName>
    <definedName name="XRefCopy17Row" hidden="1">#REF!</definedName>
    <definedName name="XRefCopy18Row" localSheetId="20" hidden="1">#REF!</definedName>
    <definedName name="XRefCopy18Row" localSheetId="7" hidden="1">#REF!</definedName>
    <definedName name="XRefCopy18Row" hidden="1">#REF!</definedName>
    <definedName name="XRefCopy19" localSheetId="20" hidden="1">#REF!</definedName>
    <definedName name="XRefCopy19" localSheetId="7" hidden="1">#REF!</definedName>
    <definedName name="XRefCopy19" hidden="1">#REF!</definedName>
    <definedName name="XRefCopy1Row" localSheetId="20" hidden="1">#REF!</definedName>
    <definedName name="XRefCopy1Row" localSheetId="7" hidden="1">#REF!</definedName>
    <definedName name="XRefCopy1Row" hidden="1">#REF!</definedName>
    <definedName name="XRefCopy2" localSheetId="20" hidden="1">#REF!</definedName>
    <definedName name="XRefCopy2" localSheetId="7" hidden="1">#REF!</definedName>
    <definedName name="XRefCopy2" hidden="1">#REF!</definedName>
    <definedName name="XRefCopy20Row" localSheetId="20" hidden="1">#REF!</definedName>
    <definedName name="XRefCopy20Row" localSheetId="7" hidden="1">#REF!</definedName>
    <definedName name="XRefCopy20Row" hidden="1">#REF!</definedName>
    <definedName name="XRefCopy21" localSheetId="20" hidden="1">#REF!</definedName>
    <definedName name="XRefCopy21" localSheetId="7" hidden="1">#REF!</definedName>
    <definedName name="XRefCopy21" hidden="1">#REF!</definedName>
    <definedName name="XRefCopy21Row" localSheetId="20" hidden="1">#REF!</definedName>
    <definedName name="XRefCopy21Row" localSheetId="7" hidden="1">#REF!</definedName>
    <definedName name="XRefCopy21Row" hidden="1">#REF!</definedName>
    <definedName name="XRefCopy22Row" localSheetId="20" hidden="1">#REF!</definedName>
    <definedName name="XRefCopy22Row" localSheetId="7" hidden="1">#REF!</definedName>
    <definedName name="XRefCopy22Row" hidden="1">#REF!</definedName>
    <definedName name="XRefCopy23Row" localSheetId="20" hidden="1">#REF!</definedName>
    <definedName name="XRefCopy23Row" localSheetId="7" hidden="1">#REF!</definedName>
    <definedName name="XRefCopy23Row" hidden="1">#REF!</definedName>
    <definedName name="XRefCopy24" localSheetId="20" hidden="1">#REF!</definedName>
    <definedName name="XRefCopy24" localSheetId="7" hidden="1">#REF!</definedName>
    <definedName name="XRefCopy24" hidden="1">#REF!</definedName>
    <definedName name="XRefCopy24Row" localSheetId="20" hidden="1">#REF!</definedName>
    <definedName name="XRefCopy24Row" localSheetId="7" hidden="1">#REF!</definedName>
    <definedName name="XRefCopy24Row" hidden="1">#REF!</definedName>
    <definedName name="XRefCopy25" localSheetId="20" hidden="1">#REF!</definedName>
    <definedName name="XRefCopy25" localSheetId="7" hidden="1">#REF!</definedName>
    <definedName name="XRefCopy25" hidden="1">#REF!</definedName>
    <definedName name="XRefCopy25Row" localSheetId="20" hidden="1">#REF!</definedName>
    <definedName name="XRefCopy25Row" localSheetId="7" hidden="1">#REF!</definedName>
    <definedName name="XRefCopy25Row" hidden="1">#REF!</definedName>
    <definedName name="XRefCopy26" localSheetId="20" hidden="1">#REF!</definedName>
    <definedName name="XRefCopy26" localSheetId="7" hidden="1">#REF!</definedName>
    <definedName name="XRefCopy26" hidden="1">#REF!</definedName>
    <definedName name="XRefCopy26Row" localSheetId="20" hidden="1">#REF!</definedName>
    <definedName name="XRefCopy26Row" localSheetId="7" hidden="1">#REF!</definedName>
    <definedName name="XRefCopy26Row" hidden="1">#REF!</definedName>
    <definedName name="XRefCopy27" localSheetId="20" hidden="1">#REF!</definedName>
    <definedName name="XRefCopy27" localSheetId="7" hidden="1">#REF!</definedName>
    <definedName name="XRefCopy27" hidden="1">#REF!</definedName>
    <definedName name="XRefCopy27Row" localSheetId="20" hidden="1">#REF!</definedName>
    <definedName name="XRefCopy27Row" localSheetId="7" hidden="1">#REF!</definedName>
    <definedName name="XRefCopy27Row" hidden="1">#REF!</definedName>
    <definedName name="XRefCopy28" localSheetId="20" hidden="1">#REF!</definedName>
    <definedName name="XRefCopy28" localSheetId="7" hidden="1">#REF!</definedName>
    <definedName name="XRefCopy28" hidden="1">#REF!</definedName>
    <definedName name="XRefCopy28Row" localSheetId="20" hidden="1">#REF!</definedName>
    <definedName name="XRefCopy28Row" localSheetId="7" hidden="1">#REF!</definedName>
    <definedName name="XRefCopy28Row" hidden="1">#REF!</definedName>
    <definedName name="XRefCopy29" localSheetId="20" hidden="1">#REF!</definedName>
    <definedName name="XRefCopy29" localSheetId="7" hidden="1">#REF!</definedName>
    <definedName name="XRefCopy29" hidden="1">#REF!</definedName>
    <definedName name="XRefCopy29Row" localSheetId="20" hidden="1">#REF!</definedName>
    <definedName name="XRefCopy29Row" localSheetId="7" hidden="1">#REF!</definedName>
    <definedName name="XRefCopy29Row" hidden="1">#REF!</definedName>
    <definedName name="XRefCopy2Row" localSheetId="20" hidden="1">#REF!</definedName>
    <definedName name="XRefCopy2Row" localSheetId="7" hidden="1">#REF!</definedName>
    <definedName name="XRefCopy2Row" hidden="1">#REF!</definedName>
    <definedName name="XRefCopy3" localSheetId="20" hidden="1">#REF!</definedName>
    <definedName name="XRefCopy3" localSheetId="7" hidden="1">#REF!</definedName>
    <definedName name="XRefCopy3" hidden="1">#REF!</definedName>
    <definedName name="XRefCopy30" localSheetId="20" hidden="1">#REF!</definedName>
    <definedName name="XRefCopy30" localSheetId="7" hidden="1">#REF!</definedName>
    <definedName name="XRefCopy30" hidden="1">#REF!</definedName>
    <definedName name="XRefCopy30Row" localSheetId="20" hidden="1">#REF!</definedName>
    <definedName name="XRefCopy30Row" localSheetId="7" hidden="1">#REF!</definedName>
    <definedName name="XRefCopy30Row" hidden="1">#REF!</definedName>
    <definedName name="XRefCopy31" localSheetId="20" hidden="1">#REF!</definedName>
    <definedName name="XRefCopy31" localSheetId="7" hidden="1">#REF!</definedName>
    <definedName name="XRefCopy31" hidden="1">#REF!</definedName>
    <definedName name="XRefCopy31Row" localSheetId="20" hidden="1">#REF!</definedName>
    <definedName name="XRefCopy31Row" localSheetId="7" hidden="1">#REF!</definedName>
    <definedName name="XRefCopy31Row" hidden="1">#REF!</definedName>
    <definedName name="XRefCopy32" localSheetId="20" hidden="1">#REF!</definedName>
    <definedName name="XRefCopy32" localSheetId="7" hidden="1">#REF!</definedName>
    <definedName name="XRefCopy32" hidden="1">#REF!</definedName>
    <definedName name="XRefCopy32Row" localSheetId="20" hidden="1">#REF!</definedName>
    <definedName name="XRefCopy32Row" localSheetId="7" hidden="1">#REF!</definedName>
    <definedName name="XRefCopy32Row" hidden="1">#REF!</definedName>
    <definedName name="XRefCopy33" localSheetId="20" hidden="1">#REF!</definedName>
    <definedName name="XRefCopy33" localSheetId="7" hidden="1">#REF!</definedName>
    <definedName name="XRefCopy33" hidden="1">#REF!</definedName>
    <definedName name="XRefCopy33Row" localSheetId="20" hidden="1">#REF!</definedName>
    <definedName name="XRefCopy33Row" localSheetId="7" hidden="1">#REF!</definedName>
    <definedName name="XRefCopy33Row" hidden="1">#REF!</definedName>
    <definedName name="XRefCopy34" localSheetId="20" hidden="1">#REF!</definedName>
    <definedName name="XRefCopy34" localSheetId="7" hidden="1">#REF!</definedName>
    <definedName name="XRefCopy34" hidden="1">#REF!</definedName>
    <definedName name="XRefCopy34Row" localSheetId="20" hidden="1">#REF!</definedName>
    <definedName name="XRefCopy34Row" localSheetId="7" hidden="1">#REF!</definedName>
    <definedName name="XRefCopy34Row" hidden="1">#REF!</definedName>
    <definedName name="XRefCopy35" localSheetId="20" hidden="1">#REF!</definedName>
    <definedName name="XRefCopy35" localSheetId="7" hidden="1">#REF!</definedName>
    <definedName name="XRefCopy35" hidden="1">#REF!</definedName>
    <definedName name="XRefCopy35Row" localSheetId="20" hidden="1">#REF!</definedName>
    <definedName name="XRefCopy35Row" localSheetId="7" hidden="1">#REF!</definedName>
    <definedName name="XRefCopy35Row" hidden="1">#REF!</definedName>
    <definedName name="XRefCopy36" localSheetId="20" hidden="1">#REF!</definedName>
    <definedName name="XRefCopy36" localSheetId="7" hidden="1">#REF!</definedName>
    <definedName name="XRefCopy36" hidden="1">#REF!</definedName>
    <definedName name="XRefCopy36Row" localSheetId="20" hidden="1">#REF!</definedName>
    <definedName name="XRefCopy36Row" localSheetId="7" hidden="1">#REF!</definedName>
    <definedName name="XRefCopy36Row" hidden="1">#REF!</definedName>
    <definedName name="XRefCopy37" localSheetId="20" hidden="1">#REF!</definedName>
    <definedName name="XRefCopy37" localSheetId="7" hidden="1">#REF!</definedName>
    <definedName name="XRefCopy37" hidden="1">#REF!</definedName>
    <definedName name="XRefCopy37Row" localSheetId="20" hidden="1">#REF!</definedName>
    <definedName name="XRefCopy37Row" localSheetId="7" hidden="1">#REF!</definedName>
    <definedName name="XRefCopy37Row" hidden="1">#REF!</definedName>
    <definedName name="XRefCopy38" localSheetId="20" hidden="1">#REF!</definedName>
    <definedName name="XRefCopy38" localSheetId="7" hidden="1">#REF!</definedName>
    <definedName name="XRefCopy38" hidden="1">#REF!</definedName>
    <definedName name="XRefCopy38Row" localSheetId="20" hidden="1">#REF!</definedName>
    <definedName name="XRefCopy38Row" localSheetId="7" hidden="1">#REF!</definedName>
    <definedName name="XRefCopy38Row" hidden="1">#REF!</definedName>
    <definedName name="XRefCopy39" localSheetId="20" hidden="1">#REF!</definedName>
    <definedName name="XRefCopy39" localSheetId="7" hidden="1">#REF!</definedName>
    <definedName name="XRefCopy39" hidden="1">#REF!</definedName>
    <definedName name="XRefCopy39Row" localSheetId="20" hidden="1">#REF!</definedName>
    <definedName name="XRefCopy39Row" localSheetId="7" hidden="1">#REF!</definedName>
    <definedName name="XRefCopy39Row" hidden="1">#REF!</definedName>
    <definedName name="XRefCopy3Row" localSheetId="20" hidden="1">#REF!</definedName>
    <definedName name="XRefCopy3Row" localSheetId="7" hidden="1">#REF!</definedName>
    <definedName name="XRefCopy3Row" hidden="1">#REF!</definedName>
    <definedName name="XRefCopy4" localSheetId="20" hidden="1">#REF!</definedName>
    <definedName name="XRefCopy4" localSheetId="7" hidden="1">#REF!</definedName>
    <definedName name="XRefCopy4" hidden="1">#REF!</definedName>
    <definedName name="XRefCopy40" localSheetId="20" hidden="1">#REF!</definedName>
    <definedName name="XRefCopy40" localSheetId="7" hidden="1">#REF!</definedName>
    <definedName name="XRefCopy40" hidden="1">#REF!</definedName>
    <definedName name="XRefCopy40Row" localSheetId="20" hidden="1">#REF!</definedName>
    <definedName name="XRefCopy40Row" localSheetId="7" hidden="1">#REF!</definedName>
    <definedName name="XRefCopy40Row" hidden="1">#REF!</definedName>
    <definedName name="XRefCopy41" localSheetId="20" hidden="1">#REF!</definedName>
    <definedName name="XRefCopy41" localSheetId="7" hidden="1">#REF!</definedName>
    <definedName name="XRefCopy41" hidden="1">#REF!</definedName>
    <definedName name="XRefCopy41Row" localSheetId="20" hidden="1">#REF!</definedName>
    <definedName name="XRefCopy41Row" localSheetId="7" hidden="1">#REF!</definedName>
    <definedName name="XRefCopy41Row" hidden="1">#REF!</definedName>
    <definedName name="XRefCopy42" localSheetId="20" hidden="1">#REF!</definedName>
    <definedName name="XRefCopy42" localSheetId="7" hidden="1">#REF!</definedName>
    <definedName name="XRefCopy42" hidden="1">#REF!</definedName>
    <definedName name="XRefCopy42Row" localSheetId="20" hidden="1">#REF!</definedName>
    <definedName name="XRefCopy42Row" localSheetId="7" hidden="1">#REF!</definedName>
    <definedName name="XRefCopy42Row" hidden="1">#REF!</definedName>
    <definedName name="XRefCopy43" localSheetId="20" hidden="1">#REF!</definedName>
    <definedName name="XRefCopy43" localSheetId="7" hidden="1">#REF!</definedName>
    <definedName name="XRefCopy43" hidden="1">#REF!</definedName>
    <definedName name="XRefCopy43Row" localSheetId="20" hidden="1">#REF!</definedName>
    <definedName name="XRefCopy43Row" localSheetId="7" hidden="1">#REF!</definedName>
    <definedName name="XRefCopy43Row" hidden="1">#REF!</definedName>
    <definedName name="XRefCopy44" localSheetId="20" hidden="1">#REF!</definedName>
    <definedName name="XRefCopy44" localSheetId="7" hidden="1">#REF!</definedName>
    <definedName name="XRefCopy44" hidden="1">#REF!</definedName>
    <definedName name="XRefCopy44Row" localSheetId="20" hidden="1">#REF!</definedName>
    <definedName name="XRefCopy44Row" localSheetId="7" hidden="1">#REF!</definedName>
    <definedName name="XRefCopy44Row" hidden="1">#REF!</definedName>
    <definedName name="XRefCopy45" localSheetId="20" hidden="1">#REF!</definedName>
    <definedName name="XRefCopy45" localSheetId="7" hidden="1">#REF!</definedName>
    <definedName name="XRefCopy45" hidden="1">#REF!</definedName>
    <definedName name="XRefCopy45Row" localSheetId="20" hidden="1">#REF!</definedName>
    <definedName name="XRefCopy45Row" localSheetId="7" hidden="1">#REF!</definedName>
    <definedName name="XRefCopy45Row" hidden="1">#REF!</definedName>
    <definedName name="XRefCopy46" localSheetId="20" hidden="1">#REF!</definedName>
    <definedName name="XRefCopy46" localSheetId="7" hidden="1">#REF!</definedName>
    <definedName name="XRefCopy46" hidden="1">#REF!</definedName>
    <definedName name="XRefCopy46Row" localSheetId="20" hidden="1">#REF!</definedName>
    <definedName name="XRefCopy46Row" localSheetId="7" hidden="1">#REF!</definedName>
    <definedName name="XRefCopy46Row" hidden="1">#REF!</definedName>
    <definedName name="XRefCopy47" localSheetId="20" hidden="1">#REF!</definedName>
    <definedName name="XRefCopy47" localSheetId="7" hidden="1">#REF!</definedName>
    <definedName name="XRefCopy47" hidden="1">#REF!</definedName>
    <definedName name="XRefCopy47Row" localSheetId="20" hidden="1">#REF!</definedName>
    <definedName name="XRefCopy47Row" localSheetId="7" hidden="1">#REF!</definedName>
    <definedName name="XRefCopy47Row" hidden="1">#REF!</definedName>
    <definedName name="XRefCopy49Row" localSheetId="20" hidden="1">#REF!</definedName>
    <definedName name="XRefCopy49Row" localSheetId="7" hidden="1">#REF!</definedName>
    <definedName name="XRefCopy49Row" hidden="1">#REF!</definedName>
    <definedName name="XRefCopy4Row" localSheetId="20" hidden="1">#REF!</definedName>
    <definedName name="XRefCopy4Row" localSheetId="7" hidden="1">#REF!</definedName>
    <definedName name="XRefCopy4Row" hidden="1">#REF!</definedName>
    <definedName name="XRefCopy5" localSheetId="20" hidden="1">#REF!</definedName>
    <definedName name="XRefCopy5" localSheetId="7" hidden="1">#REF!</definedName>
    <definedName name="XRefCopy5" hidden="1">#REF!</definedName>
    <definedName name="XRefCopy50" localSheetId="20" hidden="1">#REF!</definedName>
    <definedName name="XRefCopy50" localSheetId="7" hidden="1">#REF!</definedName>
    <definedName name="XRefCopy50" hidden="1">#REF!</definedName>
    <definedName name="XRefCopy51" localSheetId="20" hidden="1">#REF!</definedName>
    <definedName name="XRefCopy51" localSheetId="7" hidden="1">#REF!</definedName>
    <definedName name="XRefCopy51" hidden="1">#REF!</definedName>
    <definedName name="XRefCopy51Row" localSheetId="20" hidden="1">#REF!</definedName>
    <definedName name="XRefCopy51Row" localSheetId="7" hidden="1">#REF!</definedName>
    <definedName name="XRefCopy51Row" hidden="1">#REF!</definedName>
    <definedName name="XRefCopy52" localSheetId="20" hidden="1">#REF!</definedName>
    <definedName name="XRefCopy52" localSheetId="7" hidden="1">#REF!</definedName>
    <definedName name="XRefCopy52" hidden="1">#REF!</definedName>
    <definedName name="XRefCopy52Row" localSheetId="20" hidden="1">#REF!</definedName>
    <definedName name="XRefCopy52Row" localSheetId="7" hidden="1">#REF!</definedName>
    <definedName name="XRefCopy52Row" hidden="1">#REF!</definedName>
    <definedName name="XRefCopy53" localSheetId="20" hidden="1">#REF!</definedName>
    <definedName name="XRefCopy53" localSheetId="7" hidden="1">#REF!</definedName>
    <definedName name="XRefCopy53" hidden="1">#REF!</definedName>
    <definedName name="XRefCopy53Row" localSheetId="20" hidden="1">#REF!</definedName>
    <definedName name="XRefCopy53Row" localSheetId="7" hidden="1">#REF!</definedName>
    <definedName name="XRefCopy53Row" hidden="1">#REF!</definedName>
    <definedName name="XRefCopy54" localSheetId="20" hidden="1">#REF!</definedName>
    <definedName name="XRefCopy54" localSheetId="7" hidden="1">#REF!</definedName>
    <definedName name="XRefCopy54" hidden="1">#REF!</definedName>
    <definedName name="XRefCopy54Row" localSheetId="20" hidden="1">#REF!</definedName>
    <definedName name="XRefCopy54Row" localSheetId="7" hidden="1">#REF!</definedName>
    <definedName name="XRefCopy54Row" hidden="1">#REF!</definedName>
    <definedName name="XRefCopy55" localSheetId="20" hidden="1">#REF!</definedName>
    <definedName name="XRefCopy55" localSheetId="7" hidden="1">#REF!</definedName>
    <definedName name="XRefCopy55" hidden="1">#REF!</definedName>
    <definedName name="XRefCopy55Row" localSheetId="20" hidden="1">#REF!</definedName>
    <definedName name="XRefCopy55Row" localSheetId="7" hidden="1">#REF!</definedName>
    <definedName name="XRefCopy55Row" hidden="1">#REF!</definedName>
    <definedName name="XRefCopy56" localSheetId="20" hidden="1">#REF!</definedName>
    <definedName name="XRefCopy56" localSheetId="7" hidden="1">#REF!</definedName>
    <definedName name="XRefCopy56" hidden="1">#REF!</definedName>
    <definedName name="XRefCopy56Row" localSheetId="20" hidden="1">#REF!</definedName>
    <definedName name="XRefCopy56Row" localSheetId="7" hidden="1">#REF!</definedName>
    <definedName name="XRefCopy56Row" hidden="1">#REF!</definedName>
    <definedName name="XRefCopy57" localSheetId="20" hidden="1">#REF!</definedName>
    <definedName name="XRefCopy57" localSheetId="7" hidden="1">#REF!</definedName>
    <definedName name="XRefCopy57" hidden="1">#REF!</definedName>
    <definedName name="XRefCopy57Row" localSheetId="20" hidden="1">#REF!</definedName>
    <definedName name="XRefCopy57Row" localSheetId="7" hidden="1">#REF!</definedName>
    <definedName name="XRefCopy57Row" hidden="1">#REF!</definedName>
    <definedName name="XRefCopy58" localSheetId="20" hidden="1">#REF!</definedName>
    <definedName name="XRefCopy58" localSheetId="7" hidden="1">#REF!</definedName>
    <definedName name="XRefCopy58" hidden="1">#REF!</definedName>
    <definedName name="XRefCopy58Row" localSheetId="20" hidden="1">#REF!</definedName>
    <definedName name="XRefCopy58Row" localSheetId="7" hidden="1">#REF!</definedName>
    <definedName name="XRefCopy58Row" hidden="1">#REF!</definedName>
    <definedName name="XRefCopy59" localSheetId="20" hidden="1">#REF!</definedName>
    <definedName name="XRefCopy59" localSheetId="7" hidden="1">#REF!</definedName>
    <definedName name="XRefCopy59" hidden="1">#REF!</definedName>
    <definedName name="XRefCopy59Row" localSheetId="20" hidden="1">#REF!</definedName>
    <definedName name="XRefCopy59Row" localSheetId="7" hidden="1">#REF!</definedName>
    <definedName name="XRefCopy59Row" hidden="1">#REF!</definedName>
    <definedName name="XRefCopy6" localSheetId="20" hidden="1">#REF!</definedName>
    <definedName name="XRefCopy6" localSheetId="7" hidden="1">#REF!</definedName>
    <definedName name="XRefCopy6" hidden="1">#REF!</definedName>
    <definedName name="XRefCopy60" localSheetId="20" hidden="1">#REF!</definedName>
    <definedName name="XRefCopy60" localSheetId="7" hidden="1">#REF!</definedName>
    <definedName name="XRefCopy60" hidden="1">#REF!</definedName>
    <definedName name="XRefCopy60Row" localSheetId="20" hidden="1">#REF!</definedName>
    <definedName name="XRefCopy60Row" localSheetId="7" hidden="1">#REF!</definedName>
    <definedName name="XRefCopy60Row" hidden="1">#REF!</definedName>
    <definedName name="XRefCopy61" localSheetId="20" hidden="1">#REF!</definedName>
    <definedName name="XRefCopy61" localSheetId="7" hidden="1">#REF!</definedName>
    <definedName name="XRefCopy61" hidden="1">#REF!</definedName>
    <definedName name="XRefCopy61Row" localSheetId="20" hidden="1">#REF!</definedName>
    <definedName name="XRefCopy61Row" localSheetId="7" hidden="1">#REF!</definedName>
    <definedName name="XRefCopy61Row" hidden="1">#REF!</definedName>
    <definedName name="XRefCopy62" localSheetId="20" hidden="1">#REF!</definedName>
    <definedName name="XRefCopy62" localSheetId="7" hidden="1">#REF!</definedName>
    <definedName name="XRefCopy62" hidden="1">#REF!</definedName>
    <definedName name="XRefCopy62Row" localSheetId="20" hidden="1">#REF!</definedName>
    <definedName name="XRefCopy62Row" localSheetId="7" hidden="1">#REF!</definedName>
    <definedName name="XRefCopy62Row" hidden="1">#REF!</definedName>
    <definedName name="XRefCopy63" localSheetId="20" hidden="1">#REF!</definedName>
    <definedName name="XRefCopy63" localSheetId="7" hidden="1">#REF!</definedName>
    <definedName name="XRefCopy63" hidden="1">#REF!</definedName>
    <definedName name="XRefCopy63Row" localSheetId="20" hidden="1">#REF!</definedName>
    <definedName name="XRefCopy63Row" localSheetId="7" hidden="1">#REF!</definedName>
    <definedName name="XRefCopy63Row" hidden="1">#REF!</definedName>
    <definedName name="XRefCopy64" localSheetId="20" hidden="1">#REF!</definedName>
    <definedName name="XRefCopy64" localSheetId="7" hidden="1">#REF!</definedName>
    <definedName name="XRefCopy64" hidden="1">#REF!</definedName>
    <definedName name="XRefCopy64Row" localSheetId="20" hidden="1">#REF!</definedName>
    <definedName name="XRefCopy64Row" localSheetId="7" hidden="1">#REF!</definedName>
    <definedName name="XRefCopy64Row" hidden="1">#REF!</definedName>
    <definedName name="XRefCopy65" localSheetId="20" hidden="1">#REF!</definedName>
    <definedName name="XRefCopy65" localSheetId="7" hidden="1">#REF!</definedName>
    <definedName name="XRefCopy65" hidden="1">#REF!</definedName>
    <definedName name="XRefCopy65Row" localSheetId="20" hidden="1">#REF!</definedName>
    <definedName name="XRefCopy65Row" localSheetId="7" hidden="1">#REF!</definedName>
    <definedName name="XRefCopy65Row" hidden="1">#REF!</definedName>
    <definedName name="XRefCopy66" localSheetId="20" hidden="1">#REF!</definedName>
    <definedName name="XRefCopy66" localSheetId="7" hidden="1">#REF!</definedName>
    <definedName name="XRefCopy66" hidden="1">#REF!</definedName>
    <definedName name="XRefCopy66Row" localSheetId="20" hidden="1">#REF!</definedName>
    <definedName name="XRefCopy66Row" localSheetId="7" hidden="1">#REF!</definedName>
    <definedName name="XRefCopy66Row" hidden="1">#REF!</definedName>
    <definedName name="XRefCopy6Row" localSheetId="20" hidden="1">#REF!</definedName>
    <definedName name="XRefCopy6Row" localSheetId="7" hidden="1">#REF!</definedName>
    <definedName name="XRefCopy6Row" hidden="1">#REF!</definedName>
    <definedName name="XRefCopy7" localSheetId="20" hidden="1">#REF!</definedName>
    <definedName name="XRefCopy7" localSheetId="7" hidden="1">#REF!</definedName>
    <definedName name="XRefCopy7" hidden="1">#REF!</definedName>
    <definedName name="XRefCopy7Row" localSheetId="20" hidden="1">#REF!</definedName>
    <definedName name="XRefCopy7Row" localSheetId="7" hidden="1">#REF!</definedName>
    <definedName name="XRefCopy7Row" hidden="1">#REF!</definedName>
    <definedName name="XRefCopy8" localSheetId="20" hidden="1">#REF!</definedName>
    <definedName name="XRefCopy8" localSheetId="7" hidden="1">#REF!</definedName>
    <definedName name="XRefCopy8" hidden="1">#REF!</definedName>
    <definedName name="XRefCopy8Row" localSheetId="20" hidden="1">#REF!</definedName>
    <definedName name="XRefCopy8Row" localSheetId="7" hidden="1">#REF!</definedName>
    <definedName name="XRefCopy8Row" hidden="1">#REF!</definedName>
    <definedName name="XRefCopy9" localSheetId="20" hidden="1">#REF!</definedName>
    <definedName name="XRefCopy9" localSheetId="7" hidden="1">#REF!</definedName>
    <definedName name="XRefCopy9" hidden="1">#REF!</definedName>
    <definedName name="XRefCopy9Row" localSheetId="20" hidden="1">#REF!</definedName>
    <definedName name="XRefCopy9Row" localSheetId="7" hidden="1">#REF!</definedName>
    <definedName name="XRefCopy9Row" hidden="1">#REF!</definedName>
    <definedName name="XRefCopyRangeCount" hidden="1">8</definedName>
    <definedName name="XRefPaste1" localSheetId="20" hidden="1">#REF!</definedName>
    <definedName name="XRefPaste1" localSheetId="7" hidden="1">#REF!</definedName>
    <definedName name="XRefPaste1" hidden="1">#REF!</definedName>
    <definedName name="XRefPaste104" localSheetId="20" hidden="1">#REF!</definedName>
    <definedName name="XRefPaste104" localSheetId="7" hidden="1">#REF!</definedName>
    <definedName name="XRefPaste104" hidden="1">#REF!</definedName>
    <definedName name="XRefPaste105" localSheetId="20" hidden="1">#REF!</definedName>
    <definedName name="XRefPaste105" localSheetId="7" hidden="1">#REF!</definedName>
    <definedName name="XRefPaste105" hidden="1">#REF!</definedName>
    <definedName name="XRefPaste105Row" localSheetId="20" hidden="1">#REF!</definedName>
    <definedName name="XRefPaste105Row" localSheetId="7" hidden="1">#REF!</definedName>
    <definedName name="XRefPaste105Row" hidden="1">#REF!</definedName>
    <definedName name="XRefPaste106" localSheetId="20" hidden="1">#REF!</definedName>
    <definedName name="XRefPaste106" localSheetId="7" hidden="1">#REF!</definedName>
    <definedName name="XRefPaste106" hidden="1">#REF!</definedName>
    <definedName name="XRefPaste106Row" localSheetId="20" hidden="1">#REF!</definedName>
    <definedName name="XRefPaste106Row" localSheetId="7" hidden="1">#REF!</definedName>
    <definedName name="XRefPaste106Row" hidden="1">#REF!</definedName>
    <definedName name="XRefPaste107" localSheetId="20" hidden="1">#REF!</definedName>
    <definedName name="XRefPaste107" localSheetId="7" hidden="1">#REF!</definedName>
    <definedName name="XRefPaste107" hidden="1">#REF!</definedName>
    <definedName name="XRefPaste107Row" localSheetId="20" hidden="1">#REF!</definedName>
    <definedName name="XRefPaste107Row" localSheetId="7" hidden="1">#REF!</definedName>
    <definedName name="XRefPaste107Row" hidden="1">#REF!</definedName>
    <definedName name="XRefPaste108" localSheetId="20" hidden="1">#REF!</definedName>
    <definedName name="XRefPaste108" localSheetId="7" hidden="1">#REF!</definedName>
    <definedName name="XRefPaste108" hidden="1">#REF!</definedName>
    <definedName name="XRefPaste108Row" localSheetId="20" hidden="1">#REF!</definedName>
    <definedName name="XRefPaste108Row" localSheetId="7" hidden="1">#REF!</definedName>
    <definedName name="XRefPaste108Row" hidden="1">#REF!</definedName>
    <definedName name="XRefPaste109" localSheetId="20" hidden="1">#REF!</definedName>
    <definedName name="XRefPaste109" localSheetId="7" hidden="1">#REF!</definedName>
    <definedName name="XRefPaste109" hidden="1">#REF!</definedName>
    <definedName name="XRefPaste109Row" localSheetId="20" hidden="1">#REF!</definedName>
    <definedName name="XRefPaste109Row" localSheetId="7" hidden="1">#REF!</definedName>
    <definedName name="XRefPaste109Row" hidden="1">#REF!</definedName>
    <definedName name="XRefPaste110" localSheetId="20" hidden="1">#REF!</definedName>
    <definedName name="XRefPaste110" localSheetId="7" hidden="1">#REF!</definedName>
    <definedName name="XRefPaste110" hidden="1">#REF!</definedName>
    <definedName name="XRefPaste110Row" localSheetId="20" hidden="1">#REF!</definedName>
    <definedName name="XRefPaste110Row" localSheetId="7" hidden="1">#REF!</definedName>
    <definedName name="XRefPaste110Row" hidden="1">#REF!</definedName>
    <definedName name="XRefPaste111" localSheetId="20" hidden="1">#REF!</definedName>
    <definedName name="XRefPaste111" localSheetId="7" hidden="1">#REF!</definedName>
    <definedName name="XRefPaste111" hidden="1">#REF!</definedName>
    <definedName name="XRefPaste111Row" localSheetId="20" hidden="1">#REF!</definedName>
    <definedName name="XRefPaste111Row" localSheetId="7" hidden="1">#REF!</definedName>
    <definedName name="XRefPaste111Row" hidden="1">#REF!</definedName>
    <definedName name="XRefPaste112" localSheetId="20" hidden="1">#REF!</definedName>
    <definedName name="XRefPaste112" localSheetId="7" hidden="1">#REF!</definedName>
    <definedName name="XRefPaste112" hidden="1">#REF!</definedName>
    <definedName name="XRefPaste112Row" localSheetId="20" hidden="1">#REF!</definedName>
    <definedName name="XRefPaste112Row" localSheetId="7" hidden="1">#REF!</definedName>
    <definedName name="XRefPaste112Row" hidden="1">#REF!</definedName>
    <definedName name="XRefPaste113" localSheetId="20" hidden="1">#REF!</definedName>
    <definedName name="XRefPaste113" localSheetId="7" hidden="1">#REF!</definedName>
    <definedName name="XRefPaste113" hidden="1">#REF!</definedName>
    <definedName name="XRefPaste113Row" localSheetId="20" hidden="1">#REF!</definedName>
    <definedName name="XRefPaste113Row" localSheetId="7" hidden="1">#REF!</definedName>
    <definedName name="XRefPaste113Row" hidden="1">#REF!</definedName>
    <definedName name="XRefPaste114" localSheetId="20" hidden="1">#REF!</definedName>
    <definedName name="XRefPaste114" localSheetId="7" hidden="1">#REF!</definedName>
    <definedName name="XRefPaste114" hidden="1">#REF!</definedName>
    <definedName name="XRefPaste114Row" localSheetId="20" hidden="1">#REF!</definedName>
    <definedName name="XRefPaste114Row" localSheetId="7" hidden="1">#REF!</definedName>
    <definedName name="XRefPaste114Row" hidden="1">#REF!</definedName>
    <definedName name="XRefPaste115" localSheetId="20" hidden="1">#REF!</definedName>
    <definedName name="XRefPaste115" localSheetId="7" hidden="1">#REF!</definedName>
    <definedName name="XRefPaste115" hidden="1">#REF!</definedName>
    <definedName name="XRefPaste115Row" localSheetId="20" hidden="1">#REF!</definedName>
    <definedName name="XRefPaste115Row" localSheetId="7" hidden="1">#REF!</definedName>
    <definedName name="XRefPaste115Row" hidden="1">#REF!</definedName>
    <definedName name="XRefPaste116" localSheetId="20" hidden="1">#REF!</definedName>
    <definedName name="XRefPaste116" localSheetId="7" hidden="1">#REF!</definedName>
    <definedName name="XRefPaste116" hidden="1">#REF!</definedName>
    <definedName name="XRefPaste116Row" localSheetId="20" hidden="1">#REF!</definedName>
    <definedName name="XRefPaste116Row" localSheetId="7" hidden="1">#REF!</definedName>
    <definedName name="XRefPaste116Row" hidden="1">#REF!</definedName>
    <definedName name="XRefPaste117" localSheetId="20" hidden="1">#REF!</definedName>
    <definedName name="XRefPaste117" localSheetId="7" hidden="1">#REF!</definedName>
    <definedName name="XRefPaste117" hidden="1">#REF!</definedName>
    <definedName name="XRefPaste117Row" localSheetId="20" hidden="1">#REF!</definedName>
    <definedName name="XRefPaste117Row" localSheetId="7" hidden="1">#REF!</definedName>
    <definedName name="XRefPaste117Row" hidden="1">#REF!</definedName>
    <definedName name="XRefPaste118" localSheetId="20" hidden="1">#REF!</definedName>
    <definedName name="XRefPaste118" localSheetId="7" hidden="1">#REF!</definedName>
    <definedName name="XRefPaste118" hidden="1">#REF!</definedName>
    <definedName name="XRefPaste118Row" localSheetId="20" hidden="1">#REF!</definedName>
    <definedName name="XRefPaste118Row" localSheetId="7" hidden="1">#REF!</definedName>
    <definedName name="XRefPaste118Row" hidden="1">#REF!</definedName>
    <definedName name="XRefPaste119" localSheetId="20" hidden="1">#REF!</definedName>
    <definedName name="XRefPaste119" localSheetId="7" hidden="1">#REF!</definedName>
    <definedName name="XRefPaste119" hidden="1">#REF!</definedName>
    <definedName name="XRefPaste119Row" localSheetId="20" hidden="1">#REF!</definedName>
    <definedName name="XRefPaste119Row" localSheetId="7" hidden="1">#REF!</definedName>
    <definedName name="XRefPaste119Row" hidden="1">#REF!</definedName>
    <definedName name="XRefPaste12" localSheetId="20" hidden="1">#REF!</definedName>
    <definedName name="XRefPaste12" localSheetId="7" hidden="1">#REF!</definedName>
    <definedName name="XRefPaste12" hidden="1">#REF!</definedName>
    <definedName name="XRefPaste120" localSheetId="20" hidden="1">#REF!</definedName>
    <definedName name="XRefPaste120" localSheetId="7" hidden="1">#REF!</definedName>
    <definedName name="XRefPaste120" hidden="1">#REF!</definedName>
    <definedName name="XRefPaste120Row" localSheetId="20" hidden="1">#REF!</definedName>
    <definedName name="XRefPaste120Row" localSheetId="7" hidden="1">#REF!</definedName>
    <definedName name="XRefPaste120Row" hidden="1">#REF!</definedName>
    <definedName name="XRefPaste121" localSheetId="20" hidden="1">#REF!</definedName>
    <definedName name="XRefPaste121" localSheetId="7" hidden="1">#REF!</definedName>
    <definedName name="XRefPaste121" hidden="1">#REF!</definedName>
    <definedName name="XRefPaste121Row" localSheetId="20" hidden="1">#REF!</definedName>
    <definedName name="XRefPaste121Row" localSheetId="7" hidden="1">#REF!</definedName>
    <definedName name="XRefPaste121Row" hidden="1">#REF!</definedName>
    <definedName name="XRefPaste122" localSheetId="20" hidden="1">#REF!</definedName>
    <definedName name="XRefPaste122" localSheetId="7" hidden="1">#REF!</definedName>
    <definedName name="XRefPaste122" hidden="1">#REF!</definedName>
    <definedName name="XRefPaste122Row" localSheetId="20" hidden="1">#REF!</definedName>
    <definedName name="XRefPaste122Row" localSheetId="7" hidden="1">#REF!</definedName>
    <definedName name="XRefPaste122Row" hidden="1">#REF!</definedName>
    <definedName name="XRefPaste13" localSheetId="20" hidden="1">#REF!</definedName>
    <definedName name="XRefPaste13" localSheetId="7" hidden="1">#REF!</definedName>
    <definedName name="XRefPaste13" hidden="1">#REF!</definedName>
    <definedName name="XRefPaste13Row" localSheetId="20" hidden="1">#REF!</definedName>
    <definedName name="XRefPaste13Row" localSheetId="7" hidden="1">#REF!</definedName>
    <definedName name="XRefPaste13Row" hidden="1">#REF!</definedName>
    <definedName name="XRefPaste14" localSheetId="20" hidden="1">#REF!</definedName>
    <definedName name="XRefPaste14" localSheetId="7" hidden="1">#REF!</definedName>
    <definedName name="XRefPaste14" hidden="1">#REF!</definedName>
    <definedName name="XRefPaste15" localSheetId="20" hidden="1">#REF!</definedName>
    <definedName name="XRefPaste15" localSheetId="7" hidden="1">#REF!</definedName>
    <definedName name="XRefPaste15" hidden="1">#REF!</definedName>
    <definedName name="XRefPaste15Row" localSheetId="20" hidden="1">#REF!</definedName>
    <definedName name="XRefPaste15Row" localSheetId="7" hidden="1">#REF!</definedName>
    <definedName name="XRefPaste15Row" hidden="1">#REF!</definedName>
    <definedName name="XRefPaste16" localSheetId="20" hidden="1">#REF!</definedName>
    <definedName name="XRefPaste16" localSheetId="7" hidden="1">#REF!</definedName>
    <definedName name="XRefPaste16" hidden="1">#REF!</definedName>
    <definedName name="XRefPaste17" localSheetId="20" hidden="1">#REF!</definedName>
    <definedName name="XRefPaste17" localSheetId="7" hidden="1">#REF!</definedName>
    <definedName name="XRefPaste17" hidden="1">#REF!</definedName>
    <definedName name="XRefPaste17Row" localSheetId="20" hidden="1">#REF!</definedName>
    <definedName name="XRefPaste17Row" localSheetId="7" hidden="1">#REF!</definedName>
    <definedName name="XRefPaste17Row" hidden="1">#REF!</definedName>
    <definedName name="XRefPaste18" localSheetId="20" hidden="1">#REF!</definedName>
    <definedName name="XRefPaste18" localSheetId="7" hidden="1">#REF!</definedName>
    <definedName name="XRefPaste18" hidden="1">#REF!</definedName>
    <definedName name="XRefPaste18Row" localSheetId="20" hidden="1">#REF!</definedName>
    <definedName name="XRefPaste18Row" localSheetId="7" hidden="1">#REF!</definedName>
    <definedName name="XRefPaste18Row" hidden="1">#REF!</definedName>
    <definedName name="XRefPaste19" localSheetId="20" hidden="1">#REF!</definedName>
    <definedName name="XRefPaste19" localSheetId="7" hidden="1">#REF!</definedName>
    <definedName name="XRefPaste19" hidden="1">#REF!</definedName>
    <definedName name="XRefPaste19Row" localSheetId="20" hidden="1">#REF!</definedName>
    <definedName name="XRefPaste19Row" localSheetId="7" hidden="1">#REF!</definedName>
    <definedName name="XRefPaste19Row" hidden="1">#REF!</definedName>
    <definedName name="XRefPaste1Row" localSheetId="20" hidden="1">#REF!</definedName>
    <definedName name="XRefPaste1Row" localSheetId="7" hidden="1">#REF!</definedName>
    <definedName name="XRefPaste1Row" hidden="1">#REF!</definedName>
    <definedName name="XRefPaste2" localSheetId="20" hidden="1">#REF!</definedName>
    <definedName name="XRefPaste2" localSheetId="7" hidden="1">#REF!</definedName>
    <definedName name="XRefPaste2" hidden="1">#REF!</definedName>
    <definedName name="XRefPaste20" localSheetId="20" hidden="1">#REF!</definedName>
    <definedName name="XRefPaste20" localSheetId="7" hidden="1">#REF!</definedName>
    <definedName name="XRefPaste20" hidden="1">#REF!</definedName>
    <definedName name="XRefPaste21" localSheetId="20" hidden="1">#REF!</definedName>
    <definedName name="XRefPaste21" localSheetId="7" hidden="1">#REF!</definedName>
    <definedName name="XRefPaste21" hidden="1">#REF!</definedName>
    <definedName name="XRefPaste21Row" localSheetId="20" hidden="1">#REF!</definedName>
    <definedName name="XRefPaste21Row" localSheetId="7" hidden="1">#REF!</definedName>
    <definedName name="XRefPaste21Row" hidden="1">#REF!</definedName>
    <definedName name="XRefPaste22" localSheetId="20" hidden="1">#REF!</definedName>
    <definedName name="XRefPaste22" localSheetId="7" hidden="1">#REF!</definedName>
    <definedName name="XRefPaste22" hidden="1">#REF!</definedName>
    <definedName name="XRefPaste22Row" localSheetId="20" hidden="1">#REF!</definedName>
    <definedName name="XRefPaste22Row" localSheetId="7" hidden="1">#REF!</definedName>
    <definedName name="XRefPaste22Row" hidden="1">#REF!</definedName>
    <definedName name="XRefPaste23" localSheetId="20" hidden="1">#REF!</definedName>
    <definedName name="XRefPaste23" localSheetId="7" hidden="1">#REF!</definedName>
    <definedName name="XRefPaste23" hidden="1">#REF!</definedName>
    <definedName name="XRefPaste23Row" localSheetId="20" hidden="1">#REF!</definedName>
    <definedName name="XRefPaste23Row" localSheetId="7" hidden="1">#REF!</definedName>
    <definedName name="XRefPaste23Row" hidden="1">#REF!</definedName>
    <definedName name="XRefPaste24" localSheetId="20" hidden="1">#REF!</definedName>
    <definedName name="XRefPaste24" localSheetId="7" hidden="1">#REF!</definedName>
    <definedName name="XRefPaste24" hidden="1">#REF!</definedName>
    <definedName name="XRefPaste24Row" localSheetId="20" hidden="1">#REF!</definedName>
    <definedName name="XRefPaste24Row" localSheetId="7" hidden="1">#REF!</definedName>
    <definedName name="XRefPaste24Row" hidden="1">#REF!</definedName>
    <definedName name="XRefPaste25" localSheetId="20" hidden="1">#REF!</definedName>
    <definedName name="XRefPaste25" localSheetId="7" hidden="1">#REF!</definedName>
    <definedName name="XRefPaste25" hidden="1">#REF!</definedName>
    <definedName name="XRefPaste25Row" localSheetId="20" hidden="1">#REF!</definedName>
    <definedName name="XRefPaste25Row" localSheetId="7" hidden="1">#REF!</definedName>
    <definedName name="XRefPaste25Row" hidden="1">#REF!</definedName>
    <definedName name="XRefPaste26" localSheetId="20" hidden="1">#REF!</definedName>
    <definedName name="XRefPaste26" localSheetId="7" hidden="1">#REF!</definedName>
    <definedName name="XRefPaste26" hidden="1">#REF!</definedName>
    <definedName name="XRefPaste26Row" localSheetId="20" hidden="1">#REF!</definedName>
    <definedName name="XRefPaste26Row" localSheetId="7" hidden="1">#REF!</definedName>
    <definedName name="XRefPaste26Row" hidden="1">#REF!</definedName>
    <definedName name="XRefPaste27" localSheetId="20" hidden="1">#REF!</definedName>
    <definedName name="XRefPaste27" localSheetId="7" hidden="1">#REF!</definedName>
    <definedName name="XRefPaste27" hidden="1">#REF!</definedName>
    <definedName name="XRefPaste28" localSheetId="20" hidden="1">#REF!</definedName>
    <definedName name="XRefPaste28" localSheetId="7" hidden="1">#REF!</definedName>
    <definedName name="XRefPaste28" hidden="1">#REF!</definedName>
    <definedName name="XRefPaste29" localSheetId="20" hidden="1">#REF!</definedName>
    <definedName name="XRefPaste29" localSheetId="7" hidden="1">#REF!</definedName>
    <definedName name="XRefPaste29" hidden="1">#REF!</definedName>
    <definedName name="XRefPaste29Row" localSheetId="20" hidden="1">#REF!</definedName>
    <definedName name="XRefPaste29Row" localSheetId="7" hidden="1">#REF!</definedName>
    <definedName name="XRefPaste29Row" hidden="1">#REF!</definedName>
    <definedName name="XRefPaste2Row" localSheetId="20" hidden="1">#REF!</definedName>
    <definedName name="XRefPaste2Row" localSheetId="7" hidden="1">#REF!</definedName>
    <definedName name="XRefPaste2Row" hidden="1">#REF!</definedName>
    <definedName name="XRefPaste3" localSheetId="20" hidden="1">#REF!</definedName>
    <definedName name="XRefPaste3" localSheetId="7" hidden="1">#REF!</definedName>
    <definedName name="XRefPaste3" hidden="1">#REF!</definedName>
    <definedName name="XRefPaste30" localSheetId="20" hidden="1">#REF!</definedName>
    <definedName name="XRefPaste30" localSheetId="7" hidden="1">#REF!</definedName>
    <definedName name="XRefPaste30" hidden="1">#REF!</definedName>
    <definedName name="XRefPaste30Row" localSheetId="20" hidden="1">#REF!</definedName>
    <definedName name="XRefPaste30Row" localSheetId="7" hidden="1">#REF!</definedName>
    <definedName name="XRefPaste30Row" hidden="1">#REF!</definedName>
    <definedName name="XRefPaste31" localSheetId="20" hidden="1">#REF!</definedName>
    <definedName name="XRefPaste31" localSheetId="7" hidden="1">#REF!</definedName>
    <definedName name="XRefPaste31" hidden="1">#REF!</definedName>
    <definedName name="XRefPaste31Row" localSheetId="20" hidden="1">#REF!</definedName>
    <definedName name="XRefPaste31Row" localSheetId="7" hidden="1">#REF!</definedName>
    <definedName name="XRefPaste31Row" hidden="1">#REF!</definedName>
    <definedName name="XRefPaste32" localSheetId="20" hidden="1">#REF!</definedName>
    <definedName name="XRefPaste32" localSheetId="7" hidden="1">#REF!</definedName>
    <definedName name="XRefPaste32" hidden="1">#REF!</definedName>
    <definedName name="XRefPaste32Row" localSheetId="20" hidden="1">#REF!</definedName>
    <definedName name="XRefPaste32Row" localSheetId="7" hidden="1">#REF!</definedName>
    <definedName name="XRefPaste32Row" hidden="1">#REF!</definedName>
    <definedName name="XRefPaste33" localSheetId="20" hidden="1">#REF!</definedName>
    <definedName name="XRefPaste33" localSheetId="7" hidden="1">#REF!</definedName>
    <definedName name="XRefPaste33" hidden="1">#REF!</definedName>
    <definedName name="XRefPaste33Row" localSheetId="20" hidden="1">#REF!</definedName>
    <definedName name="XRefPaste33Row" localSheetId="7" hidden="1">#REF!</definedName>
    <definedName name="XRefPaste33Row" hidden="1">#REF!</definedName>
    <definedName name="XRefPaste34" localSheetId="20" hidden="1">#REF!</definedName>
    <definedName name="XRefPaste34" localSheetId="7" hidden="1">#REF!</definedName>
    <definedName name="XRefPaste34" hidden="1">#REF!</definedName>
    <definedName name="XRefPaste34Row" localSheetId="20" hidden="1">#REF!</definedName>
    <definedName name="XRefPaste34Row" localSheetId="7" hidden="1">#REF!</definedName>
    <definedName name="XRefPaste34Row" hidden="1">#REF!</definedName>
    <definedName name="XRefPaste35Row" localSheetId="20" hidden="1">#REF!</definedName>
    <definedName name="XRefPaste35Row" localSheetId="7" hidden="1">#REF!</definedName>
    <definedName name="XRefPaste35Row" hidden="1">#REF!</definedName>
    <definedName name="XRefPaste36" localSheetId="20" hidden="1">#REF!</definedName>
    <definedName name="XRefPaste36" localSheetId="7" hidden="1">#REF!</definedName>
    <definedName name="XRefPaste36" hidden="1">#REF!</definedName>
    <definedName name="XRefPaste36Row" localSheetId="20" hidden="1">#REF!</definedName>
    <definedName name="XRefPaste36Row" localSheetId="7" hidden="1">#REF!</definedName>
    <definedName name="XRefPaste36Row" hidden="1">#REF!</definedName>
    <definedName name="XRefPaste37Row" localSheetId="20" hidden="1">#REF!</definedName>
    <definedName name="XRefPaste37Row" localSheetId="7" hidden="1">#REF!</definedName>
    <definedName name="XRefPaste37Row" hidden="1">#REF!</definedName>
    <definedName name="XRefPaste38" localSheetId="20" hidden="1">#REF!</definedName>
    <definedName name="XRefPaste38" localSheetId="7" hidden="1">#REF!</definedName>
    <definedName name="XRefPaste38" hidden="1">#REF!</definedName>
    <definedName name="XRefPaste39" localSheetId="20" hidden="1">#REF!</definedName>
    <definedName name="XRefPaste39" localSheetId="7" hidden="1">#REF!</definedName>
    <definedName name="XRefPaste39" hidden="1">#REF!</definedName>
    <definedName name="XRefPaste39Row" localSheetId="20" hidden="1">#REF!</definedName>
    <definedName name="XRefPaste39Row" localSheetId="7" hidden="1">#REF!</definedName>
    <definedName name="XRefPaste39Row" hidden="1">#REF!</definedName>
    <definedName name="XRefPaste3Row" localSheetId="20" hidden="1">#REF!</definedName>
    <definedName name="XRefPaste3Row" localSheetId="7" hidden="1">#REF!</definedName>
    <definedName name="XRefPaste3Row" hidden="1">#REF!</definedName>
    <definedName name="XRefPaste40" localSheetId="20" hidden="1">#REF!</definedName>
    <definedName name="XRefPaste40" localSheetId="7" hidden="1">#REF!</definedName>
    <definedName name="XRefPaste40" hidden="1">#REF!</definedName>
    <definedName name="XRefPaste40Row" localSheetId="20" hidden="1">#REF!</definedName>
    <definedName name="XRefPaste40Row" localSheetId="7" hidden="1">#REF!</definedName>
    <definedName name="XRefPaste40Row" hidden="1">#REF!</definedName>
    <definedName name="XRefPaste41" localSheetId="20" hidden="1">#REF!</definedName>
    <definedName name="XRefPaste41" localSheetId="7" hidden="1">#REF!</definedName>
    <definedName name="XRefPaste41" hidden="1">#REF!</definedName>
    <definedName name="XRefPaste41Row" localSheetId="20" hidden="1">#REF!</definedName>
    <definedName name="XRefPaste41Row" localSheetId="7" hidden="1">#REF!</definedName>
    <definedName name="XRefPaste41Row" hidden="1">#REF!</definedName>
    <definedName name="XRefPaste42" localSheetId="20" hidden="1">#REF!</definedName>
    <definedName name="XRefPaste42" localSheetId="7" hidden="1">#REF!</definedName>
    <definedName name="XRefPaste42" hidden="1">#REF!</definedName>
    <definedName name="XRefPaste42Row" localSheetId="20" hidden="1">#REF!</definedName>
    <definedName name="XRefPaste42Row" localSheetId="7" hidden="1">#REF!</definedName>
    <definedName name="XRefPaste42Row" hidden="1">#REF!</definedName>
    <definedName name="XRefPaste43" localSheetId="20" hidden="1">#REF!</definedName>
    <definedName name="XRefPaste43" localSheetId="7" hidden="1">#REF!</definedName>
    <definedName name="XRefPaste43" hidden="1">#REF!</definedName>
    <definedName name="XRefPaste43Row" localSheetId="20" hidden="1">#REF!</definedName>
    <definedName name="XRefPaste43Row" localSheetId="7" hidden="1">#REF!</definedName>
    <definedName name="XRefPaste43Row" hidden="1">#REF!</definedName>
    <definedName name="XRefPaste44" localSheetId="20" hidden="1">#REF!</definedName>
    <definedName name="XRefPaste44" localSheetId="7" hidden="1">#REF!</definedName>
    <definedName name="XRefPaste44" hidden="1">#REF!</definedName>
    <definedName name="XRefPaste44Row" localSheetId="20" hidden="1">#REF!</definedName>
    <definedName name="XRefPaste44Row" localSheetId="7" hidden="1">#REF!</definedName>
    <definedName name="XRefPaste44Row" hidden="1">#REF!</definedName>
    <definedName name="XRefPaste45" localSheetId="20" hidden="1">#REF!</definedName>
    <definedName name="XRefPaste45" localSheetId="7" hidden="1">#REF!</definedName>
    <definedName name="XRefPaste45" hidden="1">#REF!</definedName>
    <definedName name="XRefPaste46" localSheetId="20" hidden="1">#REF!</definedName>
    <definedName name="XRefPaste46" localSheetId="7" hidden="1">#REF!</definedName>
    <definedName name="XRefPaste46" hidden="1">#REF!</definedName>
    <definedName name="XRefPaste46Row" localSheetId="20" hidden="1">#REF!</definedName>
    <definedName name="XRefPaste46Row" localSheetId="7" hidden="1">#REF!</definedName>
    <definedName name="XRefPaste46Row" hidden="1">#REF!</definedName>
    <definedName name="XRefPaste47" localSheetId="20" hidden="1">#REF!</definedName>
    <definedName name="XRefPaste47" localSheetId="7" hidden="1">#REF!</definedName>
    <definedName name="XRefPaste47" hidden="1">#REF!</definedName>
    <definedName name="XRefPaste47Row" localSheetId="20" hidden="1">#REF!</definedName>
    <definedName name="XRefPaste47Row" localSheetId="7" hidden="1">#REF!</definedName>
    <definedName name="XRefPaste47Row" hidden="1">#REF!</definedName>
    <definedName name="XRefPaste48" localSheetId="20" hidden="1">#REF!</definedName>
    <definedName name="XRefPaste48" localSheetId="7" hidden="1">#REF!</definedName>
    <definedName name="XRefPaste48" hidden="1">#REF!</definedName>
    <definedName name="XRefPaste48Row" localSheetId="20" hidden="1">#REF!</definedName>
    <definedName name="XRefPaste48Row" localSheetId="7" hidden="1">#REF!</definedName>
    <definedName name="XRefPaste48Row" hidden="1">#REF!</definedName>
    <definedName name="XRefPaste49" localSheetId="20" hidden="1">#REF!</definedName>
    <definedName name="XRefPaste49" localSheetId="7" hidden="1">#REF!</definedName>
    <definedName name="XRefPaste49" hidden="1">#REF!</definedName>
    <definedName name="XRefPaste49Row" localSheetId="20" hidden="1">#REF!</definedName>
    <definedName name="XRefPaste49Row" localSheetId="7" hidden="1">#REF!</definedName>
    <definedName name="XRefPaste49Row" hidden="1">#REF!</definedName>
    <definedName name="XRefPaste5" localSheetId="20" hidden="1">#REF!</definedName>
    <definedName name="XRefPaste5" localSheetId="7" hidden="1">#REF!</definedName>
    <definedName name="XRefPaste5" hidden="1">#REF!</definedName>
    <definedName name="XRefPaste50" localSheetId="20" hidden="1">#REF!</definedName>
    <definedName name="XRefPaste50" localSheetId="7" hidden="1">#REF!</definedName>
    <definedName name="XRefPaste50" hidden="1">#REF!</definedName>
    <definedName name="XRefPaste50Row" localSheetId="20" hidden="1">#REF!</definedName>
    <definedName name="XRefPaste50Row" localSheetId="7" hidden="1">#REF!</definedName>
    <definedName name="XRefPaste50Row" hidden="1">#REF!</definedName>
    <definedName name="XRefPaste51" localSheetId="20" hidden="1">#REF!</definedName>
    <definedName name="XRefPaste51" localSheetId="7" hidden="1">#REF!</definedName>
    <definedName name="XRefPaste51" hidden="1">#REF!</definedName>
    <definedName name="XRefPaste51Row" localSheetId="20" hidden="1">#REF!</definedName>
    <definedName name="XRefPaste51Row" localSheetId="7" hidden="1">#REF!</definedName>
    <definedName name="XRefPaste51Row" hidden="1">#REF!</definedName>
    <definedName name="XRefPaste52" localSheetId="20" hidden="1">#REF!</definedName>
    <definedName name="XRefPaste52" localSheetId="7" hidden="1">#REF!</definedName>
    <definedName name="XRefPaste52" hidden="1">#REF!</definedName>
    <definedName name="XRefPaste52Row" localSheetId="20" hidden="1">#REF!</definedName>
    <definedName name="XRefPaste52Row" localSheetId="7" hidden="1">#REF!</definedName>
    <definedName name="XRefPaste52Row" hidden="1">#REF!</definedName>
    <definedName name="XRefPaste53" localSheetId="20" hidden="1">#REF!</definedName>
    <definedName name="XRefPaste53" localSheetId="7" hidden="1">#REF!</definedName>
    <definedName name="XRefPaste53" hidden="1">#REF!</definedName>
    <definedName name="XRefPaste53Row" localSheetId="20" hidden="1">#REF!</definedName>
    <definedName name="XRefPaste53Row" localSheetId="7" hidden="1">#REF!</definedName>
    <definedName name="XRefPaste53Row" hidden="1">#REF!</definedName>
    <definedName name="XRefPaste54" localSheetId="20" hidden="1">#REF!</definedName>
    <definedName name="XRefPaste54" localSheetId="7" hidden="1">#REF!</definedName>
    <definedName name="XRefPaste54" hidden="1">#REF!</definedName>
    <definedName name="XRefPaste54Row" localSheetId="20" hidden="1">#REF!</definedName>
    <definedName name="XRefPaste54Row" localSheetId="7" hidden="1">#REF!</definedName>
    <definedName name="XRefPaste54Row" hidden="1">#REF!</definedName>
    <definedName name="XRefPaste55" localSheetId="20" hidden="1">#REF!</definedName>
    <definedName name="XRefPaste55" localSheetId="7" hidden="1">#REF!</definedName>
    <definedName name="XRefPaste55" hidden="1">#REF!</definedName>
    <definedName name="XRefPaste56" localSheetId="20" hidden="1">#REF!</definedName>
    <definedName name="XRefPaste56" localSheetId="7" hidden="1">#REF!</definedName>
    <definedName name="XRefPaste56" hidden="1">#REF!</definedName>
    <definedName name="XRefPaste56Row" localSheetId="20" hidden="1">#REF!</definedName>
    <definedName name="XRefPaste56Row" localSheetId="7" hidden="1">#REF!</definedName>
    <definedName name="XRefPaste56Row" hidden="1">#REF!</definedName>
    <definedName name="XRefPaste57" localSheetId="20" hidden="1">#REF!</definedName>
    <definedName name="XRefPaste57" localSheetId="7" hidden="1">#REF!</definedName>
    <definedName name="XRefPaste57" hidden="1">#REF!</definedName>
    <definedName name="XRefPaste57Row" localSheetId="20" hidden="1">#REF!</definedName>
    <definedName name="XRefPaste57Row" localSheetId="7" hidden="1">#REF!</definedName>
    <definedName name="XRefPaste57Row" hidden="1">#REF!</definedName>
    <definedName name="XRefPaste58" localSheetId="20" hidden="1">#REF!</definedName>
    <definedName name="XRefPaste58" localSheetId="7" hidden="1">#REF!</definedName>
    <definedName name="XRefPaste58" hidden="1">#REF!</definedName>
    <definedName name="XRefPaste58Row" localSheetId="20" hidden="1">#REF!</definedName>
    <definedName name="XRefPaste58Row" localSheetId="7" hidden="1">#REF!</definedName>
    <definedName name="XRefPaste58Row" hidden="1">#REF!</definedName>
    <definedName name="XRefPaste59" localSheetId="20" hidden="1">#REF!</definedName>
    <definedName name="XRefPaste59" localSheetId="7" hidden="1">#REF!</definedName>
    <definedName name="XRefPaste59" hidden="1">#REF!</definedName>
    <definedName name="XRefPaste59Row" localSheetId="20" hidden="1">#REF!</definedName>
    <definedName name="XRefPaste59Row" localSheetId="7" hidden="1">#REF!</definedName>
    <definedName name="XRefPaste59Row" hidden="1">#REF!</definedName>
    <definedName name="XRefPaste5Row" localSheetId="20" hidden="1">#REF!</definedName>
    <definedName name="XRefPaste5Row" localSheetId="7" hidden="1">#REF!</definedName>
    <definedName name="XRefPaste5Row" hidden="1">#REF!</definedName>
    <definedName name="XRefPaste6" localSheetId="20" hidden="1">#REF!</definedName>
    <definedName name="XRefPaste6" localSheetId="7" hidden="1">#REF!</definedName>
    <definedName name="XRefPaste6" hidden="1">#REF!</definedName>
    <definedName name="XRefPaste60" localSheetId="20" hidden="1">#REF!</definedName>
    <definedName name="XRefPaste60" localSheetId="7" hidden="1">#REF!</definedName>
    <definedName name="XRefPaste60" hidden="1">#REF!</definedName>
    <definedName name="XRefPaste60Row" localSheetId="20" hidden="1">#REF!</definedName>
    <definedName name="XRefPaste60Row" localSheetId="7" hidden="1">#REF!</definedName>
    <definedName name="XRefPaste60Row" hidden="1">#REF!</definedName>
    <definedName name="XRefPaste61" localSheetId="20" hidden="1">#REF!</definedName>
    <definedName name="XRefPaste61" localSheetId="7" hidden="1">#REF!</definedName>
    <definedName name="XRefPaste61" hidden="1">#REF!</definedName>
    <definedName name="XRefPaste61Row" localSheetId="20" hidden="1">#REF!</definedName>
    <definedName name="XRefPaste61Row" localSheetId="7" hidden="1">#REF!</definedName>
    <definedName name="XRefPaste61Row" hidden="1">#REF!</definedName>
    <definedName name="XRefPaste62" localSheetId="20" hidden="1">#REF!</definedName>
    <definedName name="XRefPaste62" localSheetId="7" hidden="1">#REF!</definedName>
    <definedName name="XRefPaste62" hidden="1">#REF!</definedName>
    <definedName name="XRefPaste62Row" localSheetId="20" hidden="1">#REF!</definedName>
    <definedName name="XRefPaste62Row" localSheetId="7" hidden="1">#REF!</definedName>
    <definedName name="XRefPaste62Row" hidden="1">#REF!</definedName>
    <definedName name="XRefPaste6Row" localSheetId="20" hidden="1">#REF!</definedName>
    <definedName name="XRefPaste6Row" localSheetId="7" hidden="1">#REF!</definedName>
    <definedName name="XRefPaste6Row" hidden="1">#REF!</definedName>
    <definedName name="XRefPaste7" localSheetId="20" hidden="1">#REF!</definedName>
    <definedName name="XRefPaste7" localSheetId="7" hidden="1">#REF!</definedName>
    <definedName name="XRefPaste7" hidden="1">#REF!</definedName>
    <definedName name="XRefPaste7Row" localSheetId="20" hidden="1">#REF!</definedName>
    <definedName name="XRefPaste7Row" localSheetId="7" hidden="1">#REF!</definedName>
    <definedName name="XRefPaste7Row" hidden="1">#REF!</definedName>
    <definedName name="XRefPaste8" localSheetId="20" hidden="1">#REF!</definedName>
    <definedName name="XRefPaste8" localSheetId="7" hidden="1">#REF!</definedName>
    <definedName name="XRefPaste8" hidden="1">#REF!</definedName>
    <definedName name="XRefPaste8Row" localSheetId="20" hidden="1">#REF!</definedName>
    <definedName name="XRefPaste8Row" localSheetId="7" hidden="1">#REF!</definedName>
    <definedName name="XRefPaste8Row" hidden="1">#REF!</definedName>
    <definedName name="XRefPaste9" localSheetId="20" hidden="1">#REF!</definedName>
    <definedName name="XRefPaste9" localSheetId="7" hidden="1">#REF!</definedName>
    <definedName name="XRefPaste9" hidden="1">#REF!</definedName>
    <definedName name="XRefPaste9Row" localSheetId="20" hidden="1">#REF!</definedName>
    <definedName name="XRefPaste9Row" localSheetId="7" hidden="1">#REF!</definedName>
    <definedName name="XRefPaste9Row" hidden="1">#REF!</definedName>
    <definedName name="XRefPasteRangeCount" hidden="1">3</definedName>
    <definedName name="_xlnm.Print_Area" localSheetId="13">'FC02'!$A$1:$P$67</definedName>
    <definedName name="_xlnm.Print_Area" localSheetId="15">'FC04'!$A$1:$O$67</definedName>
    <definedName name="_xlnm.Print_Area" localSheetId="16">'FC05'!$A$1:$O$66</definedName>
    <definedName name="_xlnm.Print_Area" localSheetId="17">'FC06'!$A$1:$O$60</definedName>
    <definedName name="_xlnm.Print_Area" localSheetId="5">Performance!$A$1:$AI$56</definedName>
    <definedName name="_xlnm.Print_Area" localSheetId="7">'PnL Before Taxes'!$B$1:$S$61</definedName>
    <definedName name="_xlnm.Print_Area" localSheetId="18">'SA10'!$A$1:$T$51</definedName>
    <definedName name="_xlnm.Print_Area" localSheetId="3">SoCI!$A$1:$I$54</definedName>
    <definedName name="ㄷㄷㄷㄷㄷ" localSheetId="20" hidden="1">#REF!</definedName>
    <definedName name="ㄷㄷㄷㄷㄷ" localSheetId="7" hidden="1">#REF!</definedName>
    <definedName name="ㄷㄷㄷㄷㄷ" hidden="1">#REF!</definedName>
    <definedName name="러허ㅗ" localSheetId="20" hidden="1">#REF!</definedName>
    <definedName name="러허ㅗ" localSheetId="7" hidden="1">#REF!</definedName>
    <definedName name="러허ㅗ" hidden="1">#REF!</definedName>
    <definedName name="매입" localSheetId="20" hidden="1">#REF!</definedName>
    <definedName name="매입" localSheetId="7" hidden="1">#REF!</definedName>
    <definedName name="매입" hidden="1">#REF!</definedName>
    <definedName name="미수수익" hidden="1">{"'보고양식'!$A$58:$K$111"}</definedName>
    <definedName name="바" hidden="1">{#N/A,#N/A,FALSE,"1.CRITERIA";#N/A,#N/A,FALSE,"2.IS";#N/A,#N/A,FALSE,"3.BS";#N/A,#N/A,FALSE,"4.PER PL";#N/A,#N/A,FALSE,"5.INVESTMENT";#N/A,#N/A,FALSE,"6.공문";#N/A,#N/A,FALSE,"7.netinvest"}</definedName>
    <definedName name="바가" hidden="1">{#N/A,#N/A,FALSE,"1.CRITERIA";#N/A,#N/A,FALSE,"2.IS";#N/A,#N/A,FALSE,"3.BS";#N/A,#N/A,FALSE,"4.PER PL";#N/A,#N/A,FALSE,"5.INVESTMENT";#N/A,#N/A,FALSE,"6.공문";#N/A,#N/A,FALSE,"7.netinvest"}</definedName>
    <definedName name="바나" hidden="1">{#N/A,#N/A,FALSE,"1.CRITERIA";#N/A,#N/A,FALSE,"2.IS";#N/A,#N/A,FALSE,"3.BS";#N/A,#N/A,FALSE,"4.PER PL";#N/A,#N/A,FALSE,"5.INVESTMENT";#N/A,#N/A,FALSE,"6.공문";#N/A,#N/A,FALSE,"7.netinvest"}</definedName>
    <definedName name="바다올" hidden="1">{#N/A,#N/A,FALSE,"1.CRITERIA";#N/A,#N/A,FALSE,"2.IS";#N/A,#N/A,FALSE,"3.BS";#N/A,#N/A,FALSE,"4.PER PL";#N/A,#N/A,FALSE,"5.INVESTMENT";#N/A,#N/A,FALSE,"6.공문";#N/A,#N/A,FALSE,"7.netinvest"}</definedName>
    <definedName name="바라" hidden="1">{#N/A,#N/A,FALSE,"1.CRITERIA";#N/A,#N/A,FALSE,"2.IS";#N/A,#N/A,FALSE,"3.BS";#N/A,#N/A,FALSE,"4.PER PL";#N/A,#N/A,FALSE,"5.INVESTMENT";#N/A,#N/A,FALSE,"6.공문";#N/A,#N/A,FALSE,"7.netinvest"}</definedName>
    <definedName name="바라오" hidden="1">{#N/A,#N/A,FALSE,"1.CRITERIA";#N/A,#N/A,FALSE,"2.IS";#N/A,#N/A,FALSE,"3.BS";#N/A,#N/A,FALSE,"4.PER PL";#N/A,#N/A,FALSE,"5.INVESTMENT";#N/A,#N/A,FALSE,"6.공문";#N/A,#N/A,FALSE,"7.netinvest"}</definedName>
    <definedName name="바로" hidden="1">{#N/A,#N/A,FALSE,"1.CRITERIA";#N/A,#N/A,FALSE,"2.IS";#N/A,#N/A,FALSE,"3.BS";#N/A,#N/A,FALSE,"4.PER PL";#N/A,#N/A,FALSE,"5.INVESTMENT";#N/A,#N/A,FALSE,"6.공문";#N/A,#N/A,FALSE,"7.netinvest"}</definedName>
    <definedName name="바바" hidden="1">{#N/A,#N/A,FALSE,"1.CRITERIA";#N/A,#N/A,FALSE,"2.IS";#N/A,#N/A,FALSE,"3.BS";#N/A,#N/A,FALSE,"4.PER PL";#N/A,#N/A,FALSE,"5.INVESTMENT";#N/A,#N/A,FALSE,"6.공문";#N/A,#N/A,FALSE,"7.netinvest"}</definedName>
    <definedName name="바아" hidden="1">{#N/A,#N/A,FALSE,"1.CRITERIA";#N/A,#N/A,FALSE,"2.IS";#N/A,#N/A,FALSE,"3.BS";#N/A,#N/A,FALSE,"4.PER PL";#N/A,#N/A,FALSE,"5.INVESTMENT";#N/A,#N/A,FALSE,"6.공문";#N/A,#N/A,FALSE,"7.netinvest"}</definedName>
    <definedName name="바아가" hidden="1">{#N/A,#N/A,FALSE,"1.CRITERIA";#N/A,#N/A,FALSE,"2.IS";#N/A,#N/A,FALSE,"3.BS";#N/A,#N/A,FALSE,"4.PER PL";#N/A,#N/A,FALSE,"5.INVESTMENT";#N/A,#N/A,FALSE,"6.공문";#N/A,#N/A,FALSE,"7.netinvest"}</definedName>
    <definedName name="바아가오" hidden="1">{#N/A,#N/A,FALSE,"1.CRITERIA";#N/A,#N/A,FALSE,"2.IS";#N/A,#N/A,FALSE,"3.BS";#N/A,#N/A,FALSE,"4.PER PL";#N/A,#N/A,FALSE,"5.INVESTMENT";#N/A,#N/A,FALSE,"6.공문";#N/A,#N/A,FALSE,"7.netinvest"}</definedName>
    <definedName name="바아고" hidden="1">{#N/A,#N/A,FALSE,"1.CRITERIA";#N/A,#N/A,FALSE,"2.IS";#N/A,#N/A,FALSE,"3.BS";#N/A,#N/A,FALSE,"4.PER PL";#N/A,#N/A,FALSE,"5.INVESTMENT";#N/A,#N/A,FALSE,"6.공문";#N/A,#N/A,FALSE,"7.netinvest"}</definedName>
    <definedName name="바이" hidden="1">{#N/A,#N/A,FALSE,"1.CRITERIA";#N/A,#N/A,FALSE,"2.IS";#N/A,#N/A,FALSE,"3.BS";#N/A,#N/A,FALSE,"4.PER PL";#N/A,#N/A,FALSE,"5.INVESTMENT";#N/A,#N/A,FALSE,"6.공문";#N/A,#N/A,FALSE,"7.netinvest"}</definedName>
    <definedName name="박" hidden="1">{#N/A,#N/A,FALSE,"1.CRITERIA";#N/A,#N/A,FALSE,"2.IS";#N/A,#N/A,FALSE,"3.BS";#N/A,#N/A,FALSE,"4.PER PL";#N/A,#N/A,FALSE,"5.INVESTMENT";#N/A,#N/A,FALSE,"6.공문";#N/A,#N/A,FALSE,"7.netinvest"}</definedName>
    <definedName name="발" hidden="1">{#N/A,#N/A,FALSE,"1.CRITERIA";#N/A,#N/A,FALSE,"2.IS";#N/A,#N/A,FALSE,"3.BS";#N/A,#N/A,FALSE,"4.PER PL";#N/A,#N/A,FALSE,"5.INVESTMENT";#N/A,#N/A,FALSE,"6.공문";#N/A,#N/A,FALSE,"7.netinvest"}</definedName>
    <definedName name="배" hidden="1">{#N/A,#N/A,FALSE,"1.CRITERIA";#N/A,#N/A,FALSE,"2.IS";#N/A,#N/A,FALSE,"3.BS";#N/A,#N/A,FALSE,"4.PER PL";#N/A,#N/A,FALSE,"5.INVESTMENT";#N/A,#N/A,FALSE,"6.공문";#N/A,#N/A,FALSE,"7.netinvest"}</definedName>
    <definedName name="버버" hidden="1">{#N/A,#N/A,FALSE,"1.CRITERIA";#N/A,#N/A,FALSE,"2.IS";#N/A,#N/A,FALSE,"3.BS";#N/A,#N/A,FALSE,"4.PER PL";#N/A,#N/A,FALSE,"5.INVESTMENT";#N/A,#N/A,FALSE,"6.공문";#N/A,#N/A,FALSE,"7.netinvest"}</definedName>
    <definedName name="베" hidden="1">{#N/A,#N/A,FALSE,"1.CRITERIA";#N/A,#N/A,FALSE,"2.IS";#N/A,#N/A,FALSE,"3.BS";#N/A,#N/A,FALSE,"4.PER PL";#N/A,#N/A,FALSE,"5.INVESTMENT";#N/A,#N/A,FALSE,"6.공문";#N/A,#N/A,FALSE,"7.netinvest"}</definedName>
    <definedName name="보" hidden="1">{#N/A,#N/A,FALSE,"1.CRITERIA";#N/A,#N/A,FALSE,"2.IS";#N/A,#N/A,FALSE,"3.BS";#N/A,#N/A,FALSE,"4.PER PL";#N/A,#N/A,FALSE,"5.INVESTMENT";#N/A,#N/A,FALSE,"6.공문";#N/A,#N/A,FALSE,"7.netinvest"}</definedName>
    <definedName name="보라차" hidden="1">{#N/A,#N/A,FALSE,"1.CRITERIA";#N/A,#N/A,FALSE,"2.IS";#N/A,#N/A,FALSE,"3.BS";#N/A,#N/A,FALSE,"4.PER PL";#N/A,#N/A,FALSE,"5.INVESTMENT";#N/A,#N/A,FALSE,"6.공문";#N/A,#N/A,FALSE,"7.netinvest"}</definedName>
    <definedName name="보아리" hidden="1">{#N/A,#N/A,FALSE,"1.CRITERIA";#N/A,#N/A,FALSE,"2.IS";#N/A,#N/A,FALSE,"3.BS";#N/A,#N/A,FALSE,"4.PER PL";#N/A,#N/A,FALSE,"5.INVESTMENT";#N/A,#N/A,FALSE,"6.공문";#N/A,#N/A,FALSE,"7.netinvest"}</definedName>
    <definedName name="보이" hidden="1">{#N/A,#N/A,FALSE,"1.CRITERIA";#N/A,#N/A,FALSE,"2.IS";#N/A,#N/A,FALSE,"3.BS";#N/A,#N/A,FALSE,"4.PER PL";#N/A,#N/A,FALSE,"5.INVESTMENT";#N/A,#N/A,FALSE,"6.공문";#N/A,#N/A,FALSE,"7.netinvest"}</definedName>
    <definedName name="보이아" hidden="1">{#N/A,#N/A,FALSE,"1.CRITERIA";#N/A,#N/A,FALSE,"2.IS";#N/A,#N/A,FALSE,"3.BS";#N/A,#N/A,FALSE,"4.PER PL";#N/A,#N/A,FALSE,"5.INVESTMENT";#N/A,#N/A,FALSE,"6.공문";#N/A,#N/A,FALSE,"7.netinvest"}</definedName>
    <definedName name="볼" hidden="1">{#N/A,#N/A,FALSE,"1.CRITERIA";#N/A,#N/A,FALSE,"2.IS";#N/A,#N/A,FALSE,"3.BS";#N/A,#N/A,FALSE,"4.PER PL";#N/A,#N/A,FALSE,"5.INVESTMENT";#N/A,#N/A,FALSE,"6.공문";#N/A,#N/A,FALSE,"7.netinvest"}</definedName>
    <definedName name="봐" hidden="1">{#N/A,#N/A,FALSE,"1.CRITERIA";#N/A,#N/A,FALSE,"2.IS";#N/A,#N/A,FALSE,"3.BS";#N/A,#N/A,FALSE,"4.PER PL";#N/A,#N/A,FALSE,"5.INVESTMENT";#N/A,#N/A,FALSE,"6.공문";#N/A,#N/A,FALSE,"7.netinvest"}</definedName>
    <definedName name="비" hidden="1">{#N/A,#N/A,FALSE,"1.CRITERIA";#N/A,#N/A,FALSE,"2.IS";#N/A,#N/A,FALSE,"3.BS";#N/A,#N/A,FALSE,"4.PER PL";#N/A,#N/A,FALSE,"5.INVESTMENT";#N/A,#N/A,FALSE,"6.공문";#N/A,#N/A,FALSE,"7.netinvest"}</definedName>
    <definedName name="빙수" hidden="1">{#N/A,#N/A,FALSE,"1.CRITERIA";#N/A,#N/A,FALSE,"2.IS";#N/A,#N/A,FALSE,"3.BS";#N/A,#N/A,FALSE,"4.PER PL";#N/A,#N/A,FALSE,"5.INVESTMENT";#N/A,#N/A,FALSE,"6.공문";#N/A,#N/A,FALSE,"7.netinvest"}</definedName>
    <definedName name="ㅅ" hidden="1">{#N/A,#N/A,FALSE,"BS";#N/A,#N/A,FALSE,"PL";#N/A,#N/A,FALSE,"처분";#N/A,#N/A,FALSE,"현금";#N/A,#N/A,FALSE,"매출";#N/A,#N/A,FALSE,"원가";#N/A,#N/A,FALSE,"경영"}</definedName>
    <definedName name="사" hidden="1">{#N/A,#N/A,FALSE,"1.CRITERIA";#N/A,#N/A,FALSE,"2.IS";#N/A,#N/A,FALSE,"3.BS";#N/A,#N/A,FALSE,"4.PER PL";#N/A,#N/A,FALSE,"5.INVESTMENT";#N/A,#N/A,FALSE,"6.공문";#N/A,#N/A,FALSE,"7.netinvest"}</definedName>
    <definedName name="사원미지급" hidden="1">{#N/A,#N/A,FALSE,"1.CRITERIA";#N/A,#N/A,FALSE,"2.IS";#N/A,#N/A,FALSE,"3.BS";#N/A,#N/A,FALSE,"4.PER PL";#N/A,#N/A,FALSE,"5.INVESTMENT";#N/A,#N/A,FALSE,"6.공문";#N/A,#N/A,FALSE,"7.netinvest"}</definedName>
    <definedName name="서이" hidden="1">{#N/A,#N/A,FALSE,"1.CRITERIA";#N/A,#N/A,FALSE,"2.IS";#N/A,#N/A,FALSE,"3.BS";#N/A,#N/A,FALSE,"4.PER PL";#N/A,#N/A,FALSE,"5.INVESTMENT";#N/A,#N/A,FALSE,"6.공문";#N/A,#N/A,FALSE,"7.netinvest"}</definedName>
    <definedName name="선급금" hidden="1">{#N/A,#N/A,FALSE,"1.CRITERIA";#N/A,#N/A,FALSE,"2.IS";#N/A,#N/A,FALSE,"3.BS";#N/A,#N/A,FALSE,"4.PER PL";#N/A,#N/A,FALSE,"5.INVESTMENT";#N/A,#N/A,FALSE,"6.공문";#N/A,#N/A,FALSE,"7.netinvest"}</definedName>
    <definedName name="세무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손실" hidden="1">{#N/A,#N/A,FALSE,"1.CRITERIA";#N/A,#N/A,FALSE,"2.IS";#N/A,#N/A,FALSE,"3.BS";#N/A,#N/A,FALSE,"4.PER PL";#N/A,#N/A,FALSE,"5.INVESTMENT";#N/A,#N/A,FALSE,"6.공문";#N/A,#N/A,FALSE,"7.netinvest"}</definedName>
    <definedName name="수정사항1" hidden="1">{#N/A,#N/A,FALSE,"BS";#N/A,#N/A,FALSE,"PL";#N/A,#N/A,FALSE,"처분";#N/A,#N/A,FALSE,"현금";#N/A,#N/A,FALSE,"매출";#N/A,#N/A,FALSE,"원가";#N/A,#N/A,FALSE,"경영"}</definedName>
    <definedName name="ㅇ" localSheetId="20" hidden="1">#REF!</definedName>
    <definedName name="ㅇ" localSheetId="7" hidden="1">#REF!</definedName>
    <definedName name="ㅇ" hidden="1">#REF!</definedName>
    <definedName name="ㅇㅇ" hidden="1">{#N/A,#N/A,FALSE,"BS";#N/A,#N/A,FALSE,"PL";#N/A,#N/A,FALSE,"처분";#N/A,#N/A,FALSE,"현금";#N/A,#N/A,FALSE,"매출";#N/A,#N/A,FALSE,"원가";#N/A,#N/A,FALSE,"경영"}</definedName>
    <definedName name="ㅇㅇㅇ" hidden="1">{#N/A,#N/A,FALSE,"BS";#N/A,#N/A,FALSE,"PL";#N/A,#N/A,FALSE,"처분";#N/A,#N/A,FALSE,"현금";#N/A,#N/A,FALSE,"매출";#N/A,#N/A,FALSE,"원가";#N/A,#N/A,FALSE,"경영"}</definedName>
    <definedName name="아" hidden="1">{#N/A,#N/A,FALSE,"1.CRITERIA";#N/A,#N/A,FALSE,"2.IS";#N/A,#N/A,FALSE,"3.BS";#N/A,#N/A,FALSE,"4.PER PL";#N/A,#N/A,FALSE,"5.INVESTMENT";#N/A,#N/A,FALSE,"6.공문";#N/A,#N/A,FALSE,"7.netinvest"}</definedName>
    <definedName name="아러" hidden="1">{#N/A,#N/A,FALSE,"BS";#N/A,#N/A,FALSE,"PL";#N/A,#N/A,FALSE,"처분";#N/A,#N/A,FALSE,"현금";#N/A,#N/A,FALSE,"매출";#N/A,#N/A,FALSE,"원가";#N/A,#N/A,FALSE,"경영"}</definedName>
    <definedName name="아아아" hidden="1">{#N/A,#N/A,FALSE,"1.CRITERIA";#N/A,#N/A,FALSE,"2.IS";#N/A,#N/A,FALSE,"3.BS";#N/A,#N/A,FALSE,"4.PER PL";#N/A,#N/A,FALSE,"5.INVESTMENT";#N/A,#N/A,FALSE,"6.공문";#N/A,#N/A,FALSE,"7.netinvest"}</definedName>
    <definedName name="아이" hidden="1">{#N/A,#N/A,FALSE,"1.CRITERIA";#N/A,#N/A,FALSE,"2.IS";#N/A,#N/A,FALSE,"3.BS";#N/A,#N/A,FALSE,"4.PER PL";#N/A,#N/A,FALSE,"5.INVESTMENT";#N/A,#N/A,FALSE,"6.공문";#N/A,#N/A,FALSE,"7.netinvest"}</definedName>
    <definedName name="안건" hidden="1">{#N/A,#N/A,FALSE,"BS";#N/A,#N/A,FALSE,"PL";#N/A,#N/A,FALSE,"처분";#N/A,#N/A,FALSE,"현금";#N/A,#N/A,FALSE,"매출";#N/A,#N/A,FALSE,"원가";#N/A,#N/A,FALSE,"경영"}</definedName>
    <definedName name="어랑" hidden="1">{#N/A,#N/A,FALSE,"BS";#N/A,#N/A,FALSE,"PL";#N/A,#N/A,FALSE,"처분";#N/A,#N/A,FALSE,"현금";#N/A,#N/A,FALSE,"매출";#N/A,#N/A,FALSE,"원가";#N/A,#N/A,FALSE,"경영"}</definedName>
    <definedName name="어어" hidden="1">{#N/A,#N/A,FALSE,"1.CRITERIA";#N/A,#N/A,FALSE,"2.IS";#N/A,#N/A,FALSE,"3.BS";#N/A,#N/A,FALSE,"4.PER PL";#N/A,#N/A,FALSE,"5.INVESTMENT";#N/A,#N/A,FALSE,"6.공문";#N/A,#N/A,FALSE,"7.netinvest"}</definedName>
    <definedName name="여이" hidden="1">{#N/A,#N/A,FALSE,"1.CRITERIA";#N/A,#N/A,FALSE,"2.IS";#N/A,#N/A,FALSE,"3.BS";#N/A,#N/A,FALSE,"4.PER PL";#N/A,#N/A,FALSE,"5.INVESTMENT";#N/A,#N/A,FALSE,"6.공문";#N/A,#N/A,FALSE,"7.netinvest"}</definedName>
    <definedName name="영" hidden="1">{#N/A,#N/A,FALSE,"1.CRITERIA";#N/A,#N/A,FALSE,"2.IS";#N/A,#N/A,FALSE,"3.BS";#N/A,#N/A,FALSE,"4.PER PL";#N/A,#N/A,FALSE,"5.INVESTMENT";#N/A,#N/A,FALSE,"6.공문";#N/A,#N/A,FALSE,"7.netinvest"}</definedName>
    <definedName name="영업" hidden="1">{#N/A,#N/A,FALSE,"1.CRITERIA";#N/A,#N/A,FALSE,"2.IS";#N/A,#N/A,FALSE,"3.BS";#N/A,#N/A,FALSE,"4.PER PL";#N/A,#N/A,FALSE,"5.INVESTMENT";#N/A,#N/A,FALSE,"6.공문";#N/A,#N/A,FALSE,"7.netinvest"}</definedName>
    <definedName name="영업수" hidden="1">{#N/A,#N/A,FALSE,"1.CRITERIA";#N/A,#N/A,FALSE,"2.IS";#N/A,#N/A,FALSE,"3.BS";#N/A,#N/A,FALSE,"4.PER PL";#N/A,#N/A,FALSE,"5.INVESTMENT";#N/A,#N/A,FALSE,"6.공문";#N/A,#N/A,FALSE,"7.netinvest"}</definedName>
    <definedName name="영업수익" hidden="1">{#N/A,#N/A,FALSE,"1.CRITERIA";#N/A,#N/A,FALSE,"2.IS";#N/A,#N/A,FALSE,"3.BS";#N/A,#N/A,FALSE,"4.PER PL";#N/A,#N/A,FALSE,"5.INVESTMENT";#N/A,#N/A,FALSE,"6.공문";#N/A,#N/A,FALSE,"7.netinvest"}</definedName>
    <definedName name="영업외" hidden="1">{#N/A,#N/A,FALSE,"1.CRITERIA";#N/A,#N/A,FALSE,"2.IS";#N/A,#N/A,FALSE,"3.BS";#N/A,#N/A,FALSE,"4.PER PL";#N/A,#N/A,FALSE,"5.INVESTMENT";#N/A,#N/A,FALSE,"6.공문";#N/A,#N/A,FALSE,"7.netinvest"}</definedName>
    <definedName name="영업외비용" hidden="1">{#N/A,#N/A,FALSE,"BS";#N/A,#N/A,FALSE,"PL";#N/A,#N/A,FALSE,"처분";#N/A,#N/A,FALSE,"현금";#N/A,#N/A,FALSE,"매출";#N/A,#N/A,FALSE,"원가";#N/A,#N/A,FALSE,"경영"}</definedName>
    <definedName name="영업외수익" hidden="1">{#N/A,#N/A,FALSE,"1.CRITERIA";#N/A,#N/A,FALSE,"2.IS";#N/A,#N/A,FALSE,"3.BS";#N/A,#N/A,FALSE,"4.PER PL";#N/A,#N/A,FALSE,"5.INVESTMENT";#N/A,#N/A,FALSE,"6.공문";#N/A,#N/A,FALSE,"7.netinvest"}</definedName>
    <definedName name="예금" hidden="1">{#N/A,#N/A,FALSE,"1.CRITERIA";#N/A,#N/A,FALSE,"2.IS";#N/A,#N/A,FALSE,"3.BS";#N/A,#N/A,FALSE,"4.PER PL";#N/A,#N/A,FALSE,"5.INVESTMENT";#N/A,#N/A,FALSE,"6.공문";#N/A,#N/A,FALSE,"7.netinvest"}</definedName>
    <definedName name="오" hidden="1">{#N/A,#N/A,FALSE,"1.CRITERIA";#N/A,#N/A,FALSE,"2.IS";#N/A,#N/A,FALSE,"3.BS";#N/A,#N/A,FALSE,"4.PER PL";#N/A,#N/A,FALSE,"5.INVESTMENT";#N/A,#N/A,FALSE,"6.공문";#N/A,#N/A,FALSE,"7.netinvest"}</definedName>
    <definedName name="외예금" hidden="1">{#N/A,#N/A,FALSE,"1.CRITERIA";#N/A,#N/A,FALSE,"2.IS";#N/A,#N/A,FALSE,"3.BS";#N/A,#N/A,FALSE,"4.PER PL";#N/A,#N/A,FALSE,"5.INVESTMENT";#N/A,#N/A,FALSE,"6.공문";#N/A,#N/A,FALSE,"7.netinvest"}</definedName>
    <definedName name="요" hidden="1">{#N/A,#N/A,FALSE,"1.CRITERIA";#N/A,#N/A,FALSE,"2.IS";#N/A,#N/A,FALSE,"3.BS";#N/A,#N/A,FALSE,"4.PER PL";#N/A,#N/A,FALSE,"5.INVESTMENT";#N/A,#N/A,FALSE,"6.공문";#N/A,#N/A,FALSE,"7.netinvest"}</definedName>
    <definedName name="원가" hidden="1">{#N/A,#N/A,FALSE,"1.CRITERIA";#N/A,#N/A,FALSE,"2.IS";#N/A,#N/A,FALSE,"3.BS";#N/A,#N/A,FALSE,"4.PER PL";#N/A,#N/A,FALSE,"5.INVESTMENT";#N/A,#N/A,FALSE,"6.공문";#N/A,#N/A,FALSE,"7.netinvest"}</definedName>
    <definedName name="원가분석" hidden="1">{#N/A,#N/A,FALSE,"1.CRITERIA";#N/A,#N/A,FALSE,"2.IS";#N/A,#N/A,FALSE,"3.BS";#N/A,#N/A,FALSE,"4.PER PL";#N/A,#N/A,FALSE,"5.INVESTMENT";#N/A,#N/A,FALSE,"6.공문";#N/A,#N/A,FALSE,"7.netinvest"}</definedName>
    <definedName name="월" hidden="1">{#N/A,#N/A,FALSE,"1.CRITERIA";#N/A,#N/A,FALSE,"2.IS";#N/A,#N/A,FALSE,"3.BS";#N/A,#N/A,FALSE,"4.PER PL";#N/A,#N/A,FALSE,"5.INVESTMENT";#N/A,#N/A,FALSE,"6.공문";#N/A,#N/A,FALSE,"7.netinvest"}</definedName>
    <definedName name="월말" hidden="1">{#N/A,#N/A,FALSE,"1.CRITERIA";#N/A,#N/A,FALSE,"2.IS";#N/A,#N/A,FALSE,"3.BS";#N/A,#N/A,FALSE,"4.PER PL";#N/A,#N/A,FALSE,"5.INVESTMENT";#N/A,#N/A,FALSE,"6.공문";#N/A,#N/A,FALSE,"7.netinvest"}</definedName>
    <definedName name="월별" hidden="1">{#N/A,#N/A,FALSE,"1.CRITERIA";#N/A,#N/A,FALSE,"2.IS";#N/A,#N/A,FALSE,"3.BS";#N/A,#N/A,FALSE,"4.PER PL";#N/A,#N/A,FALSE,"5.INVESTMENT";#N/A,#N/A,FALSE,"6.공문";#N/A,#N/A,FALSE,"7.netinvest"}</definedName>
    <definedName name="월별영업비용" hidden="1">{#N/A,#N/A,FALSE,"1.CRITERIA";#N/A,#N/A,FALSE,"2.IS";#N/A,#N/A,FALSE,"3.BS";#N/A,#N/A,FALSE,"4.PER PL";#N/A,#N/A,FALSE,"5.INVESTMENT";#N/A,#N/A,FALSE,"6.공문";#N/A,#N/A,FALSE,"7.netinvest"}</definedName>
    <definedName name="유이" hidden="1">{#N/A,#N/A,FALSE,"1.CRITERIA";#N/A,#N/A,FALSE,"2.IS";#N/A,#N/A,FALSE,"3.BS";#N/A,#N/A,FALSE,"4.PER PL";#N/A,#N/A,FALSE,"5.INVESTMENT";#N/A,#N/A,FALSE,"6.공문";#N/A,#N/A,FALSE,"7.netinvest"}</definedName>
    <definedName name="이근우" hidden="1">{#N/A,#N/A,FALSE,"BS";#N/A,#N/A,FALSE,"PL";#N/A,#N/A,FALSE,"처분";#N/A,#N/A,FALSE,"현금";#N/A,#N/A,FALSE,"매출";#N/A,#N/A,FALSE,"원가";#N/A,#N/A,FALSE,"경영"}</definedName>
    <definedName name="임대보증금" hidden="1">{#N/A,#N/A,FALSE,"BS";#N/A,#N/A,FALSE,"PL";#N/A,#N/A,FALSE,"처분";#N/A,#N/A,FALSE,"현금";#N/A,#N/A,FALSE,"매출";#N/A,#N/A,FALSE,"원가";#N/A,#N/A,FALSE,"경영"}</definedName>
    <definedName name="작성조서" hidden="1">{#N/A,#N/A,FALSE,"BS";#N/A,#N/A,FALSE,"PL";#N/A,#N/A,FALSE,"처분";#N/A,#N/A,FALSE,"현금";#N/A,#N/A,FALSE,"매출";#N/A,#N/A,FALSE,"원가";#N/A,#N/A,FALSE,"경영"}</definedName>
    <definedName name="잡손실" hidden="1">{#N/A,#N/A,FALSE,"1.CRITERIA";#N/A,#N/A,FALSE,"2.IS";#N/A,#N/A,FALSE,"3.BS";#N/A,#N/A,FALSE,"4.PER PL";#N/A,#N/A,FALSE,"5.INVESTMENT";#N/A,#N/A,FALSE,"6.공문";#N/A,#N/A,FALSE,"7.netinvest"}</definedName>
    <definedName name="잡이익" hidden="1">{#N/A,#N/A,FALSE,"1.CRITERIA";#N/A,#N/A,FALSE,"2.IS";#N/A,#N/A,FALSE,"3.BS";#N/A,#N/A,FALSE,"4.PER PL";#N/A,#N/A,FALSE,"5.INVESTMENT";#N/A,#N/A,FALSE,"6.공문";#N/A,#N/A,FALSE,"7.netinvest"}</definedName>
    <definedName name="정미아" hidden="1">{#N/A,#N/A,FALSE,"BS";#N/A,#N/A,FALSE,"PL";#N/A,#N/A,FALSE,"처분";#N/A,#N/A,FALSE,"현금";#N/A,#N/A,FALSE,"매출";#N/A,#N/A,FALSE,"원가";#N/A,#N/A,FALSE,"경영"}</definedName>
    <definedName name="제조" localSheetId="20" hidden="1">#REF!</definedName>
    <definedName name="제조" localSheetId="7" hidden="1">#REF!</definedName>
    <definedName name="제조" hidden="1">#REF!</definedName>
    <definedName name="조정" localSheetId="20" hidden="1">#REF!</definedName>
    <definedName name="조정" localSheetId="7" hidden="1">#REF!</definedName>
    <definedName name="조정" hidden="1">#REF!</definedName>
    <definedName name="평가" hidden="1">{"'보고양식'!$A$58:$K$111"}</definedName>
    <definedName name="ㅎ러ㅗㅓㅏㅇ노" localSheetId="20" hidden="1">#REF!</definedName>
    <definedName name="ㅎ러ㅗㅓㅏㅇ노" localSheetId="7" hidden="1">#REF!</definedName>
    <definedName name="ㅎ러ㅗㅓㅏㅇ노" hidden="1">#REF!</definedName>
    <definedName name="한국8" localSheetId="20" hidden="1">#REF!</definedName>
    <definedName name="한국8" localSheetId="7" hidden="1">#REF!</definedName>
    <definedName name="한국8" hidden="1">#REF!</definedName>
    <definedName name="한국9" localSheetId="20" hidden="1">#REF!</definedName>
    <definedName name="한국9" localSheetId="7" hidden="1">#REF!</definedName>
    <definedName name="한국9" hidden="1">#REF!</definedName>
    <definedName name="한미" localSheetId="20" hidden="1">#REF!</definedName>
    <definedName name="한미" localSheetId="7" hidden="1">#REF!</definedName>
    <definedName name="한미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50" l="1"/>
  <c r="P11" i="50"/>
  <c r="P12" i="50"/>
  <c r="P13" i="50"/>
  <c r="P14" i="50"/>
  <c r="P15" i="50"/>
  <c r="P16" i="50"/>
  <c r="P17" i="50"/>
  <c r="P18" i="50"/>
  <c r="P20" i="50"/>
  <c r="P21" i="50"/>
  <c r="P22" i="50"/>
  <c r="P23" i="50"/>
  <c r="P24" i="50"/>
  <c r="P25" i="50"/>
  <c r="P27" i="50"/>
  <c r="P28" i="50"/>
  <c r="P29" i="50"/>
  <c r="P30" i="50"/>
  <c r="P31" i="50"/>
  <c r="P32" i="50"/>
  <c r="P33" i="50"/>
  <c r="P34" i="50"/>
  <c r="P35" i="50"/>
  <c r="P36" i="50"/>
  <c r="P37" i="50"/>
  <c r="P38" i="50"/>
  <c r="P39" i="50"/>
  <c r="P40" i="50"/>
  <c r="P42" i="50"/>
  <c r="P43" i="50"/>
  <c r="P44" i="50"/>
  <c r="P45" i="50"/>
  <c r="P46" i="50"/>
  <c r="P48" i="50"/>
  <c r="P49" i="50"/>
  <c r="P50" i="50"/>
  <c r="P51" i="50"/>
  <c r="P52" i="50"/>
  <c r="P10" i="50"/>
  <c r="H11" i="50"/>
  <c r="R11" i="50" s="1"/>
  <c r="H12" i="50"/>
  <c r="H13" i="50"/>
  <c r="H14" i="50"/>
  <c r="H15" i="50"/>
  <c r="H16" i="50"/>
  <c r="H17" i="50"/>
  <c r="H18" i="50"/>
  <c r="H20" i="50"/>
  <c r="H21" i="50"/>
  <c r="H22" i="50"/>
  <c r="H23" i="50"/>
  <c r="H24" i="50"/>
  <c r="H25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2" i="50"/>
  <c r="H43" i="50"/>
  <c r="H44" i="50"/>
  <c r="H45" i="50"/>
  <c r="H46" i="50"/>
  <c r="H48" i="50"/>
  <c r="H49" i="50"/>
  <c r="H50" i="50"/>
  <c r="H51" i="50"/>
  <c r="H52" i="50"/>
  <c r="H54" i="50"/>
  <c r="H10" i="50"/>
  <c r="R10" i="50" s="1"/>
  <c r="F11" i="50"/>
  <c r="F12" i="50"/>
  <c r="F13" i="50"/>
  <c r="F14" i="50"/>
  <c r="F15" i="50"/>
  <c r="F16" i="50"/>
  <c r="F17" i="50"/>
  <c r="F18" i="50"/>
  <c r="F20" i="50"/>
  <c r="F21" i="50"/>
  <c r="F22" i="50"/>
  <c r="F23" i="50"/>
  <c r="F24" i="50"/>
  <c r="F25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2" i="50"/>
  <c r="F43" i="50"/>
  <c r="F44" i="50"/>
  <c r="F45" i="50"/>
  <c r="F46" i="50"/>
  <c r="F48" i="50"/>
  <c r="F49" i="50"/>
  <c r="F50" i="50"/>
  <c r="F51" i="50"/>
  <c r="F52" i="50"/>
  <c r="F54" i="50"/>
  <c r="F10" i="50"/>
  <c r="N11" i="50" l="1"/>
  <c r="L11" i="50"/>
  <c r="N10" i="50"/>
  <c r="L10" i="50"/>
  <c r="I10" i="43" l="1"/>
  <c r="Q10" i="43"/>
  <c r="O10" i="43"/>
  <c r="O31" i="43"/>
  <c r="M31" i="43"/>
  <c r="K10" i="43"/>
  <c r="G10" i="43"/>
  <c r="G31" i="43"/>
  <c r="P47" i="43"/>
  <c r="K39" i="48" l="1"/>
  <c r="F39" i="48"/>
  <c r="F38" i="48"/>
  <c r="K27" i="48"/>
  <c r="K11" i="48" l="1"/>
  <c r="X21" i="50" l="1"/>
  <c r="X11" i="50"/>
  <c r="X10" i="50"/>
  <c r="V24" i="50"/>
  <c r="V23" i="50"/>
  <c r="V22" i="50"/>
  <c r="V21" i="50"/>
  <c r="V20" i="50"/>
  <c r="V14" i="50"/>
  <c r="V13" i="50"/>
  <c r="V11" i="50"/>
  <c r="V10" i="50"/>
  <c r="X14" i="50"/>
  <c r="X13" i="50"/>
  <c r="H76" i="31" l="1"/>
  <c r="F22" i="42" l="1"/>
  <c r="H87" i="31"/>
  <c r="K577" i="29"/>
  <c r="J577" i="29"/>
  <c r="F21" i="42"/>
  <c r="F20" i="42"/>
  <c r="F19" i="42"/>
  <c r="F18" i="42"/>
  <c r="F17" i="42"/>
  <c r="F16" i="42"/>
  <c r="F10" i="42"/>
  <c r="F9" i="42"/>
  <c r="P568" i="29"/>
  <c r="P569" i="29"/>
  <c r="P570" i="29"/>
  <c r="P571" i="29"/>
  <c r="P572" i="29"/>
  <c r="P567" i="29"/>
  <c r="O568" i="29"/>
  <c r="O569" i="29"/>
  <c r="O570" i="29"/>
  <c r="O571" i="29"/>
  <c r="O572" i="29"/>
  <c r="O567" i="29"/>
  <c r="H75" i="31"/>
  <c r="H67" i="31"/>
  <c r="H62" i="31"/>
  <c r="H51" i="31" s="1"/>
  <c r="H22" i="31" l="1"/>
  <c r="H21" i="31"/>
  <c r="H20" i="31"/>
  <c r="H17" i="31"/>
  <c r="H16" i="31"/>
  <c r="H15" i="31"/>
  <c r="H14" i="31"/>
  <c r="H13" i="31"/>
  <c r="H12" i="31"/>
  <c r="P48" i="43"/>
  <c r="Q48" i="43" s="1"/>
  <c r="P49" i="43"/>
  <c r="Q49" i="43" s="1"/>
  <c r="P50" i="43"/>
  <c r="Q50" i="43" s="1"/>
  <c r="P51" i="43"/>
  <c r="Q51" i="43" s="1"/>
  <c r="Q47" i="43"/>
  <c r="N48" i="43"/>
  <c r="N49" i="43"/>
  <c r="N50" i="43"/>
  <c r="N51" i="43"/>
  <c r="N47" i="43"/>
  <c r="K48" i="43"/>
  <c r="K49" i="43"/>
  <c r="K50" i="43"/>
  <c r="K51" i="43"/>
  <c r="K47" i="43"/>
  <c r="H48" i="43"/>
  <c r="H49" i="43"/>
  <c r="H50" i="43"/>
  <c r="H51" i="43"/>
  <c r="H47" i="43"/>
  <c r="L29" i="22"/>
  <c r="K39" i="22"/>
  <c r="G20" i="22"/>
  <c r="K30" i="22"/>
  <c r="K28" i="22" s="1"/>
  <c r="L17" i="15" l="1"/>
  <c r="F2" i="15"/>
  <c r="K33" i="22"/>
  <c r="W21" i="22"/>
  <c r="T21" i="22"/>
  <c r="Q21" i="22"/>
  <c r="N21" i="22"/>
  <c r="K21" i="22"/>
  <c r="F3" i="15" l="1"/>
  <c r="G2" i="29" l="1"/>
  <c r="L10" i="15" l="1"/>
  <c r="K22" i="16"/>
  <c r="K20" i="13"/>
  <c r="K12" i="12"/>
  <c r="L20" i="11"/>
  <c r="L12" i="4"/>
  <c r="O21" i="22" l="1"/>
  <c r="H68" i="31" l="1"/>
  <c r="F4" i="15" l="1"/>
  <c r="M10" i="43"/>
  <c r="G17" i="47" l="1"/>
  <c r="G16" i="47"/>
  <c r="X15" i="50"/>
  <c r="X16" i="50"/>
  <c r="X17" i="50"/>
  <c r="X18" i="50"/>
  <c r="X25" i="50"/>
  <c r="X28" i="50"/>
  <c r="X29" i="50"/>
  <c r="X30" i="50"/>
  <c r="X31" i="50"/>
  <c r="X32" i="50"/>
  <c r="X37" i="50"/>
  <c r="X38" i="50"/>
  <c r="AB11" i="50" l="1"/>
  <c r="AB10" i="50" l="1"/>
  <c r="H53" i="42"/>
  <c r="E10" i="43" l="1"/>
  <c r="H55" i="31"/>
  <c r="F11" i="42"/>
  <c r="F12" i="42"/>
  <c r="L18" i="15"/>
  <c r="L27" i="15"/>
  <c r="L26" i="15"/>
  <c r="L25" i="15"/>
  <c r="L24" i="15"/>
  <c r="L19" i="15"/>
  <c r="L20" i="15"/>
  <c r="L21" i="15"/>
  <c r="L14" i="15"/>
  <c r="L13" i="15"/>
  <c r="L12" i="15"/>
  <c r="L11" i="15"/>
  <c r="T2" i="15"/>
  <c r="L9" i="15" l="1"/>
  <c r="F7" i="42"/>
  <c r="U29" i="22" l="1"/>
  <c r="X31" i="22"/>
  <c r="X29" i="22"/>
  <c r="AF11" i="50" l="1"/>
  <c r="AF12" i="50"/>
  <c r="AF13" i="50"/>
  <c r="AF14" i="50"/>
  <c r="AH14" i="50" s="1"/>
  <c r="AF15" i="50"/>
  <c r="AF16" i="50"/>
  <c r="AF17" i="50"/>
  <c r="AF18" i="50"/>
  <c r="AF20" i="50"/>
  <c r="AF21" i="50"/>
  <c r="AF22" i="50"/>
  <c r="AF23" i="50"/>
  <c r="AF24" i="50"/>
  <c r="AF25" i="50"/>
  <c r="AF27" i="50"/>
  <c r="AF28" i="50"/>
  <c r="AF29" i="50"/>
  <c r="AF30" i="50"/>
  <c r="AF31" i="50"/>
  <c r="AF32" i="50"/>
  <c r="AF33" i="50"/>
  <c r="AF35" i="50"/>
  <c r="AF36" i="50"/>
  <c r="AF37" i="50"/>
  <c r="AF38" i="50"/>
  <c r="AF39" i="50"/>
  <c r="AF40" i="50"/>
  <c r="AF42" i="50"/>
  <c r="AF44" i="50"/>
  <c r="AF45" i="50"/>
  <c r="AF46" i="50"/>
  <c r="AF48" i="50"/>
  <c r="AF50" i="50"/>
  <c r="AF51" i="50"/>
  <c r="AF52" i="50"/>
  <c r="AF54" i="50"/>
  <c r="AF10" i="50"/>
  <c r="Q53" i="43" l="1"/>
  <c r="P53" i="43"/>
  <c r="N53" i="43"/>
  <c r="M53" i="43"/>
  <c r="K53" i="43"/>
  <c r="J53" i="43"/>
  <c r="H53" i="43"/>
  <c r="G53" i="43"/>
  <c r="K31" i="48" l="1"/>
  <c r="K26" i="48"/>
  <c r="K21" i="48"/>
  <c r="K16" i="48"/>
  <c r="M11" i="48"/>
  <c r="K13" i="48"/>
  <c r="K12" i="48" s="1"/>
  <c r="H58" i="31" l="1"/>
  <c r="H57" i="31"/>
  <c r="G29" i="22"/>
  <c r="F37" i="42" l="1"/>
  <c r="AE19" i="33" l="1"/>
  <c r="AE20" i="33"/>
  <c r="AE21" i="33"/>
  <c r="AE22" i="33"/>
  <c r="AF20" i="33"/>
  <c r="AF21" i="33"/>
  <c r="AF22" i="33"/>
  <c r="AF19" i="33"/>
  <c r="AF9" i="33"/>
  <c r="AF10" i="33"/>
  <c r="AF11" i="33"/>
  <c r="AF12" i="33"/>
  <c r="AF13" i="33"/>
  <c r="AF8" i="33"/>
  <c r="AE9" i="33"/>
  <c r="AE10" i="33"/>
  <c r="AE11" i="33"/>
  <c r="AE12" i="33"/>
  <c r="AE13" i="33"/>
  <c r="AE8" i="33"/>
  <c r="R5" i="54"/>
  <c r="R6" i="54"/>
  <c r="R7" i="54"/>
  <c r="R8" i="54"/>
  <c r="R9" i="54"/>
  <c r="R10" i="54"/>
  <c r="R11" i="54"/>
  <c r="R12" i="54"/>
  <c r="R13" i="54"/>
  <c r="R14" i="54"/>
  <c r="R15" i="54"/>
  <c r="R16" i="54"/>
  <c r="R17" i="54"/>
  <c r="R18" i="54"/>
  <c r="R19" i="54"/>
  <c r="R20" i="54"/>
  <c r="R21" i="54"/>
  <c r="R22" i="54"/>
  <c r="R23" i="54"/>
  <c r="R24" i="54"/>
  <c r="R25" i="54"/>
  <c r="R26" i="54"/>
  <c r="R4" i="54"/>
  <c r="AG12" i="33" l="1"/>
  <c r="AG10" i="33"/>
  <c r="AG9" i="33"/>
  <c r="AG11" i="33"/>
  <c r="AG8" i="33"/>
  <c r="F2" i="33"/>
  <c r="M2" i="33"/>
  <c r="Y2" i="33"/>
  <c r="S2" i="33"/>
  <c r="G51" i="33" l="1"/>
  <c r="T51" i="33"/>
  <c r="K20" i="12"/>
  <c r="L10" i="4"/>
  <c r="F31" i="56" l="1"/>
  <c r="E3" i="11" l="1"/>
  <c r="E3" i="12"/>
  <c r="E3" i="13"/>
  <c r="E3" i="16"/>
  <c r="K34" i="16"/>
  <c r="K32" i="16"/>
  <c r="K30" i="16"/>
  <c r="K29" i="16"/>
  <c r="K28" i="16"/>
  <c r="K27" i="16"/>
  <c r="K26" i="16"/>
  <c r="K25" i="16"/>
  <c r="K24" i="16"/>
  <c r="K23" i="16"/>
  <c r="K21" i="16"/>
  <c r="K20" i="16"/>
  <c r="K17" i="16"/>
  <c r="K16" i="16"/>
  <c r="K13" i="16"/>
  <c r="K12" i="16"/>
  <c r="K11" i="16"/>
  <c r="K10" i="16"/>
  <c r="K10" i="13"/>
  <c r="K34" i="13"/>
  <c r="K32" i="13"/>
  <c r="K30" i="13"/>
  <c r="K29" i="13"/>
  <c r="K28" i="13"/>
  <c r="K27" i="13"/>
  <c r="K26" i="13"/>
  <c r="K25" i="13"/>
  <c r="K24" i="13"/>
  <c r="K23" i="13"/>
  <c r="K22" i="13"/>
  <c r="K21" i="13"/>
  <c r="K17" i="13"/>
  <c r="K16" i="13"/>
  <c r="K13" i="13"/>
  <c r="K12" i="13"/>
  <c r="K11" i="13"/>
  <c r="K34" i="12"/>
  <c r="K32" i="12"/>
  <c r="K30" i="12"/>
  <c r="K29" i="12"/>
  <c r="K28" i="12"/>
  <c r="K27" i="12"/>
  <c r="K26" i="12"/>
  <c r="K25" i="12"/>
  <c r="K24" i="12"/>
  <c r="K23" i="12"/>
  <c r="K22" i="12"/>
  <c r="K21" i="12"/>
  <c r="K17" i="12"/>
  <c r="K16" i="12"/>
  <c r="K13" i="12"/>
  <c r="K11" i="12"/>
  <c r="K10" i="12"/>
  <c r="L34" i="11"/>
  <c r="L32" i="11"/>
  <c r="L30" i="11"/>
  <c r="L29" i="11"/>
  <c r="L28" i="11"/>
  <c r="L27" i="11"/>
  <c r="L26" i="11"/>
  <c r="L25" i="11"/>
  <c r="L24" i="11"/>
  <c r="L23" i="11"/>
  <c r="L22" i="11"/>
  <c r="L21" i="11"/>
  <c r="L17" i="11"/>
  <c r="L16" i="11"/>
  <c r="L13" i="11"/>
  <c r="L12" i="11"/>
  <c r="L11" i="11"/>
  <c r="L10" i="11"/>
  <c r="L32" i="4"/>
  <c r="L21" i="4"/>
  <c r="L22" i="4"/>
  <c r="L23" i="4"/>
  <c r="L24" i="4"/>
  <c r="L25" i="4"/>
  <c r="L26" i="4"/>
  <c r="L27" i="4"/>
  <c r="L28" i="4"/>
  <c r="L29" i="4"/>
  <c r="L30" i="4"/>
  <c r="L20" i="4"/>
  <c r="L17" i="4"/>
  <c r="L16" i="4"/>
  <c r="L11" i="4"/>
  <c r="L13" i="4"/>
  <c r="E3" i="4"/>
  <c r="L23" i="15" l="1"/>
  <c r="L11" i="56"/>
  <c r="L26" i="56" l="1"/>
  <c r="L25" i="56"/>
  <c r="L24" i="56"/>
  <c r="L19" i="56"/>
  <c r="L18" i="56"/>
  <c r="L13" i="56"/>
  <c r="L12" i="56"/>
  <c r="AP70" i="50"/>
  <c r="AH10" i="50" s="1"/>
  <c r="V18" i="50" l="1"/>
  <c r="V15" i="50"/>
  <c r="V35" i="50"/>
  <c r="V25" i="50"/>
  <c r="V40" i="50"/>
  <c r="V16" i="50"/>
  <c r="V39" i="50"/>
  <c r="V31" i="50"/>
  <c r="V46" i="50"/>
  <c r="V38" i="50"/>
  <c r="V30" i="50"/>
  <c r="V51" i="50"/>
  <c r="V27" i="50"/>
  <c r="V50" i="50"/>
  <c r="V17" i="50"/>
  <c r="V32" i="50"/>
  <c r="V45" i="50"/>
  <c r="V37" i="50"/>
  <c r="V29" i="50"/>
  <c r="V52" i="50"/>
  <c r="V36" i="50"/>
  <c r="V28" i="50"/>
  <c r="K33" i="48" l="1"/>
  <c r="K32" i="48" s="1"/>
  <c r="K28" i="48"/>
  <c r="K23" i="48"/>
  <c r="K22" i="48" s="1"/>
  <c r="K18" i="48"/>
  <c r="K17" i="48" s="1"/>
  <c r="R42" i="45" l="1"/>
  <c r="AB29" i="50"/>
  <c r="AD11" i="50"/>
  <c r="AB12" i="50"/>
  <c r="AB32" i="50"/>
  <c r="AD32" i="50"/>
  <c r="AD17" i="50" l="1"/>
  <c r="AD31" i="50"/>
  <c r="AD28" i="50"/>
  <c r="AD15" i="50"/>
  <c r="AB30" i="50"/>
  <c r="AD16" i="50"/>
  <c r="AD30" i="50"/>
  <c r="AB15" i="50"/>
  <c r="AB28" i="50"/>
  <c r="AB18" i="50"/>
  <c r="AB17" i="50"/>
  <c r="AD18" i="50"/>
  <c r="AB16" i="50"/>
  <c r="AB31" i="50"/>
  <c r="AD29" i="50"/>
  <c r="N32" i="50" l="1"/>
  <c r="L32" i="50"/>
  <c r="N15" i="50"/>
  <c r="N17" i="50"/>
  <c r="AS51" i="50"/>
  <c r="AP71" i="50"/>
  <c r="AH11" i="50" s="1"/>
  <c r="AP205" i="50"/>
  <c r="AP206" i="50"/>
  <c r="AP207" i="50"/>
  <c r="AP208" i="50"/>
  <c r="AP204" i="50"/>
  <c r="AP229" i="50"/>
  <c r="AP228" i="50"/>
  <c r="BD227" i="50"/>
  <c r="BC227" i="50"/>
  <c r="BB227" i="50"/>
  <c r="BA227" i="50"/>
  <c r="AZ227" i="50"/>
  <c r="AY227" i="50"/>
  <c r="AX227" i="50"/>
  <c r="AW227" i="50"/>
  <c r="AV227" i="50"/>
  <c r="AU227" i="50"/>
  <c r="AT227" i="50"/>
  <c r="AS227" i="50"/>
  <c r="AP223" i="50"/>
  <c r="AP222" i="50"/>
  <c r="BD221" i="50"/>
  <c r="BC221" i="50"/>
  <c r="BB221" i="50"/>
  <c r="BA221" i="50"/>
  <c r="AZ221" i="50"/>
  <c r="AY221" i="50"/>
  <c r="AX221" i="50"/>
  <c r="AW221" i="50"/>
  <c r="AV221" i="50"/>
  <c r="AU221" i="50"/>
  <c r="AT221" i="50"/>
  <c r="AS221" i="50"/>
  <c r="AP217" i="50"/>
  <c r="AP216" i="50"/>
  <c r="AP215" i="50"/>
  <c r="AP214" i="50"/>
  <c r="AP213" i="50"/>
  <c r="BD212" i="50"/>
  <c r="BC212" i="50"/>
  <c r="BB212" i="50"/>
  <c r="BA212" i="50"/>
  <c r="AZ212" i="50"/>
  <c r="AY212" i="50"/>
  <c r="AX212" i="50"/>
  <c r="AW212" i="50"/>
  <c r="AV212" i="50"/>
  <c r="AU212" i="50"/>
  <c r="AT212" i="50"/>
  <c r="AS212" i="50"/>
  <c r="AP202" i="50"/>
  <c r="AP201" i="50"/>
  <c r="AP200" i="50"/>
  <c r="AP199" i="50"/>
  <c r="BD198" i="50"/>
  <c r="BD197" i="50" s="1"/>
  <c r="BC198" i="50"/>
  <c r="BC197" i="50" s="1"/>
  <c r="BB198" i="50"/>
  <c r="BB197" i="50" s="1"/>
  <c r="BA198" i="50"/>
  <c r="BA197" i="50" s="1"/>
  <c r="AZ198" i="50"/>
  <c r="AZ197" i="50" s="1"/>
  <c r="AY198" i="50"/>
  <c r="AY197" i="50" s="1"/>
  <c r="AX198" i="50"/>
  <c r="AX197" i="50" s="1"/>
  <c r="AW198" i="50"/>
  <c r="AW197" i="50" s="1"/>
  <c r="AV198" i="50"/>
  <c r="AV197" i="50" s="1"/>
  <c r="AU198" i="50"/>
  <c r="AU197" i="50" s="1"/>
  <c r="AT198" i="50"/>
  <c r="AT197" i="50" s="1"/>
  <c r="AS198" i="50"/>
  <c r="AS197" i="50" s="1"/>
  <c r="AP191" i="50"/>
  <c r="BD190" i="50"/>
  <c r="BC190" i="50"/>
  <c r="BB190" i="50"/>
  <c r="BA190" i="50"/>
  <c r="AZ190" i="50"/>
  <c r="AY190" i="50"/>
  <c r="AX190" i="50"/>
  <c r="AW190" i="50"/>
  <c r="AV190" i="50"/>
  <c r="AU190" i="50"/>
  <c r="AT190" i="50"/>
  <c r="AS190" i="50"/>
  <c r="AP188" i="50"/>
  <c r="AP187" i="50"/>
  <c r="AT140" i="50"/>
  <c r="AT139" i="50" s="1"/>
  <c r="AU140" i="50"/>
  <c r="AU139" i="50" s="1"/>
  <c r="AV140" i="50"/>
  <c r="AV139" i="50" s="1"/>
  <c r="AW140" i="50"/>
  <c r="AW139" i="50" s="1"/>
  <c r="AX140" i="50"/>
  <c r="AX139" i="50" s="1"/>
  <c r="AY140" i="50"/>
  <c r="AY139" i="50" s="1"/>
  <c r="AZ140" i="50"/>
  <c r="AZ139" i="50" s="1"/>
  <c r="BA140" i="50"/>
  <c r="BA139" i="50" s="1"/>
  <c r="BB140" i="50"/>
  <c r="BB139" i="50" s="1"/>
  <c r="BC140" i="50"/>
  <c r="BC139" i="50" s="1"/>
  <c r="BD140" i="50"/>
  <c r="BD139" i="50" s="1"/>
  <c r="AS140" i="50"/>
  <c r="AP129" i="50"/>
  <c r="AP171" i="50"/>
  <c r="AP170" i="50"/>
  <c r="BD169" i="50"/>
  <c r="BC169" i="50"/>
  <c r="BB169" i="50"/>
  <c r="BA169" i="50"/>
  <c r="AZ169" i="50"/>
  <c r="AY169" i="50"/>
  <c r="AX169" i="50"/>
  <c r="AW169" i="50"/>
  <c r="AV169" i="50"/>
  <c r="AU169" i="50"/>
  <c r="AT169" i="50"/>
  <c r="AS169" i="50"/>
  <c r="AP165" i="50"/>
  <c r="AP164" i="50"/>
  <c r="BD163" i="50"/>
  <c r="BC163" i="50"/>
  <c r="BB163" i="50"/>
  <c r="BA163" i="50"/>
  <c r="AZ163" i="50"/>
  <c r="AY163" i="50"/>
  <c r="AX163" i="50"/>
  <c r="AW163" i="50"/>
  <c r="AV163" i="50"/>
  <c r="AU163" i="50"/>
  <c r="AT163" i="50"/>
  <c r="AS163" i="50"/>
  <c r="AP159" i="50"/>
  <c r="AP158" i="50"/>
  <c r="AP157" i="50"/>
  <c r="AP156" i="50"/>
  <c r="AP155" i="50"/>
  <c r="BD154" i="50"/>
  <c r="BC154" i="50"/>
  <c r="BB154" i="50"/>
  <c r="BA154" i="50"/>
  <c r="AZ154" i="50"/>
  <c r="AY154" i="50"/>
  <c r="AX154" i="50"/>
  <c r="AW154" i="50"/>
  <c r="AV154" i="50"/>
  <c r="AU154" i="50"/>
  <c r="AT154" i="50"/>
  <c r="AS154" i="50"/>
  <c r="AP144" i="50"/>
  <c r="AP143" i="50"/>
  <c r="AP142" i="50"/>
  <c r="AP141" i="50"/>
  <c r="AP133" i="50"/>
  <c r="BD132" i="50"/>
  <c r="BC132" i="50"/>
  <c r="BB132" i="50"/>
  <c r="BA132" i="50"/>
  <c r="AZ132" i="50"/>
  <c r="AY132" i="50"/>
  <c r="AX132" i="50"/>
  <c r="AW132" i="50"/>
  <c r="AV132" i="50"/>
  <c r="AU132" i="50"/>
  <c r="AT132" i="50"/>
  <c r="AS132" i="50"/>
  <c r="AP130" i="50"/>
  <c r="L16" i="50" l="1"/>
  <c r="N18" i="50"/>
  <c r="L18" i="50"/>
  <c r="L17" i="50"/>
  <c r="R30" i="50"/>
  <c r="R29" i="50"/>
  <c r="N16" i="50"/>
  <c r="AS139" i="50"/>
  <c r="AP139" i="50" s="1"/>
  <c r="L15" i="50"/>
  <c r="R17" i="50"/>
  <c r="AH50" i="50"/>
  <c r="L25" i="50"/>
  <c r="N25" i="50"/>
  <c r="L31" i="50"/>
  <c r="N31" i="50"/>
  <c r="N37" i="50"/>
  <c r="L37" i="50"/>
  <c r="L30" i="50"/>
  <c r="N30" i="50"/>
  <c r="L38" i="50"/>
  <c r="N38" i="50"/>
  <c r="N29" i="50"/>
  <c r="L29" i="50"/>
  <c r="N28" i="50"/>
  <c r="L28" i="50"/>
  <c r="AX210" i="50"/>
  <c r="AX219" i="50" s="1"/>
  <c r="AX225" i="50" s="1"/>
  <c r="BA152" i="50"/>
  <c r="BA161" i="50" s="1"/>
  <c r="BA167" i="50" s="1"/>
  <c r="BA173" i="50" s="1"/>
  <c r="AP154" i="50"/>
  <c r="AZ152" i="50"/>
  <c r="AZ161" i="50" s="1"/>
  <c r="AZ167" i="50" s="1"/>
  <c r="AZ173" i="50" s="1"/>
  <c r="AP163" i="50"/>
  <c r="AP227" i="50"/>
  <c r="AP221" i="50"/>
  <c r="AP212" i="50"/>
  <c r="AZ210" i="50"/>
  <c r="AZ219" i="50" s="1"/>
  <c r="AZ225" i="50" s="1"/>
  <c r="AV210" i="50"/>
  <c r="AV219" i="50" s="1"/>
  <c r="AV225" i="50" s="1"/>
  <c r="BD210" i="50"/>
  <c r="BD219" i="50" s="1"/>
  <c r="BD225" i="50" s="1"/>
  <c r="AW210" i="50"/>
  <c r="AW219" i="50" s="1"/>
  <c r="AW225" i="50" s="1"/>
  <c r="AS210" i="50"/>
  <c r="BA210" i="50"/>
  <c r="BA219" i="50" s="1"/>
  <c r="BA225" i="50" s="1"/>
  <c r="AP190" i="50"/>
  <c r="AY210" i="50"/>
  <c r="AY219" i="50" s="1"/>
  <c r="AY225" i="50" s="1"/>
  <c r="AP197" i="50"/>
  <c r="AT210" i="50"/>
  <c r="AT219" i="50" s="1"/>
  <c r="AT225" i="50" s="1"/>
  <c r="BB210" i="50"/>
  <c r="BB219" i="50" s="1"/>
  <c r="BB225" i="50" s="1"/>
  <c r="AU210" i="50"/>
  <c r="AU219" i="50" s="1"/>
  <c r="AU225" i="50" s="1"/>
  <c r="BC210" i="50"/>
  <c r="BC219" i="50" s="1"/>
  <c r="BC225" i="50" s="1"/>
  <c r="AP198" i="50"/>
  <c r="AY152" i="50"/>
  <c r="AY161" i="50" s="1"/>
  <c r="AY167" i="50" s="1"/>
  <c r="AY173" i="50" s="1"/>
  <c r="AW152" i="50"/>
  <c r="AW161" i="50" s="1"/>
  <c r="AW167" i="50" s="1"/>
  <c r="AW173" i="50" s="1"/>
  <c r="AP169" i="50"/>
  <c r="BD152" i="50"/>
  <c r="BD161" i="50" s="1"/>
  <c r="BD167" i="50" s="1"/>
  <c r="BD173" i="50" s="1"/>
  <c r="AU152" i="50"/>
  <c r="AU161" i="50" s="1"/>
  <c r="AU167" i="50" s="1"/>
  <c r="AU173" i="50" s="1"/>
  <c r="BC152" i="50"/>
  <c r="BC161" i="50" s="1"/>
  <c r="BC167" i="50" s="1"/>
  <c r="BC173" i="50" s="1"/>
  <c r="AX152" i="50"/>
  <c r="AX161" i="50" s="1"/>
  <c r="AX167" i="50" s="1"/>
  <c r="AX173" i="50" s="1"/>
  <c r="AV152" i="50"/>
  <c r="AV161" i="50" s="1"/>
  <c r="AV167" i="50" s="1"/>
  <c r="AV173" i="50" s="1"/>
  <c r="AT152" i="50"/>
  <c r="AT161" i="50" s="1"/>
  <c r="AT167" i="50" s="1"/>
  <c r="AT173" i="50" s="1"/>
  <c r="BB152" i="50"/>
  <c r="BB161" i="50" s="1"/>
  <c r="BB167" i="50" s="1"/>
  <c r="BB173" i="50" s="1"/>
  <c r="AP132" i="50"/>
  <c r="AP140" i="50"/>
  <c r="AS152" i="50" l="1"/>
  <c r="AH33" i="50" s="1"/>
  <c r="R28" i="50"/>
  <c r="R14" i="50"/>
  <c r="R16" i="50"/>
  <c r="R44" i="50"/>
  <c r="R15" i="50"/>
  <c r="AH21" i="50"/>
  <c r="R23" i="50"/>
  <c r="R45" i="50"/>
  <c r="R39" i="50"/>
  <c r="R40" i="50"/>
  <c r="R27" i="50"/>
  <c r="AD10" i="50"/>
  <c r="AH15" i="50"/>
  <c r="AH52" i="50"/>
  <c r="AH31" i="50"/>
  <c r="AH39" i="50"/>
  <c r="AH32" i="50"/>
  <c r="AH23" i="50"/>
  <c r="R32" i="50"/>
  <c r="AH22" i="50"/>
  <c r="AH18" i="50"/>
  <c r="AH27" i="50"/>
  <c r="AH17" i="50"/>
  <c r="AH16" i="50"/>
  <c r="R25" i="50"/>
  <c r="AH38" i="50"/>
  <c r="AH51" i="50"/>
  <c r="AH30" i="50"/>
  <c r="AH36" i="50"/>
  <c r="AH29" i="50"/>
  <c r="AH37" i="50"/>
  <c r="AH25" i="50"/>
  <c r="AH46" i="50"/>
  <c r="AH28" i="50"/>
  <c r="AH40" i="50"/>
  <c r="AH45" i="50"/>
  <c r="AH24" i="50"/>
  <c r="R35" i="50"/>
  <c r="AH35" i="50"/>
  <c r="R38" i="50"/>
  <c r="R24" i="50"/>
  <c r="AH44" i="50"/>
  <c r="R22" i="50"/>
  <c r="R52" i="50"/>
  <c r="R36" i="50"/>
  <c r="R46" i="50"/>
  <c r="R50" i="50"/>
  <c r="AH20" i="50"/>
  <c r="R20" i="50"/>
  <c r="R31" i="50"/>
  <c r="R51" i="50"/>
  <c r="R18" i="50"/>
  <c r="R37" i="50"/>
  <c r="R21" i="50"/>
  <c r="AS219" i="50"/>
  <c r="AS225" i="50" s="1"/>
  <c r="AP225" i="50" s="1"/>
  <c r="AP231" i="50" s="1"/>
  <c r="AP210" i="50"/>
  <c r="AP152" i="50" l="1"/>
  <c r="AS161" i="50"/>
  <c r="AH42" i="50" s="1"/>
  <c r="R33" i="50"/>
  <c r="AP219" i="50"/>
  <c r="AP161" i="50" l="1"/>
  <c r="AS167" i="50"/>
  <c r="AH48" i="50" s="1"/>
  <c r="R42" i="50"/>
  <c r="AS173" i="50" l="1"/>
  <c r="AH54" i="50" s="1"/>
  <c r="AP167" i="50"/>
  <c r="R48" i="50"/>
  <c r="BD110" i="50"/>
  <c r="BC110" i="50"/>
  <c r="BB110" i="50"/>
  <c r="BA110" i="50"/>
  <c r="AZ110" i="50"/>
  <c r="AY110" i="50"/>
  <c r="AX110" i="50"/>
  <c r="AW110" i="50"/>
  <c r="AV110" i="50"/>
  <c r="BD104" i="50"/>
  <c r="BC104" i="50"/>
  <c r="BB104" i="50"/>
  <c r="BA104" i="50"/>
  <c r="AZ104" i="50"/>
  <c r="AY104" i="50"/>
  <c r="AX104" i="50"/>
  <c r="AW104" i="50"/>
  <c r="AV104" i="50"/>
  <c r="AP98" i="50"/>
  <c r="AP97" i="50"/>
  <c r="BD95" i="50"/>
  <c r="BC95" i="50"/>
  <c r="BB95" i="50"/>
  <c r="BA95" i="50"/>
  <c r="AZ95" i="50"/>
  <c r="AY95" i="50"/>
  <c r="AX95" i="50"/>
  <c r="AW95" i="50"/>
  <c r="AV95" i="50"/>
  <c r="AP85" i="50"/>
  <c r="BD81" i="50"/>
  <c r="BD80" i="50" s="1"/>
  <c r="BC81" i="50"/>
  <c r="BC80" i="50" s="1"/>
  <c r="BB81" i="50"/>
  <c r="BB80" i="50" s="1"/>
  <c r="BA81" i="50"/>
  <c r="BA80" i="50" s="1"/>
  <c r="AZ81" i="50"/>
  <c r="AZ80" i="50" s="1"/>
  <c r="AY81" i="50"/>
  <c r="AY80" i="50" s="1"/>
  <c r="AX81" i="50"/>
  <c r="AX80" i="50" s="1"/>
  <c r="AW81" i="50"/>
  <c r="AW80" i="50" s="1"/>
  <c r="AV81" i="50"/>
  <c r="AV80" i="50" s="1"/>
  <c r="BD73" i="50"/>
  <c r="BC73" i="50"/>
  <c r="BB73" i="50"/>
  <c r="BA73" i="50"/>
  <c r="AZ73" i="50"/>
  <c r="AY73" i="50"/>
  <c r="AX73" i="50"/>
  <c r="AW73" i="50"/>
  <c r="AV73" i="50"/>
  <c r="AP53" i="50"/>
  <c r="AP52" i="50"/>
  <c r="AT51" i="50"/>
  <c r="AU51" i="50"/>
  <c r="AV51" i="50"/>
  <c r="AW51" i="50"/>
  <c r="AX51" i="50"/>
  <c r="AY51" i="50"/>
  <c r="AZ51" i="50"/>
  <c r="BA51" i="50"/>
  <c r="BB51" i="50"/>
  <c r="BC51" i="50"/>
  <c r="BD51" i="50"/>
  <c r="AT45" i="50"/>
  <c r="AU45" i="50"/>
  <c r="AV45" i="50"/>
  <c r="AW45" i="50"/>
  <c r="AX45" i="50"/>
  <c r="AY45" i="50"/>
  <c r="AZ45" i="50"/>
  <c r="BA45" i="50"/>
  <c r="BB45" i="50"/>
  <c r="BC45" i="50"/>
  <c r="BD45" i="50"/>
  <c r="AS45" i="50"/>
  <c r="AP46" i="50"/>
  <c r="AP47" i="50"/>
  <c r="AT36" i="50"/>
  <c r="AU36" i="50"/>
  <c r="AV36" i="50"/>
  <c r="AW36" i="50"/>
  <c r="AX36" i="50"/>
  <c r="AY36" i="50"/>
  <c r="AZ36" i="50"/>
  <c r="BA36" i="50"/>
  <c r="BB36" i="50"/>
  <c r="BC36" i="50"/>
  <c r="BD36" i="50"/>
  <c r="AS36" i="50"/>
  <c r="AP37" i="50"/>
  <c r="AP38" i="50"/>
  <c r="AP39" i="50"/>
  <c r="AP40" i="50"/>
  <c r="AP41" i="50"/>
  <c r="AP23" i="50"/>
  <c r="AP24" i="50"/>
  <c r="AP25" i="50"/>
  <c r="AP26" i="50"/>
  <c r="AT21" i="50"/>
  <c r="AU21" i="50"/>
  <c r="AV21" i="50"/>
  <c r="AW21" i="50"/>
  <c r="AX21" i="50"/>
  <c r="AY21" i="50"/>
  <c r="AZ21" i="50"/>
  <c r="BA21" i="50"/>
  <c r="BB21" i="50"/>
  <c r="BC21" i="50"/>
  <c r="BD21" i="50"/>
  <c r="AT14" i="50"/>
  <c r="AU14" i="50"/>
  <c r="AV14" i="50"/>
  <c r="AW14" i="50"/>
  <c r="AX14" i="50"/>
  <c r="AY14" i="50"/>
  <c r="AZ14" i="50"/>
  <c r="BA14" i="50"/>
  <c r="BB14" i="50"/>
  <c r="BC14" i="50"/>
  <c r="BD14" i="50"/>
  <c r="AS14" i="50"/>
  <c r="AP15" i="50"/>
  <c r="AP12" i="50"/>
  <c r="AP11" i="50"/>
  <c r="V44" i="50" l="1"/>
  <c r="R54" i="50"/>
  <c r="AP173" i="50"/>
  <c r="AD25" i="50"/>
  <c r="AB25" i="50"/>
  <c r="AB37" i="50"/>
  <c r="AD37" i="50"/>
  <c r="AD38" i="50"/>
  <c r="AB38" i="50"/>
  <c r="AS21" i="50"/>
  <c r="BC34" i="50"/>
  <c r="BC43" i="50" s="1"/>
  <c r="BC49" i="50" s="1"/>
  <c r="BC55" i="50" s="1"/>
  <c r="AU34" i="50"/>
  <c r="AU43" i="50" s="1"/>
  <c r="AU49" i="50" s="1"/>
  <c r="AU55" i="50" s="1"/>
  <c r="AZ34" i="50"/>
  <c r="AZ43" i="50" s="1"/>
  <c r="AZ49" i="50" s="1"/>
  <c r="AZ55" i="50" s="1"/>
  <c r="AV34" i="50"/>
  <c r="AV43" i="50" s="1"/>
  <c r="AV49" i="50" s="1"/>
  <c r="AV55" i="50" s="1"/>
  <c r="AP45" i="50"/>
  <c r="BB34" i="50"/>
  <c r="BB43" i="50" s="1"/>
  <c r="BB49" i="50" s="1"/>
  <c r="BB55" i="50" s="1"/>
  <c r="AZ93" i="50"/>
  <c r="AZ102" i="50" s="1"/>
  <c r="AZ108" i="50" s="1"/>
  <c r="AZ114" i="50" s="1"/>
  <c r="AY34" i="50"/>
  <c r="AY43" i="50" s="1"/>
  <c r="AY49" i="50" s="1"/>
  <c r="AY55" i="50" s="1"/>
  <c r="AX34" i="50"/>
  <c r="AX43" i="50" s="1"/>
  <c r="AX49" i="50" s="1"/>
  <c r="AX55" i="50" s="1"/>
  <c r="AW34" i="50"/>
  <c r="AW43" i="50" s="1"/>
  <c r="AW49" i="50" s="1"/>
  <c r="AW55" i="50" s="1"/>
  <c r="BD34" i="50"/>
  <c r="BD43" i="50" s="1"/>
  <c r="BD49" i="50" s="1"/>
  <c r="BD55" i="50" s="1"/>
  <c r="BA34" i="50"/>
  <c r="BA43" i="50" s="1"/>
  <c r="BA49" i="50" s="1"/>
  <c r="BA55" i="50" s="1"/>
  <c r="AP22" i="50"/>
  <c r="AP36" i="50"/>
  <c r="AV93" i="50"/>
  <c r="AV102" i="50" s="1"/>
  <c r="AV108" i="50" s="1"/>
  <c r="AV114" i="50" s="1"/>
  <c r="AW93" i="50"/>
  <c r="AW102" i="50" s="1"/>
  <c r="AW108" i="50" s="1"/>
  <c r="AW114" i="50" s="1"/>
  <c r="BC93" i="50"/>
  <c r="BC102" i="50" s="1"/>
  <c r="BC108" i="50" s="1"/>
  <c r="BC114" i="50" s="1"/>
  <c r="BD93" i="50"/>
  <c r="BD102" i="50" s="1"/>
  <c r="BD108" i="50" s="1"/>
  <c r="BD114" i="50" s="1"/>
  <c r="AX93" i="50"/>
  <c r="AX102" i="50" s="1"/>
  <c r="AX108" i="50" s="1"/>
  <c r="AX114" i="50" s="1"/>
  <c r="AY93" i="50"/>
  <c r="AY102" i="50" s="1"/>
  <c r="AY108" i="50" s="1"/>
  <c r="AY114" i="50" s="1"/>
  <c r="BA93" i="50"/>
  <c r="BA102" i="50" s="1"/>
  <c r="BA108" i="50" s="1"/>
  <c r="BA114" i="50" s="1"/>
  <c r="BB93" i="50"/>
  <c r="BB102" i="50" s="1"/>
  <c r="BB108" i="50" s="1"/>
  <c r="BB114" i="50" s="1"/>
  <c r="AP51" i="50"/>
  <c r="AT34" i="50"/>
  <c r="AP14" i="50"/>
  <c r="AP21" i="50" l="1"/>
  <c r="AS34" i="50"/>
  <c r="V33" i="50" s="1"/>
  <c r="AT43" i="50"/>
  <c r="AP34" i="50" l="1"/>
  <c r="AS43" i="50"/>
  <c r="V42" i="50" s="1"/>
  <c r="AT49" i="50"/>
  <c r="AP43" i="50" l="1"/>
  <c r="AS49" i="50"/>
  <c r="V48" i="50" s="1"/>
  <c r="AT55" i="50"/>
  <c r="AP49" i="50" l="1"/>
  <c r="AS55" i="50"/>
  <c r="V54" i="50" s="1"/>
  <c r="M11" i="56" l="1"/>
  <c r="N11" i="56" s="1"/>
  <c r="F11" i="56" s="1"/>
  <c r="AP55" i="50"/>
  <c r="R53" i="22" l="1"/>
  <c r="H84" i="31"/>
  <c r="H53" i="31"/>
  <c r="H54" i="31"/>
  <c r="H59" i="31"/>
  <c r="H60" i="31"/>
  <c r="H52" i="31"/>
  <c r="G8" i="47"/>
  <c r="G39" i="48" l="1"/>
  <c r="K37" i="48"/>
  <c r="H42" i="42" l="1"/>
  <c r="H35" i="42"/>
  <c r="H26" i="42"/>
  <c r="H14" i="42"/>
  <c r="H7" i="42"/>
  <c r="G31" i="22" l="1"/>
  <c r="G9" i="47"/>
  <c r="H24" i="42"/>
  <c r="H33" i="42" s="1"/>
  <c r="H49" i="42" s="1"/>
  <c r="K38" i="48"/>
  <c r="H51" i="42" l="1"/>
  <c r="AA53" i="22"/>
  <c r="G21" i="22"/>
  <c r="H21" i="22" s="1"/>
  <c r="L21" i="22" l="1"/>
  <c r="L20" i="22" s="1"/>
  <c r="W54" i="22"/>
  <c r="T54" i="22"/>
  <c r="Q54" i="22"/>
  <c r="L34" i="4"/>
  <c r="K54" i="22" s="1"/>
  <c r="H83" i="31"/>
  <c r="F46" i="42" l="1"/>
  <c r="N54" i="22"/>
  <c r="H56" i="45"/>
  <c r="J56" i="45"/>
  <c r="L56" i="45"/>
  <c r="N56" i="45"/>
  <c r="P56" i="45"/>
  <c r="R56" i="45"/>
  <c r="L23" i="48"/>
  <c r="G37" i="48"/>
  <c r="G38" i="48" s="1"/>
  <c r="F37" i="48"/>
  <c r="M16" i="48"/>
  <c r="L13" i="48"/>
  <c r="H17" i="47" l="1"/>
  <c r="H9" i="47" l="1"/>
  <c r="L31" i="22" l="1"/>
  <c r="F45" i="42" l="1"/>
  <c r="F44" i="42"/>
  <c r="F31" i="42"/>
  <c r="H72" i="31"/>
  <c r="M24" i="56" s="1"/>
  <c r="N24" i="56" s="1"/>
  <c r="F24" i="56" s="1"/>
  <c r="G18" i="47" l="1"/>
  <c r="H18" i="47" s="1"/>
  <c r="AG19" i="33" l="1"/>
  <c r="AG22" i="33"/>
  <c r="AG21" i="33"/>
  <c r="AG20" i="33"/>
  <c r="AE24" i="33"/>
  <c r="AG24" i="33" l="1"/>
  <c r="AG26" i="33" s="1"/>
  <c r="AE15" i="33"/>
  <c r="F47" i="42" l="1"/>
  <c r="J50" i="45" l="1"/>
  <c r="R50" i="45"/>
  <c r="R54" i="45" s="1"/>
  <c r="R60" i="45" s="1"/>
  <c r="P50" i="45"/>
  <c r="N50" i="45"/>
  <c r="L50" i="45"/>
  <c r="H50" i="45"/>
  <c r="L38" i="48"/>
  <c r="M38" i="48" s="1"/>
  <c r="M12" i="48"/>
  <c r="L37" i="48"/>
  <c r="L33" i="48"/>
  <c r="M32" i="48"/>
  <c r="M31" i="48"/>
  <c r="L28" i="48"/>
  <c r="M27" i="48"/>
  <c r="M26" i="48"/>
  <c r="M23" i="48"/>
  <c r="M22" i="48"/>
  <c r="M21" i="48"/>
  <c r="L18" i="48"/>
  <c r="H38" i="48"/>
  <c r="I18" i="47"/>
  <c r="I17" i="47"/>
  <c r="H16" i="47"/>
  <c r="I23" i="47" s="1"/>
  <c r="F58" i="45" s="1"/>
  <c r="H11" i="47"/>
  <c r="I11" i="47" s="1"/>
  <c r="H10" i="47"/>
  <c r="I9" i="47"/>
  <c r="H8" i="47"/>
  <c r="F23" i="47" s="1"/>
  <c r="F51" i="45" s="1"/>
  <c r="G23" i="47" l="1"/>
  <c r="F52" i="45" s="1"/>
  <c r="I10" i="47"/>
  <c r="M33" i="48"/>
  <c r="M28" i="48"/>
  <c r="M13" i="48"/>
  <c r="M37" i="48"/>
  <c r="H37" i="48"/>
  <c r="H39" i="48"/>
  <c r="I8" i="47"/>
  <c r="L39" i="48"/>
  <c r="M39" i="48" s="1"/>
  <c r="I16" i="47"/>
  <c r="X52" i="50" l="1"/>
  <c r="AP112" i="50"/>
  <c r="X46" i="50" l="1"/>
  <c r="X45" i="50"/>
  <c r="AB52" i="50"/>
  <c r="AD52" i="50"/>
  <c r="N52" i="50"/>
  <c r="L52" i="50"/>
  <c r="AP106" i="50"/>
  <c r="AP105" i="50"/>
  <c r="F50" i="45"/>
  <c r="X44" i="50" l="1"/>
  <c r="AD46" i="50"/>
  <c r="AB46" i="50"/>
  <c r="L46" i="50"/>
  <c r="N46" i="50"/>
  <c r="AP104" i="50"/>
  <c r="AD45" i="50"/>
  <c r="AB45" i="50"/>
  <c r="N45" i="50"/>
  <c r="L45" i="50"/>
  <c r="H37" i="45"/>
  <c r="J37" i="45"/>
  <c r="L37" i="45"/>
  <c r="N37" i="45"/>
  <c r="P37" i="45"/>
  <c r="H30" i="45"/>
  <c r="J30" i="45"/>
  <c r="L30" i="45"/>
  <c r="N30" i="45"/>
  <c r="P30" i="45"/>
  <c r="H31" i="45"/>
  <c r="J31" i="45"/>
  <c r="L31" i="45"/>
  <c r="N31" i="45"/>
  <c r="P31" i="45"/>
  <c r="H21" i="45"/>
  <c r="J21" i="45"/>
  <c r="L21" i="45"/>
  <c r="N21" i="45"/>
  <c r="P21" i="45"/>
  <c r="H22" i="45"/>
  <c r="J22" i="45"/>
  <c r="L22" i="45"/>
  <c r="N22" i="45"/>
  <c r="P22" i="45"/>
  <c r="H23" i="45"/>
  <c r="J23" i="45"/>
  <c r="L23" i="45"/>
  <c r="N23" i="45"/>
  <c r="P23" i="45"/>
  <c r="H24" i="45"/>
  <c r="J24" i="45"/>
  <c r="L24" i="45"/>
  <c r="N24" i="45"/>
  <c r="P24" i="45"/>
  <c r="H9" i="45"/>
  <c r="J9" i="45"/>
  <c r="L9" i="45"/>
  <c r="N9" i="45"/>
  <c r="P9" i="45"/>
  <c r="H10" i="45"/>
  <c r="J10" i="45"/>
  <c r="L10" i="45"/>
  <c r="N10" i="45"/>
  <c r="P10" i="45"/>
  <c r="H11" i="45"/>
  <c r="J11" i="45"/>
  <c r="L11" i="45"/>
  <c r="N11" i="45"/>
  <c r="P11" i="45"/>
  <c r="H12" i="45"/>
  <c r="J12" i="45"/>
  <c r="L12" i="45"/>
  <c r="N12" i="45"/>
  <c r="P12" i="45"/>
  <c r="AB44" i="50" l="1"/>
  <c r="AD44" i="50"/>
  <c r="N44" i="50"/>
  <c r="L44" i="50"/>
  <c r="F21" i="45"/>
  <c r="F9" i="45"/>
  <c r="F30" i="45"/>
  <c r="F22" i="45"/>
  <c r="F31" i="45"/>
  <c r="F11" i="45"/>
  <c r="F24" i="45"/>
  <c r="F23" i="45"/>
  <c r="F12" i="45"/>
  <c r="F10" i="45"/>
  <c r="AJ20" i="33" l="1"/>
  <c r="H43" i="31" s="1"/>
  <c r="F42" i="42" l="1"/>
  <c r="AI20" i="33" l="1"/>
  <c r="H42" i="31" s="1"/>
  <c r="AJ21" i="33"/>
  <c r="AJ19" i="33"/>
  <c r="AI21" i="33"/>
  <c r="AI22" i="33"/>
  <c r="H44" i="31" s="1"/>
  <c r="AI19" i="33"/>
  <c r="H38" i="31" s="1"/>
  <c r="M25" i="56" l="1"/>
  <c r="N25" i="56" s="1"/>
  <c r="AK19" i="33"/>
  <c r="G12" i="47" s="1"/>
  <c r="H12" i="47" s="1"/>
  <c r="H39" i="31"/>
  <c r="AK21" i="33"/>
  <c r="G14" i="47" s="1"/>
  <c r="H14" i="47" s="1"/>
  <c r="I14" i="47" s="1"/>
  <c r="H40" i="31"/>
  <c r="H41" i="31"/>
  <c r="AJ22" i="33"/>
  <c r="H45" i="31" s="1"/>
  <c r="AF24" i="33"/>
  <c r="AI10" i="33"/>
  <c r="H30" i="31" s="1"/>
  <c r="AI9" i="33"/>
  <c r="H28" i="31" s="1"/>
  <c r="AJ13" i="33"/>
  <c r="AI13" i="33"/>
  <c r="AI12" i="33"/>
  <c r="H34" i="31" s="1"/>
  <c r="AI11" i="33"/>
  <c r="H32" i="31" s="1"/>
  <c r="H37" i="31" l="1"/>
  <c r="AJ11" i="33"/>
  <c r="H33" i="31" s="1"/>
  <c r="AJ9" i="33"/>
  <c r="H29" i="31" s="1"/>
  <c r="AK9" i="33"/>
  <c r="AJ12" i="33"/>
  <c r="H35" i="31" s="1"/>
  <c r="AK12" i="33"/>
  <c r="AJ10" i="33"/>
  <c r="H31" i="31" s="1"/>
  <c r="AK10" i="33"/>
  <c r="AJ8" i="33"/>
  <c r="H27" i="31" s="1"/>
  <c r="I12" i="47"/>
  <c r="AK22" i="33"/>
  <c r="AJ24" i="33"/>
  <c r="AK20" i="33"/>
  <c r="AI24" i="33"/>
  <c r="AK11" i="33"/>
  <c r="AG13" i="33"/>
  <c r="AK13" i="33" s="1"/>
  <c r="AF15" i="33"/>
  <c r="M19" i="56" l="1"/>
  <c r="N19" i="56" s="1"/>
  <c r="F19" i="56" s="1"/>
  <c r="AJ15" i="33"/>
  <c r="G15" i="47"/>
  <c r="H15" i="47" s="1"/>
  <c r="AK24" i="33"/>
  <c r="I15" i="47" l="1"/>
  <c r="AG15" i="33"/>
  <c r="AG16" i="33" s="1"/>
  <c r="H19" i="31" l="1"/>
  <c r="M12" i="56" s="1"/>
  <c r="N12" i="56" s="1"/>
  <c r="F12" i="56" s="1"/>
  <c r="H11" i="31"/>
  <c r="AI8" i="33"/>
  <c r="H26" i="31" s="1"/>
  <c r="AK8" i="33"/>
  <c r="AK15" i="33" s="1"/>
  <c r="H13" i="47" s="1"/>
  <c r="H23" i="47" s="1"/>
  <c r="F57" i="45" s="1"/>
  <c r="I13" i="47" l="1"/>
  <c r="H10" i="31"/>
  <c r="AI15" i="33"/>
  <c r="H25" i="31" l="1"/>
  <c r="H24" i="31" s="1"/>
  <c r="H47" i="31" s="1"/>
  <c r="M18" i="56"/>
  <c r="N18" i="56" s="1"/>
  <c r="F18" i="56" s="1"/>
  <c r="F16" i="56" s="1"/>
  <c r="L54" i="22"/>
  <c r="X54" i="22"/>
  <c r="U54" i="22"/>
  <c r="R54" i="22"/>
  <c r="O54" i="22"/>
  <c r="X51" i="50" l="1"/>
  <c r="AP111" i="50"/>
  <c r="F56" i="45"/>
  <c r="G22" i="22"/>
  <c r="G23" i="22"/>
  <c r="G24" i="22"/>
  <c r="G25" i="22"/>
  <c r="G34" i="22"/>
  <c r="G35" i="22"/>
  <c r="G36" i="22"/>
  <c r="G37" i="22"/>
  <c r="X50" i="50" l="1"/>
  <c r="N51" i="50"/>
  <c r="L51" i="50"/>
  <c r="AD51" i="50"/>
  <c r="AB51" i="50"/>
  <c r="AP110" i="50"/>
  <c r="X22" i="22"/>
  <c r="X23" i="22"/>
  <c r="X24" i="22"/>
  <c r="X25" i="22"/>
  <c r="U22" i="22"/>
  <c r="U23" i="22"/>
  <c r="U24" i="22"/>
  <c r="U25" i="22"/>
  <c r="R22" i="22"/>
  <c r="R23" i="22"/>
  <c r="R24" i="22"/>
  <c r="R25" i="22"/>
  <c r="O22" i="22"/>
  <c r="O23" i="22"/>
  <c r="O24" i="22"/>
  <c r="O25" i="22"/>
  <c r="L22" i="22"/>
  <c r="L23" i="22"/>
  <c r="L24" i="22"/>
  <c r="L25" i="22"/>
  <c r="H22" i="22"/>
  <c r="H23" i="22"/>
  <c r="H24" i="22"/>
  <c r="H25" i="22"/>
  <c r="H29" i="22"/>
  <c r="H31" i="22"/>
  <c r="H34" i="22"/>
  <c r="H35" i="22"/>
  <c r="H36" i="22"/>
  <c r="H37" i="22"/>
  <c r="P16" i="45"/>
  <c r="P18" i="45"/>
  <c r="X34" i="22"/>
  <c r="X35" i="22"/>
  <c r="X36" i="22"/>
  <c r="X37" i="22"/>
  <c r="X43" i="22"/>
  <c r="X44" i="22"/>
  <c r="X50" i="22"/>
  <c r="W20" i="22"/>
  <c r="N16" i="45"/>
  <c r="U31" i="22"/>
  <c r="N18" i="45" s="1"/>
  <c r="U34" i="22"/>
  <c r="U35" i="22"/>
  <c r="U36" i="22"/>
  <c r="U37" i="22"/>
  <c r="U43" i="22"/>
  <c r="U44" i="22"/>
  <c r="U50" i="22"/>
  <c r="T20" i="22"/>
  <c r="R29" i="22"/>
  <c r="L16" i="45" s="1"/>
  <c r="R31" i="22"/>
  <c r="L18" i="45" s="1"/>
  <c r="R34" i="22"/>
  <c r="R35" i="22"/>
  <c r="R36" i="22"/>
  <c r="R37" i="22"/>
  <c r="R43" i="22"/>
  <c r="R44" i="22"/>
  <c r="R50" i="22"/>
  <c r="Q20" i="22"/>
  <c r="O29" i="22"/>
  <c r="J16" i="45" s="1"/>
  <c r="O31" i="22"/>
  <c r="J18" i="45" s="1"/>
  <c r="O34" i="22"/>
  <c r="O35" i="22"/>
  <c r="O36" i="22"/>
  <c r="O37" i="22"/>
  <c r="O43" i="22"/>
  <c r="O44" i="22"/>
  <c r="O50" i="22"/>
  <c r="J8" i="45"/>
  <c r="J7" i="45" s="1"/>
  <c r="K20" i="22"/>
  <c r="H16" i="45"/>
  <c r="H18" i="45"/>
  <c r="L34" i="22"/>
  <c r="L35" i="22"/>
  <c r="L36" i="22"/>
  <c r="L37" i="22"/>
  <c r="L43" i="22"/>
  <c r="L44" i="22"/>
  <c r="L50" i="22"/>
  <c r="H8" i="45"/>
  <c r="G6" i="22"/>
  <c r="G7" i="22"/>
  <c r="G8" i="22"/>
  <c r="G9" i="22"/>
  <c r="G5" i="22"/>
  <c r="E3" i="22"/>
  <c r="AB50" i="50" l="1"/>
  <c r="AD50" i="50"/>
  <c r="L50" i="50"/>
  <c r="N50" i="50"/>
  <c r="H7" i="45"/>
  <c r="F18" i="45"/>
  <c r="F16" i="45"/>
  <c r="O20" i="22"/>
  <c r="R21" i="22"/>
  <c r="U21" i="22"/>
  <c r="X21" i="22"/>
  <c r="N20" i="22"/>
  <c r="G3" i="22"/>
  <c r="H7" i="22" s="1"/>
  <c r="W53" i="22"/>
  <c r="N53" i="22"/>
  <c r="X24" i="50" l="1"/>
  <c r="AB24" i="50" s="1"/>
  <c r="X22" i="50"/>
  <c r="AB22" i="50" s="1"/>
  <c r="AP82" i="50"/>
  <c r="N21" i="15"/>
  <c r="N20" i="15"/>
  <c r="F39" i="42" s="1"/>
  <c r="AP84" i="50"/>
  <c r="R20" i="22"/>
  <c r="L8" i="45"/>
  <c r="X20" i="22"/>
  <c r="P8" i="45"/>
  <c r="P7" i="45" s="1"/>
  <c r="U20" i="22"/>
  <c r="N8" i="45"/>
  <c r="N7" i="45" s="1"/>
  <c r="N52" i="22"/>
  <c r="O52" i="22" s="1"/>
  <c r="O53" i="22"/>
  <c r="T52" i="22"/>
  <c r="U52" i="22" s="1"/>
  <c r="U53" i="22"/>
  <c r="W52" i="22"/>
  <c r="X52" i="22" s="1"/>
  <c r="X53" i="22"/>
  <c r="Q52" i="22"/>
  <c r="R52" i="22" s="1"/>
  <c r="H20" i="22"/>
  <c r="H8" i="22"/>
  <c r="H9" i="22"/>
  <c r="H5" i="22"/>
  <c r="H6" i="22"/>
  <c r="N19" i="15" l="1"/>
  <c r="F38" i="42" s="1"/>
  <c r="F35" i="42" s="1"/>
  <c r="Z50" i="22"/>
  <c r="AA50" i="22" s="1"/>
  <c r="AD22" i="50"/>
  <c r="L22" i="50"/>
  <c r="N22" i="50"/>
  <c r="AD24" i="50"/>
  <c r="L24" i="50"/>
  <c r="N24" i="50"/>
  <c r="L7" i="45"/>
  <c r="F8" i="45"/>
  <c r="H3" i="22"/>
  <c r="N18" i="15"/>
  <c r="AB14" i="50" l="1"/>
  <c r="N17" i="15"/>
  <c r="AP74" i="50"/>
  <c r="F7" i="45"/>
  <c r="AP73" i="50" s="1"/>
  <c r="G50" i="22"/>
  <c r="H50" i="22" s="1"/>
  <c r="AB13" i="50" l="1"/>
  <c r="M34" i="16"/>
  <c r="P42" i="45" s="1"/>
  <c r="P39" i="45" s="1"/>
  <c r="M30" i="16"/>
  <c r="G34" i="43" s="1"/>
  <c r="M29" i="16"/>
  <c r="G33" i="43" s="1"/>
  <c r="M28" i="16"/>
  <c r="G32" i="43" s="1"/>
  <c r="M27" i="16"/>
  <c r="M26" i="16"/>
  <c r="G30" i="43" s="1"/>
  <c r="M25" i="16"/>
  <c r="G29" i="43" s="1"/>
  <c r="M24" i="16"/>
  <c r="G28" i="43" s="1"/>
  <c r="M23" i="16"/>
  <c r="G27" i="43" s="1"/>
  <c r="M22" i="16"/>
  <c r="G26" i="43" s="1"/>
  <c r="M21" i="16"/>
  <c r="G25" i="43" s="1"/>
  <c r="M20" i="16"/>
  <c r="G24" i="43" s="1"/>
  <c r="M17" i="16"/>
  <c r="G19" i="43" s="1"/>
  <c r="M13" i="16"/>
  <c r="G13" i="43" s="1"/>
  <c r="M12" i="16"/>
  <c r="G12" i="43" s="1"/>
  <c r="M11" i="16"/>
  <c r="G11" i="43" s="1"/>
  <c r="M10" i="16"/>
  <c r="M34" i="13"/>
  <c r="N42" i="45" s="1"/>
  <c r="N39" i="45" s="1"/>
  <c r="M30" i="13"/>
  <c r="M29" i="13"/>
  <c r="Q33" i="43" s="1"/>
  <c r="M28" i="13"/>
  <c r="Q32" i="43" s="1"/>
  <c r="M27" i="13"/>
  <c r="Q31" i="43" s="1"/>
  <c r="M26" i="13"/>
  <c r="Q30" i="43" s="1"/>
  <c r="M25" i="13"/>
  <c r="Q29" i="43" s="1"/>
  <c r="M24" i="13"/>
  <c r="Q28" i="43" s="1"/>
  <c r="M23" i="13"/>
  <c r="Q27" i="43" s="1"/>
  <c r="M22" i="13"/>
  <c r="Q26" i="43" s="1"/>
  <c r="M21" i="13"/>
  <c r="Q25" i="43" s="1"/>
  <c r="M20" i="13"/>
  <c r="Q24" i="43" s="1"/>
  <c r="M17" i="13"/>
  <c r="Q19" i="43" s="1"/>
  <c r="M13" i="13"/>
  <c r="Q13" i="43" s="1"/>
  <c r="M12" i="13"/>
  <c r="Q12" i="43" s="1"/>
  <c r="M11" i="13"/>
  <c r="Q11" i="43" s="1"/>
  <c r="M10" i="13"/>
  <c r="N34" i="11"/>
  <c r="J42" i="45" s="1"/>
  <c r="J39" i="45" s="1"/>
  <c r="N33" i="22"/>
  <c r="O33" i="22" s="1"/>
  <c r="J20" i="45" s="1"/>
  <c r="M20" i="12"/>
  <c r="O24" i="43" s="1"/>
  <c r="M34" i="12"/>
  <c r="L42" i="45" s="1"/>
  <c r="L39" i="45" s="1"/>
  <c r="M30" i="12"/>
  <c r="M29" i="12"/>
  <c r="O33" i="43" s="1"/>
  <c r="M28" i="12"/>
  <c r="O32" i="43" s="1"/>
  <c r="M27" i="12"/>
  <c r="M26" i="12"/>
  <c r="O30" i="43" s="1"/>
  <c r="M25" i="12"/>
  <c r="O29" i="43" s="1"/>
  <c r="M24" i="12"/>
  <c r="O28" i="43" s="1"/>
  <c r="M23" i="12"/>
  <c r="O27" i="43" s="1"/>
  <c r="M22" i="12"/>
  <c r="O26" i="43" s="1"/>
  <c r="M21" i="12"/>
  <c r="O25" i="43" s="1"/>
  <c r="M17" i="12"/>
  <c r="O19" i="43" s="1"/>
  <c r="M13" i="12"/>
  <c r="O13" i="43" s="1"/>
  <c r="M12" i="12"/>
  <c r="O12" i="43" s="1"/>
  <c r="M11" i="12"/>
  <c r="O11" i="43" s="1"/>
  <c r="O8" i="43" s="1"/>
  <c r="N30" i="11"/>
  <c r="N29" i="11"/>
  <c r="M33" i="43" s="1"/>
  <c r="N28" i="11"/>
  <c r="M32" i="43" s="1"/>
  <c r="N27" i="11"/>
  <c r="N26" i="11"/>
  <c r="M30" i="43" s="1"/>
  <c r="N25" i="11"/>
  <c r="M29" i="43" s="1"/>
  <c r="N24" i="11"/>
  <c r="M28" i="43" s="1"/>
  <c r="N23" i="11"/>
  <c r="M27" i="43" s="1"/>
  <c r="N22" i="11"/>
  <c r="M26" i="43" s="1"/>
  <c r="N21" i="11"/>
  <c r="M25" i="43" s="1"/>
  <c r="N20" i="11"/>
  <c r="M24" i="43" s="1"/>
  <c r="N17" i="11"/>
  <c r="M19" i="43" s="1"/>
  <c r="N16" i="11"/>
  <c r="M18" i="43" s="1"/>
  <c r="N13" i="11"/>
  <c r="M13" i="43" s="1"/>
  <c r="N12" i="11"/>
  <c r="M12" i="43" s="1"/>
  <c r="AD14" i="50" l="1"/>
  <c r="Z14" i="50"/>
  <c r="N14" i="50"/>
  <c r="L14" i="50"/>
  <c r="J14" i="50"/>
  <c r="AD13" i="50"/>
  <c r="Z32" i="50"/>
  <c r="Z29" i="50"/>
  <c r="Z17" i="50"/>
  <c r="Z15" i="50"/>
  <c r="J30" i="50"/>
  <c r="J29" i="50"/>
  <c r="L13" i="50"/>
  <c r="J38" i="50"/>
  <c r="J22" i="50"/>
  <c r="J31" i="50"/>
  <c r="J28" i="50"/>
  <c r="J17" i="50"/>
  <c r="Z31" i="50"/>
  <c r="J18" i="50"/>
  <c r="J25" i="50"/>
  <c r="Z28" i="50"/>
  <c r="Z37" i="50"/>
  <c r="J37" i="50"/>
  <c r="Z18" i="50"/>
  <c r="J15" i="50"/>
  <c r="Z30" i="50"/>
  <c r="J16" i="50"/>
  <c r="Z38" i="50"/>
  <c r="N13" i="50"/>
  <c r="Z25" i="50"/>
  <c r="J32" i="50"/>
  <c r="Z16" i="50"/>
  <c r="Z22" i="50"/>
  <c r="Z52" i="50"/>
  <c r="J52" i="50"/>
  <c r="J45" i="50"/>
  <c r="Z46" i="50"/>
  <c r="Z45" i="50"/>
  <c r="J46" i="50"/>
  <c r="Z44" i="50"/>
  <c r="J44" i="50"/>
  <c r="J51" i="50"/>
  <c r="Z51" i="50"/>
  <c r="Z50" i="50"/>
  <c r="J50" i="50"/>
  <c r="Z24" i="50"/>
  <c r="J24" i="50"/>
  <c r="R37" i="45"/>
  <c r="F37" i="45" s="1"/>
  <c r="Q22" i="43"/>
  <c r="G22" i="43"/>
  <c r="G8" i="43"/>
  <c r="Q8" i="43"/>
  <c r="M10" i="12"/>
  <c r="K9" i="12"/>
  <c r="O22" i="43"/>
  <c r="M22" i="43"/>
  <c r="N11" i="11"/>
  <c r="M11" i="43" s="1"/>
  <c r="M8" i="43" s="1"/>
  <c r="N10" i="11"/>
  <c r="M16" i="43"/>
  <c r="K15" i="16"/>
  <c r="M15" i="16" s="1"/>
  <c r="K15" i="12"/>
  <c r="M15" i="12" s="1"/>
  <c r="N25" i="4"/>
  <c r="K29" i="43" s="1"/>
  <c r="I29" i="43" s="1"/>
  <c r="E29" i="43" s="1"/>
  <c r="N24" i="4"/>
  <c r="K28" i="43" s="1"/>
  <c r="I28" i="43" s="1"/>
  <c r="E28" i="43" s="1"/>
  <c r="N30" i="4"/>
  <c r="K34" i="43" s="1"/>
  <c r="I34" i="43" s="1"/>
  <c r="E34" i="43" s="1"/>
  <c r="N32" i="11"/>
  <c r="M32" i="12"/>
  <c r="Q33" i="22"/>
  <c r="R33" i="22" s="1"/>
  <c r="L20" i="45" s="1"/>
  <c r="N26" i="4"/>
  <c r="K30" i="43" s="1"/>
  <c r="I30" i="43" s="1"/>
  <c r="E30" i="43" s="1"/>
  <c r="N12" i="4"/>
  <c r="K12" i="43" s="1"/>
  <c r="I12" i="43" s="1"/>
  <c r="E12" i="43" s="1"/>
  <c r="N27" i="4"/>
  <c r="K31" i="43" s="1"/>
  <c r="I31" i="43" s="1"/>
  <c r="E31" i="43" s="1"/>
  <c r="M32" i="13"/>
  <c r="T33" i="22"/>
  <c r="U33" i="22" s="1"/>
  <c r="N20" i="45" s="1"/>
  <c r="N28" i="4"/>
  <c r="K32" i="43" s="1"/>
  <c r="I32" i="43" s="1"/>
  <c r="E32" i="43" s="1"/>
  <c r="K15" i="13"/>
  <c r="M15" i="13" s="1"/>
  <c r="N13" i="4"/>
  <c r="K13" i="43" s="1"/>
  <c r="I13" i="43" s="1"/>
  <c r="E13" i="43" s="1"/>
  <c r="N25" i="15"/>
  <c r="R41" i="45" s="1"/>
  <c r="F41" i="45" s="1"/>
  <c r="N21" i="4"/>
  <c r="K25" i="43" s="1"/>
  <c r="I25" i="43" s="1"/>
  <c r="E25" i="43" s="1"/>
  <c r="N29" i="4"/>
  <c r="K33" i="43" s="1"/>
  <c r="I33" i="43" s="1"/>
  <c r="E33" i="43" s="1"/>
  <c r="N22" i="4"/>
  <c r="K26" i="43" s="1"/>
  <c r="I26" i="43" s="1"/>
  <c r="E26" i="43" s="1"/>
  <c r="M32" i="16"/>
  <c r="W33" i="22"/>
  <c r="X33" i="22" s="1"/>
  <c r="P20" i="45" s="1"/>
  <c r="N23" i="4"/>
  <c r="K27" i="43" s="1"/>
  <c r="I27" i="43" s="1"/>
  <c r="E27" i="43" s="1"/>
  <c r="N27" i="15"/>
  <c r="R43" i="45" s="1"/>
  <c r="F43" i="45" s="1"/>
  <c r="M16" i="16"/>
  <c r="K19" i="16"/>
  <c r="M19" i="16" s="1"/>
  <c r="K9" i="16"/>
  <c r="K19" i="13"/>
  <c r="M19" i="13" s="1"/>
  <c r="M16" i="13"/>
  <c r="K9" i="13"/>
  <c r="M16" i="12"/>
  <c r="K19" i="12"/>
  <c r="M19" i="12" s="1"/>
  <c r="L15" i="11"/>
  <c r="N15" i="11" s="1"/>
  <c r="L9" i="11"/>
  <c r="L19" i="11"/>
  <c r="N19" i="11" s="1"/>
  <c r="N10" i="4"/>
  <c r="G18" i="43" l="1"/>
  <c r="G16" i="43" s="1"/>
  <c r="G36" i="43" s="1"/>
  <c r="Q18" i="43"/>
  <c r="Q16" i="43" s="1"/>
  <c r="Q36" i="43" s="1"/>
  <c r="O18" i="43"/>
  <c r="O16" i="43" s="1"/>
  <c r="O36" i="43" s="1"/>
  <c r="M36" i="43"/>
  <c r="L4" i="11"/>
  <c r="N30" i="22" s="1"/>
  <c r="N28" i="22" s="1"/>
  <c r="N27" i="22" s="1"/>
  <c r="N39" i="22" s="1"/>
  <c r="N32" i="4"/>
  <c r="L15" i="4"/>
  <c r="G42" i="22"/>
  <c r="K42" i="22" s="1"/>
  <c r="N17" i="4"/>
  <c r="K19" i="43" s="1"/>
  <c r="I19" i="43" s="1"/>
  <c r="E19" i="43" s="1"/>
  <c r="K53" i="22"/>
  <c r="G53" i="22" s="1"/>
  <c r="N26" i="15"/>
  <c r="N34" i="4"/>
  <c r="H42" i="45" s="1"/>
  <c r="H39" i="45" s="1"/>
  <c r="K3" i="12"/>
  <c r="K38" i="12" s="1"/>
  <c r="G33" i="22"/>
  <c r="H33" i="22" s="1"/>
  <c r="L33" i="22"/>
  <c r="H20" i="45" s="1"/>
  <c r="F20" i="45" s="1"/>
  <c r="N13" i="15"/>
  <c r="G45" i="22"/>
  <c r="W45" i="22" s="1"/>
  <c r="X45" i="22" s="1"/>
  <c r="N11" i="15"/>
  <c r="G43" i="22"/>
  <c r="H43" i="22" s="1"/>
  <c r="F29" i="42" s="1"/>
  <c r="N12" i="15"/>
  <c r="G44" i="22"/>
  <c r="H44" i="22" s="1"/>
  <c r="N14" i="15"/>
  <c r="G46" i="22"/>
  <c r="N24" i="15"/>
  <c r="R40" i="45" s="1"/>
  <c r="F40" i="45" s="1"/>
  <c r="N10" i="15"/>
  <c r="M9" i="16"/>
  <c r="M3" i="16" s="1"/>
  <c r="K3" i="16"/>
  <c r="K38" i="16" s="1"/>
  <c r="M38" i="16" s="1"/>
  <c r="M9" i="13"/>
  <c r="M4" i="13" s="1"/>
  <c r="K4" i="13"/>
  <c r="T30" i="22" s="1"/>
  <c r="M9" i="12"/>
  <c r="M3" i="12" s="1"/>
  <c r="N9" i="11"/>
  <c r="N4" i="11" s="1"/>
  <c r="L19" i="4"/>
  <c r="L9" i="4"/>
  <c r="N16" i="4"/>
  <c r="K18" i="43" s="1"/>
  <c r="I18" i="43" s="1"/>
  <c r="E18" i="43" s="1"/>
  <c r="N20" i="4"/>
  <c r="K24" i="43" s="1"/>
  <c r="I24" i="43" s="1"/>
  <c r="E24" i="43" s="1"/>
  <c r="N11" i="4"/>
  <c r="K11" i="43" s="1"/>
  <c r="I11" i="43" s="1"/>
  <c r="E11" i="43" s="1"/>
  <c r="T45" i="22" l="1"/>
  <c r="U45" i="22" s="1"/>
  <c r="N45" i="22"/>
  <c r="O45" i="22" s="1"/>
  <c r="Q45" i="22"/>
  <c r="R45" i="22" s="1"/>
  <c r="H45" i="22"/>
  <c r="F30" i="42" s="1"/>
  <c r="K45" i="22"/>
  <c r="L45" i="22" s="1"/>
  <c r="W46" i="22"/>
  <c r="X46" i="22" s="1"/>
  <c r="P33" i="45" s="1"/>
  <c r="K46" i="22"/>
  <c r="L46" i="22" s="1"/>
  <c r="H33" i="45" s="1"/>
  <c r="Q46" i="22"/>
  <c r="R46" i="22" s="1"/>
  <c r="L33" i="45" s="1"/>
  <c r="T46" i="22"/>
  <c r="U46" i="22" s="1"/>
  <c r="N33" i="45" s="1"/>
  <c r="N46" i="22"/>
  <c r="O46" i="22" s="1"/>
  <c r="J33" i="45" s="1"/>
  <c r="L42" i="22"/>
  <c r="H29" i="45" s="1"/>
  <c r="N42" i="22"/>
  <c r="O42" i="22" s="1"/>
  <c r="J29" i="45" s="1"/>
  <c r="X27" i="50"/>
  <c r="AB27" i="50" s="1"/>
  <c r="F14" i="42"/>
  <c r="F24" i="42" s="1"/>
  <c r="T28" i="22"/>
  <c r="U30" i="22"/>
  <c r="L37" i="11"/>
  <c r="R39" i="45"/>
  <c r="Z54" i="22"/>
  <c r="AA54" i="22" s="1"/>
  <c r="L3" i="4"/>
  <c r="L37" i="4" s="1"/>
  <c r="AP87" i="50"/>
  <c r="L3" i="15"/>
  <c r="L31" i="15" s="1"/>
  <c r="Q42" i="22"/>
  <c r="R42" i="22" s="1"/>
  <c r="L29" i="45" s="1"/>
  <c r="T42" i="22"/>
  <c r="U42" i="22" s="1"/>
  <c r="N29" i="45" s="1"/>
  <c r="N19" i="4"/>
  <c r="N15" i="4"/>
  <c r="W42" i="22"/>
  <c r="X42" i="22" s="1"/>
  <c r="P29" i="45" s="1"/>
  <c r="H42" i="22"/>
  <c r="F28" i="42" s="1"/>
  <c r="K22" i="43"/>
  <c r="K16" i="43"/>
  <c r="F42" i="45"/>
  <c r="N23" i="15"/>
  <c r="K52" i="22"/>
  <c r="L52" i="22" s="1"/>
  <c r="H53" i="22"/>
  <c r="L53" i="22"/>
  <c r="W30" i="22"/>
  <c r="X30" i="22" s="1"/>
  <c r="Q30" i="22"/>
  <c r="H46" i="22"/>
  <c r="N9" i="15"/>
  <c r="N9" i="4"/>
  <c r="F26" i="42" l="1"/>
  <c r="F33" i="42" s="1"/>
  <c r="F49" i="42" s="1"/>
  <c r="F51" i="42" s="1"/>
  <c r="G30" i="22"/>
  <c r="N31" i="15"/>
  <c r="K8" i="43"/>
  <c r="K36" i="43" s="1"/>
  <c r="L27" i="50"/>
  <c r="N27" i="50"/>
  <c r="J27" i="50"/>
  <c r="AD27" i="50"/>
  <c r="Z27" i="50"/>
  <c r="I8" i="43"/>
  <c r="E8" i="43" s="1"/>
  <c r="N3" i="4"/>
  <c r="G54" i="22"/>
  <c r="H54" i="22" s="1"/>
  <c r="Z52" i="22"/>
  <c r="I22" i="43"/>
  <c r="E22" i="43"/>
  <c r="I16" i="43"/>
  <c r="E16" i="43"/>
  <c r="N37" i="4"/>
  <c r="N3" i="15"/>
  <c r="O30" i="22"/>
  <c r="J17" i="45" s="1"/>
  <c r="F29" i="45"/>
  <c r="F33" i="45"/>
  <c r="R45" i="45"/>
  <c r="F39" i="45"/>
  <c r="K41" i="22"/>
  <c r="H32" i="45"/>
  <c r="Q41" i="22"/>
  <c r="L32" i="45"/>
  <c r="L28" i="45" s="1"/>
  <c r="N41" i="22"/>
  <c r="O41" i="22" s="1"/>
  <c r="J32" i="45"/>
  <c r="J28" i="45" s="1"/>
  <c r="W41" i="22"/>
  <c r="X41" i="22" s="1"/>
  <c r="P32" i="45"/>
  <c r="P28" i="45" s="1"/>
  <c r="T41" i="22"/>
  <c r="U41" i="22" s="1"/>
  <c r="N32" i="45"/>
  <c r="N28" i="45" s="1"/>
  <c r="K27" i="22"/>
  <c r="L30" i="22"/>
  <c r="H17" i="45" s="1"/>
  <c r="H30" i="22"/>
  <c r="N17" i="45"/>
  <c r="Q28" i="22"/>
  <c r="R30" i="22"/>
  <c r="L17" i="45" s="1"/>
  <c r="W28" i="22"/>
  <c r="X28" i="22" s="1"/>
  <c r="P17" i="45"/>
  <c r="K38" i="13"/>
  <c r="M38" i="13" s="1"/>
  <c r="M38" i="12"/>
  <c r="N37" i="11"/>
  <c r="X36" i="50" l="1"/>
  <c r="X40" i="50"/>
  <c r="E36" i="43"/>
  <c r="M13" i="56"/>
  <c r="N13" i="56" s="1"/>
  <c r="F13" i="56" s="1"/>
  <c r="F9" i="56" s="1"/>
  <c r="I36" i="43"/>
  <c r="G52" i="22"/>
  <c r="H52" i="22" s="1"/>
  <c r="Z56" i="22"/>
  <c r="AA56" i="22" s="1"/>
  <c r="AA52" i="22"/>
  <c r="G41" i="22"/>
  <c r="H41" i="22" s="1"/>
  <c r="F17" i="45"/>
  <c r="O28" i="22"/>
  <c r="J15" i="45" s="1"/>
  <c r="J14" i="45" s="1"/>
  <c r="J26" i="45" s="1"/>
  <c r="J35" i="45" s="1"/>
  <c r="J45" i="45" s="1"/>
  <c r="G28" i="22"/>
  <c r="H28" i="22" s="1"/>
  <c r="H28" i="45"/>
  <c r="F32" i="45"/>
  <c r="Q27" i="22"/>
  <c r="Q39" i="22" s="1"/>
  <c r="R28" i="22"/>
  <c r="L15" i="45" s="1"/>
  <c r="L14" i="45" s="1"/>
  <c r="L26" i="45" s="1"/>
  <c r="L35" i="45" s="1"/>
  <c r="L45" i="45" s="1"/>
  <c r="T27" i="22"/>
  <c r="U28" i="22"/>
  <c r="N15" i="45" s="1"/>
  <c r="N14" i="45" s="1"/>
  <c r="N26" i="45" s="1"/>
  <c r="N35" i="45" s="1"/>
  <c r="W27" i="22"/>
  <c r="W39" i="22" s="1"/>
  <c r="G39" i="22" s="1"/>
  <c r="P15" i="45"/>
  <c r="P14" i="45" s="1"/>
  <c r="P26" i="45" s="1"/>
  <c r="P35" i="45" s="1"/>
  <c r="L28" i="22"/>
  <c r="H15" i="45" s="1"/>
  <c r="L41" i="22"/>
  <c r="R41" i="22"/>
  <c r="X23" i="50" l="1"/>
  <c r="AB23" i="50" s="1"/>
  <c r="N40" i="50"/>
  <c r="N36" i="50"/>
  <c r="AP100" i="50"/>
  <c r="AP96" i="50"/>
  <c r="X39" i="50"/>
  <c r="F53" i="42"/>
  <c r="H88" i="31" s="1"/>
  <c r="H86" i="31" s="1"/>
  <c r="AP83" i="50"/>
  <c r="H78" i="31"/>
  <c r="J54" i="45"/>
  <c r="J60" i="45" s="1"/>
  <c r="P45" i="45"/>
  <c r="P54" i="45"/>
  <c r="P60" i="45" s="1"/>
  <c r="N45" i="45"/>
  <c r="N54" i="45"/>
  <c r="N60" i="45" s="1"/>
  <c r="L54" i="45"/>
  <c r="L60" i="45" s="1"/>
  <c r="G27" i="22"/>
  <c r="H27" i="22" s="1"/>
  <c r="O27" i="22"/>
  <c r="F15" i="45"/>
  <c r="H14" i="45"/>
  <c r="H26" i="45" s="1"/>
  <c r="H35" i="45" s="1"/>
  <c r="F28" i="45"/>
  <c r="X35" i="50" s="1"/>
  <c r="U27" i="22"/>
  <c r="T39" i="22"/>
  <c r="X27" i="22"/>
  <c r="L27" i="22"/>
  <c r="R27" i="22"/>
  <c r="H98" i="31" l="1"/>
  <c r="AB21" i="50"/>
  <c r="J36" i="50"/>
  <c r="L36" i="50"/>
  <c r="L40" i="50"/>
  <c r="J40" i="50"/>
  <c r="J39" i="50"/>
  <c r="L35" i="50"/>
  <c r="AB36" i="50"/>
  <c r="AD36" i="50"/>
  <c r="AP99" i="50"/>
  <c r="AP95" i="50"/>
  <c r="F6" i="56"/>
  <c r="AD23" i="50"/>
  <c r="Z23" i="50"/>
  <c r="AP81" i="50"/>
  <c r="N23" i="50"/>
  <c r="L23" i="50"/>
  <c r="J23" i="50"/>
  <c r="L39" i="22"/>
  <c r="K48" i="22"/>
  <c r="K56" i="22" s="1"/>
  <c r="H54" i="45"/>
  <c r="H60" i="45" s="1"/>
  <c r="H45" i="45"/>
  <c r="F45" i="45" s="1"/>
  <c r="F14" i="45"/>
  <c r="O39" i="22"/>
  <c r="N48" i="22"/>
  <c r="N56" i="22" s="1"/>
  <c r="F35" i="45"/>
  <c r="X42" i="50" s="1"/>
  <c r="U39" i="22"/>
  <c r="T48" i="22"/>
  <c r="T56" i="22" s="1"/>
  <c r="U56" i="22" s="1"/>
  <c r="H39" i="22"/>
  <c r="X39" i="22"/>
  <c r="W48" i="22"/>
  <c r="W56" i="22" s="1"/>
  <c r="X56" i="22" s="1"/>
  <c r="R39" i="22"/>
  <c r="Q48" i="22"/>
  <c r="Q56" i="22" s="1"/>
  <c r="X20" i="50" l="1"/>
  <c r="AB20" i="50" s="1"/>
  <c r="J35" i="50"/>
  <c r="N35" i="50"/>
  <c r="N39" i="50"/>
  <c r="L39" i="50"/>
  <c r="AB35" i="50"/>
  <c r="AD40" i="50"/>
  <c r="AB40" i="50"/>
  <c r="Z40" i="50"/>
  <c r="AB39" i="50"/>
  <c r="Z36" i="50"/>
  <c r="AD35" i="50"/>
  <c r="F54" i="45"/>
  <c r="X48" i="50" s="1"/>
  <c r="H90" i="31"/>
  <c r="G56" i="22"/>
  <c r="H56" i="22" s="1"/>
  <c r="AD21" i="50"/>
  <c r="Z21" i="50"/>
  <c r="N21" i="50"/>
  <c r="L21" i="50"/>
  <c r="J21" i="50"/>
  <c r="AP80" i="50"/>
  <c r="G48" i="22"/>
  <c r="H48" i="22" s="1"/>
  <c r="F26" i="45"/>
  <c r="O56" i="22"/>
  <c r="O48" i="22"/>
  <c r="U48" i="22"/>
  <c r="X48" i="22"/>
  <c r="L48" i="22"/>
  <c r="R48" i="22"/>
  <c r="R56" i="22"/>
  <c r="X33" i="50" l="1"/>
  <c r="AB33" i="50" s="1"/>
  <c r="Z39" i="50"/>
  <c r="AD39" i="50"/>
  <c r="Z35" i="50"/>
  <c r="M26" i="56"/>
  <c r="N26" i="56" s="1"/>
  <c r="F25" i="56" s="1"/>
  <c r="F22" i="56" s="1"/>
  <c r="F29" i="56" s="1"/>
  <c r="H97" i="31"/>
  <c r="H92" i="31"/>
  <c r="H102" i="31" s="1"/>
  <c r="H96" i="31"/>
  <c r="Z20" i="50"/>
  <c r="AD20" i="50"/>
  <c r="AP93" i="50"/>
  <c r="N20" i="50"/>
  <c r="L20" i="50"/>
  <c r="J20" i="50"/>
  <c r="F60" i="45"/>
  <c r="X54" i="50" s="1"/>
  <c r="L56" i="22"/>
  <c r="M18" i="48"/>
  <c r="F33" i="56" l="1"/>
  <c r="F37" i="56" s="1"/>
  <c r="AP114" i="50"/>
  <c r="J33" i="50"/>
  <c r="N33" i="50"/>
  <c r="L33" i="50"/>
  <c r="AD33" i="50"/>
  <c r="Z33" i="50"/>
  <c r="AP102" i="50"/>
  <c r="M17" i="48"/>
  <c r="AD42" i="50" l="1"/>
  <c r="AB42" i="50"/>
  <c r="Z42" i="50"/>
  <c r="AP108" i="50"/>
  <c r="J42" i="50"/>
  <c r="N42" i="50"/>
  <c r="L42" i="50"/>
  <c r="AD48" i="50" l="1"/>
  <c r="Z48" i="50"/>
  <c r="AB48" i="50"/>
  <c r="N48" i="50"/>
  <c r="L48" i="50"/>
  <c r="J48" i="50"/>
  <c r="J54" i="50" l="1"/>
  <c r="L54" i="50"/>
  <c r="N54" i="50"/>
  <c r="AD54" i="50"/>
  <c r="Z54" i="50"/>
  <c r="AB54" i="50"/>
</calcChain>
</file>

<file path=xl/comments1.xml><?xml version="1.0" encoding="utf-8"?>
<comments xmlns="http://schemas.openxmlformats.org/spreadsheetml/2006/main">
  <authors>
    <author>Boubacar BA</author>
  </authors>
  <commentList>
    <comment ref="AE20" authorId="0" shapeId="0">
      <text>
        <r>
          <rPr>
            <b/>
            <sz val="9"/>
            <color indexed="81"/>
            <rFont val="Tahoma"/>
            <family val="2"/>
          </rPr>
          <t>Boubacar BA:</t>
        </r>
        <r>
          <rPr>
            <sz val="9"/>
            <color indexed="81"/>
            <rFont val="Tahoma"/>
            <family val="2"/>
          </rPr>
          <t xml:space="preserve">
There is a plug of EUR 48 414 in Jang's spreadsheet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Boubacar BA:</t>
        </r>
        <r>
          <rPr>
            <sz val="9"/>
            <color indexed="81"/>
            <rFont val="Tahoma"/>
            <family val="2"/>
          </rPr>
          <t xml:space="preserve">
There is a plug of EUR 48 414 in M. Jang's sheet</t>
        </r>
      </text>
    </comment>
  </commentList>
</comments>
</file>

<file path=xl/sharedStrings.xml><?xml version="1.0" encoding="utf-8"?>
<sst xmlns="http://schemas.openxmlformats.org/spreadsheetml/2006/main" count="8209" uniqueCount="1811">
  <si>
    <t>DONGWON CONSULTING FEES</t>
  </si>
  <si>
    <t>REMUNERATION TRANSITAIRES FISH</t>
  </si>
  <si>
    <t>REMUNERATION TRANSITAIRES GOODS</t>
  </si>
  <si>
    <t>COMMISSION</t>
  </si>
  <si>
    <t>VARIATION STOCK FUEL</t>
  </si>
  <si>
    <t>VARIATON STOCK BUOYS</t>
  </si>
  <si>
    <t>SALT PURCHASE</t>
  </si>
  <si>
    <t>PRODUITS D'ENTRETIENT</t>
  </si>
  <si>
    <t>EAU</t>
  </si>
  <si>
    <t>ELECTRICITE</t>
  </si>
  <si>
    <t>ACHAT DE CARBURANT</t>
  </si>
  <si>
    <t>FUEL VESSELS</t>
  </si>
  <si>
    <t>OFFICE SUPPLIES</t>
  </si>
  <si>
    <t>FOURNITURES INFORMATIQUE</t>
  </si>
  <si>
    <t>CONSOMMABLE DECK SUPPLIES</t>
  </si>
  <si>
    <t>CONSOMMABLES ENGINE SUPPLIES</t>
  </si>
  <si>
    <t>CONSOMMABLES Buoy purchasing fee</t>
  </si>
  <si>
    <t>BAIT</t>
  </si>
  <si>
    <t>OTHERS SUPPLIES</t>
  </si>
  <si>
    <t>COMMUNICATION SUPPLIES</t>
  </si>
  <si>
    <t>STORAGE EXPENSE</t>
  </si>
  <si>
    <t>PURCHASE TRANSPORT COST</t>
  </si>
  <si>
    <t>SALE TRANSPORT COST</t>
  </si>
  <si>
    <t>TRANSPORT OF FOLD</t>
  </si>
  <si>
    <t>VOYAGE ET DEPLACEMENT</t>
  </si>
  <si>
    <t>TRANSPORT ET L'ENTREPOSAGE</t>
  </si>
  <si>
    <t>OTHER TRANSPORT NO RELATED FOR FISH</t>
  </si>
  <si>
    <t>ADMINISTRATIVE TRANSPORT</t>
  </si>
  <si>
    <t>LEASE FEE</t>
  </si>
  <si>
    <t>LOCATION MATERIELS ROULANTS</t>
  </si>
  <si>
    <t>OFFICE RENTAL FEE</t>
  </si>
  <si>
    <t>AUTRES LOCATIONS</t>
  </si>
  <si>
    <t>REPAIR FEE</t>
  </si>
  <si>
    <t>MAINTENANCE</t>
  </si>
  <si>
    <t>CREW INSURANCE</t>
  </si>
  <si>
    <t>CARGO INSURANCE</t>
  </si>
  <si>
    <t>HULL AND MACHINARY INSURANCE</t>
  </si>
  <si>
    <t>INSURANCE</t>
  </si>
  <si>
    <t>GIFTS/ CADEAUX</t>
  </si>
  <si>
    <t>AUTRES FRAIS DE TELECOMMUNICATION</t>
  </si>
  <si>
    <t>COMMUNICATION EXPENSE-CREW</t>
  </si>
  <si>
    <t>BUOY USING FEE</t>
  </si>
  <si>
    <t>BANK EXPENSE</t>
  </si>
  <si>
    <t>COMMISSIONS ET COURTAGES</t>
  </si>
  <si>
    <t>HONORAIRES / FEES</t>
  </si>
  <si>
    <t>AGENCE FEES</t>
  </si>
  <si>
    <t>SHIP INSPECTION FEE</t>
  </si>
  <si>
    <t>PORT CHARGES</t>
  </si>
  <si>
    <t>OTHERS PORT EXPENSE</t>
  </si>
  <si>
    <t>OTHERS FEES</t>
  </si>
  <si>
    <t>EDUCATION FEE OFFICE</t>
  </si>
  <si>
    <t>LICENCE SENEGAL</t>
  </si>
  <si>
    <t>LICENCE GUINEE CONACRY</t>
  </si>
  <si>
    <t>LICENCE SIERRA LEONNE</t>
  </si>
  <si>
    <t>LICENCE CAPE VERDE</t>
  </si>
  <si>
    <t>LICENCE GUINEE BISSAU</t>
  </si>
  <si>
    <t>LICENCE GRA MAURITANIA</t>
  </si>
  <si>
    <t>EXTERNAL LABOR EXPENSE</t>
  </si>
  <si>
    <t>DAILY WORKERS EXPENSES</t>
  </si>
  <si>
    <t>OUTSOURCING STAFF</t>
  </si>
  <si>
    <t>CATERING/RESTAURATION</t>
  </si>
  <si>
    <t>OTHERS RESTAURATION</t>
  </si>
  <si>
    <t>HOTEL</t>
  </si>
  <si>
    <t>FOOD PURCHASE</t>
  </si>
  <si>
    <t>FRAIS DE MISSION</t>
  </si>
  <si>
    <t>TRIMF</t>
  </si>
  <si>
    <t>IMPOT SUR LE REVENU</t>
  </si>
  <si>
    <t>STAMP/TIMBRE</t>
  </si>
  <si>
    <t>AUTRES CHARGES</t>
  </si>
  <si>
    <t>OTHER DONATION</t>
  </si>
  <si>
    <t>APPOINTEMENTS ET SALAIRES NATIONAUX</t>
  </si>
  <si>
    <t>OTHER INCENTIVE SN</t>
  </si>
  <si>
    <t>CONGES PAYES</t>
  </si>
  <si>
    <t>GRA BONUS PAYABLE</t>
  </si>
  <si>
    <t>WEK BONUS PAYABLE</t>
  </si>
  <si>
    <t>PRIME DE TRANSPORT</t>
  </si>
  <si>
    <t>SOCIAL COST</t>
  </si>
  <si>
    <t>SOCIAL SECURITY SENEGALESE</t>
  </si>
  <si>
    <t>PENSION FUND EXPATRIATES</t>
  </si>
  <si>
    <t>CHARGES SOC/EXPAT PP</t>
  </si>
  <si>
    <t>DONGWON STAFF SOCIAL CHARGES</t>
  </si>
  <si>
    <t>GIFTS FOR EMPLOYEES</t>
  </si>
  <si>
    <t>OTHERS MEDICAL</t>
  </si>
  <si>
    <t>INTEREST ON XIX VESSEL PRICE</t>
  </si>
  <si>
    <t>INTEREST ON ORK VESSEL PRICE</t>
  </si>
  <si>
    <t>DEPRECIATION FOR TANGIBLE ASSET</t>
  </si>
  <si>
    <t>RESERVE FOR RISK AND CHARGE</t>
  </si>
  <si>
    <t>VENTE DE PRODUITS DANS UEMOA</t>
  </si>
  <si>
    <t>VENTE DE PRODUITS A DONGWON</t>
  </si>
  <si>
    <t>VENTE AUX EFE</t>
  </si>
  <si>
    <t>RENT MATERIEL</t>
  </si>
  <si>
    <t>PRODUIT ACCESSOIRE TAXABLE</t>
  </si>
  <si>
    <t>VARIATION DE STOCK DE THON</t>
  </si>
  <si>
    <t>GAINS DE CHANGE</t>
  </si>
  <si>
    <t>DIVERSE PRODUCTS</t>
  </si>
  <si>
    <t>MISCELLANEOUS PRODUCTS</t>
  </si>
  <si>
    <t>REMUNERATION COMPTE BANCAIRE</t>
  </si>
  <si>
    <t>GAIN DE CHANGE</t>
  </si>
  <si>
    <t>RESERVAL PROVISION ON OPERATION</t>
  </si>
  <si>
    <t>FC02</t>
  </si>
  <si>
    <t>GRANADA CENTER</t>
  </si>
  <si>
    <t>FC03</t>
  </si>
  <si>
    <t>WESTERN KIM CENTER</t>
  </si>
  <si>
    <t>FC04</t>
  </si>
  <si>
    <t>XIXILI CENTER</t>
  </si>
  <si>
    <t>FC05</t>
  </si>
  <si>
    <t>ORK CENTER</t>
  </si>
  <si>
    <t>FC06</t>
  </si>
  <si>
    <t>SA10</t>
  </si>
  <si>
    <t>Control</t>
  </si>
  <si>
    <t>PORT EXPENSE</t>
  </si>
  <si>
    <t>COMMISION EXPENSE</t>
  </si>
  <si>
    <t>FUEL EXPENSE</t>
  </si>
  <si>
    <t>SUPPLIES EXPENSE</t>
  </si>
  <si>
    <t>FISHING GEAR EXPENSE</t>
  </si>
  <si>
    <t>FREIGHT</t>
  </si>
  <si>
    <t>TRANSPORTATION FEE</t>
  </si>
  <si>
    <t>REPAIR COST</t>
  </si>
  <si>
    <t>INSURANCE EXPENSE</t>
  </si>
  <si>
    <t>LICENSE FEE</t>
  </si>
  <si>
    <t>FOOD SUPPLIES</t>
  </si>
  <si>
    <t>LABOR EXPENSE (KOREAN)</t>
  </si>
  <si>
    <t>LABOR EXPENSE (OTHERS)</t>
  </si>
  <si>
    <t>MEDICAL EXPENSE</t>
  </si>
  <si>
    <t>DEPRECIATION (VESSEL)</t>
  </si>
  <si>
    <t>INTEREST FOR VESSEL LOAN</t>
  </si>
  <si>
    <t>CONSULTING FEE</t>
  </si>
  <si>
    <t>OTHER EXPENSES</t>
  </si>
  <si>
    <t>Other Loss</t>
  </si>
  <si>
    <t>SALARY</t>
  </si>
  <si>
    <t>BAIT EXPENSE</t>
  </si>
  <si>
    <t>DEPREICIATION (DRY DOCK)</t>
  </si>
  <si>
    <t>MATERIAL COST</t>
  </si>
  <si>
    <t>LABOR COST</t>
  </si>
  <si>
    <t>OTHER OPEX</t>
  </si>
  <si>
    <t>XOF</t>
  </si>
  <si>
    <t>EUR</t>
  </si>
  <si>
    <t>SALES COST</t>
  </si>
  <si>
    <t>Other Profit</t>
  </si>
  <si>
    <t>Foreign Exchange Gains</t>
  </si>
  <si>
    <t>Interest Income</t>
  </si>
  <si>
    <t>Gain on disposal of tangible assets</t>
  </si>
  <si>
    <t>Foreign Exchange Cost</t>
  </si>
  <si>
    <t>Loss on disposal of tangible assets</t>
  </si>
  <si>
    <t>SG&amp;A Expenses</t>
  </si>
  <si>
    <t>S&amp;A</t>
  </si>
  <si>
    <t>Non-Operating Cost</t>
  </si>
  <si>
    <t>FISHING NET SALE</t>
  </si>
  <si>
    <t>Autres Produits Accessoires</t>
  </si>
  <si>
    <t>INSURANCE ALLOWANCE</t>
  </si>
  <si>
    <t>INTEREST ON LOAN</t>
  </si>
  <si>
    <t>ESCOMPTES OBTENUS</t>
  </si>
  <si>
    <t>INTEREST ON DEPOSIT</t>
  </si>
  <si>
    <t>Non Operating Income</t>
  </si>
  <si>
    <t>Non Operating Cost</t>
  </si>
  <si>
    <t>Salary</t>
  </si>
  <si>
    <t>Present Value Discount Issued Debentures*</t>
  </si>
  <si>
    <t>Total TB</t>
  </si>
  <si>
    <t>(%)</t>
  </si>
  <si>
    <t>GRA</t>
  </si>
  <si>
    <t>WEK</t>
  </si>
  <si>
    <t>XIX</t>
  </si>
  <si>
    <t>ORK</t>
  </si>
  <si>
    <t>CAA</t>
  </si>
  <si>
    <t>I - SALES AMOUNT</t>
  </si>
  <si>
    <t>1. Fish Product</t>
  </si>
  <si>
    <t>2. Goods (Fish)</t>
  </si>
  <si>
    <t>3. Goods (Etc)</t>
  </si>
  <si>
    <t>4. Other Services</t>
  </si>
  <si>
    <t>5. Agency</t>
  </si>
  <si>
    <t>II - COST OF GOODS SOLD</t>
  </si>
  <si>
    <t>A. Opening Stock</t>
  </si>
  <si>
    <t>B. Production Cost</t>
  </si>
  <si>
    <t>C. Closing Stock</t>
  </si>
  <si>
    <t>2. Freight</t>
  </si>
  <si>
    <t>3. Goods (Fish)</t>
  </si>
  <si>
    <t>4. Goods (Etc)</t>
  </si>
  <si>
    <t>5. Other Services</t>
  </si>
  <si>
    <t>6. Agency</t>
  </si>
  <si>
    <t>III - GROSS PROFIT</t>
  </si>
  <si>
    <t>IV - SG&amp;A Expenses</t>
  </si>
  <si>
    <t>1. Salary</t>
  </si>
  <si>
    <t>3. Sales Cost</t>
  </si>
  <si>
    <t>5. Other Expenses</t>
  </si>
  <si>
    <t>V - OPERATING INCOME</t>
  </si>
  <si>
    <t>VI- NON OPERATING INCOME</t>
  </si>
  <si>
    <t>CAP ATLANTIQUE</t>
  </si>
  <si>
    <t>TOTAL</t>
  </si>
  <si>
    <t>4. Consulting Fee**</t>
  </si>
  <si>
    <t>1. Interest</t>
  </si>
  <si>
    <t>2. Other Non Operating Cost</t>
  </si>
  <si>
    <t>VII- NON OPERATING COST</t>
  </si>
  <si>
    <t>OTHERS</t>
  </si>
  <si>
    <t>VIII. NET INCOME (BEFORE TAX)</t>
  </si>
  <si>
    <t>RESERVE LEGAL</t>
  </si>
  <si>
    <t>RETAINED EARNING</t>
  </si>
  <si>
    <t>REPORT A NOUVEAU</t>
  </si>
  <si>
    <t>RESULTAT EN INSTANCE D'AFFECTATION</t>
  </si>
  <si>
    <t>INTERETS COURUS ORK</t>
  </si>
  <si>
    <t>EMPRUNT XIXILLI</t>
  </si>
  <si>
    <t>EMPRUNT ORIENTAL KIM</t>
  </si>
  <si>
    <t>PROVISION POUR LITIGES</t>
  </si>
  <si>
    <t>PROVISION POUR PENSION RETRAITE</t>
  </si>
  <si>
    <t>BATIMENT SUR SOL D'AUTRUI</t>
  </si>
  <si>
    <t>GRANADA CORPS</t>
  </si>
  <si>
    <t>GRANADA CORPS REPARATION</t>
  </si>
  <si>
    <t>GRANADA CORPS REPARATION(T/S)</t>
  </si>
  <si>
    <t>GRANADA REPARATION1</t>
  </si>
  <si>
    <t>GRA CORPS REPAIRING</t>
  </si>
  <si>
    <t>MACHINE ET INSTALLATION ÉLECTRIQUE</t>
  </si>
  <si>
    <t>EQUIPEMENT DE PECHE GRANADA</t>
  </si>
  <si>
    <t>GRA EQUIPEMENT DE PECHE 1</t>
  </si>
  <si>
    <t>WESTERN KIM CORPS</t>
  </si>
  <si>
    <t>WESTERN KIM CORPS REPARATION</t>
  </si>
  <si>
    <t>WEK CORP REPARATION</t>
  </si>
  <si>
    <t>WESTERN KIM EQUIPEMENT DE PECHE</t>
  </si>
  <si>
    <t>WEK EQUIPEMENT DE PECHE</t>
  </si>
  <si>
    <t>WEK 2022 DRY DOCK REPAIRING</t>
  </si>
  <si>
    <t>XIXILI CORPS</t>
  </si>
  <si>
    <t>XIXILI CORPS REPARATION</t>
  </si>
  <si>
    <t>XIXILI CORP REPARATION</t>
  </si>
  <si>
    <t>XIX CORPS REPAIRING</t>
  </si>
  <si>
    <t>XIX INSTALLATION ELECTRIQUE ET MACH</t>
  </si>
  <si>
    <t>XIXILI EQUIPEMENT DE PECHE</t>
  </si>
  <si>
    <t>XIX 2023 DD ENGINE PARTS</t>
  </si>
  <si>
    <t>ORIENTAL KIM CORPS</t>
  </si>
  <si>
    <t>ORIENTAL KIM REPARATION</t>
  </si>
  <si>
    <t>ORK CORPS REPAIRING</t>
  </si>
  <si>
    <t>ORK DKNAVE CORPS REPAIRING</t>
  </si>
  <si>
    <t>ORK MACHINE AND ELECTRICAL INSTALLA</t>
  </si>
  <si>
    <t>ORIENTAL KIM EQUIPEMENT DE PECHE</t>
  </si>
  <si>
    <t>CAP ATLANTIQUE CORPS</t>
  </si>
  <si>
    <t>CAA CORPS REPAIRING 1</t>
  </si>
  <si>
    <t>CAA CORPS REPAIRING</t>
  </si>
  <si>
    <t>INSTALLATION MACHINE ET ELECTRIQUE</t>
  </si>
  <si>
    <t>CAA EQUIPEMENT DE PECHE</t>
  </si>
  <si>
    <t>CAP ATLANTIQUE CANOE</t>
  </si>
  <si>
    <t>MATERIEL D'EMBALLAGE RECUPERABLE</t>
  </si>
  <si>
    <t>MATERIEL DE BUREAU</t>
  </si>
  <si>
    <t>MATERIEL INFORMATIQUE</t>
  </si>
  <si>
    <t>MOBILIER DE BUREAU</t>
  </si>
  <si>
    <t>MATERIEL AUTOMOBILE</t>
  </si>
  <si>
    <t>HYUNDAI 3T GRUE CAMION CORPS</t>
  </si>
  <si>
    <t>HYUNDAI 3T GRUE CAMION GRUE</t>
  </si>
  <si>
    <t>MATERIEL NAVAL</t>
  </si>
  <si>
    <t>AUTRES MATERIELS</t>
  </si>
  <si>
    <t>MATERIEL ET OUTILLAGE EN COURS</t>
  </si>
  <si>
    <t>AUTRES DEPOTS ET CAUT VERSES</t>
  </si>
  <si>
    <t>AMORTISSEMENT BAT IND SUR SOL D'AUT</t>
  </si>
  <si>
    <t>AMORTISSEMENT MATERIEL GRA-CORPS</t>
  </si>
  <si>
    <t>GRA CORPS MATERIEL AMORT (T/S)</t>
  </si>
  <si>
    <t>AMORTISSEMENT GRA REPARATION 1</t>
  </si>
  <si>
    <t>AMORT GRA REPARATION 2</t>
  </si>
  <si>
    <t>AMORTISSEMENT MACHINE WEK</t>
  </si>
  <si>
    <t>REPARATION WESTERN KIM</t>
  </si>
  <si>
    <t>WESTERN KIM CORPS REPAIRING 2</t>
  </si>
  <si>
    <t>AMORT WEK DD REPAIRING1</t>
  </si>
  <si>
    <t>AMORT WEK DD REPAIRING2</t>
  </si>
  <si>
    <t>XIXILI CORPS AMORTISSEMENT</t>
  </si>
  <si>
    <t>XIXILI CORPS REPAIRING</t>
  </si>
  <si>
    <t>XIX CORPS REPAIRING AMORTISSEMENT 1</t>
  </si>
  <si>
    <t>XIX CORP REPAIRING AMORT 2</t>
  </si>
  <si>
    <t>AMORT XIX REPAIRING 3</t>
  </si>
  <si>
    <t>ORIENTAL KIM CORPS AMORTISSEMENT</t>
  </si>
  <si>
    <t>AMORT CAP ATL CORPS</t>
  </si>
  <si>
    <t>AMORT GRANADA MACHINE AND ELECTRICA</t>
  </si>
  <si>
    <t>GRA FISHING EQUIPMENT AMORTISSEMENT</t>
  </si>
  <si>
    <t>AMORT GRA FISHING EQUIPMENT 1</t>
  </si>
  <si>
    <t>AMORT WEK MACHINE AND ELECTRICAL IN</t>
  </si>
  <si>
    <t>AMORT WESTERN KIM FISHING EQUIPMENT</t>
  </si>
  <si>
    <t>AMORT WEK FISHING EQUIPMENT 1</t>
  </si>
  <si>
    <t>AMORT WEK 2022 DD ASSETS</t>
  </si>
  <si>
    <t>AMORT XIX MACHINE AND ELECTRICAL IN</t>
  </si>
  <si>
    <t>AMORT XIX FISHING EQUIPMENT 1</t>
  </si>
  <si>
    <t>AMORT XIX FISHING EQUIPEMENT 2</t>
  </si>
  <si>
    <t>ORK MACHINE AND ELECTRICAL INS AMOR</t>
  </si>
  <si>
    <t>ORK FISHING EQUIPMENT AMORT</t>
  </si>
  <si>
    <t>AMORT ORK REPAIRING 1</t>
  </si>
  <si>
    <t>AMORT ORK REPAIRING 2</t>
  </si>
  <si>
    <t>ORK FISHING EQUIPEMENT AMORT 1</t>
  </si>
  <si>
    <t>AMORT ORK REPAIRING 3</t>
  </si>
  <si>
    <t>AMORT CAA MACHINE-ELECTRICAL INS</t>
  </si>
  <si>
    <t>AMORT CAA FISHING EQUIPMENT</t>
  </si>
  <si>
    <t>AMORT CAA CORPS REPAIRING</t>
  </si>
  <si>
    <t>AMORT CAA CORPS REPAIRING 1</t>
  </si>
  <si>
    <t>CAA CANOE DEPRECIATION</t>
  </si>
  <si>
    <t>AMORTISSEMENT OUTILLAGE NAVAL</t>
  </si>
  <si>
    <t>AMORTISSEMENT EMBALLAGES RECUPERABL</t>
  </si>
  <si>
    <t>AMORTISSEMENT MATERIEL DE BUREAU</t>
  </si>
  <si>
    <t>AMORTISSEMENTS MATERIEL INF</t>
  </si>
  <si>
    <t>AMORTISSEMENT DU MOB DE BUREAU</t>
  </si>
  <si>
    <t>AMORTISSEMENT MATERIEL AUTOMOBILE</t>
  </si>
  <si>
    <t>HYNDAI GRUE CAMION CORP AMORTISSEME</t>
  </si>
  <si>
    <t>HYUNDAI 3T GRUE CAMION GRUE AMORTIS</t>
  </si>
  <si>
    <t>AMORTISSEMENT DU MATERIEL NAVAL</t>
  </si>
  <si>
    <t>AMORTISSEMENT DES AUTRES MATERIELS</t>
  </si>
  <si>
    <t>STOCK FUEL OIL GRANADA</t>
  </si>
  <si>
    <t>STOCK FUEL OIL WESTRN KIM</t>
  </si>
  <si>
    <t>STOCK FUEL OIL XIXILI</t>
  </si>
  <si>
    <t>ORK STOCK FUEL OIL</t>
  </si>
  <si>
    <t>STOCK FUEL OIL CAP ATLANTIQUE</t>
  </si>
  <si>
    <t>STOCK VESSELS BUOYS</t>
  </si>
  <si>
    <t>FINISHED PRODUCT  YF GRANADA</t>
  </si>
  <si>
    <t>FINISHED PRODUCTS SJ GRANADA</t>
  </si>
  <si>
    <t>FINISHED PRODUCTS RAVIL GRANADA</t>
  </si>
  <si>
    <t>FINISHED PRODUCTS OTHERS GRANADA</t>
  </si>
  <si>
    <t>FINISHED PRODUCTS YF WEK</t>
  </si>
  <si>
    <t>FINISHED PRODUCTS SJ WEK</t>
  </si>
  <si>
    <t>FINISHED PRODUCTS RAVIL WEK</t>
  </si>
  <si>
    <t>FINISHED PRODUCTS OTHERS WEK</t>
  </si>
  <si>
    <t>FINISHED PRODUCTS YF XIXILI</t>
  </si>
  <si>
    <t>FINISHED PRODUCTS YF ORK</t>
  </si>
  <si>
    <t>FINISHED PRODUCTS SJ ORK</t>
  </si>
  <si>
    <t>FISHED PRODUCTS RAVIL ORK</t>
  </si>
  <si>
    <t>FISHED PRODUCTS OTHERS ORK</t>
  </si>
  <si>
    <t>FINISHED PRODUCTS YF CAA</t>
  </si>
  <si>
    <t>FINISHED PRODUCTS SJ CAA</t>
  </si>
  <si>
    <t>FINISHED PRODUCTS BE CAA</t>
  </si>
  <si>
    <t>FOURNISSEURS LOCAUX</t>
  </si>
  <si>
    <t>FOURNISSEURS ETRANGERS</t>
  </si>
  <si>
    <t>CLIENTS</t>
  </si>
  <si>
    <t>PERSONNEL AVANCE 1</t>
  </si>
  <si>
    <t>PERSONNEL AVANCE 2</t>
  </si>
  <si>
    <t>REMUNERATION OFFICE</t>
  </si>
  <si>
    <t>REMUNERATION GRANADA</t>
  </si>
  <si>
    <t>REMUNERATION WESTERN KIM</t>
  </si>
  <si>
    <t>REMUNERATION XIXILI</t>
  </si>
  <si>
    <t>REMUNERATION ORIENTAL KIM</t>
  </si>
  <si>
    <t>REMUNERATION CAP ATLANTIQUE</t>
  </si>
  <si>
    <t>XIXILI BONUS RECEIVABLE</t>
  </si>
  <si>
    <t>GRANADA  BONUS RECEIVABLE</t>
  </si>
  <si>
    <t>WESTERN KIM BONUS RECEIVABLE</t>
  </si>
  <si>
    <t>ORIENTAL KIM BONUS RECEIVABLE</t>
  </si>
  <si>
    <t>CAA BONUS RECEIVABLE</t>
  </si>
  <si>
    <t>XIX BONUS PAYABLE</t>
  </si>
  <si>
    <t>ORK BONUS PAYABLE</t>
  </si>
  <si>
    <t>CAA BONUS PAYABLE</t>
  </si>
  <si>
    <t>SYNDICATS DES GENS DE MER</t>
  </si>
  <si>
    <t>SYNDICAT CNTS</t>
  </si>
  <si>
    <t>DETTES PROVISIONNEES CONGES A PAYER</t>
  </si>
  <si>
    <t>IPRES</t>
  </si>
  <si>
    <t>IPRES R.CADRE</t>
  </si>
  <si>
    <t>IPRES R.GENERAL</t>
  </si>
  <si>
    <t>IPM FADIOU</t>
  </si>
  <si>
    <t>TVA FACT SUR PRESTATION DE SERVICE</t>
  </si>
  <si>
    <t>ETAT,CREDIT DE TVA A REPORTER</t>
  </si>
  <si>
    <t>TVA RECUPERABLE SUR ACHAT</t>
  </si>
  <si>
    <t>IR SALARY TAX</t>
  </si>
  <si>
    <t>TRIMF SALARY TAX</t>
  </si>
  <si>
    <t>RETENUE 20% BNC</t>
  </si>
  <si>
    <t>DEBITEURS DIVERS</t>
  </si>
  <si>
    <t>DONGWON</t>
  </si>
  <si>
    <t>D/W216 REPARATION</t>
  </si>
  <si>
    <t>CUSTOM CLEARANCE APE</t>
  </si>
  <si>
    <t>DRYDOCK OTHERS EXPENSES</t>
  </si>
  <si>
    <t>DRY DOCK EXPENSES</t>
  </si>
  <si>
    <t>REP. PERIODIQUES DES CHARGES SHIP</t>
  </si>
  <si>
    <t>REP. PERIODIQUES DES CHARGES CREW</t>
  </si>
  <si>
    <t>REP. PERIODIQUES DES CHARGES CARGO</t>
  </si>
  <si>
    <t>REP. PERIODIQUES DES CHARGES P&amp;I</t>
  </si>
  <si>
    <t>NSIA / PNC ASSURANCE MULTIRISQUE</t>
  </si>
  <si>
    <t>CNART VESSELS INSURANCE</t>
  </si>
  <si>
    <t>GRA SENEGAL LICENCE</t>
  </si>
  <si>
    <t>WEK SENEGAL LICENCE</t>
  </si>
  <si>
    <t>XIX SENEGAL LICENCE</t>
  </si>
  <si>
    <t>ORK SENEGAL LICENCE</t>
  </si>
  <si>
    <t>CAP ATL SENEGAL LICENCE</t>
  </si>
  <si>
    <t>GRA CONACRY LICENSE</t>
  </si>
  <si>
    <t>WEK CONACRY LICENSE</t>
  </si>
  <si>
    <t>XIX CONACRY LICENSE</t>
  </si>
  <si>
    <t>ORK CONAKRY LICENCE</t>
  </si>
  <si>
    <t>CAP ATLANTIQUE CONACRY LICENCE</t>
  </si>
  <si>
    <t>GRA SIERRA LEONE LICENCE</t>
  </si>
  <si>
    <t>WEK SIERRA LEONE LICENCE</t>
  </si>
  <si>
    <t>XIX SIERRA LEONE LICENCE</t>
  </si>
  <si>
    <t>ORK SIERRA LEONE LICENCE</t>
  </si>
  <si>
    <t>GRA CAPE VERDE LICENCE</t>
  </si>
  <si>
    <t>WEK CAPE VERDE LICENCE</t>
  </si>
  <si>
    <t>XIX CAPE VERDE LICENCE</t>
  </si>
  <si>
    <t>ORK CABO VERDE LICENCE</t>
  </si>
  <si>
    <t>CAA CABO VERDE LICENCE</t>
  </si>
  <si>
    <t>GRA GUINEE BISSAU LICENCE</t>
  </si>
  <si>
    <t>WEK GUINEE BISSAU LICENCE</t>
  </si>
  <si>
    <t>XIX GUINEE BISSAU LICENCE</t>
  </si>
  <si>
    <t>ORK GUINEE BISSAU LICENCE</t>
  </si>
  <si>
    <t>LICENCE CAP ATLANTIQUE BISSAU</t>
  </si>
  <si>
    <t>LICENCE SIERRA LEONE</t>
  </si>
  <si>
    <t>LICENCE LIBERIA</t>
  </si>
  <si>
    <t>ECOBANK</t>
  </si>
  <si>
    <t>BANQUE DE DAKAR</t>
  </si>
  <si>
    <t>CBAO</t>
  </si>
  <si>
    <t>CITI BANK</t>
  </si>
  <si>
    <t>ELECTRONIC WALLET</t>
  </si>
  <si>
    <t>CAISSE PRINCIPALE/CHECKOUT HOME</t>
  </si>
  <si>
    <t>CAPITAL SOUSCRIT,APPELÉ</t>
  </si>
  <si>
    <t>OUTILLAGE INDUSTRIEL NAVAL</t>
  </si>
  <si>
    <t>DÉPÔTS POUR LOYERS D'AVANCE</t>
  </si>
  <si>
    <t>DÉPÔTS POUR L'ÉLECTRICITÉ</t>
  </si>
  <si>
    <t>ALLOCATIONS FAMILIALES CSS</t>
  </si>
  <si>
    <t>ACCIDENTS DE TRAVAIL CSS</t>
  </si>
  <si>
    <t>TVA SUR PRESTATIONS</t>
  </si>
  <si>
    <t>RETENUE 5%</t>
  </si>
  <si>
    <t>Common Share Capital</t>
  </si>
  <si>
    <t>Surplus Carried Over</t>
  </si>
  <si>
    <t>Interest Payable</t>
  </si>
  <si>
    <t>Other Payable</t>
  </si>
  <si>
    <t>Other Tangible Assets</t>
  </si>
  <si>
    <t>Construction in progress</t>
  </si>
  <si>
    <t>Fuel Inventories</t>
  </si>
  <si>
    <t>Bouy Inventories</t>
  </si>
  <si>
    <t>Fish Inventories</t>
  </si>
  <si>
    <t>Account Payable - Local</t>
  </si>
  <si>
    <t>Accounts Payable - Overseas</t>
  </si>
  <si>
    <t>Prepaid Payments</t>
  </si>
  <si>
    <t>Trade Receivable</t>
  </si>
  <si>
    <t>Cash Adv</t>
  </si>
  <si>
    <t>Salary Payable</t>
  </si>
  <si>
    <t>Deposit received</t>
  </si>
  <si>
    <t>Advance Expenses</t>
  </si>
  <si>
    <t>Cash &amp; Cash Equivalent</t>
  </si>
  <si>
    <t>Building</t>
  </si>
  <si>
    <t>Construction In Progress</t>
  </si>
  <si>
    <t>Inventory</t>
  </si>
  <si>
    <t>Current Assets</t>
  </si>
  <si>
    <t>Current Liabilities</t>
  </si>
  <si>
    <t>Non-Current Asset</t>
  </si>
  <si>
    <t>Capital Stock</t>
  </si>
  <si>
    <t>Retained Earnings</t>
  </si>
  <si>
    <t>Non Current Liabilities</t>
  </si>
  <si>
    <t>Cash &amp; Receivables</t>
  </si>
  <si>
    <t>Granada</t>
  </si>
  <si>
    <t>Purchase</t>
  </si>
  <si>
    <t>Accumulated Depreciation</t>
  </si>
  <si>
    <t>GRANADA</t>
  </si>
  <si>
    <t>Western Kim</t>
  </si>
  <si>
    <t>Xixili</t>
  </si>
  <si>
    <t>Cap Atlantique</t>
  </si>
  <si>
    <t>Oriental Kim</t>
  </si>
  <si>
    <t>Trade Payable</t>
  </si>
  <si>
    <t>Depreciation</t>
  </si>
  <si>
    <t>Book Value</t>
  </si>
  <si>
    <t>(XOF)</t>
  </si>
  <si>
    <t>(EUR)</t>
  </si>
  <si>
    <t>ALL SHIPS</t>
  </si>
  <si>
    <t>ORIENTAL KIM</t>
  </si>
  <si>
    <t>WESTERN KIM</t>
  </si>
  <si>
    <t>XIXILI</t>
  </si>
  <si>
    <t>Vessels</t>
  </si>
  <si>
    <t>Other Assets Purchase</t>
  </si>
  <si>
    <t>Other Assets Depreciation</t>
  </si>
  <si>
    <t>Vehicle</t>
  </si>
  <si>
    <t>Other Fixed Assets</t>
  </si>
  <si>
    <t>Current Portion of Long Term Debt</t>
  </si>
  <si>
    <t>Curent Portion GRA</t>
  </si>
  <si>
    <t>Present Discounted Value GRA</t>
  </si>
  <si>
    <t>Curent Portion WEK</t>
  </si>
  <si>
    <t>Present Discounted Value WEK</t>
  </si>
  <si>
    <t>Curent Portion XIX</t>
  </si>
  <si>
    <t>Present Discounted Value XIX</t>
  </si>
  <si>
    <t>Long Term Accounts Payable XIX</t>
  </si>
  <si>
    <t>Long Term Accounts Payable ORK</t>
  </si>
  <si>
    <t>Present Discounted Value ORK</t>
  </si>
  <si>
    <t>TOTAL ASSETS</t>
  </si>
  <si>
    <t>Tax Payable (Corporate Taxes)</t>
  </si>
  <si>
    <t>Advance Payment</t>
  </si>
  <si>
    <t>Curent Portion ORK</t>
  </si>
  <si>
    <t>TOTAL LIABILITIES</t>
  </si>
  <si>
    <t>(a)</t>
  </si>
  <si>
    <t>(b)</t>
  </si>
  <si>
    <t>(d)</t>
  </si>
  <si>
    <t>(c)</t>
  </si>
  <si>
    <t>Net Income</t>
  </si>
  <si>
    <t>EQUITY</t>
  </si>
  <si>
    <t>TOTAL EQUITY</t>
  </si>
  <si>
    <t>Debt Ratio</t>
  </si>
  <si>
    <t>ROE (Return On Equity)</t>
  </si>
  <si>
    <t>ROA (Return On Assets)</t>
  </si>
  <si>
    <t>ASSETS</t>
  </si>
  <si>
    <t>LIABILITIES</t>
  </si>
  <si>
    <t>SIGNIFICANT RATIOS (%)</t>
  </si>
  <si>
    <t>(Net Income / Total Equity)</t>
  </si>
  <si>
    <t>(Net Income / Total Assets)</t>
  </si>
  <si>
    <t>Work in Progress</t>
  </si>
  <si>
    <t>Total (Equity / Total Liabilities)</t>
  </si>
  <si>
    <t>TOTAL LIABILITIES &amp; EQUITY</t>
  </si>
  <si>
    <t xml:space="preserve"> LABOR EXPENSE (KOREAN)</t>
  </si>
  <si>
    <t xml:space="preserve"> LABOR EXPENSE (OTHERS)</t>
  </si>
  <si>
    <t>STATEMENT OF FINANCIAL POSITION (CAPSEN S.A)</t>
  </si>
  <si>
    <t>I - Sales</t>
  </si>
  <si>
    <t>II - Cost of Goods Sold</t>
  </si>
  <si>
    <t>Sales - Local</t>
  </si>
  <si>
    <t>Sales - Goods</t>
  </si>
  <si>
    <t>Sales - Agency</t>
  </si>
  <si>
    <t>Sales - Overseas</t>
  </si>
  <si>
    <t>Material Cost</t>
  </si>
  <si>
    <t>Labor Cost</t>
  </si>
  <si>
    <t>Freight Cost</t>
  </si>
  <si>
    <t>Other Cost</t>
  </si>
  <si>
    <t>Product Cost</t>
  </si>
  <si>
    <t>Fish Inventory Cost</t>
  </si>
  <si>
    <t>III - Gross Profit</t>
  </si>
  <si>
    <t>Freight</t>
  </si>
  <si>
    <t>V - Operating Profit</t>
  </si>
  <si>
    <t>VI -  Non-Operating Income</t>
  </si>
  <si>
    <t>(A)</t>
  </si>
  <si>
    <t>(B)</t>
  </si>
  <si>
    <t>VII - Non Operating Cost</t>
  </si>
  <si>
    <t>VIII -  Net Income Before Tax</t>
  </si>
  <si>
    <t>(C)</t>
  </si>
  <si>
    <t>IX - Corporate Tax</t>
  </si>
  <si>
    <t>(D)</t>
  </si>
  <si>
    <t>X - Net Income</t>
  </si>
  <si>
    <t>(E)</t>
  </si>
  <si>
    <t>STATEMENT OF COMPREHENSIVE INCOME (CAPSEN S.A)</t>
  </si>
  <si>
    <t>COMMUNICATION EXPENSE</t>
  </si>
  <si>
    <t>DEPREICIATION (VESSEL)</t>
  </si>
  <si>
    <t>TRANSPORTATATION FEE</t>
  </si>
  <si>
    <t>I - MATERIAL COST</t>
  </si>
  <si>
    <t>II - LABOR COST</t>
  </si>
  <si>
    <t>III - OTHER COST</t>
  </si>
  <si>
    <t>IV - PRODUCTION COST</t>
  </si>
  <si>
    <t>Sub (1)</t>
  </si>
  <si>
    <t>Sub (2)</t>
  </si>
  <si>
    <t>1. Foreign Exchange Cost</t>
  </si>
  <si>
    <t>2. Other Loss</t>
  </si>
  <si>
    <t>3. Present Value Discount Issued Debentures</t>
  </si>
  <si>
    <t>4. Loss on disposal of tangible assets</t>
  </si>
  <si>
    <t>PRODUCTION COST</t>
  </si>
  <si>
    <t>PROFIT &amp; LOSS BEFORE TAXES</t>
  </si>
  <si>
    <t>Receivables</t>
  </si>
  <si>
    <t>Opening</t>
  </si>
  <si>
    <t>Closing</t>
  </si>
  <si>
    <t>Standard rate</t>
  </si>
  <si>
    <t>Interest</t>
  </si>
  <si>
    <t>Cumulative</t>
  </si>
  <si>
    <t>Investment (Vessel)</t>
  </si>
  <si>
    <t>Investment (Vehicle)</t>
  </si>
  <si>
    <t>Other Interest</t>
  </si>
  <si>
    <t>Other Interest (Insurance Prepaid)</t>
  </si>
  <si>
    <t>Other Interest (Fishing License)</t>
  </si>
  <si>
    <t>Other Interest (Cash Advances)</t>
  </si>
  <si>
    <t>Investment</t>
  </si>
  <si>
    <t>Inventory (Fish)</t>
  </si>
  <si>
    <t>Inventory (Fuel)</t>
  </si>
  <si>
    <t>Total</t>
  </si>
  <si>
    <t>Cost</t>
  </si>
  <si>
    <t>Market Price</t>
  </si>
  <si>
    <t>Quantity (MT)</t>
  </si>
  <si>
    <t>Unit Price (EUR / MT)</t>
  </si>
  <si>
    <t>Total Value (EUR)</t>
  </si>
  <si>
    <t>Var.</t>
  </si>
  <si>
    <t>Opening Balance</t>
  </si>
  <si>
    <t>Closing Balance</t>
  </si>
  <si>
    <t>1. Receivables</t>
  </si>
  <si>
    <t>IX - ASSESSMENT INTEREST</t>
  </si>
  <si>
    <t>X - ASSESSMENT INCOME</t>
  </si>
  <si>
    <t>XI - PERFORMANCE INTEREST</t>
  </si>
  <si>
    <t>1. Investment</t>
  </si>
  <si>
    <t>2. Other Interest</t>
  </si>
  <si>
    <t>2. Inventory</t>
  </si>
  <si>
    <t>ASSURANCE MULTIRISQUES</t>
  </si>
  <si>
    <t>LIBERIA LICENSE</t>
  </si>
  <si>
    <t>EXTERNAL LABOR EXPENSE OFFICE</t>
  </si>
  <si>
    <t>VERSEMENT AUX SYNDICATS</t>
  </si>
  <si>
    <t>AVANCE SUR TONAGE</t>
  </si>
  <si>
    <t>RÉSULTAT EN INSTANCE AFFECTATION</t>
  </si>
  <si>
    <t>CAA CORPS REPARATION 2023</t>
  </si>
  <si>
    <t>DEC DONGWON VESSELS REPARATION</t>
  </si>
  <si>
    <t>Other Receivables</t>
  </si>
  <si>
    <t>Vessel Loan</t>
  </si>
  <si>
    <t>(1) + (2)</t>
  </si>
  <si>
    <t>TUNA INVENTORY VALUATION SCHEDULE</t>
  </si>
  <si>
    <t>VESSEL (ACQUISITION)</t>
  </si>
  <si>
    <t>VESSELS (DEPRECIATION)</t>
  </si>
  <si>
    <t>OTHER FIXED ASSETS (ACQUISITION)</t>
  </si>
  <si>
    <t>OTHER FIXED ASSETS (DEPRECIATION)</t>
  </si>
  <si>
    <t>XII - PERFORMANCE PROFIT</t>
  </si>
  <si>
    <t>TUNA INVENTORY ACCOUNTS</t>
  </si>
  <si>
    <t>(FY 2023)</t>
  </si>
  <si>
    <t>Jan. 31st</t>
  </si>
  <si>
    <t>PLAN</t>
  </si>
  <si>
    <t>YOY</t>
  </si>
  <si>
    <t>C/R</t>
  </si>
  <si>
    <t>ACV/R</t>
  </si>
  <si>
    <t>G/R</t>
  </si>
  <si>
    <t>CATCHING QUANTITY</t>
  </si>
  <si>
    <t>SALES QUANTITY</t>
  </si>
  <si>
    <t>COST CENTER</t>
  </si>
  <si>
    <t>CATEGORY</t>
  </si>
  <si>
    <t>ACCOUNT DESCRIPTION</t>
  </si>
  <si>
    <t>(F CFA)</t>
  </si>
  <si>
    <t>NET INCOME BEFORE TAXES</t>
  </si>
  <si>
    <t>FINISHED PRODUCTS RAVIL CAA</t>
  </si>
  <si>
    <t>Revenue</t>
  </si>
  <si>
    <t>ACCOUNT</t>
  </si>
  <si>
    <t>Vessel Hull</t>
  </si>
  <si>
    <t>Repair</t>
  </si>
  <si>
    <t>Fishing Net</t>
  </si>
  <si>
    <t>DEPRECIATION REALLOCATION SCHEDULE</t>
  </si>
  <si>
    <t>CAPSEN PERFORMANCE / GAINS AND  LOSSES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</si>
  <si>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</si>
  <si>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</si>
  <si>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</si>
  <si>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</si>
  <si>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</si>
  <si>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</si>
  <si>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</si>
  <si>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</si>
  <si>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</si>
  <si>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</si>
  <si>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</si>
  <si>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</si>
  <si>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 FISH PRODUCT</t>
  </si>
  <si>
    <t>2. GOODS (FISH)</t>
  </si>
  <si>
    <t>3. GOODS (ETC)</t>
  </si>
  <si>
    <t>4. OTHER SERVICES</t>
  </si>
  <si>
    <t>5. AGENCY</t>
  </si>
  <si>
    <t>A. OPENING STOCK</t>
  </si>
  <si>
    <t>B. PRODUCTION COST</t>
  </si>
  <si>
    <t>C. CLOSING STOCK</t>
  </si>
  <si>
    <t>E. ETC</t>
  </si>
  <si>
    <t>2. FREIGHT</t>
  </si>
  <si>
    <t>3. GOODS (FISH)</t>
  </si>
  <si>
    <t>4. GOODS (ETC)</t>
  </si>
  <si>
    <t>5. OTHER SERVICES</t>
  </si>
  <si>
    <t>6. AGENCY</t>
  </si>
  <si>
    <t>1. SALARY</t>
  </si>
  <si>
    <t>3. SALES COST</t>
  </si>
  <si>
    <t>4. CONSULTING FEE</t>
  </si>
  <si>
    <t>5. OTHER EXPENSES</t>
  </si>
  <si>
    <t>1. RECEIVEABLE INTEREST RATE</t>
  </si>
  <si>
    <t>2. STOCK INTEREST RATE</t>
  </si>
  <si>
    <t>IV - SG&amp;A EXPENSES</t>
  </si>
  <si>
    <t>IX - ASSESSMENT (INTEREST RATE)</t>
  </si>
  <si>
    <t>X - ASSESSMENT (INTEREST INCOME)</t>
  </si>
  <si>
    <t>XI - PERFORMANCE INTEREST RATE</t>
  </si>
  <si>
    <t>1. INVESTMENT INEREST RATE</t>
  </si>
  <si>
    <t>2. OTHER INTEREST</t>
  </si>
  <si>
    <t>2023 ANNUAL PLAN</t>
  </si>
  <si>
    <t>2023 ACTUAL PERFORMANCE</t>
  </si>
  <si>
    <t>2022 ACTUAL PERFORMANCE</t>
  </si>
  <si>
    <t>2021 ACTUAL PERFORMANCE</t>
  </si>
  <si>
    <t>AMOUNT</t>
  </si>
  <si>
    <t>ACTUAL</t>
  </si>
  <si>
    <t>CUMULATIVE - FY 2023</t>
  </si>
  <si>
    <t>Based on Sage data</t>
  </si>
  <si>
    <t>PURSE SEINER</t>
  </si>
  <si>
    <t>MAPPING ASSETS</t>
  </si>
  <si>
    <t>FC00</t>
  </si>
  <si>
    <t>10130000FC00FC00</t>
  </si>
  <si>
    <t>11100000FC00FC00</t>
  </si>
  <si>
    <t>12100000FC00FC00</t>
  </si>
  <si>
    <t>12900000FC00FC00</t>
  </si>
  <si>
    <t>13010000FC00FC00</t>
  </si>
  <si>
    <t>13090000FC00FC00</t>
  </si>
  <si>
    <t>16684000FC00FC00</t>
  </si>
  <si>
    <t>16863000FC00FC00</t>
  </si>
  <si>
    <t>16864000FC00FC00</t>
  </si>
  <si>
    <t>19100000FC00FC00</t>
  </si>
  <si>
    <t>19610000FC00FC00</t>
  </si>
  <si>
    <t>23210000FC00FC00</t>
  </si>
  <si>
    <t>24111002FC00FC00</t>
  </si>
  <si>
    <t>24111003FC00FC00</t>
  </si>
  <si>
    <t>24111004FC00FC00</t>
  </si>
  <si>
    <t>24111005FC00FC00</t>
  </si>
  <si>
    <t>24111006FC00FC00</t>
  </si>
  <si>
    <t>24111011FC00FC00</t>
  </si>
  <si>
    <t>24111012FC00FC00</t>
  </si>
  <si>
    <t>24111013FC00FC00</t>
  </si>
  <si>
    <t>24112002FC00FC00</t>
  </si>
  <si>
    <t>24112003FC00FC00</t>
  </si>
  <si>
    <t>24112004FC00FC00</t>
  </si>
  <si>
    <t>24112011FC00FC00</t>
  </si>
  <si>
    <t>24112012FC00FC00</t>
  </si>
  <si>
    <t>24112013FC00FC00</t>
  </si>
  <si>
    <t>24112014FC00FC00</t>
  </si>
  <si>
    <t>24113002FC00FC00</t>
  </si>
  <si>
    <t>24113003FC00FC00</t>
  </si>
  <si>
    <t>24113004FC00FC00</t>
  </si>
  <si>
    <t>24113005FC00FC00</t>
  </si>
  <si>
    <t>24113006FC00FC00</t>
  </si>
  <si>
    <t>24113011FC00FC00</t>
  </si>
  <si>
    <t>24113012FC00FC00</t>
  </si>
  <si>
    <t>24113013FC00FC00</t>
  </si>
  <si>
    <t>24114002FC00FC00</t>
  </si>
  <si>
    <t>24114003FC00FC00</t>
  </si>
  <si>
    <t>24114004FC00FC00</t>
  </si>
  <si>
    <t>24114005FC00FC00</t>
  </si>
  <si>
    <t>24114011FC00FC00</t>
  </si>
  <si>
    <t>24114012FC00FC00</t>
  </si>
  <si>
    <t>24115002FC00FC00</t>
  </si>
  <si>
    <t>24115003FC00FC00</t>
  </si>
  <si>
    <t>24115004FC00FC00</t>
  </si>
  <si>
    <t>24115007FC00FC00</t>
  </si>
  <si>
    <t>24115011FC00FC00</t>
  </si>
  <si>
    <t>24115012FC00FC00</t>
  </si>
  <si>
    <t>24116000FC00FC00</t>
  </si>
  <si>
    <t>24120000FC00FC00</t>
  </si>
  <si>
    <t>24300000FC00FC00</t>
  </si>
  <si>
    <t>24410000FC00FC00</t>
  </si>
  <si>
    <t>24420000FC00FC00</t>
  </si>
  <si>
    <t>24440000FC00FC00</t>
  </si>
  <si>
    <t>24510000FC00FC00</t>
  </si>
  <si>
    <t>24510001FC00FC00</t>
  </si>
  <si>
    <t>24510002FC00FC00</t>
  </si>
  <si>
    <t>24540000FC00FC00</t>
  </si>
  <si>
    <t>24800000FC00FC00</t>
  </si>
  <si>
    <t>24910000FC00FC00</t>
  </si>
  <si>
    <t>27510000FC00FC00</t>
  </si>
  <si>
    <t>27520000FC00FC00</t>
  </si>
  <si>
    <t>27580000FC00FC00</t>
  </si>
  <si>
    <t>28320000FC00FC00</t>
  </si>
  <si>
    <t>28411012FC00FC00</t>
  </si>
  <si>
    <t>28411013FC00FC00</t>
  </si>
  <si>
    <t>28411014FC00FC00</t>
  </si>
  <si>
    <t>28411015FC00FC00</t>
  </si>
  <si>
    <t>28411016FC00FC00</t>
  </si>
  <si>
    <t>28411022FC00FC00</t>
  </si>
  <si>
    <t>28411023FC00FC00</t>
  </si>
  <si>
    <t>28411024FC00FC00</t>
  </si>
  <si>
    <t>28411025FC00FC00</t>
  </si>
  <si>
    <t>28411026FC00FC00</t>
  </si>
  <si>
    <t>28411032FC00FC00</t>
  </si>
  <si>
    <t>28411033FC00FC00</t>
  </si>
  <si>
    <t>28411034FC00FC00</t>
  </si>
  <si>
    <t>28411035FC00FC00</t>
  </si>
  <si>
    <t>28411036FC00FC00</t>
  </si>
  <si>
    <t>28411042FC00FC00</t>
  </si>
  <si>
    <t>28411052FC00FC00</t>
  </si>
  <si>
    <t>28411101FC00FC00</t>
  </si>
  <si>
    <t>28411102FC00FC00</t>
  </si>
  <si>
    <t>28411103FC00FC00</t>
  </si>
  <si>
    <t>28411201FC00FC00</t>
  </si>
  <si>
    <t>28411202FC00FC00</t>
  </si>
  <si>
    <t>28411203FC00FC00</t>
  </si>
  <si>
    <t>28411204FC00FC00</t>
  </si>
  <si>
    <t>28411301FC00FC00</t>
  </si>
  <si>
    <t>28411302FC00FC00</t>
  </si>
  <si>
    <t>28411303FC00FC00</t>
  </si>
  <si>
    <t>28411401FC00FC00</t>
  </si>
  <si>
    <t>28411402FC00FC00</t>
  </si>
  <si>
    <t>28411403FC00FC00</t>
  </si>
  <si>
    <t>28411404FC00FC00</t>
  </si>
  <si>
    <t>28411405FC00FC00</t>
  </si>
  <si>
    <t>28411406FC00FC00</t>
  </si>
  <si>
    <t>28411501FC00FC00</t>
  </si>
  <si>
    <t>28411502FC00FC00</t>
  </si>
  <si>
    <t>28411503FC00FC00</t>
  </si>
  <si>
    <t>28411504FC00FC00</t>
  </si>
  <si>
    <t>28411600FC00FC00</t>
  </si>
  <si>
    <t>28412000FC00FC00</t>
  </si>
  <si>
    <t>28430000FC00FC00</t>
  </si>
  <si>
    <t>28441000FC00FC00</t>
  </si>
  <si>
    <t>28442000FC00FC00</t>
  </si>
  <si>
    <t>28444000FC00FC00</t>
  </si>
  <si>
    <t>28451000FC00FC00</t>
  </si>
  <si>
    <t>28451001FC00FC00</t>
  </si>
  <si>
    <t>28451002FC00FC00</t>
  </si>
  <si>
    <t>28454000FC00FC00</t>
  </si>
  <si>
    <t>28480000FC00FC00</t>
  </si>
  <si>
    <t>33120000FC00FC00</t>
  </si>
  <si>
    <t>33130000FC00FC00</t>
  </si>
  <si>
    <t>33140000FC00FC00</t>
  </si>
  <si>
    <t>33150000FC00FC00</t>
  </si>
  <si>
    <t>33160000FC00FC00</t>
  </si>
  <si>
    <t>33210000FC00FC00</t>
  </si>
  <si>
    <t>36110000FC00FC00</t>
  </si>
  <si>
    <t>36120000FC00FC00</t>
  </si>
  <si>
    <t>36140000FC00FC00</t>
  </si>
  <si>
    <t>36150000FC00FC00</t>
  </si>
  <si>
    <t>36210000FC00FC00</t>
  </si>
  <si>
    <t>36220000FC00FC00</t>
  </si>
  <si>
    <t>36240000FC00FC00</t>
  </si>
  <si>
    <t>36250000FC00FC00</t>
  </si>
  <si>
    <t>36410000FC00FC00</t>
  </si>
  <si>
    <t>36420000FC00FC00</t>
  </si>
  <si>
    <t>36440000FC00FC00</t>
  </si>
  <si>
    <t>36450000FC00FC00</t>
  </si>
  <si>
    <t>36510000FC00FC00</t>
  </si>
  <si>
    <t>36520000FC00FC00</t>
  </si>
  <si>
    <t>36530000FC00FC00</t>
  </si>
  <si>
    <t>36540000FC00FC00</t>
  </si>
  <si>
    <t>40100000FC00FC00</t>
  </si>
  <si>
    <t>40111000FC00FC00</t>
  </si>
  <si>
    <t>40112000FC00FC00</t>
  </si>
  <si>
    <t>41100000FC00FC00</t>
  </si>
  <si>
    <t>42100000FC00FC00</t>
  </si>
  <si>
    <t>42110000FC00FC00</t>
  </si>
  <si>
    <t>42200001FC00FC00</t>
  </si>
  <si>
    <t>42200002FC00FC00</t>
  </si>
  <si>
    <t>42200003FC00FC00</t>
  </si>
  <si>
    <t>42200004FC00FC00</t>
  </si>
  <si>
    <t>42200005FC00FC00</t>
  </si>
  <si>
    <t>42200006FC00FC00</t>
  </si>
  <si>
    <t>42200009FC00FC00</t>
  </si>
  <si>
    <t>42200010FC00FC00</t>
  </si>
  <si>
    <t>42200011FC00FC00</t>
  </si>
  <si>
    <t>42200012FC00FC00</t>
  </si>
  <si>
    <t>42200013FC00FC00</t>
  </si>
  <si>
    <t>42200019FC00FC00</t>
  </si>
  <si>
    <t>42200029FC00FC00</t>
  </si>
  <si>
    <t>42200039FC00FC00</t>
  </si>
  <si>
    <t>42200049FC00FC00</t>
  </si>
  <si>
    <t>42200059FC00FC00</t>
  </si>
  <si>
    <t>42520000FC00FC00</t>
  </si>
  <si>
    <t>42530000FC00FC00</t>
  </si>
  <si>
    <t>42810000FC00FC00</t>
  </si>
  <si>
    <t>43110000FC00FC00</t>
  </si>
  <si>
    <t>43120000FC00FC00</t>
  </si>
  <si>
    <t>43130000FC00FC00</t>
  </si>
  <si>
    <t>43132000FC00FC00</t>
  </si>
  <si>
    <t>43133000FC00FC00</t>
  </si>
  <si>
    <t>43300000FC00FC00</t>
  </si>
  <si>
    <t>44320000FC00FC00</t>
  </si>
  <si>
    <t>44490000FC00FC00</t>
  </si>
  <si>
    <t>44520000FC00FC00</t>
  </si>
  <si>
    <t>44540000FC00FC00</t>
  </si>
  <si>
    <t>44710000FC00FC00</t>
  </si>
  <si>
    <t>44721000FC00FC00</t>
  </si>
  <si>
    <t>44722000FC00FC00</t>
  </si>
  <si>
    <t>44781000FC00FC00</t>
  </si>
  <si>
    <t>47110000FC00FC00</t>
  </si>
  <si>
    <t>47111111FC00FC00</t>
  </si>
  <si>
    <t>47111200FC00FC00</t>
  </si>
  <si>
    <t>47111210FC00FC00</t>
  </si>
  <si>
    <t>47111900FC00FC00</t>
  </si>
  <si>
    <t>47114600FC00FC00</t>
  </si>
  <si>
    <t>47116000FC00FC00</t>
  </si>
  <si>
    <t>47118000FC00FC00</t>
  </si>
  <si>
    <t>47140000FC00FC00</t>
  </si>
  <si>
    <t>47461000FC00FC00</t>
  </si>
  <si>
    <t>47462000FC00FC00</t>
  </si>
  <si>
    <t>47463000FC00FC00</t>
  </si>
  <si>
    <t>47464000FC00FC00</t>
  </si>
  <si>
    <t>47465000FC00FC00</t>
  </si>
  <si>
    <t>47466000FC00FC00</t>
  </si>
  <si>
    <t>47471110FC00FC00</t>
  </si>
  <si>
    <t>47471120FC00FC00</t>
  </si>
  <si>
    <t>47471130FC00FC00</t>
  </si>
  <si>
    <t>47471140FC00FC00</t>
  </si>
  <si>
    <t>47471150FC00FC00</t>
  </si>
  <si>
    <t>47471210FC00FC00</t>
  </si>
  <si>
    <t>47471220FC00FC00</t>
  </si>
  <si>
    <t>47471230FC00FC00</t>
  </si>
  <si>
    <t>47471240FC00FC00</t>
  </si>
  <si>
    <t>47471250FC00FC00</t>
  </si>
  <si>
    <t>47471310FC00FC00</t>
  </si>
  <si>
    <t>47471320FC00FC00</t>
  </si>
  <si>
    <t>47471330FC00FC00</t>
  </si>
  <si>
    <t>47471340FC00FC00</t>
  </si>
  <si>
    <t>47471410FC00FC00</t>
  </si>
  <si>
    <t>47471420FC00FC00</t>
  </si>
  <si>
    <t>47471430FC00FC00</t>
  </si>
  <si>
    <t>47471440FC00FC00</t>
  </si>
  <si>
    <t>47471450FC00FC00</t>
  </si>
  <si>
    <t>47471510FC00FC00</t>
  </si>
  <si>
    <t>47471520FC00FC00</t>
  </si>
  <si>
    <t>47471530FC00FC00</t>
  </si>
  <si>
    <t>47471540FC00FC00</t>
  </si>
  <si>
    <t>47471550FC00FC00</t>
  </si>
  <si>
    <t>47471900FC00FC00</t>
  </si>
  <si>
    <t>47472000FC00FC00</t>
  </si>
  <si>
    <t>48121000FC00FC00</t>
  </si>
  <si>
    <t>52112000FC00FC00</t>
  </si>
  <si>
    <t>52113000FC00FC00</t>
  </si>
  <si>
    <t>52115000FC00FC00</t>
  </si>
  <si>
    <t>52119000FC00FC00</t>
  </si>
  <si>
    <t>55400000FC00FC00</t>
  </si>
  <si>
    <t>57110000FC00FC02</t>
  </si>
  <si>
    <t>60151000FC02FC03</t>
  </si>
  <si>
    <t>60151000FC03FC04</t>
  </si>
  <si>
    <t>60151000FC04FC05</t>
  </si>
  <si>
    <t>60151000FC05FC06</t>
  </si>
  <si>
    <t>60151000FC06FC02</t>
  </si>
  <si>
    <t>60152000FC02FC03</t>
  </si>
  <si>
    <t>60152000FC03FC04</t>
  </si>
  <si>
    <t>60152000FC04FC05</t>
  </si>
  <si>
    <t>60152000FC05FC06</t>
  </si>
  <si>
    <t>60152000FC06FC02</t>
  </si>
  <si>
    <t>60154000FC02FC03</t>
  </si>
  <si>
    <t>60154000FC03FC04</t>
  </si>
  <si>
    <t>60154000FC04FC05</t>
  </si>
  <si>
    <t>60154000FC05FC06</t>
  </si>
  <si>
    <t>60154000FC06FC02</t>
  </si>
  <si>
    <t>60330000FC02FC03</t>
  </si>
  <si>
    <t>60330000FC03FC04</t>
  </si>
  <si>
    <t>60330000FC04FC05</t>
  </si>
  <si>
    <t>60330000FC05FC06</t>
  </si>
  <si>
    <t>60330000FC06FC02</t>
  </si>
  <si>
    <t>60340000FC02FC03</t>
  </si>
  <si>
    <t>60340000FC03FC04</t>
  </si>
  <si>
    <t>60340000FC04FC05</t>
  </si>
  <si>
    <t>60340000FC05FC06</t>
  </si>
  <si>
    <t>60340000FC06FC02</t>
  </si>
  <si>
    <t>60410000FC02FC03</t>
  </si>
  <si>
    <t>60410000FC03FC04</t>
  </si>
  <si>
    <t>60410000FC04FC05</t>
  </si>
  <si>
    <t>60410000FC05FC06</t>
  </si>
  <si>
    <t>60410000FC06SA10</t>
  </si>
  <si>
    <t>60520000SA10SA10</t>
  </si>
  <si>
    <t>60530000SA10FC02</t>
  </si>
  <si>
    <t>60531000FC02FC03</t>
  </si>
  <si>
    <t>60531000FC03FC05</t>
  </si>
  <si>
    <t>60531000FC05FC06</t>
  </si>
  <si>
    <t>60531000FC06FC02</t>
  </si>
  <si>
    <t>60561000FC02FC04</t>
  </si>
  <si>
    <t>60561000FC04FC06</t>
  </si>
  <si>
    <t>60561000FC06FC02</t>
  </si>
  <si>
    <t>60562000FC02FC05</t>
  </si>
  <si>
    <t>60562000FC05FC06</t>
  </si>
  <si>
    <t>60562000FC06FC02</t>
  </si>
  <si>
    <t>60563000FC02FC04</t>
  </si>
  <si>
    <t>60563000FC04FC05</t>
  </si>
  <si>
    <t>60563000FC05FC06</t>
  </si>
  <si>
    <t>60565000FC06FC02</t>
  </si>
  <si>
    <t>60568000FC02FC03</t>
  </si>
  <si>
    <t>60568000FC03FC04</t>
  </si>
  <si>
    <t>60568000FC04FC05</t>
  </si>
  <si>
    <t>60568000FC05FC06</t>
  </si>
  <si>
    <t>60568000FC06SA10</t>
  </si>
  <si>
    <t>60568000SA10FC02</t>
  </si>
  <si>
    <t>60569000FC02FC03</t>
  </si>
  <si>
    <t>60569000FC03FC04</t>
  </si>
  <si>
    <t>60569000FC04FC05</t>
  </si>
  <si>
    <t>60569000FC05FC06</t>
  </si>
  <si>
    <t>60569000FC06SA10</t>
  </si>
  <si>
    <t>60569000SA10FC02</t>
  </si>
  <si>
    <t>60572000FC02FC03</t>
  </si>
  <si>
    <t>60572000FC03FC04</t>
  </si>
  <si>
    <t>60572000FC04FC05</t>
  </si>
  <si>
    <t>60572000FC05FC06</t>
  </si>
  <si>
    <t>60572000FC06FC02</t>
  </si>
  <si>
    <t>61200000FC02FC05</t>
  </si>
  <si>
    <t>61200000FC05SA10</t>
  </si>
  <si>
    <t>61200000SA10FC02</t>
  </si>
  <si>
    <t>61600000FC02FC03</t>
  </si>
  <si>
    <t>61600000FC03FC04</t>
  </si>
  <si>
    <t>61600000FC04FC05</t>
  </si>
  <si>
    <t>61600000FC05FC02</t>
  </si>
  <si>
    <t>61810000FC02FC03</t>
  </si>
  <si>
    <t>61810000FC03FC04</t>
  </si>
  <si>
    <t>61810000FC04FC05</t>
  </si>
  <si>
    <t>61810000FC05FC06</t>
  </si>
  <si>
    <t>61810000FC06SA10</t>
  </si>
  <si>
    <t>61810000SA10FC02</t>
  </si>
  <si>
    <t>61820000FC02FC03</t>
  </si>
  <si>
    <t>61820000FC03FC04</t>
  </si>
  <si>
    <t>61820000FC04FC05</t>
  </si>
  <si>
    <t>61820000FC05FC06</t>
  </si>
  <si>
    <t>61820000FC06FC03</t>
  </si>
  <si>
    <t>61821000FC03FC04</t>
  </si>
  <si>
    <t>61821000FC04FC05</t>
  </si>
  <si>
    <t>61821000FC05FC06</t>
  </si>
  <si>
    <t>61821000FC06FC03</t>
  </si>
  <si>
    <t>61830000FC03FC04</t>
  </si>
  <si>
    <t>61830000FC04FC05</t>
  </si>
  <si>
    <t>61830000FC05SA10</t>
  </si>
  <si>
    <t>61830000SA10SA10</t>
  </si>
  <si>
    <t>62220000SA10SA10</t>
  </si>
  <si>
    <t>62230000SA10SA10</t>
  </si>
  <si>
    <t>62281000SA10SA10</t>
  </si>
  <si>
    <t>62285000SA10FC02</t>
  </si>
  <si>
    <t>62420000FC02FC03</t>
  </si>
  <si>
    <t>62420000FC03FC04</t>
  </si>
  <si>
    <t>62420000FC04FC05</t>
  </si>
  <si>
    <t>62420000FC05FC06</t>
  </si>
  <si>
    <t>62420000FC06SA10</t>
  </si>
  <si>
    <t>62420000SA10FC02</t>
  </si>
  <si>
    <t>62430000FC02FC03</t>
  </si>
  <si>
    <t>62430000FC03FC04</t>
  </si>
  <si>
    <t>62430000FC04FC05</t>
  </si>
  <si>
    <t>62430000FC05FC06</t>
  </si>
  <si>
    <t>62430000FC06SA10</t>
  </si>
  <si>
    <t>62430000SA10FC02</t>
  </si>
  <si>
    <t>62510000FC02FC03</t>
  </si>
  <si>
    <t>62510000FC03FC04</t>
  </si>
  <si>
    <t>62510000FC04FC05</t>
  </si>
  <si>
    <t>62510000FC05FC06</t>
  </si>
  <si>
    <t>62510000FC06FC02</t>
  </si>
  <si>
    <t>62511000FC02FC03</t>
  </si>
  <si>
    <t>62511000FC03FC04</t>
  </si>
  <si>
    <t>62511000FC04FC05</t>
  </si>
  <si>
    <t>62511000FC05FC06</t>
  </si>
  <si>
    <t>62511000FC06FC02</t>
  </si>
  <si>
    <t>62521000FC02FC03</t>
  </si>
  <si>
    <t>62521000FC03FC04</t>
  </si>
  <si>
    <t>62521000FC04FC05</t>
  </si>
  <si>
    <t>62521000FC05FC06</t>
  </si>
  <si>
    <t>62521000FC06FC02</t>
  </si>
  <si>
    <t>62522000FC02FC03</t>
  </si>
  <si>
    <t>62522000FC03FC04</t>
  </si>
  <si>
    <t>62522000FC04FC05</t>
  </si>
  <si>
    <t>62522000FC05FC06</t>
  </si>
  <si>
    <t>62522000FC06FC02</t>
  </si>
  <si>
    <t>62582000FC02FC03</t>
  </si>
  <si>
    <t>62582000FC03FC04</t>
  </si>
  <si>
    <t>62582000FC04FC05</t>
  </si>
  <si>
    <t>62582000FC05FC06</t>
  </si>
  <si>
    <t>62582000FC06SA10</t>
  </si>
  <si>
    <t>62760000SA10SA10</t>
  </si>
  <si>
    <t>62880000SA10FC02</t>
  </si>
  <si>
    <t>62883000FC02FC03</t>
  </si>
  <si>
    <t>62883000FC03FC04</t>
  </si>
  <si>
    <t>62883000FC04FC05</t>
  </si>
  <si>
    <t>62883000FC05FC06</t>
  </si>
  <si>
    <t>62883000FC06SA10</t>
  </si>
  <si>
    <t>63180000SA10FC02</t>
  </si>
  <si>
    <t>63210000FC02FC04</t>
  </si>
  <si>
    <t>63210000FC04FC06</t>
  </si>
  <si>
    <t>63210000FC06SA10</t>
  </si>
  <si>
    <t>63240000SA10FC02</t>
  </si>
  <si>
    <t>63241000FC02FC03</t>
  </si>
  <si>
    <t>63241000FC03FC04</t>
  </si>
  <si>
    <t>63241000FC04FC05</t>
  </si>
  <si>
    <t>63241000FC05FC06</t>
  </si>
  <si>
    <t>63243000FC06FC02</t>
  </si>
  <si>
    <t>63281000FC02FC03</t>
  </si>
  <si>
    <t>63281000FC03FC04</t>
  </si>
  <si>
    <t>63281000FC04FC05</t>
  </si>
  <si>
    <t>63281000FC05FC06</t>
  </si>
  <si>
    <t>63281000FC06FC02</t>
  </si>
  <si>
    <t>63282000FC02FC03</t>
  </si>
  <si>
    <t>63282000FC03FC04</t>
  </si>
  <si>
    <t>63282000FC04FC05</t>
  </si>
  <si>
    <t>63282000FC05FC06</t>
  </si>
  <si>
    <t>63282000FC06FC02</t>
  </si>
  <si>
    <t>63284000FC02FC03</t>
  </si>
  <si>
    <t>63284000FC03FC04</t>
  </si>
  <si>
    <t>63284000FC04FC06</t>
  </si>
  <si>
    <t>63284000FC06SA10</t>
  </si>
  <si>
    <t>63284000SA10SA10</t>
  </si>
  <si>
    <t>63312000SA10FC02</t>
  </si>
  <si>
    <t>63421000FC02FC03</t>
  </si>
  <si>
    <t>63421000FC03FC04</t>
  </si>
  <si>
    <t>63421000FC04FC05</t>
  </si>
  <si>
    <t>63421000FC05FC06</t>
  </si>
  <si>
    <t>63421000FC06FC02</t>
  </si>
  <si>
    <t>63423100FC02FC03</t>
  </si>
  <si>
    <t>63423100FC03FC04</t>
  </si>
  <si>
    <t>63423100FC04FC05</t>
  </si>
  <si>
    <t>63423100FC05FC06</t>
  </si>
  <si>
    <t>63423100FC06FC02</t>
  </si>
  <si>
    <t>63423300FC02FC03</t>
  </si>
  <si>
    <t>63423300FC03FC04</t>
  </si>
  <si>
    <t>63423300FC04FC05</t>
  </si>
  <si>
    <t>63423300FC05FC02</t>
  </si>
  <si>
    <t>63423400FC02FC03</t>
  </si>
  <si>
    <t>63423400FC03FC04</t>
  </si>
  <si>
    <t>63423400FC04FC05</t>
  </si>
  <si>
    <t>63423400FC05FC06</t>
  </si>
  <si>
    <t>63423400FC06FC02</t>
  </si>
  <si>
    <t>63423500FC02FC03</t>
  </si>
  <si>
    <t>63423500FC03FC04</t>
  </si>
  <si>
    <t>63423500FC04FC05</t>
  </si>
  <si>
    <t>63423500FC05FC06</t>
  </si>
  <si>
    <t>63423500FC06FC02</t>
  </si>
  <si>
    <t>63423910FC02FC03</t>
  </si>
  <si>
    <t>63423910FC03FC04</t>
  </si>
  <si>
    <t>63423910FC04FC02</t>
  </si>
  <si>
    <t>63423950FC02FC03</t>
  </si>
  <si>
    <t>63423950FC03FC04</t>
  </si>
  <si>
    <t>63423950FC04FC05</t>
  </si>
  <si>
    <t>63423950FC05FC02</t>
  </si>
  <si>
    <t>63711000FC02FC03</t>
  </si>
  <si>
    <t>63711000FC03FC04</t>
  </si>
  <si>
    <t>63711000FC04FC05</t>
  </si>
  <si>
    <t>63711000FC05FC06</t>
  </si>
  <si>
    <t>63711000FC06FC02</t>
  </si>
  <si>
    <t>63712000FC02FC03</t>
  </si>
  <si>
    <t>63712000FC03FC04</t>
  </si>
  <si>
    <t>63712000FC04FC05</t>
  </si>
  <si>
    <t>63712000FC05FC02</t>
  </si>
  <si>
    <t>63712001FC02FC03</t>
  </si>
  <si>
    <t>63712001FC03FC04</t>
  </si>
  <si>
    <t>63712001FC04FC05</t>
  </si>
  <si>
    <t>63712001FC05FC06</t>
  </si>
  <si>
    <t>63712001FC06SA10</t>
  </si>
  <si>
    <t>63720000SA10FC04</t>
  </si>
  <si>
    <t>63830000FC04FC05</t>
  </si>
  <si>
    <t>63830000FC05SA10</t>
  </si>
  <si>
    <t>63830000SA10FC03</t>
  </si>
  <si>
    <t>63830060FC03FC04</t>
  </si>
  <si>
    <t>63830060FC04FC05</t>
  </si>
  <si>
    <t>63830060FC05FC06</t>
  </si>
  <si>
    <t>63830060FC06SA10</t>
  </si>
  <si>
    <t>63830060SA10FC04</t>
  </si>
  <si>
    <t>63831000FC04FC06</t>
  </si>
  <si>
    <t>63831000FC06SA10</t>
  </si>
  <si>
    <t>63831000SA10FC02</t>
  </si>
  <si>
    <t>63832000FC02FC03</t>
  </si>
  <si>
    <t>63832000FC03FC04</t>
  </si>
  <si>
    <t>63832000FC04FC05</t>
  </si>
  <si>
    <t>63832000FC05FC06</t>
  </si>
  <si>
    <t>63832000FC06FC02</t>
  </si>
  <si>
    <t>64110000FC02FC03</t>
  </si>
  <si>
    <t>64110000FC03FC04</t>
  </si>
  <si>
    <t>64110000FC04FC05</t>
  </si>
  <si>
    <t>64110000FC05FC06</t>
  </si>
  <si>
    <t>64110000FC06SA10</t>
  </si>
  <si>
    <t>64110000SA10FC02</t>
  </si>
  <si>
    <t>64112000FC02FC03</t>
  </si>
  <si>
    <t>64112000FC03FC04</t>
  </si>
  <si>
    <t>64112000FC04FC05</t>
  </si>
  <si>
    <t>64112000FC05FC06</t>
  </si>
  <si>
    <t>64112000FC06SA10</t>
  </si>
  <si>
    <t>64112000SA10FC02</t>
  </si>
  <si>
    <t>65000000FC02FC03</t>
  </si>
  <si>
    <t>65000000FC03FC04</t>
  </si>
  <si>
    <t>65000000FC04SA10</t>
  </si>
  <si>
    <t>65000000SA10FC02</t>
  </si>
  <si>
    <t>66110000FC02FC03</t>
  </si>
  <si>
    <t>66110000FC03FC04</t>
  </si>
  <si>
    <t>66110000FC04FC05</t>
  </si>
  <si>
    <t>66110000FC05FC06</t>
  </si>
  <si>
    <t>66110000FC06SA10</t>
  </si>
  <si>
    <t>66110000SA10FC02</t>
  </si>
  <si>
    <t>66121000FC02FC03</t>
  </si>
  <si>
    <t>66121000FC03FC04</t>
  </si>
  <si>
    <t>66121000FC04FC05</t>
  </si>
  <si>
    <t>66121000FC05FC06</t>
  </si>
  <si>
    <t>66121000FC06SA10</t>
  </si>
  <si>
    <t>66121000SA10FC02</t>
  </si>
  <si>
    <t>66380000FC02FC03</t>
  </si>
  <si>
    <t>66380000FC03FC04</t>
  </si>
  <si>
    <t>66380000FC04FC05</t>
  </si>
  <si>
    <t>66380000FC05FC06</t>
  </si>
  <si>
    <t>66380000FC06SA10</t>
  </si>
  <si>
    <t>66380000SA10FC02</t>
  </si>
  <si>
    <t>66410000FC02FC03</t>
  </si>
  <si>
    <t>66410000FC03FC04</t>
  </si>
  <si>
    <t>66410000FC04FC05</t>
  </si>
  <si>
    <t>66410000FC05FC06</t>
  </si>
  <si>
    <t>66410000FC06SA10</t>
  </si>
  <si>
    <t>66410000SA10FC02</t>
  </si>
  <si>
    <t>66411000FC02FC03</t>
  </si>
  <si>
    <t>66411000FC03FC04</t>
  </si>
  <si>
    <t>66411000FC04FC05</t>
  </si>
  <si>
    <t>66411000FC05FC06</t>
  </si>
  <si>
    <t>66411000FC06SA10</t>
  </si>
  <si>
    <t>66411000SA10FC02</t>
  </si>
  <si>
    <t>66420000FC02FC03</t>
  </si>
  <si>
    <t>66420000FC03FC04</t>
  </si>
  <si>
    <t>66420000FC04FC05</t>
  </si>
  <si>
    <t>66420000FC05FC06</t>
  </si>
  <si>
    <t>66420000FC06SA10</t>
  </si>
  <si>
    <t>66420000SA10FC06</t>
  </si>
  <si>
    <t>66421000FC06SA10</t>
  </si>
  <si>
    <t>66421000SA10FC06</t>
  </si>
  <si>
    <t>66424000FC06FC02</t>
  </si>
  <si>
    <t>66430000FC02FC03</t>
  </si>
  <si>
    <t>66430000FC03FC04</t>
  </si>
  <si>
    <t>66430000FC04FC05</t>
  </si>
  <si>
    <t>66430000FC05FC06</t>
  </si>
  <si>
    <t>66430000FC06FC03</t>
  </si>
  <si>
    <t>66810000FC03FC05</t>
  </si>
  <si>
    <t>66810000FC05SA10</t>
  </si>
  <si>
    <t>66831000SA10FC02</t>
  </si>
  <si>
    <t>66840001FC02FC03</t>
  </si>
  <si>
    <t>66840001FC03FC04</t>
  </si>
  <si>
    <t>66840001FC04FC05</t>
  </si>
  <si>
    <t>66840001FC05FC06</t>
  </si>
  <si>
    <t>66840001FC06SA10</t>
  </si>
  <si>
    <t>66840001SA10FC04</t>
  </si>
  <si>
    <t>67443000FC04FC05</t>
  </si>
  <si>
    <t>67445000FC05FC02</t>
  </si>
  <si>
    <t>68130000FC02FC03</t>
  </si>
  <si>
    <t>68130000FC03FC04</t>
  </si>
  <si>
    <t>68130000FC04FC05</t>
  </si>
  <si>
    <t>68130000FC05FC06</t>
  </si>
  <si>
    <t>68130000FC06SA10</t>
  </si>
  <si>
    <t>68130000SA10FC03</t>
  </si>
  <si>
    <t>70210000FC03FC04</t>
  </si>
  <si>
    <t>70210000FC04FC05</t>
  </si>
  <si>
    <t>70210000FC05FC02</t>
  </si>
  <si>
    <t>70221000FC02FC03</t>
  </si>
  <si>
    <t>70221000FC03FC04</t>
  </si>
  <si>
    <t>70221000FC04FC05</t>
  </si>
  <si>
    <t>70221000FC05FC02</t>
  </si>
  <si>
    <t>70230000FC02FC03</t>
  </si>
  <si>
    <t>70230000FC03FC04</t>
  </si>
  <si>
    <t>70230000FC04FC05</t>
  </si>
  <si>
    <t>70230000FC05FC02</t>
  </si>
  <si>
    <t>70781000FC02FC03</t>
  </si>
  <si>
    <t>70781000FC03FC04</t>
  </si>
  <si>
    <t>70781000FC04FC05</t>
  </si>
  <si>
    <t>70781000FC05FC06</t>
  </si>
  <si>
    <t>70781000FC06FC02</t>
  </si>
  <si>
    <t>73610000FC02FC03</t>
  </si>
  <si>
    <t>73610000FC03FC04</t>
  </si>
  <si>
    <t>73610000FC04FC05</t>
  </si>
  <si>
    <t>73610000FC05FC06</t>
  </si>
  <si>
    <t>73610000FC06SA10</t>
  </si>
  <si>
    <t>75800000SA10SA10</t>
  </si>
  <si>
    <t>75880000SA10</t>
  </si>
  <si>
    <t>MAPPING EXPENSE ACCOUNTS</t>
  </si>
  <si>
    <t>MAPPING REVENUE ACCOUNTS</t>
  </si>
  <si>
    <t>I Cash Flow From Operations</t>
  </si>
  <si>
    <t>Payables</t>
  </si>
  <si>
    <t>II - Cash Flow From Investing</t>
  </si>
  <si>
    <t>Net Cash Flow From Investing</t>
  </si>
  <si>
    <t>Purchase of Fixed Assets</t>
  </si>
  <si>
    <t>III - Cash Flow From Financing</t>
  </si>
  <si>
    <t>Net Cash Flow From Financing Activities</t>
  </si>
  <si>
    <t xml:space="preserve">IV - Net Increase or Decrease of Cash </t>
  </si>
  <si>
    <t>V -  Cash Beginning of the Period</t>
  </si>
  <si>
    <t>VI - Cash End of the Period</t>
  </si>
  <si>
    <t>O/B</t>
  </si>
  <si>
    <t>C/B</t>
  </si>
  <si>
    <t>Contrôle</t>
  </si>
  <si>
    <t>STATEMENT OF CASH FLOWS (CAPSEN S.A)</t>
  </si>
  <si>
    <t>Net Changes in Working Capital</t>
  </si>
  <si>
    <t>Cash and Cash Equivalents</t>
  </si>
  <si>
    <t>Trade Receivables</t>
  </si>
  <si>
    <t>Uncollected proceeds from sales to customers</t>
  </si>
  <si>
    <t>Advances</t>
  </si>
  <si>
    <t>Advances to vendors</t>
  </si>
  <si>
    <t>Prepaid Expenses</t>
  </si>
  <si>
    <t>Cash advances</t>
  </si>
  <si>
    <t>Cash advances to crew (Catching Bonus) and staff (operational or personal)</t>
  </si>
  <si>
    <t>Taxes receivable, Deposits for lease contracts, etc.</t>
  </si>
  <si>
    <t>Tuna, fuel, buoys</t>
  </si>
  <si>
    <t>Work in progress</t>
  </si>
  <si>
    <t>Unpaid invoices to foreign vendors</t>
  </si>
  <si>
    <t>Unpaid invoices to local vendors</t>
  </si>
  <si>
    <t>Corporate taxes</t>
  </si>
  <si>
    <t>Interest payable on vessels loans</t>
  </si>
  <si>
    <t>Salary payable</t>
  </si>
  <si>
    <t>Social security, Pension Fund, etc.</t>
  </si>
  <si>
    <t>Deposits received from customers</t>
  </si>
  <si>
    <t>Other Payables</t>
  </si>
  <si>
    <t>Sundry payable</t>
  </si>
  <si>
    <t xml:space="preserve">Long Term Accounts Payable </t>
  </si>
  <si>
    <t>Vessel Loan (Principal due until maturity of the loan)</t>
  </si>
  <si>
    <t xml:space="preserve">Present Discounted Value </t>
  </si>
  <si>
    <t>ITEM</t>
  </si>
  <si>
    <t>EXPLAINER</t>
  </si>
  <si>
    <t>Accounts Payable - Local</t>
  </si>
  <si>
    <t>Bank, Cash, Electronic Wallets, Commercial Paper</t>
  </si>
  <si>
    <t>Payments in advance that are amortized (expensed) periodically based on usage (Insurance, Fishing licenses, etc.)</t>
  </si>
  <si>
    <t>Tuna Inventory Valuation Schedule</t>
  </si>
  <si>
    <t>Interest Valuation Schedule</t>
  </si>
  <si>
    <t>This schedules gives a notional value of the opportunity cost of items such as receivables, inventory, prepayments and deferred expenses.</t>
  </si>
  <si>
    <t>Fixed Assets Schedule</t>
  </si>
  <si>
    <t xml:space="preserve">This schedule compares the market price to the company's nternal tuna cost. The purpose is to provide a notional value of the opportunity cost of not applying the market price and its theoretical impact on the financial performance of the company </t>
  </si>
  <si>
    <t>This schedule provides the GL detais and the summary of CAPEX, depreciation and book value of the fixed assets</t>
  </si>
  <si>
    <t>DESCRIPTION</t>
  </si>
  <si>
    <t>CENTER</t>
  </si>
  <si>
    <t>Present Value Discount Issued Debentures</t>
  </si>
  <si>
    <t>VIII. NET INCOME (BEFORE TAXES)</t>
  </si>
  <si>
    <t>Vessel Loan (Principal due during the reporting period)</t>
  </si>
  <si>
    <t>Fishing Equipment being produced by the vendors but not yet delivered.</t>
  </si>
  <si>
    <t>10130000FC00</t>
  </si>
  <si>
    <t>11100000FC00</t>
  </si>
  <si>
    <t>12100000FC00</t>
  </si>
  <si>
    <t>12900000FC00</t>
  </si>
  <si>
    <t>13010000FC00</t>
  </si>
  <si>
    <t>13090000FC00</t>
  </si>
  <si>
    <t>16684000FC00</t>
  </si>
  <si>
    <t>16863000FC00</t>
  </si>
  <si>
    <t>16864000FC00</t>
  </si>
  <si>
    <t>19100000FC00</t>
  </si>
  <si>
    <t>19610000FC00</t>
  </si>
  <si>
    <t>23210000FC00</t>
  </si>
  <si>
    <t>24111002FC00</t>
  </si>
  <si>
    <t>24111003FC00</t>
  </si>
  <si>
    <t>24111004FC00</t>
  </si>
  <si>
    <t>24111005FC00</t>
  </si>
  <si>
    <t>24111006FC00</t>
  </si>
  <si>
    <t>24111011FC00</t>
  </si>
  <si>
    <t>24111012FC00</t>
  </si>
  <si>
    <t>24111013FC00</t>
  </si>
  <si>
    <t>24112002FC00</t>
  </si>
  <si>
    <t>24112003FC00</t>
  </si>
  <si>
    <t>24112004FC00</t>
  </si>
  <si>
    <t>24112011FC00</t>
  </si>
  <si>
    <t>24112012FC00</t>
  </si>
  <si>
    <t>24112013FC00</t>
  </si>
  <si>
    <t>24112014FC00</t>
  </si>
  <si>
    <t>24113002FC00</t>
  </si>
  <si>
    <t>24113003FC00</t>
  </si>
  <si>
    <t>24113004FC00</t>
  </si>
  <si>
    <t>24113005FC00</t>
  </si>
  <si>
    <t>24113006FC00</t>
  </si>
  <si>
    <t>24113011FC00</t>
  </si>
  <si>
    <t>24113012FC00</t>
  </si>
  <si>
    <t>24113013FC00</t>
  </si>
  <si>
    <t>24114002FC00</t>
  </si>
  <si>
    <t>24114003FC00</t>
  </si>
  <si>
    <t>24114004FC00</t>
  </si>
  <si>
    <t>24114005FC00</t>
  </si>
  <si>
    <t>24114011FC00</t>
  </si>
  <si>
    <t>24114012FC00</t>
  </si>
  <si>
    <t>24115002FC00</t>
  </si>
  <si>
    <t>24115003FC00</t>
  </si>
  <si>
    <t>24115004FC00</t>
  </si>
  <si>
    <t>24115007FC00</t>
  </si>
  <si>
    <t>24115011FC00</t>
  </si>
  <si>
    <t>24115012FC00</t>
  </si>
  <si>
    <t>24116000FC00</t>
  </si>
  <si>
    <t>24120000FC00</t>
  </si>
  <si>
    <t>24300000FC00</t>
  </si>
  <si>
    <t>24410000FC00</t>
  </si>
  <si>
    <t>24420000FC00</t>
  </si>
  <si>
    <t>24440000FC00</t>
  </si>
  <si>
    <t>24510000FC00</t>
  </si>
  <si>
    <t>24510001FC00</t>
  </si>
  <si>
    <t>24510002FC00</t>
  </si>
  <si>
    <t>24540000FC00</t>
  </si>
  <si>
    <t>24800000FC00</t>
  </si>
  <si>
    <t>24910000FC00</t>
  </si>
  <si>
    <t>27510000FC00</t>
  </si>
  <si>
    <t>27520000FC00</t>
  </si>
  <si>
    <t>27580000FC00</t>
  </si>
  <si>
    <t>28320000FC00</t>
  </si>
  <si>
    <t>28411012FC00</t>
  </si>
  <si>
    <t>28411013FC00</t>
  </si>
  <si>
    <t>28411014FC00</t>
  </si>
  <si>
    <t>28411015FC00</t>
  </si>
  <si>
    <t>28411016FC00</t>
  </si>
  <si>
    <t>28411022FC00</t>
  </si>
  <si>
    <t>28411023FC00</t>
  </si>
  <si>
    <t>28411024FC00</t>
  </si>
  <si>
    <t>28411025FC00</t>
  </si>
  <si>
    <t>28411026FC00</t>
  </si>
  <si>
    <t>28411032FC00</t>
  </si>
  <si>
    <t>28411033FC00</t>
  </si>
  <si>
    <t>28411034FC00</t>
  </si>
  <si>
    <t>28411035FC00</t>
  </si>
  <si>
    <t>28411036FC00</t>
  </si>
  <si>
    <t>28411042FC00</t>
  </si>
  <si>
    <t>28411052FC00</t>
  </si>
  <si>
    <t>28411101FC00</t>
  </si>
  <si>
    <t>28411102FC00</t>
  </si>
  <si>
    <t>28411103FC00</t>
  </si>
  <si>
    <t>28411201FC00</t>
  </si>
  <si>
    <t>28411202FC00</t>
  </si>
  <si>
    <t>28411203FC00</t>
  </si>
  <si>
    <t>28411204FC00</t>
  </si>
  <si>
    <t>28411301FC00</t>
  </si>
  <si>
    <t>28411302FC00</t>
  </si>
  <si>
    <t>28411303FC00</t>
  </si>
  <si>
    <t>28411401FC00</t>
  </si>
  <si>
    <t>28411402FC00</t>
  </si>
  <si>
    <t>28411403FC00</t>
  </si>
  <si>
    <t>28411404FC00</t>
  </si>
  <si>
    <t>28411405FC00</t>
  </si>
  <si>
    <t>28411406FC00</t>
  </si>
  <si>
    <t>28411501FC00</t>
  </si>
  <si>
    <t>28411502FC00</t>
  </si>
  <si>
    <t>28411503FC00</t>
  </si>
  <si>
    <t>28411504FC00</t>
  </si>
  <si>
    <t>28411600FC00</t>
  </si>
  <si>
    <t>28412000FC00</t>
  </si>
  <si>
    <t>28430000FC00</t>
  </si>
  <si>
    <t>28441000FC00</t>
  </si>
  <si>
    <t>28442000FC00</t>
  </si>
  <si>
    <t>28444000FC00</t>
  </si>
  <si>
    <t>28451000FC00</t>
  </si>
  <si>
    <t>28451001FC00</t>
  </si>
  <si>
    <t>28451002FC00</t>
  </si>
  <si>
    <t>28454000FC00</t>
  </si>
  <si>
    <t>28480000FC00</t>
  </si>
  <si>
    <t>33120000FC00</t>
  </si>
  <si>
    <t>33130000FC00</t>
  </si>
  <si>
    <t>33140000FC00</t>
  </si>
  <si>
    <t>33150000FC00</t>
  </si>
  <si>
    <t>33160000FC00</t>
  </si>
  <si>
    <t>33210000FC00</t>
  </si>
  <si>
    <t>36110000FC00</t>
  </si>
  <si>
    <t>36120000FC00</t>
  </si>
  <si>
    <t>36140000FC00</t>
  </si>
  <si>
    <t>36150000FC00</t>
  </si>
  <si>
    <t>36210000FC00</t>
  </si>
  <si>
    <t>36220000FC00</t>
  </si>
  <si>
    <t>36240000FC00</t>
  </si>
  <si>
    <t>36250000FC00</t>
  </si>
  <si>
    <t>36410000FC00</t>
  </si>
  <si>
    <t>36420000FC00</t>
  </si>
  <si>
    <t>36440000FC00</t>
  </si>
  <si>
    <t>36450000FC00</t>
  </si>
  <si>
    <t>36510000FC00</t>
  </si>
  <si>
    <t>36520000FC00</t>
  </si>
  <si>
    <t>36530000FC00</t>
  </si>
  <si>
    <t>36540000FC00</t>
  </si>
  <si>
    <t>40100000FC00</t>
  </si>
  <si>
    <t>40111000FC00</t>
  </si>
  <si>
    <t>40112000FC00</t>
  </si>
  <si>
    <t>41100000FC00</t>
  </si>
  <si>
    <t>42100000FC00</t>
  </si>
  <si>
    <t>42110000FC00</t>
  </si>
  <si>
    <t>42200001FC00</t>
  </si>
  <si>
    <t>42200002FC00</t>
  </si>
  <si>
    <t>42200003FC00</t>
  </si>
  <si>
    <t>42200004FC00</t>
  </si>
  <si>
    <t>42200005FC00</t>
  </si>
  <si>
    <t>42200006FC00</t>
  </si>
  <si>
    <t>42200009FC00</t>
  </si>
  <si>
    <t>42200010FC00</t>
  </si>
  <si>
    <t>42200011FC00</t>
  </si>
  <si>
    <t>42200012FC00</t>
  </si>
  <si>
    <t>42200013FC00</t>
  </si>
  <si>
    <t>42200019FC00</t>
  </si>
  <si>
    <t>42200029FC00</t>
  </si>
  <si>
    <t>42200039FC00</t>
  </si>
  <si>
    <t>42200049FC00</t>
  </si>
  <si>
    <t>42200059FC00</t>
  </si>
  <si>
    <t>42520000FC00</t>
  </si>
  <si>
    <t>42530000FC00</t>
  </si>
  <si>
    <t>42810000FC00</t>
  </si>
  <si>
    <t>43110000FC00</t>
  </si>
  <si>
    <t>43120000FC00</t>
  </si>
  <si>
    <t>43130000FC00</t>
  </si>
  <si>
    <t>43132000FC00</t>
  </si>
  <si>
    <t>43133000FC00</t>
  </si>
  <si>
    <t>43300000FC00</t>
  </si>
  <si>
    <t>44320000FC00</t>
  </si>
  <si>
    <t>44490000FC00</t>
  </si>
  <si>
    <t>44520000FC00</t>
  </si>
  <si>
    <t>44540000FC00</t>
  </si>
  <si>
    <t>44710000FC00</t>
  </si>
  <si>
    <t>44721000FC00</t>
  </si>
  <si>
    <t>44722000FC00</t>
  </si>
  <si>
    <t>44781000FC00</t>
  </si>
  <si>
    <t>47110000FC00</t>
  </si>
  <si>
    <t>47111111FC00</t>
  </si>
  <si>
    <t>47111200FC00</t>
  </si>
  <si>
    <t>47111210FC00</t>
  </si>
  <si>
    <t>47111900FC00</t>
  </si>
  <si>
    <t>47114600FC00</t>
  </si>
  <si>
    <t>47116000FC00</t>
  </si>
  <si>
    <t>47118000FC00</t>
  </si>
  <si>
    <t>47140000FC00</t>
  </si>
  <si>
    <t>47461000FC00</t>
  </si>
  <si>
    <t>47462000FC00</t>
  </si>
  <si>
    <t>47463000FC00</t>
  </si>
  <si>
    <t>47464000FC00</t>
  </si>
  <si>
    <t>47465000FC00</t>
  </si>
  <si>
    <t>47466000FC00</t>
  </si>
  <si>
    <t>47471110FC00</t>
  </si>
  <si>
    <t>47471120FC00</t>
  </si>
  <si>
    <t>47471130FC00</t>
  </si>
  <si>
    <t>47471140FC00</t>
  </si>
  <si>
    <t>47471150FC00</t>
  </si>
  <si>
    <t>47471210FC00</t>
  </si>
  <si>
    <t>47471220FC00</t>
  </si>
  <si>
    <t>47471230FC00</t>
  </si>
  <si>
    <t>47471240FC00</t>
  </si>
  <si>
    <t>47471250FC00</t>
  </si>
  <si>
    <t>47471310FC00</t>
  </si>
  <si>
    <t>47471320FC00</t>
  </si>
  <si>
    <t>47471330FC00</t>
  </si>
  <si>
    <t>47471340FC00</t>
  </si>
  <si>
    <t>47471410FC00</t>
  </si>
  <si>
    <t>47471420FC00</t>
  </si>
  <si>
    <t>47471430FC00</t>
  </si>
  <si>
    <t>47471440FC00</t>
  </si>
  <si>
    <t>47471450FC00</t>
  </si>
  <si>
    <t>47471510FC00</t>
  </si>
  <si>
    <t>47471520FC00</t>
  </si>
  <si>
    <t>47471530FC00</t>
  </si>
  <si>
    <t>47471540FC00</t>
  </si>
  <si>
    <t>47471550FC00</t>
  </si>
  <si>
    <t>47471900FC00</t>
  </si>
  <si>
    <t>47472000FC00</t>
  </si>
  <si>
    <t>48121000FC00</t>
  </si>
  <si>
    <t>52112000FC00</t>
  </si>
  <si>
    <t>52113000FC00</t>
  </si>
  <si>
    <t>52115000FC00</t>
  </si>
  <si>
    <t>52119000FC00</t>
  </si>
  <si>
    <t>55400000FC00</t>
  </si>
  <si>
    <t>57110000FC00</t>
  </si>
  <si>
    <t>60151000FC02</t>
  </si>
  <si>
    <t>60151000FC03</t>
  </si>
  <si>
    <t>60151000FC04</t>
  </si>
  <si>
    <t>60151000FC05</t>
  </si>
  <si>
    <t>60151000FC06</t>
  </si>
  <si>
    <t>60152000FC02</t>
  </si>
  <si>
    <t>60152000FC03</t>
  </si>
  <si>
    <t>60152000FC04</t>
  </si>
  <si>
    <t>60152000FC05</t>
  </si>
  <si>
    <t>60152000FC06</t>
  </si>
  <si>
    <t>60154000FC02</t>
  </si>
  <si>
    <t>60154000FC03</t>
  </si>
  <si>
    <t>60154000FC04</t>
  </si>
  <si>
    <t>60154000FC05</t>
  </si>
  <si>
    <t>60154000FC06</t>
  </si>
  <si>
    <t>60330000FC02</t>
  </si>
  <si>
    <t>60330000FC03</t>
  </si>
  <si>
    <t>60330000FC04</t>
  </si>
  <si>
    <t>60330000FC05</t>
  </si>
  <si>
    <t>60330000FC06</t>
  </si>
  <si>
    <t>60340000FC02</t>
  </si>
  <si>
    <t>60340000FC03</t>
  </si>
  <si>
    <t>60340000FC04</t>
  </si>
  <si>
    <t>60340000FC05</t>
  </si>
  <si>
    <t>60340000FC06</t>
  </si>
  <si>
    <t>60410000FC02</t>
  </si>
  <si>
    <t>60410000FC03</t>
  </si>
  <si>
    <t>60410000FC04</t>
  </si>
  <si>
    <t>60410000FC05</t>
  </si>
  <si>
    <t>60410000FC06</t>
  </si>
  <si>
    <t>60520000SA10</t>
  </si>
  <si>
    <t>60530000SA10</t>
  </si>
  <si>
    <t>60531000FC02</t>
  </si>
  <si>
    <t>60531000FC03</t>
  </si>
  <si>
    <t>60531000FC05</t>
  </si>
  <si>
    <t>60531000FC06</t>
  </si>
  <si>
    <t>60561000FC02</t>
  </si>
  <si>
    <t>60561000FC04</t>
  </si>
  <si>
    <t>60561000FC06</t>
  </si>
  <si>
    <t>60562000FC02</t>
  </si>
  <si>
    <t>60562000FC05</t>
  </si>
  <si>
    <t>60562000FC06</t>
  </si>
  <si>
    <t>60563000FC02</t>
  </si>
  <si>
    <t>60563000FC04</t>
  </si>
  <si>
    <t>60563000FC05</t>
  </si>
  <si>
    <t>60565000FC06</t>
  </si>
  <si>
    <t>60568000FC02</t>
  </si>
  <si>
    <t>60568000FC03</t>
  </si>
  <si>
    <t>60568000FC04</t>
  </si>
  <si>
    <t>60568000FC05</t>
  </si>
  <si>
    <t>60568000FC06</t>
  </si>
  <si>
    <t>60568000SA10</t>
  </si>
  <si>
    <t>60569000FC02</t>
  </si>
  <si>
    <t>60569000FC03</t>
  </si>
  <si>
    <t>60569000FC04</t>
  </si>
  <si>
    <t>60569000FC05</t>
  </si>
  <si>
    <t>60569000FC06</t>
  </si>
  <si>
    <t>60569000SA10</t>
  </si>
  <si>
    <t>60572000FC02</t>
  </si>
  <si>
    <t>60572000FC03</t>
  </si>
  <si>
    <t>60572000FC04</t>
  </si>
  <si>
    <t>60572000FC05</t>
  </si>
  <si>
    <t>60572000FC06</t>
  </si>
  <si>
    <t>61200000FC02</t>
  </si>
  <si>
    <t>61200000FC05</t>
  </si>
  <si>
    <t>61200000SA10</t>
  </si>
  <si>
    <t>61600000FC02</t>
  </si>
  <si>
    <t>61600000FC03</t>
  </si>
  <si>
    <t>61600000FC04</t>
  </si>
  <si>
    <t>61600000FC05</t>
  </si>
  <si>
    <t>61810000FC02</t>
  </si>
  <si>
    <t>61810000FC03</t>
  </si>
  <si>
    <t>61810000FC04</t>
  </si>
  <si>
    <t>61810000FC05</t>
  </si>
  <si>
    <t>61810000FC06</t>
  </si>
  <si>
    <t>61810000SA10</t>
  </si>
  <si>
    <t>61820000FC02</t>
  </si>
  <si>
    <t>61820000FC03</t>
  </si>
  <si>
    <t>61820000FC04</t>
  </si>
  <si>
    <t>61820000FC05</t>
  </si>
  <si>
    <t>61820000FC06</t>
  </si>
  <si>
    <t>61821000FC03</t>
  </si>
  <si>
    <t>61821000FC04</t>
  </si>
  <si>
    <t>61821000FC05</t>
  </si>
  <si>
    <t>61821000FC06</t>
  </si>
  <si>
    <t>61830000FC03</t>
  </si>
  <si>
    <t>61830000FC04</t>
  </si>
  <si>
    <t>61830000FC05</t>
  </si>
  <si>
    <t>61830000SA10</t>
  </si>
  <si>
    <t>62220000SA10</t>
  </si>
  <si>
    <t>62230000SA10</t>
  </si>
  <si>
    <t>62281000SA10</t>
  </si>
  <si>
    <t>62285000SA10</t>
  </si>
  <si>
    <t>62420000FC02</t>
  </si>
  <si>
    <t>62420000FC03</t>
  </si>
  <si>
    <t>62420000FC04</t>
  </si>
  <si>
    <t>62420000FC05</t>
  </si>
  <si>
    <t>62420000FC06</t>
  </si>
  <si>
    <t>62420000SA10</t>
  </si>
  <si>
    <t>62430000FC02</t>
  </si>
  <si>
    <t>62430000FC03</t>
  </si>
  <si>
    <t>62430000FC04</t>
  </si>
  <si>
    <t>62430000FC05</t>
  </si>
  <si>
    <t>62430000FC06</t>
  </si>
  <si>
    <t>62430000SA10</t>
  </si>
  <si>
    <t>62510000FC02</t>
  </si>
  <si>
    <t>62510000FC03</t>
  </si>
  <si>
    <t>62510000FC04</t>
  </si>
  <si>
    <t>62510000FC05</t>
  </si>
  <si>
    <t>62510000FC06</t>
  </si>
  <si>
    <t>62511000FC02</t>
  </si>
  <si>
    <t>62511000FC03</t>
  </si>
  <si>
    <t>62511000FC04</t>
  </si>
  <si>
    <t>62511000FC05</t>
  </si>
  <si>
    <t>62511000FC06</t>
  </si>
  <si>
    <t>62521000FC02</t>
  </si>
  <si>
    <t>62521000FC03</t>
  </si>
  <si>
    <t>62521000FC04</t>
  </si>
  <si>
    <t>62521000FC05</t>
  </si>
  <si>
    <t>62521000FC06</t>
  </si>
  <si>
    <t>62522000FC02</t>
  </si>
  <si>
    <t>62522000FC03</t>
  </si>
  <si>
    <t>62522000FC04</t>
  </si>
  <si>
    <t>62522000FC05</t>
  </si>
  <si>
    <t>62522000FC06</t>
  </si>
  <si>
    <t>62582000FC02</t>
  </si>
  <si>
    <t>62582000FC03</t>
  </si>
  <si>
    <t>62582000FC04</t>
  </si>
  <si>
    <t>62582000FC05</t>
  </si>
  <si>
    <t>62582000FC06</t>
  </si>
  <si>
    <t>62760000SA10</t>
  </si>
  <si>
    <t>62880000SA10</t>
  </si>
  <si>
    <t>62883000FC02</t>
  </si>
  <si>
    <t>62883000FC03</t>
  </si>
  <si>
    <t>62883000FC04</t>
  </si>
  <si>
    <t>62883000FC05</t>
  </si>
  <si>
    <t>62883000FC06</t>
  </si>
  <si>
    <t>63180000SA10</t>
  </si>
  <si>
    <t>63210000FC02</t>
  </si>
  <si>
    <t>63210000FC04</t>
  </si>
  <si>
    <t>63210000FC06</t>
  </si>
  <si>
    <t>63240000SA10</t>
  </si>
  <si>
    <t>63241000FC02</t>
  </si>
  <si>
    <t>63241000FC03</t>
  </si>
  <si>
    <t>63241000FC04</t>
  </si>
  <si>
    <t>63241000FC05</t>
  </si>
  <si>
    <t>63243000FC06</t>
  </si>
  <si>
    <t>63281000FC02</t>
  </si>
  <si>
    <t>63281000FC03</t>
  </si>
  <si>
    <t>63281000FC04</t>
  </si>
  <si>
    <t>63281000FC05</t>
  </si>
  <si>
    <t>63281000FC06</t>
  </si>
  <si>
    <t>63282000FC02</t>
  </si>
  <si>
    <t>63282000FC03</t>
  </si>
  <si>
    <t>63282000FC04</t>
  </si>
  <si>
    <t>63282000FC05</t>
  </si>
  <si>
    <t>63282000FC06</t>
  </si>
  <si>
    <t>63284000FC02</t>
  </si>
  <si>
    <t>63284000FC03</t>
  </si>
  <si>
    <t>63284000FC04</t>
  </si>
  <si>
    <t>63284000FC06</t>
  </si>
  <si>
    <t>63284000SA10</t>
  </si>
  <si>
    <t>63312000SA10</t>
  </si>
  <si>
    <t>63421000FC02</t>
  </si>
  <si>
    <t>63421000FC03</t>
  </si>
  <si>
    <t>63421000FC04</t>
  </si>
  <si>
    <t>63421000FC05</t>
  </si>
  <si>
    <t>63421000FC06</t>
  </si>
  <si>
    <t>63423100FC02</t>
  </si>
  <si>
    <t>63423100FC03</t>
  </si>
  <si>
    <t>63423100FC04</t>
  </si>
  <si>
    <t>63423100FC05</t>
  </si>
  <si>
    <t>63423100FC06</t>
  </si>
  <si>
    <t>63423300FC02</t>
  </si>
  <si>
    <t>63423300FC03</t>
  </si>
  <si>
    <t>63423300FC04</t>
  </si>
  <si>
    <t>63423300FC05</t>
  </si>
  <si>
    <t>63423400FC02</t>
  </si>
  <si>
    <t>63423400FC03</t>
  </si>
  <si>
    <t>63423400FC04</t>
  </si>
  <si>
    <t>63423400FC05</t>
  </si>
  <si>
    <t>63423400FC06</t>
  </si>
  <si>
    <t>63423500FC02</t>
  </si>
  <si>
    <t>63423500FC03</t>
  </si>
  <si>
    <t>63423500FC04</t>
  </si>
  <si>
    <t>63423500FC05</t>
  </si>
  <si>
    <t>63423500FC06</t>
  </si>
  <si>
    <t>63423910FC02</t>
  </si>
  <si>
    <t>63423910FC03</t>
  </si>
  <si>
    <t>63423910FC04</t>
  </si>
  <si>
    <t>63423950FC02</t>
  </si>
  <si>
    <t>63423950FC03</t>
  </si>
  <si>
    <t>63423950FC04</t>
  </si>
  <si>
    <t>63423950FC05</t>
  </si>
  <si>
    <t>63711000FC02</t>
  </si>
  <si>
    <t>63711000FC03</t>
  </si>
  <si>
    <t>63711000FC04</t>
  </si>
  <si>
    <t>63711000FC05</t>
  </si>
  <si>
    <t>63711000FC06</t>
  </si>
  <si>
    <t>63712000FC02</t>
  </si>
  <si>
    <t>63712000FC03</t>
  </si>
  <si>
    <t>63712000FC04</t>
  </si>
  <si>
    <t>63712000FC05</t>
  </si>
  <si>
    <t>63712001FC02</t>
  </si>
  <si>
    <t>63712001FC03</t>
  </si>
  <si>
    <t>63712001FC04</t>
  </si>
  <si>
    <t>63712001FC05</t>
  </si>
  <si>
    <t>63712001FC06</t>
  </si>
  <si>
    <t>63720000SA10</t>
  </si>
  <si>
    <t>63830000FC04</t>
  </si>
  <si>
    <t>63830000FC05</t>
  </si>
  <si>
    <t>63830000SA10</t>
  </si>
  <si>
    <t>63830060FC03</t>
  </si>
  <si>
    <t>63830060FC04</t>
  </si>
  <si>
    <t>63830060FC05</t>
  </si>
  <si>
    <t>63830060FC06</t>
  </si>
  <si>
    <t>63830060SA10</t>
  </si>
  <si>
    <t>63831000FC04</t>
  </si>
  <si>
    <t>63831000FC06</t>
  </si>
  <si>
    <t>63831000SA10</t>
  </si>
  <si>
    <t>63832000FC02</t>
  </si>
  <si>
    <t>63832000FC03</t>
  </si>
  <si>
    <t>63832000FC04</t>
  </si>
  <si>
    <t>63832000FC05</t>
  </si>
  <si>
    <t>63832000FC06</t>
  </si>
  <si>
    <t>64110000FC02</t>
  </si>
  <si>
    <t>64110000FC03</t>
  </si>
  <si>
    <t>64110000FC04</t>
  </si>
  <si>
    <t>64110000FC05</t>
  </si>
  <si>
    <t>64110000FC06</t>
  </si>
  <si>
    <t>64110000SA10</t>
  </si>
  <si>
    <t>64112000FC02</t>
  </si>
  <si>
    <t>64112000FC03</t>
  </si>
  <si>
    <t>64112000FC04</t>
  </si>
  <si>
    <t>64112000FC05</t>
  </si>
  <si>
    <t>64112000FC06</t>
  </si>
  <si>
    <t>64112000SA10</t>
  </si>
  <si>
    <t>65000000FC02</t>
  </si>
  <si>
    <t>65000000FC03</t>
  </si>
  <si>
    <t>65000000FC04</t>
  </si>
  <si>
    <t>65000000SA10</t>
  </si>
  <si>
    <t>66110000FC02</t>
  </si>
  <si>
    <t>66110000FC03</t>
  </si>
  <si>
    <t>66110000FC04</t>
  </si>
  <si>
    <t>66110000FC05</t>
  </si>
  <si>
    <t>66110000FC06</t>
  </si>
  <si>
    <t>66110000SA10</t>
  </si>
  <si>
    <t>66121000FC02</t>
  </si>
  <si>
    <t>66121000FC03</t>
  </si>
  <si>
    <t>66121000FC04</t>
  </si>
  <si>
    <t>66121000FC05</t>
  </si>
  <si>
    <t>66121000FC06</t>
  </si>
  <si>
    <t>66121000SA10</t>
  </si>
  <si>
    <t>66380000FC02</t>
  </si>
  <si>
    <t>66380000FC03</t>
  </si>
  <si>
    <t>66380000FC04</t>
  </si>
  <si>
    <t>66380000FC05</t>
  </si>
  <si>
    <t>66380000FC06</t>
  </si>
  <si>
    <t>66380000SA10</t>
  </si>
  <si>
    <t>66410000FC02</t>
  </si>
  <si>
    <t>66410000FC03</t>
  </si>
  <si>
    <t>66410000FC04</t>
  </si>
  <si>
    <t>66410000FC05</t>
  </si>
  <si>
    <t>66410000FC06</t>
  </si>
  <si>
    <t>66410000SA10</t>
  </si>
  <si>
    <t>66411000FC02</t>
  </si>
  <si>
    <t>66411000FC03</t>
  </si>
  <si>
    <t>66411000FC04</t>
  </si>
  <si>
    <t>66411000FC05</t>
  </si>
  <si>
    <t>66411000FC06</t>
  </si>
  <si>
    <t>66411000SA10</t>
  </si>
  <si>
    <t>66420000FC02</t>
  </si>
  <si>
    <t>66420000FC03</t>
  </si>
  <si>
    <t>66420000FC04</t>
  </si>
  <si>
    <t>66420000FC05</t>
  </si>
  <si>
    <t>66420000FC06</t>
  </si>
  <si>
    <t>66420000SA10</t>
  </si>
  <si>
    <t>66421000FC06</t>
  </si>
  <si>
    <t>66421000SA10</t>
  </si>
  <si>
    <t>66424000FC06</t>
  </si>
  <si>
    <t>66430000FC02</t>
  </si>
  <si>
    <t>66430000FC03</t>
  </si>
  <si>
    <t>66430000FC04</t>
  </si>
  <si>
    <t>66430000FC05</t>
  </si>
  <si>
    <t>66430000FC06</t>
  </si>
  <si>
    <t>66810000FC03</t>
  </si>
  <si>
    <t>66810000FC05</t>
  </si>
  <si>
    <t>66831000SA10</t>
  </si>
  <si>
    <t>66840001FC02</t>
  </si>
  <si>
    <t>66840001FC03</t>
  </si>
  <si>
    <t>66840001FC04</t>
  </si>
  <si>
    <t>66840001FC05</t>
  </si>
  <si>
    <t>66840001FC06</t>
  </si>
  <si>
    <t>66840001SA10</t>
  </si>
  <si>
    <t>67443000FC04</t>
  </si>
  <si>
    <t>67445000FC05</t>
  </si>
  <si>
    <t>68130000FC02</t>
  </si>
  <si>
    <t>68130000FC03</t>
  </si>
  <si>
    <t>68130000FC04</t>
  </si>
  <si>
    <t>68130000FC05</t>
  </si>
  <si>
    <t>68130000FC06</t>
  </si>
  <si>
    <t>68130000SA10</t>
  </si>
  <si>
    <t>LUBRIFIANT OIL VESSELS</t>
  </si>
  <si>
    <t>AMORT XIX CORPS REPAIRING</t>
  </si>
  <si>
    <t>MATERIELS ET OUTILLAGES EN COURS</t>
  </si>
  <si>
    <t>AMORTISSEMENT XIX DD 2023</t>
  </si>
  <si>
    <t>AMORTISSEMENT CAA DD 2023</t>
  </si>
  <si>
    <t>ETAT IMPOT SUR LES SOCIETES</t>
  </si>
  <si>
    <t>ETAT, CREDIT DE TVA A REPORTER</t>
  </si>
  <si>
    <t xml:space="preserve"> DEBITEURS DIVERS</t>
  </si>
  <si>
    <t>DEBITEURS DIVERS SCASA</t>
  </si>
  <si>
    <t>CONSOMMABLES ELECTRONIC SUPPLY</t>
  </si>
  <si>
    <t>PERTES DE CHANGES</t>
  </si>
  <si>
    <t>Feb. 28th</t>
  </si>
  <si>
    <t>Current Month</t>
  </si>
  <si>
    <t>Long Term Debt</t>
  </si>
  <si>
    <t>Inventory (buoys)</t>
  </si>
  <si>
    <t>Investement (Building)</t>
  </si>
  <si>
    <t>Investment (Others Non Current)</t>
  </si>
  <si>
    <t>Sales and Administrative</t>
  </si>
  <si>
    <t>Balance</t>
  </si>
  <si>
    <t>Amortization</t>
  </si>
  <si>
    <t>Days</t>
  </si>
  <si>
    <t>Date</t>
  </si>
  <si>
    <t>PRESTATIONS DIVERSES</t>
  </si>
  <si>
    <t>GAIPES COTISATIONS</t>
  </si>
  <si>
    <t>RETENUE BNC 20%</t>
  </si>
  <si>
    <t>OTHERS PENALITES</t>
  </si>
  <si>
    <t>XIX FISHING BONUS</t>
  </si>
  <si>
    <t>TRAVEL EXPENSE</t>
  </si>
  <si>
    <t>ORK FISHING BONUS</t>
  </si>
  <si>
    <t>CAA FISHING BONUS</t>
  </si>
  <si>
    <t>CAR INSURANCE</t>
  </si>
  <si>
    <t>FINISHED PRODUCTS SJ XIXILI</t>
  </si>
  <si>
    <t>FINISHED PRODUCTS BE XIXILI</t>
  </si>
  <si>
    <t>FINISHED PRODUCTS RAVILXIXILI</t>
  </si>
  <si>
    <t>FINISHED PRODUCTS OTHERS XIXILI</t>
  </si>
  <si>
    <t>March. 31st</t>
  </si>
  <si>
    <t>Consulting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</si>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</sst>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€_-;\-* #,##0\ _€_-;_-* &quot;-&quot;\ _€_-;_-@_-"/>
    <numFmt numFmtId="164" formatCode="_(* #,##0_);_(* \(#,##0\);_(* &quot;-&quot;_);_(@_)"/>
    <numFmt numFmtId="165" formatCode="#,##0_ ;[Red]\-#,##0\ "/>
    <numFmt numFmtId="166" formatCode="0.0%"/>
    <numFmt numFmtId="167" formatCode="#,##0_ ;\-#,##0\ "/>
    <numFmt numFmtId="168" formatCode="#,##0.00_ ;[Red]\-#,##0.0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2">
    <xf numFmtId="0" fontId="0" fillId="0" borderId="0"/>
    <xf numFmtId="0" fontId="11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" fillId="0" borderId="0"/>
    <xf numFmtId="0" fontId="13" fillId="0" borderId="0"/>
    <xf numFmtId="41" fontId="11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 applyNumberFormat="0" applyFill="0" applyBorder="0" applyAlignment="0" applyProtection="0"/>
    <xf numFmtId="0" fontId="4" fillId="0" borderId="0"/>
    <xf numFmtId="0" fontId="13" fillId="0" borderId="0"/>
    <xf numFmtId="41" fontId="11" fillId="0" borderId="0" applyFont="0" applyFill="0" applyBorder="0" applyAlignment="0" applyProtection="0">
      <alignment vertical="center"/>
    </xf>
    <xf numFmtId="0" fontId="4" fillId="0" borderId="0"/>
    <xf numFmtId="41" fontId="11" fillId="0" borderId="0" applyFont="0" applyFill="0" applyBorder="0" applyAlignment="0" applyProtection="0">
      <alignment vertical="center"/>
    </xf>
    <xf numFmtId="0" fontId="3" fillId="0" borderId="0"/>
    <xf numFmtId="0" fontId="1" fillId="0" borderId="0"/>
  </cellStyleXfs>
  <cellXfs count="39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1" xfId="0" applyNumberFormat="1" applyBorder="1"/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Continuous"/>
    </xf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4" xfId="0" applyNumberFormat="1" applyFill="1" applyBorder="1"/>
    <xf numFmtId="0" fontId="0" fillId="0" borderId="5" xfId="0" applyBorder="1"/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 indent="2"/>
    </xf>
    <xf numFmtId="0" fontId="0" fillId="0" borderId="2" xfId="0" applyBorder="1" applyAlignment="1">
      <alignment horizontal="left" indent="5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0" xfId="0" applyBorder="1" applyAlignment="1">
      <alignment horizontal="left" indent="5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2" xfId="0" applyFill="1" applyBorder="1"/>
    <xf numFmtId="165" fontId="0" fillId="0" borderId="22" xfId="0" applyNumberFormat="1" applyFill="1" applyBorder="1"/>
    <xf numFmtId="0" fontId="10" fillId="2" borderId="13" xfId="0" applyFont="1" applyFill="1" applyBorder="1"/>
    <xf numFmtId="0" fontId="10" fillId="2" borderId="20" xfId="0" applyFont="1" applyFill="1" applyBorder="1"/>
    <xf numFmtId="38" fontId="0" fillId="0" borderId="17" xfId="0" applyNumberFormat="1" applyBorder="1"/>
    <xf numFmtId="38" fontId="0" fillId="0" borderId="17" xfId="0" applyNumberFormat="1" applyFill="1" applyBorder="1"/>
    <xf numFmtId="38" fontId="0" fillId="0" borderId="0" xfId="0" applyNumberFormat="1" applyFill="1" applyBorder="1"/>
    <xf numFmtId="38" fontId="0" fillId="0" borderId="1" xfId="0" applyNumberFormat="1" applyFill="1" applyBorder="1"/>
    <xf numFmtId="38" fontId="0" fillId="0" borderId="1" xfId="0" applyNumberFormat="1" applyBorder="1"/>
    <xf numFmtId="38" fontId="0" fillId="0" borderId="0" xfId="0" applyNumberFormat="1" applyBorder="1"/>
    <xf numFmtId="38" fontId="0" fillId="0" borderId="15" xfId="0" applyNumberFormat="1" applyFill="1" applyBorder="1"/>
    <xf numFmtId="38" fontId="10" fillId="0" borderId="14" xfId="0" applyNumberFormat="1" applyFont="1" applyFill="1" applyBorder="1"/>
    <xf numFmtId="0" fontId="0" fillId="0" borderId="0" xfId="0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38" fontId="10" fillId="2" borderId="13" xfId="0" applyNumberFormat="1" applyFont="1" applyFill="1" applyBorder="1"/>
    <xf numFmtId="38" fontId="10" fillId="0" borderId="0" xfId="0" applyNumberFormat="1" applyFont="1" applyFill="1" applyBorder="1"/>
    <xf numFmtId="0" fontId="10" fillId="2" borderId="13" xfId="0" applyFont="1" applyFill="1" applyBorder="1" applyAlignment="1">
      <alignment horizontal="left" indent="2"/>
    </xf>
    <xf numFmtId="0" fontId="0" fillId="0" borderId="15" xfId="0" applyBorder="1" applyAlignment="1">
      <alignment horizontal="left" indent="3"/>
    </xf>
    <xf numFmtId="165" fontId="0" fillId="0" borderId="17" xfId="0" applyNumberFormat="1" applyFill="1" applyBorder="1"/>
    <xf numFmtId="0" fontId="0" fillId="0" borderId="17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 indent="1"/>
    </xf>
    <xf numFmtId="0" fontId="12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4"/>
    </xf>
    <xf numFmtId="0" fontId="0" fillId="0" borderId="20" xfId="0" applyFill="1" applyBorder="1"/>
    <xf numFmtId="0" fontId="10" fillId="0" borderId="0" xfId="0" applyFont="1" applyFill="1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7" xfId="0" applyBorder="1"/>
    <xf numFmtId="0" fontId="0" fillId="0" borderId="28" xfId="0" applyFill="1" applyBorder="1"/>
    <xf numFmtId="166" fontId="0" fillId="0" borderId="0" xfId="0" applyNumberFormat="1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left" indent="2"/>
    </xf>
    <xf numFmtId="0" fontId="0" fillId="0" borderId="30" xfId="0" applyBorder="1" applyAlignment="1">
      <alignment horizontal="center"/>
    </xf>
    <xf numFmtId="0" fontId="0" fillId="0" borderId="30" xfId="0" applyBorder="1"/>
    <xf numFmtId="166" fontId="0" fillId="0" borderId="30" xfId="0" applyNumberFormat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0" fillId="0" borderId="25" xfId="0" applyBorder="1" applyAlignment="1">
      <alignment horizontal="left" indent="2"/>
    </xf>
    <xf numFmtId="166" fontId="0" fillId="0" borderId="25" xfId="0" applyNumberFormat="1" applyBorder="1" applyAlignment="1">
      <alignment horizont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0" fillId="0" borderId="9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2" xfId="0" applyFont="1" applyFill="1" applyBorder="1" applyAlignment="1">
      <alignment horizontal="centerContinuous"/>
    </xf>
    <xf numFmtId="0" fontId="10" fillId="0" borderId="10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 wrapText="1"/>
    </xf>
    <xf numFmtId="0" fontId="10" fillId="0" borderId="1" xfId="0" applyFont="1" applyBorder="1" applyAlignment="1">
      <alignment horizontal="centerContinuous" wrapText="1"/>
    </xf>
    <xf numFmtId="0" fontId="10" fillId="0" borderId="1" xfId="0" applyFont="1" applyFill="1" applyBorder="1" applyAlignment="1">
      <alignment horizontal="centerContinuous" wrapText="1"/>
    </xf>
    <xf numFmtId="0" fontId="0" fillId="0" borderId="7" xfId="0" applyFill="1" applyBorder="1"/>
    <xf numFmtId="0" fontId="0" fillId="0" borderId="25" xfId="0" applyFont="1" applyBorder="1"/>
    <xf numFmtId="0" fontId="0" fillId="0" borderId="0" xfId="0" applyFont="1" applyBorder="1"/>
    <xf numFmtId="0" fontId="0" fillId="0" borderId="30" xfId="0" applyFont="1" applyBorder="1"/>
    <xf numFmtId="0" fontId="10" fillId="0" borderId="1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17" xfId="0" applyNumberFormat="1" applyBorder="1"/>
    <xf numFmtId="0" fontId="0" fillId="0" borderId="21" xfId="0" applyBorder="1"/>
    <xf numFmtId="0" fontId="10" fillId="0" borderId="0" xfId="0" applyFont="1" applyBorder="1" applyAlignment="1">
      <alignment horizontal="centerContinuous"/>
    </xf>
    <xf numFmtId="0" fontId="0" fillId="0" borderId="22" xfId="0" applyBorder="1"/>
    <xf numFmtId="0" fontId="0" fillId="0" borderId="0" xfId="0" applyBorder="1" applyAlignment="1">
      <alignment horizontal="centerContinuous"/>
    </xf>
    <xf numFmtId="0" fontId="0" fillId="0" borderId="18" xfId="0" applyFill="1" applyBorder="1"/>
    <xf numFmtId="0" fontId="1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indent="1"/>
    </xf>
    <xf numFmtId="165" fontId="0" fillId="0" borderId="20" xfId="0" applyNumberFormat="1" applyBorder="1"/>
    <xf numFmtId="165" fontId="0" fillId="0" borderId="20" xfId="0" applyNumberFormat="1" applyFill="1" applyBorder="1"/>
    <xf numFmtId="0" fontId="0" fillId="0" borderId="23" xfId="0" applyBorder="1"/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5" fontId="0" fillId="0" borderId="2" xfId="0" applyNumberFormat="1" applyBorder="1"/>
    <xf numFmtId="165" fontId="0" fillId="0" borderId="22" xfId="0" applyNumberFormat="1" applyBorder="1"/>
    <xf numFmtId="0" fontId="10" fillId="0" borderId="0" xfId="0" applyFont="1" applyFill="1" applyBorder="1" applyAlignment="1">
      <alignment horizontal="center"/>
    </xf>
    <xf numFmtId="165" fontId="0" fillId="0" borderId="23" xfId="0" applyNumberFormat="1" applyBorder="1"/>
    <xf numFmtId="0" fontId="10" fillId="0" borderId="2" xfId="0" applyFont="1" applyBorder="1"/>
    <xf numFmtId="0" fontId="0" fillId="0" borderId="2" xfId="0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left" indent="2"/>
    </xf>
    <xf numFmtId="0" fontId="10" fillId="0" borderId="0" xfId="0" applyFont="1" applyFill="1" applyBorder="1" applyAlignment="1">
      <alignment horizontal="left" indent="2"/>
    </xf>
    <xf numFmtId="165" fontId="0" fillId="0" borderId="15" xfId="0" applyNumberFormat="1" applyBorder="1"/>
    <xf numFmtId="0" fontId="10" fillId="0" borderId="11" xfId="0" applyFont="1" applyBorder="1"/>
    <xf numFmtId="165" fontId="10" fillId="0" borderId="0" xfId="0" applyNumberFormat="1" applyFont="1" applyBorder="1"/>
    <xf numFmtId="165" fontId="10" fillId="0" borderId="13" xfId="0" applyNumberFormat="1" applyFont="1" applyBorder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10" fillId="0" borderId="8" xfId="0" applyFont="1" applyBorder="1" applyAlignment="1">
      <alignment horizontal="center"/>
    </xf>
    <xf numFmtId="0" fontId="0" fillId="0" borderId="4" xfId="0" applyBorder="1"/>
    <xf numFmtId="165" fontId="0" fillId="0" borderId="4" xfId="0" applyNumberFormat="1" applyBorder="1"/>
    <xf numFmtId="165" fontId="0" fillId="0" borderId="1" xfId="0" applyNumberFormat="1" applyFill="1" applyBorder="1"/>
    <xf numFmtId="165" fontId="0" fillId="0" borderId="13" xfId="0" applyNumberFormat="1" applyFill="1" applyBorder="1"/>
    <xf numFmtId="0" fontId="0" fillId="0" borderId="6" xfId="0" applyFill="1" applyBorder="1"/>
    <xf numFmtId="0" fontId="0" fillId="0" borderId="16" xfId="0" applyFill="1" applyBorder="1"/>
    <xf numFmtId="165" fontId="0" fillId="0" borderId="17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9" fontId="0" fillId="0" borderId="22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9" xfId="0" applyFill="1" applyBorder="1"/>
    <xf numFmtId="9" fontId="0" fillId="0" borderId="23" xfId="0" applyNumberFormat="1" applyFill="1" applyBorder="1" applyAlignment="1">
      <alignment horizontal="center"/>
    </xf>
    <xf numFmtId="165" fontId="0" fillId="0" borderId="15" xfId="0" applyNumberFormat="1" applyFill="1" applyBorder="1"/>
    <xf numFmtId="165" fontId="0" fillId="0" borderId="2" xfId="0" applyNumberFormat="1" applyFill="1" applyBorder="1"/>
    <xf numFmtId="165" fontId="0" fillId="2" borderId="0" xfId="0" applyNumberFormat="1" applyFill="1" applyBorder="1" applyAlignment="1"/>
    <xf numFmtId="0" fontId="10" fillId="2" borderId="8" xfId="0" applyFont="1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32" xfId="0" applyBorder="1"/>
    <xf numFmtId="0" fontId="0" fillId="0" borderId="33" xfId="0" applyFill="1" applyBorder="1"/>
    <xf numFmtId="0" fontId="0" fillId="0" borderId="5" xfId="0" applyFill="1" applyBorder="1"/>
    <xf numFmtId="167" fontId="0" fillId="0" borderId="5" xfId="0" applyNumberFormat="1" applyFill="1" applyBorder="1"/>
    <xf numFmtId="165" fontId="0" fillId="0" borderId="5" xfId="0" applyNumberFormat="1" applyFill="1" applyBorder="1"/>
    <xf numFmtId="0" fontId="10" fillId="2" borderId="1" xfId="0" applyFont="1" applyFill="1" applyBorder="1"/>
    <xf numFmtId="38" fontId="10" fillId="0" borderId="34" xfId="0" applyNumberFormat="1" applyFont="1" applyFill="1" applyBorder="1"/>
    <xf numFmtId="38" fontId="10" fillId="0" borderId="1" xfId="0" applyNumberFormat="1" applyFont="1" applyFill="1" applyBorder="1"/>
    <xf numFmtId="38" fontId="10" fillId="0" borderId="34" xfId="0" applyNumberFormat="1" applyFont="1" applyBorder="1"/>
    <xf numFmtId="165" fontId="0" fillId="0" borderId="7" xfId="0" applyNumberFormat="1" applyFill="1" applyBorder="1"/>
    <xf numFmtId="0" fontId="0" fillId="0" borderId="1" xfId="0" applyFill="1" applyBorder="1"/>
    <xf numFmtId="9" fontId="0" fillId="0" borderId="20" xfId="0" applyNumberFormat="1" applyBorder="1"/>
    <xf numFmtId="0" fontId="10" fillId="0" borderId="13" xfId="0" applyFont="1" applyBorder="1"/>
    <xf numFmtId="0" fontId="0" fillId="0" borderId="0" xfId="0" applyFill="1" applyBorder="1" applyAlignment="1">
      <alignment horizontal="left" indent="2"/>
    </xf>
    <xf numFmtId="0" fontId="0" fillId="0" borderId="21" xfId="0" applyFill="1" applyBorder="1"/>
    <xf numFmtId="0" fontId="0" fillId="0" borderId="23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 indent="2"/>
    </xf>
    <xf numFmtId="165" fontId="0" fillId="0" borderId="23" xfId="0" applyNumberFormat="1" applyFill="1" applyBorder="1"/>
    <xf numFmtId="168" fontId="0" fillId="0" borderId="0" xfId="0" applyNumberFormat="1"/>
    <xf numFmtId="165" fontId="0" fillId="0" borderId="0" xfId="0" applyNumberFormat="1" applyAlignment="1">
      <alignment horizontal="centerContinuous"/>
    </xf>
    <xf numFmtId="0" fontId="0" fillId="0" borderId="15" xfId="0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0" fillId="0" borderId="15" xfId="0" applyFill="1" applyBorder="1" applyAlignment="1">
      <alignment horizontal="centerContinuous"/>
    </xf>
    <xf numFmtId="0" fontId="10" fillId="0" borderId="11" xfId="0" applyFont="1" applyFill="1" applyBorder="1" applyAlignment="1">
      <alignment horizontal="centerContinuous"/>
    </xf>
    <xf numFmtId="0" fontId="0" fillId="0" borderId="12" xfId="0" applyBorder="1" applyAlignment="1">
      <alignment horizontal="centerContinuous"/>
    </xf>
    <xf numFmtId="165" fontId="0" fillId="0" borderId="12" xfId="0" applyNumberFormat="1" applyFill="1" applyBorder="1" applyAlignment="1"/>
    <xf numFmtId="165" fontId="0" fillId="0" borderId="12" xfId="0" applyNumberFormat="1" applyBorder="1" applyAlignment="1"/>
    <xf numFmtId="165" fontId="12" fillId="0" borderId="0" xfId="0" applyNumberFormat="1" applyFont="1" applyBorder="1"/>
    <xf numFmtId="0" fontId="10" fillId="0" borderId="22" xfId="0" applyFont="1" applyBorder="1"/>
    <xf numFmtId="0" fontId="10" fillId="0" borderId="18" xfId="0" applyFont="1" applyBorder="1"/>
    <xf numFmtId="0" fontId="10" fillId="4" borderId="0" xfId="0" applyFont="1" applyFill="1" applyBorder="1"/>
    <xf numFmtId="0" fontId="10" fillId="4" borderId="11" xfId="0" applyFont="1" applyFill="1" applyBorder="1"/>
    <xf numFmtId="0" fontId="10" fillId="4" borderId="2" xfId="0" applyFont="1" applyFill="1" applyBorder="1"/>
    <xf numFmtId="0" fontId="10" fillId="4" borderId="3" xfId="0" applyFont="1" applyFill="1" applyBorder="1" applyAlignment="1">
      <alignment horizontal="left" indent="2"/>
    </xf>
    <xf numFmtId="0" fontId="10" fillId="4" borderId="6" xfId="0" applyFont="1" applyFill="1" applyBorder="1" applyAlignment="1">
      <alignment horizontal="left" indent="2"/>
    </xf>
    <xf numFmtId="0" fontId="10" fillId="4" borderId="1" xfId="0" applyFont="1" applyFill="1" applyBorder="1"/>
    <xf numFmtId="3" fontId="0" fillId="0" borderId="0" xfId="0" applyNumberFormat="1" applyFill="1"/>
    <xf numFmtId="165" fontId="0" fillId="0" borderId="18" xfId="0" applyNumberFormat="1" applyFont="1" applyBorder="1"/>
    <xf numFmtId="0" fontId="0" fillId="0" borderId="18" xfId="0" applyFont="1" applyBorder="1"/>
    <xf numFmtId="165" fontId="10" fillId="4" borderId="0" xfId="0" applyNumberFormat="1" applyFont="1" applyFill="1" applyBorder="1"/>
    <xf numFmtId="165" fontId="10" fillId="4" borderId="5" xfId="0" applyNumberFormat="1" applyFont="1" applyFill="1" applyBorder="1"/>
    <xf numFmtId="165" fontId="10" fillId="4" borderId="1" xfId="0" applyNumberFormat="1" applyFont="1" applyFill="1" applyBorder="1"/>
    <xf numFmtId="165" fontId="10" fillId="4" borderId="7" xfId="0" applyNumberFormat="1" applyFont="1" applyFill="1" applyBorder="1"/>
    <xf numFmtId="165" fontId="10" fillId="0" borderId="0" xfId="0" applyNumberFormat="1" applyFont="1" applyFill="1" applyBorder="1"/>
    <xf numFmtId="165" fontId="10" fillId="4" borderId="3" xfId="0" applyNumberFormat="1" applyFont="1" applyFill="1" applyBorder="1"/>
    <xf numFmtId="165" fontId="10" fillId="4" borderId="6" xfId="0" applyNumberFormat="1" applyFont="1" applyFill="1" applyBorder="1"/>
    <xf numFmtId="165" fontId="10" fillId="4" borderId="2" xfId="0" applyNumberFormat="1" applyFont="1" applyFill="1" applyBorder="1" applyAlignment="1">
      <alignment horizontal="centerContinuous"/>
    </xf>
    <xf numFmtId="165" fontId="10" fillId="4" borderId="10" xfId="0" applyNumberFormat="1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165" fontId="0" fillId="0" borderId="13" xfId="0" applyNumberFormat="1" applyBorder="1"/>
    <xf numFmtId="165" fontId="0" fillId="0" borderId="12" xfId="0" applyNumberFormat="1" applyBorder="1" applyAlignment="1">
      <alignment horizontal="centerContinuous"/>
    </xf>
    <xf numFmtId="41" fontId="0" fillId="0" borderId="0" xfId="0" applyNumberFormat="1" applyBorder="1"/>
    <xf numFmtId="0" fontId="0" fillId="0" borderId="18" xfId="0" applyBorder="1" applyAlignment="1">
      <alignment horizontal="centerContinuous"/>
    </xf>
    <xf numFmtId="9" fontId="10" fillId="0" borderId="0" xfId="0" applyNumberFormat="1" applyFont="1" applyBorder="1"/>
    <xf numFmtId="0" fontId="0" fillId="0" borderId="1" xfId="0" applyFill="1" applyBorder="1" applyAlignment="1">
      <alignment horizontal="left"/>
    </xf>
    <xf numFmtId="0" fontId="10" fillId="0" borderId="2" xfId="0" applyFont="1" applyFill="1" applyBorder="1"/>
    <xf numFmtId="0" fontId="10" fillId="0" borderId="2" xfId="0" applyFont="1" applyFill="1" applyBorder="1" applyAlignment="1">
      <alignment horizontal="left"/>
    </xf>
    <xf numFmtId="166" fontId="0" fillId="0" borderId="0" xfId="0" applyNumberFormat="1" applyBorder="1"/>
    <xf numFmtId="166" fontId="0" fillId="0" borderId="13" xfId="0" applyNumberFormat="1" applyBorder="1"/>
    <xf numFmtId="166" fontId="0" fillId="0" borderId="2" xfId="0" applyNumberFormat="1" applyBorder="1"/>
    <xf numFmtId="166" fontId="0" fillId="0" borderId="1" xfId="0" applyNumberFormat="1" applyBorder="1"/>
    <xf numFmtId="0" fontId="10" fillId="0" borderId="36" xfId="0" applyFont="1" applyBorder="1" applyAlignment="1">
      <alignment horizontal="centerContinuous"/>
    </xf>
    <xf numFmtId="0" fontId="10" fillId="0" borderId="35" xfId="0" applyFont="1" applyBorder="1" applyAlignment="1">
      <alignment horizontal="centerContinuous"/>
    </xf>
    <xf numFmtId="0" fontId="10" fillId="0" borderId="37" xfId="0" applyFont="1" applyBorder="1" applyAlignment="1">
      <alignment horizontal="centerContinuous"/>
    </xf>
    <xf numFmtId="0" fontId="10" fillId="0" borderId="16" xfId="0" applyFont="1" applyBorder="1" applyAlignment="1">
      <alignment horizontal="centerContinuous"/>
    </xf>
    <xf numFmtId="0" fontId="10" fillId="0" borderId="17" xfId="0" applyFont="1" applyBorder="1" applyAlignment="1">
      <alignment horizontal="centerContinuous"/>
    </xf>
    <xf numFmtId="0" fontId="10" fillId="0" borderId="21" xfId="0" applyFont="1" applyBorder="1" applyAlignment="1">
      <alignment horizontal="centerContinuous"/>
    </xf>
    <xf numFmtId="0" fontId="10" fillId="0" borderId="19" xfId="0" applyFont="1" applyBorder="1" applyAlignment="1">
      <alignment horizontal="centerContinuous"/>
    </xf>
    <xf numFmtId="0" fontId="10" fillId="0" borderId="20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0" fillId="0" borderId="1" xfId="0" applyFill="1" applyBorder="1" applyAlignment="1">
      <alignment horizontal="center"/>
    </xf>
    <xf numFmtId="0" fontId="0" fillId="4" borderId="0" xfId="0" applyFill="1" applyBorder="1"/>
    <xf numFmtId="165" fontId="0" fillId="4" borderId="11" xfId="0" applyNumberFormat="1" applyFill="1" applyBorder="1" applyAlignment="1">
      <alignment horizontal="centerContinuous"/>
    </xf>
    <xf numFmtId="0" fontId="0" fillId="4" borderId="15" xfId="0" applyFill="1" applyBorder="1" applyAlignment="1">
      <alignment horizontal="centerContinuous"/>
    </xf>
    <xf numFmtId="0" fontId="0" fillId="4" borderId="12" xfId="0" applyFill="1" applyBorder="1" applyAlignment="1">
      <alignment horizontal="centerContinuous"/>
    </xf>
    <xf numFmtId="0" fontId="6" fillId="0" borderId="0" xfId="5" applyFill="1" applyAlignment="1">
      <alignment horizontal="center"/>
    </xf>
    <xf numFmtId="167" fontId="0" fillId="0" borderId="0" xfId="0" applyNumberFormat="1"/>
    <xf numFmtId="41" fontId="0" fillId="0" borderId="0" xfId="0" applyNumberFormat="1"/>
    <xf numFmtId="0" fontId="6" fillId="0" borderId="0" xfId="5"/>
    <xf numFmtId="165" fontId="6" fillId="0" borderId="0" xfId="5" applyNumberFormat="1"/>
    <xf numFmtId="0" fontId="13" fillId="0" borderId="0" xfId="6" applyFill="1"/>
    <xf numFmtId="0" fontId="6" fillId="0" borderId="0" xfId="5" applyFill="1"/>
    <xf numFmtId="165" fontId="6" fillId="0" borderId="0" xfId="5" applyNumberFormat="1" applyFill="1"/>
    <xf numFmtId="0" fontId="6" fillId="0" borderId="0" xfId="5" applyFill="1" applyAlignment="1">
      <alignment horizontal="left"/>
    </xf>
    <xf numFmtId="0" fontId="13" fillId="0" borderId="0" xfId="13" applyFill="1" applyAlignment="1">
      <alignment horizontal="left"/>
    </xf>
    <xf numFmtId="38" fontId="0" fillId="0" borderId="0" xfId="0" applyNumberFormat="1"/>
    <xf numFmtId="0" fontId="10" fillId="0" borderId="0" xfId="0" applyFont="1" applyFill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165" fontId="14" fillId="0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left" indent="3"/>
    </xf>
    <xf numFmtId="0" fontId="10" fillId="0" borderId="0" xfId="0" applyFont="1" applyBorder="1" applyAlignment="1">
      <alignment horizontal="left" indent="3"/>
    </xf>
    <xf numFmtId="0" fontId="0" fillId="0" borderId="0" xfId="0" applyBorder="1" applyAlignment="1">
      <alignment horizontal="left" indent="7"/>
    </xf>
    <xf numFmtId="0" fontId="10" fillId="0" borderId="20" xfId="0" applyFont="1" applyBorder="1" applyAlignment="1">
      <alignment horizontal="left" indent="3"/>
    </xf>
    <xf numFmtId="0" fontId="0" fillId="0" borderId="14" xfId="0" applyBorder="1" applyAlignment="1">
      <alignment horizontal="center"/>
    </xf>
    <xf numFmtId="0" fontId="10" fillId="0" borderId="13" xfId="0" applyFont="1" applyBorder="1" applyAlignment="1">
      <alignment horizontal="left" indent="3"/>
    </xf>
    <xf numFmtId="0" fontId="10" fillId="0" borderId="3" xfId="0" applyFont="1" applyBorder="1" applyAlignment="1">
      <alignment horizontal="left" indent="3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13" xfId="0" applyFont="1" applyBorder="1" applyAlignment="1">
      <alignment horizontal="left"/>
    </xf>
    <xf numFmtId="166" fontId="0" fillId="0" borderId="15" xfId="0" applyNumberFormat="1" applyBorder="1"/>
    <xf numFmtId="0" fontId="10" fillId="0" borderId="15" xfId="0" applyFont="1" applyBorder="1"/>
    <xf numFmtId="0" fontId="0" fillId="0" borderId="18" xfId="0" applyBorder="1" applyAlignment="1">
      <alignment horizontal="left" indent="2"/>
    </xf>
    <xf numFmtId="0" fontId="0" fillId="0" borderId="18" xfId="0" applyBorder="1" applyAlignment="1">
      <alignment horizontal="left" indent="4"/>
    </xf>
    <xf numFmtId="0" fontId="0" fillId="0" borderId="18" xfId="0" applyBorder="1" applyAlignment="1">
      <alignment horizontal="left" indent="1"/>
    </xf>
    <xf numFmtId="0" fontId="10" fillId="0" borderId="18" xfId="0" applyFont="1" applyFill="1" applyBorder="1"/>
    <xf numFmtId="0" fontId="10" fillId="0" borderId="18" xfId="0" applyFont="1" applyBorder="1" applyAlignment="1">
      <alignment horizontal="left"/>
    </xf>
    <xf numFmtId="0" fontId="0" fillId="0" borderId="18" xfId="0" applyFont="1" applyBorder="1" applyAlignment="1">
      <alignment horizontal="left" indent="1"/>
    </xf>
    <xf numFmtId="0" fontId="7" fillId="0" borderId="19" xfId="0" applyFont="1" applyBorder="1"/>
    <xf numFmtId="0" fontId="0" fillId="0" borderId="20" xfId="0" applyBorder="1" applyAlignment="1">
      <alignment horizontal="centerContinuous"/>
    </xf>
    <xf numFmtId="0" fontId="5" fillId="0" borderId="0" xfId="5" applyFont="1" applyFill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4" borderId="9" xfId="0" applyFill="1" applyBorder="1" applyAlignment="1">
      <alignment horizontal="center"/>
    </xf>
    <xf numFmtId="38" fontId="0" fillId="4" borderId="2" xfId="0" applyNumberFormat="1" applyFill="1" applyBorder="1" applyAlignment="1">
      <alignment horizontal="center"/>
    </xf>
    <xf numFmtId="38" fontId="0" fillId="4" borderId="10" xfId="0" applyNumberFormat="1" applyFill="1" applyBorder="1"/>
    <xf numFmtId="0" fontId="0" fillId="4" borderId="3" xfId="0" applyFill="1" applyBorder="1" applyAlignment="1">
      <alignment horizontal="center"/>
    </xf>
    <xf numFmtId="38" fontId="0" fillId="4" borderId="0" xfId="0" applyNumberFormat="1" applyFill="1" applyBorder="1"/>
    <xf numFmtId="38" fontId="0" fillId="4" borderId="5" xfId="0" applyNumberFormat="1" applyFill="1" applyBorder="1"/>
    <xf numFmtId="0" fontId="0" fillId="4" borderId="6" xfId="0" applyFill="1" applyBorder="1" applyAlignment="1">
      <alignment horizontal="center"/>
    </xf>
    <xf numFmtId="38" fontId="0" fillId="4" borderId="1" xfId="0" applyNumberFormat="1" applyFill="1" applyBorder="1"/>
    <xf numFmtId="38" fontId="0" fillId="4" borderId="7" xfId="0" applyNumberFormat="1" applyFill="1" applyBorder="1"/>
    <xf numFmtId="38" fontId="0" fillId="4" borderId="2" xfId="0" applyNumberFormat="1" applyFill="1" applyBorder="1"/>
    <xf numFmtId="0" fontId="0" fillId="4" borderId="6" xfId="0" applyFill="1" applyBorder="1"/>
    <xf numFmtId="0" fontId="10" fillId="0" borderId="22" xfId="0" applyFont="1" applyBorder="1" applyAlignment="1">
      <alignment horizontal="center"/>
    </xf>
    <xf numFmtId="38" fontId="10" fillId="0" borderId="22" xfId="0" applyNumberFormat="1" applyFont="1" applyFill="1" applyBorder="1"/>
    <xf numFmtId="0" fontId="15" fillId="0" borderId="0" xfId="14"/>
    <xf numFmtId="0" fontId="10" fillId="0" borderId="0" xfId="0" applyFont="1" applyFill="1"/>
    <xf numFmtId="0" fontId="0" fillId="0" borderId="0" xfId="0" applyFont="1" applyAlignment="1">
      <alignment horizontal="right"/>
    </xf>
    <xf numFmtId="0" fontId="15" fillId="0" borderId="0" xfId="14" applyFill="1"/>
    <xf numFmtId="0" fontId="0" fillId="0" borderId="2" xfId="0" applyBorder="1" applyAlignment="1">
      <alignment horizontal="centerContinuous"/>
    </xf>
    <xf numFmtId="165" fontId="10" fillId="0" borderId="0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4" borderId="9" xfId="0" applyFill="1" applyBorder="1"/>
    <xf numFmtId="165" fontId="0" fillId="4" borderId="10" xfId="0" applyNumberFormat="1" applyFill="1" applyBorder="1" applyAlignment="1">
      <alignment horizontal="center"/>
    </xf>
    <xf numFmtId="165" fontId="0" fillId="4" borderId="7" xfId="0" applyNumberFormat="1" applyFill="1" applyBorder="1"/>
    <xf numFmtId="0" fontId="10" fillId="4" borderId="6" xfId="0" applyFont="1" applyFill="1" applyBorder="1"/>
    <xf numFmtId="165" fontId="0" fillId="4" borderId="10" xfId="0" applyNumberFormat="1" applyFill="1" applyBorder="1"/>
    <xf numFmtId="0" fontId="10" fillId="4" borderId="6" xfId="0" applyFont="1" applyFill="1" applyBorder="1" applyAlignment="1">
      <alignment horizontal="left"/>
    </xf>
    <xf numFmtId="41" fontId="0" fillId="0" borderId="0" xfId="0" applyNumberFormat="1" applyFill="1"/>
    <xf numFmtId="0" fontId="0" fillId="0" borderId="0" xfId="0" applyFont="1" applyFill="1" applyBorder="1" applyAlignment="1">
      <alignment horizontal="left" indent="2"/>
    </xf>
    <xf numFmtId="0" fontId="16" fillId="0" borderId="0" xfId="0" applyFont="1" applyFill="1" applyBorder="1" applyAlignment="1">
      <alignment horizontal="left" indent="2"/>
    </xf>
    <xf numFmtId="165" fontId="16" fillId="0" borderId="0" xfId="0" applyNumberFormat="1" applyFont="1" applyFill="1" applyBorder="1"/>
    <xf numFmtId="0" fontId="0" fillId="4" borderId="2" xfId="0" applyFill="1" applyBorder="1"/>
    <xf numFmtId="165" fontId="0" fillId="4" borderId="5" xfId="0" applyNumberFormat="1" applyFill="1" applyBorder="1"/>
    <xf numFmtId="0" fontId="0" fillId="4" borderId="1" xfId="0" applyFill="1" applyBorder="1"/>
    <xf numFmtId="165" fontId="4" fillId="0" borderId="17" xfId="18" applyNumberFormat="1" applyBorder="1"/>
    <xf numFmtId="0" fontId="4" fillId="0" borderId="16" xfId="18" applyBorder="1"/>
    <xf numFmtId="0" fontId="4" fillId="0" borderId="17" xfId="18" applyBorder="1"/>
    <xf numFmtId="3" fontId="4" fillId="0" borderId="17" xfId="18" applyNumberFormat="1" applyBorder="1"/>
    <xf numFmtId="0" fontId="4" fillId="0" borderId="0" xfId="18"/>
    <xf numFmtId="0" fontId="4" fillId="0" borderId="0" xfId="18"/>
    <xf numFmtId="0" fontId="6" fillId="0" borderId="0" xfId="5" applyFill="1" applyAlignment="1"/>
    <xf numFmtId="0" fontId="13" fillId="0" borderId="0" xfId="13" applyFill="1" applyAlignment="1"/>
    <xf numFmtId="165" fontId="4" fillId="0" borderId="0" xfId="18" applyNumberFormat="1"/>
    <xf numFmtId="38" fontId="0" fillId="0" borderId="0" xfId="0" applyNumberFormat="1" applyFill="1"/>
    <xf numFmtId="4" fontId="10" fillId="0" borderId="13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65" fontId="6" fillId="0" borderId="0" xfId="5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165" fontId="0" fillId="0" borderId="0" xfId="0" applyNumberFormat="1" applyFont="1" applyFill="1" applyBorder="1"/>
    <xf numFmtId="165" fontId="10" fillId="0" borderId="13" xfId="0" applyNumberFormat="1" applyFont="1" applyFill="1" applyBorder="1"/>
    <xf numFmtId="165" fontId="10" fillId="0" borderId="15" xfId="0" applyNumberFormat="1" applyFont="1" applyFill="1" applyBorder="1"/>
    <xf numFmtId="165" fontId="0" fillId="0" borderId="12" xfId="0" applyNumberFormat="1" applyFill="1" applyBorder="1"/>
    <xf numFmtId="165" fontId="6" fillId="0" borderId="0" xfId="5" applyNumberFormat="1" applyBorder="1"/>
    <xf numFmtId="0" fontId="0" fillId="0" borderId="20" xfId="0" applyBorder="1" applyAlignment="1">
      <alignment horizontal="left"/>
    </xf>
    <xf numFmtId="165" fontId="6" fillId="0" borderId="20" xfId="5" applyNumberFormat="1" applyBorder="1"/>
    <xf numFmtId="165" fontId="0" fillId="0" borderId="13" xfId="0" applyNumberFormat="1" applyFont="1" applyFill="1" applyBorder="1"/>
    <xf numFmtId="168" fontId="10" fillId="0" borderId="17" xfId="0" applyNumberFormat="1" applyFont="1" applyBorder="1" applyAlignment="1">
      <alignment horizontal="centerContinuous"/>
    </xf>
    <xf numFmtId="0" fontId="10" fillId="0" borderId="1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8" fontId="10" fillId="0" borderId="15" xfId="0" applyNumberFormat="1" applyFont="1" applyBorder="1" applyAlignment="1">
      <alignment wrapText="1"/>
    </xf>
    <xf numFmtId="168" fontId="10" fillId="0" borderId="12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left" indent="4"/>
    </xf>
    <xf numFmtId="166" fontId="0" fillId="0" borderId="0" xfId="0" applyNumberFormat="1" applyFill="1"/>
    <xf numFmtId="0" fontId="0" fillId="0" borderId="0" xfId="0" applyFont="1"/>
    <xf numFmtId="0" fontId="0" fillId="0" borderId="16" xfId="0" applyFont="1" applyBorder="1"/>
    <xf numFmtId="0" fontId="0" fillId="0" borderId="21" xfId="0" applyFont="1" applyBorder="1"/>
    <xf numFmtId="0" fontId="0" fillId="0" borderId="0" xfId="0" applyFont="1" applyBorder="1" applyAlignment="1">
      <alignment horizontal="center"/>
    </xf>
    <xf numFmtId="0" fontId="0" fillId="0" borderId="22" xfId="0" applyFont="1" applyBorder="1"/>
    <xf numFmtId="0" fontId="0" fillId="0" borderId="19" xfId="0" applyFont="1" applyBorder="1"/>
    <xf numFmtId="0" fontId="0" fillId="0" borderId="23" xfId="0" applyFont="1" applyBorder="1"/>
    <xf numFmtId="0" fontId="17" fillId="0" borderId="9" xfId="0" applyFont="1" applyBorder="1"/>
    <xf numFmtId="0" fontId="17" fillId="0" borderId="0" xfId="0" applyFont="1" applyBorder="1"/>
    <xf numFmtId="0" fontId="2" fillId="0" borderId="0" xfId="0" applyFont="1" applyBorder="1"/>
    <xf numFmtId="0" fontId="2" fillId="0" borderId="0" xfId="0" applyFont="1"/>
    <xf numFmtId="9" fontId="2" fillId="0" borderId="6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16" xfId="0" applyFont="1" applyBorder="1"/>
    <xf numFmtId="0" fontId="17" fillId="0" borderId="17" xfId="0" applyFont="1" applyBorder="1"/>
    <xf numFmtId="0" fontId="2" fillId="0" borderId="17" xfId="0" applyFont="1" applyBorder="1"/>
    <xf numFmtId="0" fontId="2" fillId="0" borderId="17" xfId="0" applyFont="1" applyBorder="1" applyAlignment="1"/>
    <xf numFmtId="0" fontId="2" fillId="0" borderId="21" xfId="0" applyFont="1" applyBorder="1"/>
    <xf numFmtId="0" fontId="2" fillId="0" borderId="18" xfId="0" applyFont="1" applyBorder="1"/>
    <xf numFmtId="0" fontId="2" fillId="0" borderId="0" xfId="0" applyFont="1" applyBorder="1" applyAlignment="1">
      <alignment horizontal="center"/>
    </xf>
    <xf numFmtId="0" fontId="2" fillId="0" borderId="22" xfId="0" applyFont="1" applyBorder="1"/>
    <xf numFmtId="165" fontId="2" fillId="0" borderId="0" xfId="0" applyNumberFormat="1" applyFont="1" applyBorder="1"/>
    <xf numFmtId="165" fontId="2" fillId="0" borderId="0" xfId="0" applyNumberFormat="1" applyFont="1" applyFill="1" applyBorder="1"/>
    <xf numFmtId="0" fontId="2" fillId="4" borderId="0" xfId="0" applyFont="1" applyFill="1" applyBorder="1"/>
    <xf numFmtId="0" fontId="17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5" fontId="2" fillId="4" borderId="0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0" fontId="2" fillId="0" borderId="23" xfId="0" applyFont="1" applyBorder="1"/>
    <xf numFmtId="0" fontId="0" fillId="0" borderId="0" xfId="0" applyFont="1" applyAlignment="1">
      <alignment horizontal="center"/>
    </xf>
    <xf numFmtId="168" fontId="0" fillId="0" borderId="0" xfId="0" applyNumberFormat="1" applyFont="1"/>
    <xf numFmtId="168" fontId="0" fillId="0" borderId="0" xfId="0" applyNumberFormat="1" applyFont="1" applyBorder="1" applyAlignment="1">
      <alignment wrapText="1"/>
    </xf>
    <xf numFmtId="168" fontId="0" fillId="0" borderId="0" xfId="0" applyNumberFormat="1" applyFont="1" applyBorder="1" applyAlignment="1">
      <alignment horizontal="center" wrapText="1"/>
    </xf>
    <xf numFmtId="168" fontId="0" fillId="0" borderId="0" xfId="0" applyNumberFormat="1" applyFont="1" applyBorder="1"/>
    <xf numFmtId="0" fontId="0" fillId="0" borderId="20" xfId="0" applyFont="1" applyBorder="1" applyAlignment="1">
      <alignment horizontal="center"/>
    </xf>
    <xf numFmtId="168" fontId="0" fillId="0" borderId="20" xfId="0" applyNumberFormat="1" applyFont="1" applyBorder="1"/>
    <xf numFmtId="0" fontId="0" fillId="0" borderId="0" xfId="0" applyAlignment="1"/>
    <xf numFmtId="0" fontId="6" fillId="0" borderId="0" xfId="5" applyAlignment="1">
      <alignment horizontal="center"/>
    </xf>
    <xf numFmtId="0" fontId="4" fillId="0" borderId="16" xfId="18" applyFill="1" applyBorder="1"/>
    <xf numFmtId="0" fontId="4" fillId="0" borderId="17" xfId="18" applyFill="1" applyBorder="1"/>
    <xf numFmtId="165" fontId="4" fillId="0" borderId="17" xfId="18" applyNumberFormat="1" applyFill="1" applyBorder="1"/>
    <xf numFmtId="0" fontId="4" fillId="0" borderId="18" xfId="18" applyFill="1" applyBorder="1"/>
    <xf numFmtId="0" fontId="4" fillId="0" borderId="0" xfId="18" applyFill="1" applyBorder="1"/>
    <xf numFmtId="165" fontId="4" fillId="0" borderId="0" xfId="18" applyNumberFormat="1" applyFill="1" applyBorder="1"/>
    <xf numFmtId="3" fontId="0" fillId="0" borderId="0" xfId="0" applyNumberFormat="1"/>
    <xf numFmtId="165" fontId="1" fillId="0" borderId="0" xfId="21" applyNumberFormat="1" applyAlignment="1">
      <alignment horizontal="center"/>
    </xf>
    <xf numFmtId="165" fontId="1" fillId="0" borderId="0" xfId="21" applyNumberFormat="1" applyAlignment="1">
      <alignment horizontal="center"/>
    </xf>
    <xf numFmtId="165" fontId="1" fillId="0" borderId="0" xfId="21" applyNumberFormat="1" applyAlignment="1">
      <alignment horizontal="center"/>
    </xf>
    <xf numFmtId="165" fontId="0" fillId="2" borderId="0" xfId="0" applyNumberFormat="1" applyFill="1" applyBorder="1" applyAlignment="1">
      <alignment horizontal="center"/>
    </xf>
  </cellXfs>
  <cellStyles count="22">
    <cellStyle name="Lien hypertexte" xfId="14" builtinId="8"/>
    <cellStyle name="Milliers [0] 2" xfId="2"/>
    <cellStyle name="Milliers [0] 2 2" xfId="7"/>
    <cellStyle name="Milliers [0] 2 2 2" xfId="19"/>
    <cellStyle name="Milliers [0] 2 3" xfId="17"/>
    <cellStyle name="Normal" xfId="0" builtinId="0"/>
    <cellStyle name="Normal 10" xfId="13"/>
    <cellStyle name="Normal 11" xfId="5"/>
    <cellStyle name="Normal 11 2" xfId="18"/>
    <cellStyle name="Normal 12" xfId="16"/>
    <cellStyle name="Normal 13" xfId="15"/>
    <cellStyle name="Normal 14" xfId="20"/>
    <cellStyle name="Normal 15" xfId="21"/>
    <cellStyle name="Normal 2" xfId="1"/>
    <cellStyle name="normal 3" xfId="4"/>
    <cellStyle name="Normal 4" xfId="6"/>
    <cellStyle name="Normal 5" xfId="8"/>
    <cellStyle name="Normal 6" xfId="9"/>
    <cellStyle name="Normal 7" xfId="12"/>
    <cellStyle name="Normal 8" xfId="11"/>
    <cellStyle name="Normal 9" xfId="10"/>
    <cellStyle name="Pourcentag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0"/>
  <sheetViews>
    <sheetView zoomScale="77" zoomScaleNormal="77" workbookViewId="0">
      <pane xSplit="3" ySplit="6" topLeftCell="D558" activePane="bottomRight" state="frozen"/>
      <selection pane="topRight" activeCell="D1" sqref="D1"/>
      <selection pane="bottomLeft" activeCell="A7" sqref="A7"/>
      <selection pane="bottomRight" activeCell="E567" sqref="E567:G590"/>
    </sheetView>
  </sheetViews>
  <sheetFormatPr baseColWidth="10" defaultRowHeight="15"/>
  <cols>
    <col min="1" max="1" width="14.42578125" style="13" customWidth="1"/>
    <col min="2" max="2" width="13.7109375" style="12" bestFit="1" customWidth="1"/>
    <col min="3" max="3" width="21.140625" style="12" bestFit="1" customWidth="1"/>
    <col min="4" max="4" width="0.85546875" style="26" customWidth="1"/>
    <col min="5" max="5" width="44.85546875" style="26" bestFit="1" customWidth="1"/>
    <col min="6" max="6" width="55.85546875" style="13" bestFit="1" customWidth="1"/>
    <col min="7" max="7" width="21.140625" style="321" bestFit="1" customWidth="1"/>
    <col min="8" max="8" width="13" style="13" bestFit="1" customWidth="1"/>
    <col min="10" max="10" width="15.42578125" bestFit="1" customWidth="1"/>
    <col min="11" max="11" width="12.28515625" bestFit="1" customWidth="1"/>
    <col min="12" max="12" width="15.5703125" bestFit="1" customWidth="1"/>
    <col min="14" max="14" width="22" bestFit="1" customWidth="1"/>
    <col min="15" max="15" width="14.42578125" bestFit="1" customWidth="1"/>
  </cols>
  <sheetData>
    <row r="2" spans="1:7">
      <c r="G2" s="316">
        <f>SUM(G9:G976)</f>
        <v>-3.814697265625E-6</v>
      </c>
    </row>
    <row r="4" spans="1:7">
      <c r="B4" s="98" t="s">
        <v>594</v>
      </c>
      <c r="C4" s="98" t="s">
        <v>587</v>
      </c>
      <c r="D4" s="214"/>
      <c r="E4" s="214" t="s">
        <v>588</v>
      </c>
      <c r="F4" s="213" t="s">
        <v>589</v>
      </c>
      <c r="G4" s="317" t="s">
        <v>590</v>
      </c>
    </row>
    <row r="5" spans="1:7">
      <c r="B5" s="228"/>
      <c r="C5" s="228"/>
      <c r="D5" s="212"/>
      <c r="E5" s="212"/>
      <c r="F5" s="165"/>
      <c r="G5" s="318"/>
    </row>
    <row r="6" spans="1:7">
      <c r="B6" s="61"/>
      <c r="C6" s="61"/>
      <c r="D6" s="171"/>
      <c r="E6" s="171"/>
      <c r="F6" s="52"/>
      <c r="G6" s="319"/>
    </row>
    <row r="7" spans="1:7" ht="12.75" customHeight="1">
      <c r="B7" s="61"/>
      <c r="C7" s="61"/>
      <c r="D7" s="171"/>
      <c r="E7" s="171"/>
      <c r="F7" s="52"/>
      <c r="G7" s="319"/>
    </row>
    <row r="8" spans="1:7">
      <c r="B8" s="61"/>
      <c r="C8" s="61"/>
      <c r="E8" s="171"/>
      <c r="F8" s="52"/>
      <c r="G8" s="319"/>
    </row>
    <row r="9" spans="1:7">
      <c r="A9" s="244">
        <v>1</v>
      </c>
      <c r="B9" s="233">
        <v>10130000</v>
      </c>
      <c r="C9" s="233"/>
      <c r="E9" s="312" t="s">
        <v>402</v>
      </c>
      <c r="F9" s="239" t="s">
        <v>394</v>
      </c>
      <c r="G9" s="320">
        <v>-15000000</v>
      </c>
    </row>
    <row r="10" spans="1:7">
      <c r="A10" s="244">
        <v>2</v>
      </c>
      <c r="B10" s="233">
        <v>11100000</v>
      </c>
      <c r="C10" s="233"/>
      <c r="E10" s="312" t="s">
        <v>403</v>
      </c>
      <c r="F10" s="239" t="s">
        <v>194</v>
      </c>
      <c r="G10" s="320">
        <v>-3000000</v>
      </c>
    </row>
    <row r="11" spans="1:7">
      <c r="A11" s="244">
        <v>3</v>
      </c>
      <c r="B11" s="233">
        <v>12100000</v>
      </c>
      <c r="C11" s="233"/>
      <c r="E11" s="312" t="s">
        <v>403</v>
      </c>
      <c r="F11" s="239" t="s">
        <v>195</v>
      </c>
      <c r="G11" s="320">
        <v>-7609467917</v>
      </c>
    </row>
    <row r="12" spans="1:7">
      <c r="A12" s="244">
        <v>4</v>
      </c>
      <c r="B12" s="233">
        <v>12900000</v>
      </c>
      <c r="C12" s="233"/>
      <c r="E12" s="312" t="s">
        <v>403</v>
      </c>
      <c r="F12" s="239" t="s">
        <v>196</v>
      </c>
      <c r="G12" s="320">
        <v>763904292</v>
      </c>
    </row>
    <row r="13" spans="1:7">
      <c r="A13" s="244">
        <v>5</v>
      </c>
      <c r="B13" s="233">
        <v>13010000</v>
      </c>
      <c r="C13" s="233"/>
      <c r="E13" s="312" t="s">
        <v>403</v>
      </c>
      <c r="F13" s="239" t="s">
        <v>565</v>
      </c>
      <c r="G13" s="320">
        <v>-9274756272</v>
      </c>
    </row>
    <row r="14" spans="1:7">
      <c r="A14" s="244">
        <v>6</v>
      </c>
      <c r="B14" s="233">
        <v>13090000</v>
      </c>
      <c r="C14" s="233"/>
      <c r="E14" s="312" t="s">
        <v>403</v>
      </c>
      <c r="F14" s="239" t="s">
        <v>197</v>
      </c>
      <c r="G14" s="320">
        <v>836318179</v>
      </c>
    </row>
    <row r="15" spans="1:7">
      <c r="A15" s="244">
        <v>7</v>
      </c>
      <c r="B15" s="233">
        <v>16684000</v>
      </c>
      <c r="C15" s="233"/>
      <c r="E15" s="312" t="s">
        <v>404</v>
      </c>
      <c r="F15" s="239" t="s">
        <v>198</v>
      </c>
      <c r="G15" s="320">
        <v>-823768</v>
      </c>
    </row>
    <row r="16" spans="1:7">
      <c r="A16" s="244">
        <v>8</v>
      </c>
      <c r="B16" s="233">
        <v>16863000</v>
      </c>
      <c r="C16" s="233"/>
      <c r="E16" s="312" t="s">
        <v>569</v>
      </c>
      <c r="F16" s="239" t="s">
        <v>199</v>
      </c>
      <c r="G16" s="320">
        <v>-187151820</v>
      </c>
    </row>
    <row r="17" spans="1:7">
      <c r="A17" s="244">
        <v>9</v>
      </c>
      <c r="B17" s="233">
        <v>16864000</v>
      </c>
      <c r="C17" s="233"/>
      <c r="E17" s="312" t="s">
        <v>569</v>
      </c>
      <c r="F17" s="239" t="s">
        <v>200</v>
      </c>
      <c r="G17" s="320">
        <v>-1102281077</v>
      </c>
    </row>
    <row r="18" spans="1:7">
      <c r="A18" s="244">
        <v>10</v>
      </c>
      <c r="B18" s="233">
        <v>19100000</v>
      </c>
      <c r="C18" s="233"/>
      <c r="E18" s="312" t="s">
        <v>405</v>
      </c>
      <c r="F18" s="239" t="s">
        <v>201</v>
      </c>
      <c r="G18" s="320">
        <v>-6080002</v>
      </c>
    </row>
    <row r="19" spans="1:7">
      <c r="A19" s="244">
        <v>11</v>
      </c>
      <c r="B19" s="233">
        <v>19610000</v>
      </c>
      <c r="C19" s="233"/>
      <c r="E19" s="312" t="s">
        <v>405</v>
      </c>
      <c r="F19" s="239" t="s">
        <v>202</v>
      </c>
      <c r="G19" s="320">
        <v>-55224905</v>
      </c>
    </row>
    <row r="20" spans="1:7">
      <c r="A20" s="244">
        <v>12</v>
      </c>
      <c r="B20" s="233">
        <v>23210000</v>
      </c>
      <c r="C20" s="233"/>
      <c r="E20" s="312" t="s">
        <v>420</v>
      </c>
      <c r="F20" s="239" t="s">
        <v>203</v>
      </c>
      <c r="G20" s="320">
        <v>57202062</v>
      </c>
    </row>
    <row r="21" spans="1:7">
      <c r="A21" s="244">
        <v>13</v>
      </c>
      <c r="B21" s="233">
        <v>24111002</v>
      </c>
      <c r="C21" s="233"/>
      <c r="E21" s="312" t="s">
        <v>433</v>
      </c>
      <c r="F21" s="239" t="s">
        <v>204</v>
      </c>
      <c r="G21" s="320">
        <v>3275849258</v>
      </c>
    </row>
    <row r="22" spans="1:7">
      <c r="A22" s="244">
        <v>14</v>
      </c>
      <c r="B22" s="233">
        <v>24111003</v>
      </c>
      <c r="C22" s="233"/>
      <c r="E22" s="312" t="s">
        <v>433</v>
      </c>
      <c r="F22" s="239" t="s">
        <v>205</v>
      </c>
      <c r="G22" s="320">
        <v>291554520</v>
      </c>
    </row>
    <row r="23" spans="1:7">
      <c r="A23" s="244">
        <v>15</v>
      </c>
      <c r="B23" s="233">
        <v>24111004</v>
      </c>
      <c r="C23" s="233"/>
      <c r="E23" s="312" t="s">
        <v>433</v>
      </c>
      <c r="F23" s="239" t="s">
        <v>206</v>
      </c>
      <c r="G23" s="320">
        <v>87751264</v>
      </c>
    </row>
    <row r="24" spans="1:7">
      <c r="A24" s="244">
        <v>16</v>
      </c>
      <c r="B24" s="233">
        <v>24111005</v>
      </c>
      <c r="C24" s="233"/>
      <c r="E24" s="312" t="s">
        <v>433</v>
      </c>
      <c r="F24" s="239" t="s">
        <v>207</v>
      </c>
      <c r="G24" s="320">
        <v>280879475</v>
      </c>
    </row>
    <row r="25" spans="1:7">
      <c r="A25" s="244">
        <v>17</v>
      </c>
      <c r="B25" s="233">
        <v>24111006</v>
      </c>
      <c r="C25" s="233"/>
      <c r="E25" s="312" t="s">
        <v>433</v>
      </c>
      <c r="F25" s="239" t="s">
        <v>208</v>
      </c>
      <c r="G25" s="320">
        <v>587442875</v>
      </c>
    </row>
    <row r="26" spans="1:7">
      <c r="A26" s="244">
        <v>18</v>
      </c>
      <c r="B26" s="233">
        <v>24111011</v>
      </c>
      <c r="C26" s="233"/>
      <c r="E26" s="312" t="s">
        <v>433</v>
      </c>
      <c r="F26" s="239" t="s">
        <v>209</v>
      </c>
      <c r="G26" s="320">
        <v>265531392</v>
      </c>
    </row>
    <row r="27" spans="1:7">
      <c r="A27" s="244">
        <v>19</v>
      </c>
      <c r="B27" s="233">
        <v>24111012</v>
      </c>
      <c r="C27" s="233"/>
      <c r="E27" s="312" t="s">
        <v>433</v>
      </c>
      <c r="F27" s="239" t="s">
        <v>210</v>
      </c>
      <c r="G27" s="320">
        <v>454454534</v>
      </c>
    </row>
    <row r="28" spans="1:7">
      <c r="A28" s="244">
        <v>20</v>
      </c>
      <c r="B28" s="233">
        <v>24111013</v>
      </c>
      <c r="C28" s="233"/>
      <c r="E28" s="312" t="s">
        <v>433</v>
      </c>
      <c r="F28" s="239" t="s">
        <v>211</v>
      </c>
      <c r="G28" s="320">
        <v>264600866</v>
      </c>
    </row>
    <row r="29" spans="1:7">
      <c r="A29" s="244">
        <v>21</v>
      </c>
      <c r="B29" s="233">
        <v>24112002</v>
      </c>
      <c r="C29" s="233"/>
      <c r="E29" s="312" t="s">
        <v>445</v>
      </c>
      <c r="F29" s="239" t="s">
        <v>212</v>
      </c>
      <c r="G29" s="320">
        <v>3481491775</v>
      </c>
    </row>
    <row r="30" spans="1:7">
      <c r="A30" s="244">
        <v>22</v>
      </c>
      <c r="B30" s="233">
        <v>24112003</v>
      </c>
      <c r="C30" s="233"/>
      <c r="E30" s="312" t="s">
        <v>445</v>
      </c>
      <c r="F30" s="239" t="s">
        <v>213</v>
      </c>
      <c r="G30" s="320">
        <v>809383977</v>
      </c>
    </row>
    <row r="31" spans="1:7">
      <c r="A31" s="244">
        <v>23</v>
      </c>
      <c r="B31" s="233">
        <v>24112004</v>
      </c>
      <c r="C31" s="233"/>
      <c r="E31" s="312" t="s">
        <v>445</v>
      </c>
      <c r="F31" s="239" t="s">
        <v>214</v>
      </c>
      <c r="G31" s="320">
        <v>110038901</v>
      </c>
    </row>
    <row r="32" spans="1:7">
      <c r="A32" s="244">
        <v>24</v>
      </c>
      <c r="B32" s="233">
        <v>24112011</v>
      </c>
      <c r="C32" s="233"/>
      <c r="E32" s="312" t="s">
        <v>445</v>
      </c>
      <c r="F32" s="239" t="s">
        <v>215</v>
      </c>
      <c r="G32" s="320">
        <v>101017382</v>
      </c>
    </row>
    <row r="33" spans="1:7">
      <c r="A33" s="244">
        <v>25</v>
      </c>
      <c r="B33" s="233">
        <v>24112012</v>
      </c>
      <c r="C33" s="233"/>
      <c r="E33" s="312" t="s">
        <v>445</v>
      </c>
      <c r="F33" s="239" t="s">
        <v>215</v>
      </c>
      <c r="G33" s="320">
        <v>25254334</v>
      </c>
    </row>
    <row r="34" spans="1:7">
      <c r="A34" s="244">
        <v>26</v>
      </c>
      <c r="B34" s="233">
        <v>24112013</v>
      </c>
      <c r="C34" s="233"/>
      <c r="E34" s="312" t="s">
        <v>445</v>
      </c>
      <c r="F34" s="239" t="s">
        <v>216</v>
      </c>
      <c r="G34" s="320">
        <v>271249998</v>
      </c>
    </row>
    <row r="35" spans="1:7">
      <c r="A35" s="244">
        <v>27</v>
      </c>
      <c r="B35" s="233">
        <v>24112014</v>
      </c>
      <c r="C35" s="233"/>
      <c r="E35" s="312" t="s">
        <v>446</v>
      </c>
      <c r="F35" s="239" t="s">
        <v>217</v>
      </c>
      <c r="G35" s="320">
        <v>463566891</v>
      </c>
    </row>
    <row r="36" spans="1:7">
      <c r="A36" s="244">
        <v>28</v>
      </c>
      <c r="B36" s="233">
        <v>24113002</v>
      </c>
      <c r="C36" s="233"/>
      <c r="E36" s="312" t="s">
        <v>446</v>
      </c>
      <c r="F36" s="239" t="s">
        <v>218</v>
      </c>
      <c r="G36" s="320">
        <v>4256439377</v>
      </c>
    </row>
    <row r="37" spans="1:7">
      <c r="A37" s="244">
        <v>29</v>
      </c>
      <c r="B37" s="233">
        <v>24113003</v>
      </c>
      <c r="C37" s="233"/>
      <c r="E37" s="312" t="s">
        <v>446</v>
      </c>
      <c r="F37" s="239" t="s">
        <v>219</v>
      </c>
      <c r="G37" s="320">
        <v>654005528</v>
      </c>
    </row>
    <row r="38" spans="1:7">
      <c r="A38" s="244">
        <v>30</v>
      </c>
      <c r="B38" s="233">
        <v>24113004</v>
      </c>
      <c r="C38" s="233"/>
      <c r="E38" s="312" t="s">
        <v>446</v>
      </c>
      <c r="F38" s="239" t="s">
        <v>220</v>
      </c>
      <c r="G38" s="320">
        <v>195254181</v>
      </c>
    </row>
    <row r="39" spans="1:7">
      <c r="A39" s="244">
        <v>31</v>
      </c>
      <c r="B39" s="233">
        <v>24113005</v>
      </c>
      <c r="C39" s="233"/>
      <c r="E39" s="312" t="s">
        <v>446</v>
      </c>
      <c r="F39" s="239" t="s">
        <v>220</v>
      </c>
      <c r="G39" s="320">
        <v>211737672</v>
      </c>
    </row>
    <row r="40" spans="1:7">
      <c r="A40" s="244">
        <v>32</v>
      </c>
      <c r="B40" s="233">
        <v>24113006</v>
      </c>
      <c r="C40" s="233"/>
      <c r="E40" s="312" t="s">
        <v>446</v>
      </c>
      <c r="F40" s="239" t="s">
        <v>221</v>
      </c>
      <c r="G40" s="320">
        <v>101175279</v>
      </c>
    </row>
    <row r="41" spans="1:7">
      <c r="A41" s="244">
        <v>33</v>
      </c>
      <c r="B41" s="233">
        <v>24113007</v>
      </c>
      <c r="C41" s="233"/>
      <c r="E41" s="312" t="s">
        <v>446</v>
      </c>
      <c r="F41" s="239" t="s">
        <v>1774</v>
      </c>
      <c r="G41" s="320">
        <v>225689045</v>
      </c>
    </row>
    <row r="42" spans="1:7">
      <c r="A42" s="244">
        <v>34</v>
      </c>
      <c r="B42" s="233">
        <v>24113011</v>
      </c>
      <c r="C42" s="233"/>
      <c r="E42" s="312" t="s">
        <v>446</v>
      </c>
      <c r="F42" s="239" t="s">
        <v>222</v>
      </c>
      <c r="G42" s="320">
        <v>236721762</v>
      </c>
    </row>
    <row r="43" spans="1:7">
      <c r="A43" s="244">
        <v>35</v>
      </c>
      <c r="B43" s="233">
        <v>24113012</v>
      </c>
      <c r="C43" s="233"/>
      <c r="E43" s="312" t="s">
        <v>446</v>
      </c>
      <c r="F43" s="239" t="s">
        <v>223</v>
      </c>
      <c r="G43" s="320">
        <v>392408601</v>
      </c>
    </row>
    <row r="44" spans="1:7">
      <c r="A44" s="244">
        <v>36</v>
      </c>
      <c r="B44" s="233">
        <v>24113013</v>
      </c>
      <c r="C44" s="233"/>
      <c r="E44" s="312" t="s">
        <v>444</v>
      </c>
      <c r="F44" s="239" t="s">
        <v>224</v>
      </c>
      <c r="G44" s="320">
        <v>669575544</v>
      </c>
    </row>
    <row r="45" spans="1:7">
      <c r="A45" s="244">
        <v>37</v>
      </c>
      <c r="B45" s="233">
        <v>24114002</v>
      </c>
      <c r="C45" s="233"/>
      <c r="E45" s="312" t="s">
        <v>444</v>
      </c>
      <c r="F45" s="239" t="s">
        <v>225</v>
      </c>
      <c r="G45" s="320">
        <v>3436689913</v>
      </c>
    </row>
    <row r="46" spans="1:7">
      <c r="A46" s="244">
        <v>38</v>
      </c>
      <c r="B46" s="233">
        <v>24114003</v>
      </c>
      <c r="C46" s="233"/>
      <c r="E46" s="312" t="s">
        <v>444</v>
      </c>
      <c r="F46" s="239" t="s">
        <v>226</v>
      </c>
      <c r="G46" s="320">
        <v>217494350</v>
      </c>
    </row>
    <row r="47" spans="1:7">
      <c r="A47" s="244">
        <v>39</v>
      </c>
      <c r="B47" s="233">
        <v>24114004</v>
      </c>
      <c r="C47" s="233"/>
      <c r="E47" s="312" t="s">
        <v>444</v>
      </c>
      <c r="F47" s="239" t="s">
        <v>227</v>
      </c>
      <c r="G47" s="320">
        <v>148140164</v>
      </c>
    </row>
    <row r="48" spans="1:7">
      <c r="A48" s="244">
        <v>40</v>
      </c>
      <c r="B48" s="233">
        <v>24114005</v>
      </c>
      <c r="C48" s="233"/>
      <c r="E48" s="312" t="s">
        <v>444</v>
      </c>
      <c r="F48" s="239" t="s">
        <v>228</v>
      </c>
      <c r="G48" s="320">
        <v>28425896</v>
      </c>
    </row>
    <row r="49" spans="1:7">
      <c r="A49" s="244">
        <v>41</v>
      </c>
      <c r="B49" s="233">
        <v>24114011</v>
      </c>
      <c r="C49" s="233"/>
      <c r="E49" s="312" t="s">
        <v>444</v>
      </c>
      <c r="F49" s="239" t="s">
        <v>229</v>
      </c>
      <c r="G49" s="320">
        <v>163097149</v>
      </c>
    </row>
    <row r="50" spans="1:7">
      <c r="A50" s="244">
        <v>42</v>
      </c>
      <c r="B50" s="233">
        <v>24114012</v>
      </c>
      <c r="C50" s="233"/>
      <c r="E50" s="312" t="s">
        <v>186</v>
      </c>
      <c r="F50" s="239" t="s">
        <v>230</v>
      </c>
      <c r="G50" s="320">
        <v>350658017</v>
      </c>
    </row>
    <row r="51" spans="1:7">
      <c r="A51" s="244">
        <v>43</v>
      </c>
      <c r="B51" s="233">
        <v>24115002</v>
      </c>
      <c r="C51" s="233"/>
      <c r="E51" s="312" t="s">
        <v>186</v>
      </c>
      <c r="F51" s="239" t="s">
        <v>231</v>
      </c>
      <c r="G51" s="320">
        <v>2130825332</v>
      </c>
    </row>
    <row r="52" spans="1:7">
      <c r="A52" s="244">
        <v>44</v>
      </c>
      <c r="B52" s="233">
        <v>24115003</v>
      </c>
      <c r="C52" s="233"/>
      <c r="E52" s="312" t="s">
        <v>186</v>
      </c>
      <c r="F52" s="239" t="s">
        <v>232</v>
      </c>
      <c r="G52" s="320">
        <v>64241805</v>
      </c>
    </row>
    <row r="53" spans="1:7">
      <c r="A53" s="244">
        <v>45</v>
      </c>
      <c r="B53" s="233">
        <v>24115004</v>
      </c>
      <c r="C53" s="233"/>
      <c r="E53" s="312" t="s">
        <v>186</v>
      </c>
      <c r="F53" s="239" t="s">
        <v>233</v>
      </c>
      <c r="G53" s="320">
        <v>49205537</v>
      </c>
    </row>
    <row r="54" spans="1:7">
      <c r="A54" s="244">
        <v>46</v>
      </c>
      <c r="B54" s="233">
        <v>24115007</v>
      </c>
      <c r="C54" s="233"/>
      <c r="E54" s="312" t="s">
        <v>186</v>
      </c>
      <c r="F54" s="239" t="s">
        <v>566</v>
      </c>
      <c r="G54" s="320">
        <v>68449677</v>
      </c>
    </row>
    <row r="55" spans="1:7">
      <c r="A55" s="244">
        <v>47</v>
      </c>
      <c r="B55" s="233">
        <v>24115011</v>
      </c>
      <c r="C55" s="233"/>
      <c r="E55" s="312" t="s">
        <v>186</v>
      </c>
      <c r="F55" s="239" t="s">
        <v>234</v>
      </c>
      <c r="G55" s="320">
        <v>82714169</v>
      </c>
    </row>
    <row r="56" spans="1:7">
      <c r="A56" s="244">
        <v>48</v>
      </c>
      <c r="B56" s="233">
        <v>24115012</v>
      </c>
      <c r="C56" s="233"/>
      <c r="E56" s="312" t="s">
        <v>186</v>
      </c>
      <c r="F56" s="239" t="s">
        <v>235</v>
      </c>
      <c r="G56" s="320">
        <v>20678542</v>
      </c>
    </row>
    <row r="57" spans="1:7">
      <c r="A57" s="244">
        <v>49</v>
      </c>
      <c r="B57" s="233">
        <v>24116000</v>
      </c>
      <c r="C57" s="233"/>
      <c r="E57" s="312" t="s">
        <v>186</v>
      </c>
      <c r="F57" s="239" t="s">
        <v>236</v>
      </c>
      <c r="G57" s="320">
        <v>10954000</v>
      </c>
    </row>
    <row r="58" spans="1:7">
      <c r="A58" s="244">
        <v>50</v>
      </c>
      <c r="B58" s="233">
        <v>24120000</v>
      </c>
      <c r="C58" s="233"/>
      <c r="E58" s="312" t="s">
        <v>406</v>
      </c>
      <c r="F58" s="239" t="s">
        <v>395</v>
      </c>
      <c r="G58" s="320">
        <v>16893000</v>
      </c>
    </row>
    <row r="59" spans="1:7">
      <c r="A59" s="244">
        <v>51</v>
      </c>
      <c r="B59" s="233">
        <v>24300000</v>
      </c>
      <c r="C59" s="233"/>
      <c r="E59" s="312" t="s">
        <v>406</v>
      </c>
      <c r="F59" s="239" t="s">
        <v>237</v>
      </c>
      <c r="G59" s="320">
        <v>5074077</v>
      </c>
    </row>
    <row r="60" spans="1:7">
      <c r="A60" s="244">
        <v>52</v>
      </c>
      <c r="B60" s="233">
        <v>24410000</v>
      </c>
      <c r="C60" s="233"/>
      <c r="E60" s="312" t="s">
        <v>406</v>
      </c>
      <c r="F60" s="239" t="s">
        <v>238</v>
      </c>
      <c r="G60" s="320">
        <v>6465628</v>
      </c>
    </row>
    <row r="61" spans="1:7">
      <c r="A61" s="244">
        <v>53</v>
      </c>
      <c r="B61" s="233">
        <v>24420000</v>
      </c>
      <c r="C61" s="233"/>
      <c r="E61" s="312" t="s">
        <v>406</v>
      </c>
      <c r="F61" s="239" t="s">
        <v>239</v>
      </c>
      <c r="G61" s="320">
        <v>8134863</v>
      </c>
    </row>
    <row r="62" spans="1:7">
      <c r="A62" s="244">
        <v>54</v>
      </c>
      <c r="B62" s="233">
        <v>24440000</v>
      </c>
      <c r="C62" s="233"/>
      <c r="E62" s="312" t="s">
        <v>406</v>
      </c>
      <c r="F62" s="239" t="s">
        <v>240</v>
      </c>
      <c r="G62" s="320">
        <v>2284323</v>
      </c>
    </row>
    <row r="63" spans="1:7">
      <c r="A63" s="244">
        <v>55</v>
      </c>
      <c r="B63" s="233">
        <v>24510000</v>
      </c>
      <c r="C63" s="233"/>
      <c r="E63" s="312" t="s">
        <v>450</v>
      </c>
      <c r="F63" s="239" t="s">
        <v>241</v>
      </c>
      <c r="G63" s="320">
        <v>80129206</v>
      </c>
    </row>
    <row r="64" spans="1:7">
      <c r="A64" s="244">
        <v>56</v>
      </c>
      <c r="B64" s="233">
        <v>24510001</v>
      </c>
      <c r="C64" s="233"/>
      <c r="E64" s="312" t="s">
        <v>450</v>
      </c>
      <c r="F64" s="239" t="s">
        <v>242</v>
      </c>
      <c r="G64" s="320">
        <v>14550530</v>
      </c>
    </row>
    <row r="65" spans="1:7">
      <c r="A65" s="244">
        <v>57</v>
      </c>
      <c r="B65" s="233">
        <v>24510002</v>
      </c>
      <c r="C65" s="233"/>
      <c r="E65" s="312" t="s">
        <v>450</v>
      </c>
      <c r="F65" s="239" t="s">
        <v>243</v>
      </c>
      <c r="G65" s="320">
        <v>12584325</v>
      </c>
    </row>
    <row r="66" spans="1:7">
      <c r="A66" s="244">
        <v>58</v>
      </c>
      <c r="B66" s="233">
        <v>24540000</v>
      </c>
      <c r="C66" s="233"/>
      <c r="E66" s="312" t="s">
        <v>406</v>
      </c>
      <c r="F66" s="239" t="s">
        <v>244</v>
      </c>
      <c r="G66" s="320">
        <v>2700011</v>
      </c>
    </row>
    <row r="67" spans="1:7">
      <c r="A67" s="244">
        <v>59</v>
      </c>
      <c r="B67" s="233">
        <v>24800000</v>
      </c>
      <c r="C67" s="233"/>
      <c r="E67" s="312" t="s">
        <v>406</v>
      </c>
      <c r="F67" s="239" t="s">
        <v>245</v>
      </c>
      <c r="G67" s="320">
        <v>12811271</v>
      </c>
    </row>
    <row r="68" spans="1:7">
      <c r="A68" s="244">
        <v>60</v>
      </c>
      <c r="B68" s="233">
        <v>24910000</v>
      </c>
      <c r="C68" s="233"/>
      <c r="E68" s="312" t="s">
        <v>407</v>
      </c>
      <c r="F68" s="239" t="s">
        <v>1775</v>
      </c>
      <c r="G68" s="320">
        <v>120930567</v>
      </c>
    </row>
    <row r="69" spans="1:7">
      <c r="A69" s="244">
        <v>61</v>
      </c>
      <c r="B69" s="233">
        <v>27510000</v>
      </c>
      <c r="C69" s="233"/>
      <c r="E69" s="312" t="s">
        <v>568</v>
      </c>
      <c r="F69" s="239" t="s">
        <v>396</v>
      </c>
      <c r="G69" s="320">
        <v>8511524</v>
      </c>
    </row>
    <row r="70" spans="1:7">
      <c r="A70" s="244">
        <v>62</v>
      </c>
      <c r="B70" s="233">
        <v>27520000</v>
      </c>
      <c r="C70" s="233"/>
      <c r="E70" s="312" t="s">
        <v>568</v>
      </c>
      <c r="F70" s="239" t="s">
        <v>397</v>
      </c>
      <c r="G70" s="320">
        <v>374574</v>
      </c>
    </row>
    <row r="71" spans="1:7">
      <c r="A71" s="244">
        <v>63</v>
      </c>
      <c r="B71" s="233">
        <v>27580000</v>
      </c>
      <c r="C71" s="233"/>
      <c r="E71" s="312" t="s">
        <v>568</v>
      </c>
      <c r="F71" s="239" t="s">
        <v>247</v>
      </c>
      <c r="G71" s="320">
        <v>2152400</v>
      </c>
    </row>
    <row r="72" spans="1:7">
      <c r="A72" s="244">
        <v>64</v>
      </c>
      <c r="B72" s="233">
        <v>28320000</v>
      </c>
      <c r="C72" s="233"/>
      <c r="E72" s="312" t="s">
        <v>420</v>
      </c>
      <c r="F72" s="239" t="s">
        <v>248</v>
      </c>
      <c r="G72" s="320">
        <v>-28895928</v>
      </c>
    </row>
    <row r="73" spans="1:7">
      <c r="A73" s="244">
        <v>65</v>
      </c>
      <c r="B73" s="233">
        <v>28411012</v>
      </c>
      <c r="C73" s="233"/>
      <c r="E73" s="312" t="s">
        <v>433</v>
      </c>
      <c r="F73" s="239" t="s">
        <v>249</v>
      </c>
      <c r="G73" s="320">
        <v>-3275849220</v>
      </c>
    </row>
    <row r="74" spans="1:7">
      <c r="A74" s="244">
        <v>66</v>
      </c>
      <c r="B74" s="233">
        <v>28411013</v>
      </c>
      <c r="C74" s="233"/>
      <c r="E74" s="312" t="s">
        <v>433</v>
      </c>
      <c r="F74" s="239" t="s">
        <v>249</v>
      </c>
      <c r="G74" s="320">
        <v>-291554520</v>
      </c>
    </row>
    <row r="75" spans="1:7">
      <c r="A75" s="244">
        <v>67</v>
      </c>
      <c r="B75" s="233">
        <v>28411014</v>
      </c>
      <c r="C75" s="233"/>
      <c r="E75" s="312" t="s">
        <v>433</v>
      </c>
      <c r="F75" s="239" t="s">
        <v>250</v>
      </c>
      <c r="G75" s="320">
        <v>-87751264</v>
      </c>
    </row>
    <row r="76" spans="1:7">
      <c r="A76" s="244">
        <v>68</v>
      </c>
      <c r="B76" s="233">
        <v>28411015</v>
      </c>
      <c r="C76" s="233"/>
      <c r="E76" s="312" t="s">
        <v>433</v>
      </c>
      <c r="F76" s="239" t="s">
        <v>251</v>
      </c>
      <c r="G76" s="320">
        <v>-280879470</v>
      </c>
    </row>
    <row r="77" spans="1:7">
      <c r="A77" s="244">
        <v>69</v>
      </c>
      <c r="B77" s="233">
        <v>28411016</v>
      </c>
      <c r="C77" s="233"/>
      <c r="E77" s="312" t="s">
        <v>433</v>
      </c>
      <c r="F77" s="239" t="s">
        <v>252</v>
      </c>
      <c r="G77" s="320">
        <v>-151549967</v>
      </c>
    </row>
    <row r="78" spans="1:7">
      <c r="A78" s="244">
        <v>70</v>
      </c>
      <c r="B78" s="233">
        <v>28411022</v>
      </c>
      <c r="C78" s="233"/>
      <c r="E78" s="312" t="s">
        <v>445</v>
      </c>
      <c r="F78" s="239" t="s">
        <v>253</v>
      </c>
      <c r="G78" s="320">
        <v>-3481491720</v>
      </c>
    </row>
    <row r="79" spans="1:7">
      <c r="A79" s="244">
        <v>71</v>
      </c>
      <c r="B79" s="233">
        <v>28411023</v>
      </c>
      <c r="C79" s="233"/>
      <c r="E79" s="312" t="s">
        <v>445</v>
      </c>
      <c r="F79" s="239" t="s">
        <v>254</v>
      </c>
      <c r="G79" s="320">
        <v>-309059388</v>
      </c>
    </row>
    <row r="80" spans="1:7">
      <c r="A80" s="244">
        <v>72</v>
      </c>
      <c r="B80" s="233">
        <v>28411024</v>
      </c>
      <c r="C80" s="233"/>
      <c r="E80" s="312" t="s">
        <v>445</v>
      </c>
      <c r="F80" s="239" t="s">
        <v>255</v>
      </c>
      <c r="G80" s="320">
        <v>-110038901</v>
      </c>
    </row>
    <row r="81" spans="1:7">
      <c r="A81" s="244">
        <v>73</v>
      </c>
      <c r="B81" s="233">
        <v>28411025</v>
      </c>
      <c r="C81" s="233"/>
      <c r="E81" s="312" t="s">
        <v>445</v>
      </c>
      <c r="F81" s="239" t="s">
        <v>256</v>
      </c>
      <c r="G81" s="320">
        <v>-169655215</v>
      </c>
    </row>
    <row r="82" spans="1:7">
      <c r="A82" s="244">
        <v>74</v>
      </c>
      <c r="B82" s="233">
        <v>28411026</v>
      </c>
      <c r="C82" s="233"/>
      <c r="E82" s="312" t="s">
        <v>445</v>
      </c>
      <c r="F82" s="239" t="s">
        <v>257</v>
      </c>
      <c r="G82" s="320">
        <v>-93557481</v>
      </c>
    </row>
    <row r="83" spans="1:7">
      <c r="A83" s="244">
        <v>75</v>
      </c>
      <c r="B83" s="233">
        <v>28411032</v>
      </c>
      <c r="C83" s="233"/>
      <c r="E83" s="312" t="s">
        <v>446</v>
      </c>
      <c r="F83" s="239" t="s">
        <v>258</v>
      </c>
      <c r="G83" s="320">
        <v>-4256439400</v>
      </c>
    </row>
    <row r="84" spans="1:7">
      <c r="A84" s="244">
        <v>76</v>
      </c>
      <c r="B84" s="233">
        <v>28411033</v>
      </c>
      <c r="C84" s="233"/>
      <c r="E84" s="312" t="s">
        <v>446</v>
      </c>
      <c r="F84" s="239" t="s">
        <v>259</v>
      </c>
      <c r="G84" s="320">
        <v>-654005528</v>
      </c>
    </row>
    <row r="85" spans="1:7">
      <c r="A85" s="244">
        <v>77</v>
      </c>
      <c r="B85" s="233">
        <v>28411034</v>
      </c>
      <c r="C85" s="233"/>
      <c r="E85" s="312" t="s">
        <v>446</v>
      </c>
      <c r="F85" s="239" t="s">
        <v>260</v>
      </c>
      <c r="G85" s="320">
        <v>-195254181</v>
      </c>
    </row>
    <row r="86" spans="1:7">
      <c r="A86" s="244">
        <v>78</v>
      </c>
      <c r="B86" s="233">
        <v>28411035</v>
      </c>
      <c r="C86" s="233"/>
      <c r="E86" s="312" t="s">
        <v>446</v>
      </c>
      <c r="F86" s="239" t="s">
        <v>261</v>
      </c>
      <c r="G86" s="320">
        <v>-96959646</v>
      </c>
    </row>
    <row r="87" spans="1:7">
      <c r="A87" s="244">
        <v>79</v>
      </c>
      <c r="B87" s="233">
        <v>28411036</v>
      </c>
      <c r="C87" s="233"/>
      <c r="E87" s="312" t="s">
        <v>446</v>
      </c>
      <c r="F87" s="239" t="s">
        <v>262</v>
      </c>
      <c r="G87" s="320">
        <v>-211737674</v>
      </c>
    </row>
    <row r="88" spans="1:7">
      <c r="A88" s="244">
        <v>80</v>
      </c>
      <c r="B88" s="233">
        <v>28411042</v>
      </c>
      <c r="C88" s="233"/>
      <c r="E88" s="312" t="s">
        <v>444</v>
      </c>
      <c r="F88" s="239" t="s">
        <v>263</v>
      </c>
      <c r="G88" s="320">
        <v>-3150299063</v>
      </c>
    </row>
    <row r="89" spans="1:7">
      <c r="A89" s="244">
        <v>81</v>
      </c>
      <c r="B89" s="233">
        <v>28411052</v>
      </c>
      <c r="C89" s="233"/>
      <c r="E89" s="312" t="s">
        <v>186</v>
      </c>
      <c r="F89" s="239" t="s">
        <v>264</v>
      </c>
      <c r="G89" s="320">
        <v>-1290763636</v>
      </c>
    </row>
    <row r="90" spans="1:7">
      <c r="A90" s="244">
        <v>82</v>
      </c>
      <c r="B90" s="233">
        <v>28411101</v>
      </c>
      <c r="C90" s="233"/>
      <c r="E90" s="312" t="s">
        <v>433</v>
      </c>
      <c r="F90" s="239" t="s">
        <v>265</v>
      </c>
      <c r="G90" s="320">
        <v>-265531380</v>
      </c>
    </row>
    <row r="91" spans="1:7">
      <c r="A91" s="244">
        <v>83</v>
      </c>
      <c r="B91" s="233">
        <v>28411102</v>
      </c>
      <c r="C91" s="233"/>
      <c r="E91" s="312" t="s">
        <v>433</v>
      </c>
      <c r="F91" s="239" t="s">
        <v>266</v>
      </c>
      <c r="G91" s="320">
        <v>-75006715</v>
      </c>
    </row>
    <row r="92" spans="1:7">
      <c r="A92" s="244">
        <v>84</v>
      </c>
      <c r="B92" s="233">
        <v>28411103</v>
      </c>
      <c r="C92" s="233"/>
      <c r="E92" s="312" t="s">
        <v>433</v>
      </c>
      <c r="F92" s="239" t="s">
        <v>267</v>
      </c>
      <c r="G92" s="320">
        <v>-264600866</v>
      </c>
    </row>
    <row r="93" spans="1:7">
      <c r="A93" s="244">
        <v>85</v>
      </c>
      <c r="B93" s="233">
        <v>28411201</v>
      </c>
      <c r="C93" s="233"/>
      <c r="E93" s="312" t="s">
        <v>445</v>
      </c>
      <c r="F93" s="239" t="s">
        <v>268</v>
      </c>
      <c r="G93" s="320">
        <v>-101017380</v>
      </c>
    </row>
    <row r="94" spans="1:7">
      <c r="A94" s="244">
        <v>86</v>
      </c>
      <c r="B94" s="233">
        <v>28411202</v>
      </c>
      <c r="C94" s="233"/>
      <c r="E94" s="312" t="s">
        <v>445</v>
      </c>
      <c r="F94" s="239" t="s">
        <v>269</v>
      </c>
      <c r="G94" s="320">
        <v>-25254400</v>
      </c>
    </row>
    <row r="95" spans="1:7">
      <c r="A95" s="244">
        <v>87</v>
      </c>
      <c r="B95" s="233">
        <v>28411203</v>
      </c>
      <c r="C95" s="233"/>
      <c r="E95" s="312" t="s">
        <v>445</v>
      </c>
      <c r="F95" s="239" t="s">
        <v>270</v>
      </c>
      <c r="G95" s="320">
        <v>-271249996</v>
      </c>
    </row>
    <row r="96" spans="1:7">
      <c r="A96" s="244">
        <v>88</v>
      </c>
      <c r="B96" s="233">
        <v>28411204</v>
      </c>
      <c r="C96" s="233"/>
      <c r="E96" s="312" t="s">
        <v>445</v>
      </c>
      <c r="F96" s="239" t="s">
        <v>271</v>
      </c>
      <c r="G96" s="320">
        <v>-270414019</v>
      </c>
    </row>
    <row r="97" spans="1:7">
      <c r="A97" s="244">
        <v>89</v>
      </c>
      <c r="B97" s="233">
        <v>28411301</v>
      </c>
      <c r="C97" s="233"/>
      <c r="E97" s="312" t="s">
        <v>446</v>
      </c>
      <c r="F97" s="239" t="s">
        <v>272</v>
      </c>
      <c r="G97" s="320">
        <v>-236721780</v>
      </c>
    </row>
    <row r="98" spans="1:7">
      <c r="A98" s="244">
        <v>90</v>
      </c>
      <c r="B98" s="233">
        <v>28411302</v>
      </c>
      <c r="C98" s="233"/>
      <c r="E98" s="312" t="s">
        <v>446</v>
      </c>
      <c r="F98" s="239" t="s">
        <v>273</v>
      </c>
      <c r="G98" s="320">
        <v>-59180400</v>
      </c>
    </row>
    <row r="99" spans="1:7">
      <c r="A99" s="244">
        <v>91</v>
      </c>
      <c r="B99" s="233">
        <v>28411303</v>
      </c>
      <c r="C99" s="233"/>
      <c r="E99" s="312" t="s">
        <v>446</v>
      </c>
      <c r="F99" s="239" t="s">
        <v>274</v>
      </c>
      <c r="G99" s="320">
        <v>-208267601</v>
      </c>
    </row>
    <row r="100" spans="1:7">
      <c r="A100" s="244">
        <v>92</v>
      </c>
      <c r="B100" s="233">
        <v>28411304</v>
      </c>
      <c r="C100" s="233"/>
      <c r="E100" s="312" t="s">
        <v>446</v>
      </c>
      <c r="F100" s="239" t="s">
        <v>1776</v>
      </c>
      <c r="G100" s="320">
        <v>-41597827</v>
      </c>
    </row>
    <row r="101" spans="1:7">
      <c r="A101" s="244">
        <v>93</v>
      </c>
      <c r="B101" s="233">
        <v>28411401</v>
      </c>
      <c r="C101" s="233"/>
      <c r="E101" s="312" t="s">
        <v>444</v>
      </c>
      <c r="F101" s="239" t="s">
        <v>275</v>
      </c>
      <c r="G101" s="320">
        <v>-149505729</v>
      </c>
    </row>
    <row r="102" spans="1:7">
      <c r="A102" s="244">
        <v>94</v>
      </c>
      <c r="B102" s="233">
        <v>28411402</v>
      </c>
      <c r="C102" s="233"/>
      <c r="E102" s="312" t="s">
        <v>444</v>
      </c>
      <c r="F102" s="239" t="s">
        <v>276</v>
      </c>
      <c r="G102" s="320">
        <v>-40774289</v>
      </c>
    </row>
    <row r="103" spans="1:7">
      <c r="A103" s="244">
        <v>95</v>
      </c>
      <c r="B103" s="233">
        <v>28411403</v>
      </c>
      <c r="C103" s="233"/>
      <c r="E103" s="312" t="s">
        <v>444</v>
      </c>
      <c r="F103" s="239" t="s">
        <v>277</v>
      </c>
      <c r="G103" s="320">
        <v>-217494355</v>
      </c>
    </row>
    <row r="104" spans="1:7">
      <c r="A104" s="244">
        <v>96</v>
      </c>
      <c r="B104" s="233">
        <v>28411404</v>
      </c>
      <c r="C104" s="233"/>
      <c r="E104" s="312" t="s">
        <v>444</v>
      </c>
      <c r="F104" s="239" t="s">
        <v>278</v>
      </c>
      <c r="G104" s="320">
        <v>-141967659</v>
      </c>
    </row>
    <row r="105" spans="1:7">
      <c r="A105" s="244">
        <v>97</v>
      </c>
      <c r="B105" s="233">
        <v>28411405</v>
      </c>
      <c r="C105" s="233"/>
      <c r="E105" s="312" t="s">
        <v>444</v>
      </c>
      <c r="F105" s="239" t="s">
        <v>279</v>
      </c>
      <c r="G105" s="320">
        <v>-258236438</v>
      </c>
    </row>
    <row r="106" spans="1:7">
      <c r="A106" s="244">
        <v>98</v>
      </c>
      <c r="B106" s="233">
        <v>28411406</v>
      </c>
      <c r="C106" s="233"/>
      <c r="E106" s="312" t="s">
        <v>444</v>
      </c>
      <c r="F106" s="239" t="s">
        <v>280</v>
      </c>
      <c r="G106" s="320">
        <v>-21319420</v>
      </c>
    </row>
    <row r="107" spans="1:7">
      <c r="A107" s="244">
        <v>99</v>
      </c>
      <c r="B107" s="233">
        <v>28411501</v>
      </c>
      <c r="C107" s="233"/>
      <c r="E107" s="312" t="s">
        <v>186</v>
      </c>
      <c r="F107" s="239" t="s">
        <v>281</v>
      </c>
      <c r="G107" s="320">
        <v>-53764230</v>
      </c>
    </row>
    <row r="108" spans="1:7">
      <c r="A108" s="244">
        <v>100</v>
      </c>
      <c r="B108" s="233">
        <v>28411502</v>
      </c>
      <c r="C108" s="233"/>
      <c r="E108" s="312" t="s">
        <v>186</v>
      </c>
      <c r="F108" s="239" t="s">
        <v>282</v>
      </c>
      <c r="G108" s="320">
        <v>-13441038</v>
      </c>
    </row>
    <row r="109" spans="1:7">
      <c r="A109" s="244">
        <v>101</v>
      </c>
      <c r="B109" s="233">
        <v>28411503</v>
      </c>
      <c r="C109" s="233"/>
      <c r="E109" s="312" t="s">
        <v>186</v>
      </c>
      <c r="F109" s="239" t="s">
        <v>283</v>
      </c>
      <c r="G109" s="320">
        <v>-64241806</v>
      </c>
    </row>
    <row r="110" spans="1:7">
      <c r="A110" s="244">
        <v>102</v>
      </c>
      <c r="B110" s="233">
        <v>28411504</v>
      </c>
      <c r="C110" s="233"/>
      <c r="E110" s="312" t="s">
        <v>186</v>
      </c>
      <c r="F110" s="239" t="s">
        <v>284</v>
      </c>
      <c r="G110" s="320">
        <v>-47155309</v>
      </c>
    </row>
    <row r="111" spans="1:7">
      <c r="A111" s="244">
        <v>103</v>
      </c>
      <c r="B111" s="233">
        <v>28411506</v>
      </c>
      <c r="C111" s="233"/>
      <c r="E111" s="312" t="s">
        <v>186</v>
      </c>
      <c r="F111" s="239" t="s">
        <v>1777</v>
      </c>
      <c r="G111" s="320">
        <v>-5435992</v>
      </c>
    </row>
    <row r="112" spans="1:7">
      <c r="A112" s="244">
        <v>104</v>
      </c>
      <c r="B112" s="233">
        <v>28411600</v>
      </c>
      <c r="C112" s="233"/>
      <c r="E112" s="312" t="s">
        <v>186</v>
      </c>
      <c r="F112" s="239" t="s">
        <v>285</v>
      </c>
      <c r="G112" s="320">
        <v>-5111868</v>
      </c>
    </row>
    <row r="113" spans="1:17">
      <c r="A113" s="244">
        <v>105</v>
      </c>
      <c r="B113" s="233">
        <v>28412000</v>
      </c>
      <c r="C113" s="233"/>
      <c r="E113" s="312" t="s">
        <v>445</v>
      </c>
      <c r="F113" s="239" t="s">
        <v>286</v>
      </c>
      <c r="G113" s="320">
        <v>-16893000</v>
      </c>
    </row>
    <row r="114" spans="1:17">
      <c r="A114" s="244">
        <v>106</v>
      </c>
      <c r="B114" s="233">
        <v>28430000</v>
      </c>
      <c r="C114" s="233"/>
      <c r="E114" s="312" t="s">
        <v>406</v>
      </c>
      <c r="F114" s="239" t="s">
        <v>287</v>
      </c>
      <c r="G114" s="320">
        <v>-3766094</v>
      </c>
    </row>
    <row r="115" spans="1:17">
      <c r="A115" s="244">
        <v>107</v>
      </c>
      <c r="B115" s="233">
        <v>28441000</v>
      </c>
      <c r="C115" s="233"/>
      <c r="E115" s="312" t="s">
        <v>406</v>
      </c>
      <c r="F115" s="239" t="s">
        <v>288</v>
      </c>
      <c r="G115" s="320">
        <v>-4027260</v>
      </c>
    </row>
    <row r="116" spans="1:17">
      <c r="A116" s="244">
        <v>108</v>
      </c>
      <c r="B116" s="233">
        <v>28442000</v>
      </c>
      <c r="C116" s="233"/>
      <c r="E116" s="312" t="s">
        <v>406</v>
      </c>
      <c r="F116" s="239" t="s">
        <v>289</v>
      </c>
      <c r="G116" s="320">
        <v>-7225046</v>
      </c>
    </row>
    <row r="117" spans="1:17">
      <c r="A117" s="244">
        <v>109</v>
      </c>
      <c r="B117" s="233">
        <v>28444000</v>
      </c>
      <c r="C117" s="233"/>
      <c r="E117" s="312" t="s">
        <v>406</v>
      </c>
      <c r="F117" s="239" t="s">
        <v>290</v>
      </c>
      <c r="G117" s="320">
        <v>-2284323</v>
      </c>
    </row>
    <row r="118" spans="1:17">
      <c r="A118" s="244">
        <v>110</v>
      </c>
      <c r="B118" s="233">
        <v>28451000</v>
      </c>
      <c r="C118" s="233"/>
      <c r="E118" s="312" t="s">
        <v>450</v>
      </c>
      <c r="F118" s="239" t="s">
        <v>291</v>
      </c>
      <c r="G118" s="320">
        <v>-64470569</v>
      </c>
    </row>
    <row r="119" spans="1:17">
      <c r="A119" s="244">
        <v>111</v>
      </c>
      <c r="B119" s="233">
        <v>28451001</v>
      </c>
      <c r="C119" s="233"/>
      <c r="E119" s="312" t="s">
        <v>450</v>
      </c>
      <c r="F119" s="239" t="s">
        <v>292</v>
      </c>
      <c r="G119" s="320">
        <v>-14550530</v>
      </c>
    </row>
    <row r="120" spans="1:17">
      <c r="A120" s="244">
        <v>112</v>
      </c>
      <c r="B120" s="233">
        <v>28451002</v>
      </c>
      <c r="C120" s="233"/>
      <c r="E120" s="312" t="s">
        <v>450</v>
      </c>
      <c r="F120" s="239" t="s">
        <v>293</v>
      </c>
      <c r="G120" s="320">
        <v>-12584325</v>
      </c>
    </row>
    <row r="121" spans="1:17">
      <c r="A121" s="244">
        <v>113</v>
      </c>
      <c r="B121" s="233">
        <v>28454000</v>
      </c>
      <c r="C121" s="233"/>
      <c r="E121" s="312" t="s">
        <v>406</v>
      </c>
      <c r="F121" s="239" t="s">
        <v>294</v>
      </c>
      <c r="G121" s="320">
        <v>-2700000</v>
      </c>
    </row>
    <row r="122" spans="1:17">
      <c r="A122" s="244">
        <v>114</v>
      </c>
      <c r="B122" s="233">
        <v>28480000</v>
      </c>
      <c r="C122" s="233"/>
      <c r="E122" s="312" t="s">
        <v>406</v>
      </c>
      <c r="F122" s="239" t="s">
        <v>295</v>
      </c>
      <c r="G122" s="320">
        <v>-10661842</v>
      </c>
    </row>
    <row r="123" spans="1:17">
      <c r="A123" s="244">
        <v>115</v>
      </c>
      <c r="B123" s="233">
        <v>33120000</v>
      </c>
      <c r="C123" s="233"/>
      <c r="E123" s="312" t="s">
        <v>408</v>
      </c>
      <c r="F123" s="239" t="s">
        <v>296</v>
      </c>
      <c r="G123" s="320">
        <v>163657438</v>
      </c>
    </row>
    <row r="124" spans="1:17">
      <c r="A124" s="244">
        <v>116</v>
      </c>
      <c r="B124" s="233">
        <v>33130000</v>
      </c>
      <c r="C124" s="233"/>
      <c r="E124" s="312" t="s">
        <v>408</v>
      </c>
      <c r="F124" s="239" t="s">
        <v>297</v>
      </c>
      <c r="G124" s="320">
        <v>124233125</v>
      </c>
    </row>
    <row r="125" spans="1:17">
      <c r="A125" s="244">
        <v>117</v>
      </c>
      <c r="B125" s="233">
        <v>33140000</v>
      </c>
      <c r="C125" s="233"/>
      <c r="E125" s="312" t="s">
        <v>408</v>
      </c>
      <c r="F125" s="239" t="s">
        <v>298</v>
      </c>
      <c r="G125" s="320">
        <v>303204686</v>
      </c>
    </row>
    <row r="126" spans="1:17" s="13" customFormat="1">
      <c r="A126" s="244">
        <v>118</v>
      </c>
      <c r="B126" s="233">
        <v>33150000</v>
      </c>
      <c r="C126" s="233"/>
      <c r="D126" s="26"/>
      <c r="E126" s="312" t="s">
        <v>408</v>
      </c>
      <c r="F126" s="239" t="s">
        <v>299</v>
      </c>
      <c r="G126" s="320">
        <v>200299552</v>
      </c>
      <c r="Q126"/>
    </row>
    <row r="127" spans="1:17">
      <c r="A127" s="244">
        <v>119</v>
      </c>
      <c r="B127" s="233">
        <v>33160000</v>
      </c>
      <c r="C127" s="233"/>
      <c r="E127" s="312" t="s">
        <v>408</v>
      </c>
      <c r="F127" s="239" t="s">
        <v>300</v>
      </c>
      <c r="G127" s="320">
        <v>43712972</v>
      </c>
    </row>
    <row r="128" spans="1:17" s="13" customFormat="1">
      <c r="A128" s="244">
        <v>120</v>
      </c>
      <c r="B128" s="233">
        <v>33210000</v>
      </c>
      <c r="C128" s="233"/>
      <c r="D128" s="26"/>
      <c r="E128" s="312" t="s">
        <v>409</v>
      </c>
      <c r="F128" s="239" t="s">
        <v>301</v>
      </c>
      <c r="G128" s="320">
        <v>178212769</v>
      </c>
      <c r="Q128"/>
    </row>
    <row r="129" spans="1:17">
      <c r="A129" s="244">
        <v>121</v>
      </c>
      <c r="B129" s="233">
        <v>36110000</v>
      </c>
      <c r="C129" s="233"/>
      <c r="E129" s="312" t="s">
        <v>410</v>
      </c>
      <c r="F129" s="239" t="s">
        <v>302</v>
      </c>
      <c r="G129" s="320">
        <v>437762556</v>
      </c>
      <c r="H129" s="336"/>
    </row>
    <row r="130" spans="1:17">
      <c r="A130" s="244">
        <v>122</v>
      </c>
      <c r="B130" s="233">
        <v>36120000</v>
      </c>
      <c r="C130" s="233"/>
      <c r="E130" s="312" t="s">
        <v>410</v>
      </c>
      <c r="F130" s="239" t="s">
        <v>303</v>
      </c>
      <c r="G130" s="320">
        <v>0</v>
      </c>
      <c r="H130" s="336"/>
    </row>
    <row r="131" spans="1:17">
      <c r="A131" s="244">
        <v>123</v>
      </c>
      <c r="B131" s="233">
        <v>36140000</v>
      </c>
      <c r="C131" s="233"/>
      <c r="E131" s="312" t="s">
        <v>410</v>
      </c>
      <c r="F131" s="239" t="s">
        <v>304</v>
      </c>
      <c r="G131" s="320">
        <v>0</v>
      </c>
      <c r="H131" s="336"/>
    </row>
    <row r="132" spans="1:17">
      <c r="A132" s="244">
        <v>124</v>
      </c>
      <c r="B132" s="233">
        <v>36150000</v>
      </c>
      <c r="C132" s="233"/>
      <c r="E132" s="312" t="s">
        <v>410</v>
      </c>
      <c r="F132" s="239" t="s">
        <v>305</v>
      </c>
      <c r="G132" s="320">
        <v>0</v>
      </c>
      <c r="H132" s="336"/>
    </row>
    <row r="133" spans="1:17" s="13" customFormat="1">
      <c r="A133" s="244">
        <v>125</v>
      </c>
      <c r="B133" s="233">
        <v>36210000</v>
      </c>
      <c r="C133" s="233"/>
      <c r="D133" s="26"/>
      <c r="E133" s="312" t="s">
        <v>410</v>
      </c>
      <c r="F133" s="239" t="s">
        <v>306</v>
      </c>
      <c r="G133" s="320">
        <v>112057476</v>
      </c>
      <c r="H133" s="192"/>
      <c r="Q133"/>
    </row>
    <row r="134" spans="1:17">
      <c r="A134" s="244">
        <v>126</v>
      </c>
      <c r="B134" s="233">
        <v>36220000</v>
      </c>
      <c r="C134" s="233"/>
      <c r="E134" s="312" t="s">
        <v>410</v>
      </c>
      <c r="F134" s="239" t="s">
        <v>307</v>
      </c>
      <c r="G134" s="320">
        <v>0</v>
      </c>
      <c r="H134" s="336"/>
    </row>
    <row r="135" spans="1:17">
      <c r="A135" s="244">
        <v>127</v>
      </c>
      <c r="B135" s="233">
        <v>36240000</v>
      </c>
      <c r="C135" s="233"/>
      <c r="E135" s="312" t="s">
        <v>410</v>
      </c>
      <c r="F135" s="239" t="s">
        <v>308</v>
      </c>
      <c r="G135" s="320">
        <v>0</v>
      </c>
      <c r="H135" s="336"/>
    </row>
    <row r="136" spans="1:17">
      <c r="A136" s="244">
        <v>128</v>
      </c>
      <c r="B136" s="233">
        <v>36250000</v>
      </c>
      <c r="C136" s="233"/>
      <c r="E136" s="312" t="s">
        <v>410</v>
      </c>
      <c r="F136" s="239" t="s">
        <v>309</v>
      </c>
      <c r="G136" s="320">
        <v>0</v>
      </c>
      <c r="H136" s="336"/>
    </row>
    <row r="137" spans="1:17">
      <c r="A137" s="244">
        <v>129</v>
      </c>
      <c r="B137" s="233">
        <v>36310000</v>
      </c>
      <c r="C137" s="233"/>
      <c r="E137" s="312" t="s">
        <v>410</v>
      </c>
      <c r="F137" s="239" t="s">
        <v>310</v>
      </c>
      <c r="G137" s="320">
        <v>127334311</v>
      </c>
      <c r="H137" s="336"/>
    </row>
    <row r="138" spans="1:17" s="13" customFormat="1">
      <c r="A138" s="244">
        <v>130</v>
      </c>
      <c r="B138" s="233">
        <v>36320000</v>
      </c>
      <c r="C138" s="233"/>
      <c r="D138" s="26"/>
      <c r="E138" s="312" t="s">
        <v>410</v>
      </c>
      <c r="F138" s="239" t="s">
        <v>1804</v>
      </c>
      <c r="G138" s="320">
        <v>0</v>
      </c>
      <c r="H138" s="192"/>
      <c r="Q138"/>
    </row>
    <row r="139" spans="1:17">
      <c r="A139" s="244">
        <v>131</v>
      </c>
      <c r="B139" s="233">
        <v>36330000</v>
      </c>
      <c r="C139" s="233"/>
      <c r="E139" s="312" t="s">
        <v>410</v>
      </c>
      <c r="F139" s="239" t="s">
        <v>1805</v>
      </c>
      <c r="G139" s="320">
        <v>0</v>
      </c>
    </row>
    <row r="140" spans="1:17">
      <c r="A140" s="244">
        <v>132</v>
      </c>
      <c r="B140" s="233">
        <v>36340000</v>
      </c>
      <c r="C140" s="233"/>
      <c r="E140" s="312" t="s">
        <v>410</v>
      </c>
      <c r="F140" s="239" t="s">
        <v>1806</v>
      </c>
      <c r="G140" s="320">
        <v>0</v>
      </c>
    </row>
    <row r="141" spans="1:17">
      <c r="A141" s="244">
        <v>133</v>
      </c>
      <c r="B141" s="233">
        <v>36350000</v>
      </c>
      <c r="C141" s="233"/>
      <c r="E141" s="312" t="s">
        <v>410</v>
      </c>
      <c r="F141" s="239" t="s">
        <v>1807</v>
      </c>
      <c r="G141" s="320">
        <v>0</v>
      </c>
    </row>
    <row r="142" spans="1:17">
      <c r="A142" s="244">
        <v>134</v>
      </c>
      <c r="B142" s="233">
        <v>36410000</v>
      </c>
      <c r="C142" s="233"/>
      <c r="E142" s="312" t="s">
        <v>410</v>
      </c>
      <c r="F142" s="239" t="s">
        <v>311</v>
      </c>
      <c r="G142" s="320">
        <v>0</v>
      </c>
    </row>
    <row r="143" spans="1:17">
      <c r="A143" s="244">
        <v>135</v>
      </c>
      <c r="B143" s="233">
        <v>36420000</v>
      </c>
      <c r="C143" s="233"/>
      <c r="E143" s="312" t="s">
        <v>410</v>
      </c>
      <c r="F143" s="239" t="s">
        <v>312</v>
      </c>
      <c r="G143" s="320">
        <v>0</v>
      </c>
    </row>
    <row r="144" spans="1:17" s="13" customFormat="1">
      <c r="A144" s="244">
        <v>136</v>
      </c>
      <c r="B144" s="233">
        <v>36440000</v>
      </c>
      <c r="C144" s="233"/>
      <c r="D144" s="26"/>
      <c r="E144" s="312" t="s">
        <v>410</v>
      </c>
      <c r="F144" s="239" t="s">
        <v>313</v>
      </c>
      <c r="G144" s="320">
        <v>0</v>
      </c>
      <c r="Q144"/>
    </row>
    <row r="145" spans="1:17">
      <c r="A145" s="244">
        <v>137</v>
      </c>
      <c r="B145" s="233">
        <v>36450000</v>
      </c>
      <c r="C145" s="233"/>
      <c r="E145" s="312" t="s">
        <v>410</v>
      </c>
      <c r="F145" s="239" t="s">
        <v>314</v>
      </c>
      <c r="G145" s="320">
        <v>0</v>
      </c>
      <c r="H145" s="336"/>
    </row>
    <row r="146" spans="1:17">
      <c r="A146" s="244">
        <v>138</v>
      </c>
      <c r="B146" s="233">
        <v>36510000</v>
      </c>
      <c r="C146" s="233"/>
      <c r="E146" s="312" t="s">
        <v>410</v>
      </c>
      <c r="F146" s="239" t="s">
        <v>315</v>
      </c>
      <c r="G146" s="320">
        <v>360683011</v>
      </c>
      <c r="H146" s="336"/>
    </row>
    <row r="147" spans="1:17">
      <c r="A147" s="244">
        <v>139</v>
      </c>
      <c r="B147" s="233">
        <v>36520000</v>
      </c>
      <c r="C147" s="233"/>
      <c r="E147" s="312" t="s">
        <v>410</v>
      </c>
      <c r="F147" s="239" t="s">
        <v>316</v>
      </c>
      <c r="G147" s="320">
        <v>0</v>
      </c>
      <c r="H147" s="336"/>
    </row>
    <row r="148" spans="1:17">
      <c r="A148" s="244">
        <v>140</v>
      </c>
      <c r="B148" s="233">
        <v>36530000</v>
      </c>
      <c r="C148" s="233"/>
      <c r="E148" s="312" t="s">
        <v>410</v>
      </c>
      <c r="F148" s="239" t="s">
        <v>317</v>
      </c>
      <c r="G148" s="320">
        <v>0</v>
      </c>
      <c r="H148" s="336"/>
    </row>
    <row r="149" spans="1:17" s="13" customFormat="1">
      <c r="A149" s="244">
        <v>141</v>
      </c>
      <c r="B149" s="233">
        <v>36540000</v>
      </c>
      <c r="C149" s="233"/>
      <c r="D149" s="26"/>
      <c r="E149" s="312" t="s">
        <v>410</v>
      </c>
      <c r="F149" s="239" t="s">
        <v>592</v>
      </c>
      <c r="G149" s="320">
        <v>0</v>
      </c>
      <c r="H149" s="192"/>
      <c r="Q149"/>
    </row>
    <row r="150" spans="1:17">
      <c r="A150" s="244">
        <v>142</v>
      </c>
      <c r="B150" s="233">
        <v>40100000</v>
      </c>
      <c r="C150" s="233"/>
      <c r="E150" s="312" t="s">
        <v>411</v>
      </c>
      <c r="F150" s="239" t="s">
        <v>318</v>
      </c>
      <c r="G150" s="320">
        <v>547146</v>
      </c>
    </row>
    <row r="151" spans="1:17">
      <c r="A151" s="244">
        <v>143</v>
      </c>
      <c r="B151" s="233">
        <v>40111000</v>
      </c>
      <c r="C151" s="233"/>
      <c r="E151" s="312" t="s">
        <v>411</v>
      </c>
      <c r="F151" s="239" t="s">
        <v>318</v>
      </c>
      <c r="G151" s="320">
        <v>-954610472</v>
      </c>
    </row>
    <row r="152" spans="1:17">
      <c r="A152" s="244">
        <v>144</v>
      </c>
      <c r="B152" s="233">
        <v>40112000</v>
      </c>
      <c r="C152" s="233"/>
      <c r="E152" s="312" t="s">
        <v>412</v>
      </c>
      <c r="F152" s="239" t="s">
        <v>319</v>
      </c>
      <c r="G152" s="320">
        <v>-7958869627</v>
      </c>
    </row>
    <row r="153" spans="1:17">
      <c r="A153" s="244">
        <v>145</v>
      </c>
      <c r="B153" s="233">
        <v>41100000</v>
      </c>
      <c r="C153" s="233"/>
      <c r="E153" s="312" t="s">
        <v>414</v>
      </c>
      <c r="F153" s="239" t="s">
        <v>320</v>
      </c>
      <c r="G153" s="320">
        <v>10257780889.999996</v>
      </c>
    </row>
    <row r="154" spans="1:17">
      <c r="A154" s="244">
        <v>146</v>
      </c>
      <c r="B154" s="233">
        <v>42100000</v>
      </c>
      <c r="C154" s="233"/>
      <c r="E154" s="312" t="s">
        <v>415</v>
      </c>
      <c r="F154" s="239" t="s">
        <v>321</v>
      </c>
      <c r="G154" s="320">
        <v>-524062</v>
      </c>
    </row>
    <row r="155" spans="1:17">
      <c r="A155" s="244">
        <v>147</v>
      </c>
      <c r="B155" s="233">
        <v>42110000</v>
      </c>
      <c r="C155" s="233"/>
      <c r="E155" s="312" t="s">
        <v>415</v>
      </c>
      <c r="F155" s="239" t="s">
        <v>322</v>
      </c>
      <c r="G155" s="320">
        <v>24524011</v>
      </c>
    </row>
    <row r="156" spans="1:17">
      <c r="A156" s="244">
        <v>148</v>
      </c>
      <c r="B156" s="233">
        <v>42200001</v>
      </c>
      <c r="C156" s="233"/>
      <c r="E156" s="312" t="s">
        <v>416</v>
      </c>
      <c r="F156" s="239" t="s">
        <v>323</v>
      </c>
      <c r="G156" s="320">
        <v>0</v>
      </c>
    </row>
    <row r="157" spans="1:17">
      <c r="A157" s="244">
        <v>149</v>
      </c>
      <c r="B157" s="233">
        <v>42200002</v>
      </c>
      <c r="C157" s="233"/>
      <c r="E157" s="312" t="s">
        <v>416</v>
      </c>
      <c r="F157" s="239" t="s">
        <v>324</v>
      </c>
      <c r="G157" s="320">
        <v>-23962482</v>
      </c>
    </row>
    <row r="158" spans="1:17">
      <c r="A158" s="244">
        <v>150</v>
      </c>
      <c r="B158" s="233">
        <v>42200003</v>
      </c>
      <c r="C158" s="233"/>
      <c r="E158" s="312" t="s">
        <v>416</v>
      </c>
      <c r="F158" s="239" t="s">
        <v>325</v>
      </c>
      <c r="G158" s="320">
        <v>-13522293</v>
      </c>
    </row>
    <row r="159" spans="1:17">
      <c r="A159" s="244">
        <v>151</v>
      </c>
      <c r="B159" s="233">
        <v>42200004</v>
      </c>
      <c r="C159" s="233"/>
      <c r="E159" s="312" t="s">
        <v>416</v>
      </c>
      <c r="F159" s="239" t="s">
        <v>326</v>
      </c>
      <c r="G159" s="320">
        <v>-23168367</v>
      </c>
    </row>
    <row r="160" spans="1:17">
      <c r="A160" s="244">
        <v>152</v>
      </c>
      <c r="B160" s="233">
        <v>42200005</v>
      </c>
      <c r="C160" s="233"/>
      <c r="E160" s="312" t="s">
        <v>416</v>
      </c>
      <c r="F160" s="239" t="s">
        <v>327</v>
      </c>
      <c r="G160" s="320">
        <v>-3165428</v>
      </c>
    </row>
    <row r="161" spans="1:7">
      <c r="A161" s="244">
        <v>153</v>
      </c>
      <c r="B161" s="233">
        <v>42200006</v>
      </c>
      <c r="C161" s="233"/>
      <c r="E161" s="312" t="s">
        <v>416</v>
      </c>
      <c r="F161" s="239" t="s">
        <v>328</v>
      </c>
      <c r="G161" s="320">
        <v>-7488656</v>
      </c>
    </row>
    <row r="162" spans="1:7">
      <c r="A162" s="244">
        <v>154</v>
      </c>
      <c r="B162" s="233">
        <v>42200009</v>
      </c>
      <c r="C162" s="233"/>
      <c r="E162" s="312" t="s">
        <v>416</v>
      </c>
      <c r="F162" s="239" t="s">
        <v>329</v>
      </c>
      <c r="G162" s="320">
        <v>13083609</v>
      </c>
    </row>
    <row r="163" spans="1:7">
      <c r="A163" s="244">
        <v>155</v>
      </c>
      <c r="B163" s="233">
        <v>42200010</v>
      </c>
      <c r="C163" s="233"/>
      <c r="E163" s="312" t="s">
        <v>416</v>
      </c>
      <c r="F163" s="239" t="s">
        <v>330</v>
      </c>
      <c r="G163" s="320">
        <v>68222036</v>
      </c>
    </row>
    <row r="164" spans="1:7">
      <c r="A164" s="244">
        <v>156</v>
      </c>
      <c r="B164" s="233">
        <v>42200011</v>
      </c>
      <c r="C164" s="233"/>
      <c r="E164" s="312" t="s">
        <v>416</v>
      </c>
      <c r="F164" s="239" t="s">
        <v>331</v>
      </c>
      <c r="G164" s="320">
        <v>78172777</v>
      </c>
    </row>
    <row r="165" spans="1:7">
      <c r="A165" s="244">
        <v>157</v>
      </c>
      <c r="B165" s="233">
        <v>42200012</v>
      </c>
      <c r="C165" s="233"/>
      <c r="E165" s="312" t="s">
        <v>416</v>
      </c>
      <c r="F165" s="239" t="s">
        <v>332</v>
      </c>
      <c r="G165" s="320">
        <v>168000959</v>
      </c>
    </row>
    <row r="166" spans="1:7">
      <c r="A166" s="244">
        <v>158</v>
      </c>
      <c r="B166" s="233">
        <v>42200013</v>
      </c>
      <c r="C166" s="233"/>
      <c r="E166" s="312" t="s">
        <v>416</v>
      </c>
      <c r="F166" s="239" t="s">
        <v>333</v>
      </c>
      <c r="G166" s="320">
        <v>9336520</v>
      </c>
    </row>
    <row r="167" spans="1:7">
      <c r="A167" s="244">
        <v>159</v>
      </c>
      <c r="B167" s="233">
        <v>42200019</v>
      </c>
      <c r="C167" s="233"/>
      <c r="E167" s="312" t="s">
        <v>416</v>
      </c>
      <c r="F167" s="239" t="s">
        <v>73</v>
      </c>
      <c r="G167" s="320">
        <v>-305271521</v>
      </c>
    </row>
    <row r="168" spans="1:7">
      <c r="A168" s="244">
        <v>160</v>
      </c>
      <c r="B168" s="233">
        <v>42200029</v>
      </c>
      <c r="C168" s="233"/>
      <c r="E168" s="312" t="s">
        <v>416</v>
      </c>
      <c r="F168" s="239" t="s">
        <v>74</v>
      </c>
      <c r="G168" s="320">
        <v>-244269387</v>
      </c>
    </row>
    <row r="169" spans="1:7">
      <c r="A169" s="244">
        <v>161</v>
      </c>
      <c r="B169" s="233">
        <v>42200039</v>
      </c>
      <c r="C169" s="233"/>
      <c r="E169" s="312" t="s">
        <v>416</v>
      </c>
      <c r="F169" s="239" t="s">
        <v>334</v>
      </c>
      <c r="G169" s="320">
        <v>-101109903</v>
      </c>
    </row>
    <row r="170" spans="1:7">
      <c r="A170" s="244">
        <v>162</v>
      </c>
      <c r="B170" s="233">
        <v>42200049</v>
      </c>
      <c r="C170" s="233"/>
      <c r="E170" s="312" t="s">
        <v>416</v>
      </c>
      <c r="F170" s="239" t="s">
        <v>335</v>
      </c>
      <c r="G170" s="320">
        <v>-465500631</v>
      </c>
    </row>
    <row r="171" spans="1:7">
      <c r="A171" s="244">
        <v>163</v>
      </c>
      <c r="B171" s="233">
        <v>42200059</v>
      </c>
      <c r="C171" s="233"/>
      <c r="E171" s="312" t="s">
        <v>416</v>
      </c>
      <c r="F171" s="239" t="s">
        <v>336</v>
      </c>
      <c r="G171" s="320">
        <v>118776725</v>
      </c>
    </row>
    <row r="172" spans="1:7">
      <c r="A172" s="244">
        <v>164</v>
      </c>
      <c r="B172" s="233">
        <v>42520000</v>
      </c>
      <c r="C172" s="233"/>
      <c r="E172" s="312" t="s">
        <v>405</v>
      </c>
      <c r="F172" s="239" t="s">
        <v>337</v>
      </c>
      <c r="G172" s="320">
        <v>-157000</v>
      </c>
    </row>
    <row r="173" spans="1:7">
      <c r="A173" s="244">
        <v>165</v>
      </c>
      <c r="B173" s="233">
        <v>42530000</v>
      </c>
      <c r="C173" s="233"/>
      <c r="E173" s="312" t="s">
        <v>405</v>
      </c>
      <c r="F173" s="239" t="s">
        <v>338</v>
      </c>
      <c r="G173" s="320">
        <v>138000</v>
      </c>
    </row>
    <row r="174" spans="1:7">
      <c r="A174" s="244">
        <v>166</v>
      </c>
      <c r="B174" s="233">
        <v>42810000</v>
      </c>
      <c r="C174" s="233"/>
      <c r="E174" s="312" t="s">
        <v>405</v>
      </c>
      <c r="F174" s="239" t="s">
        <v>339</v>
      </c>
      <c r="G174" s="320">
        <v>-81163165</v>
      </c>
    </row>
    <row r="175" spans="1:7">
      <c r="A175" s="244">
        <v>167</v>
      </c>
      <c r="B175" s="233">
        <v>43110000</v>
      </c>
      <c r="C175" s="233"/>
      <c r="E175" s="312" t="s">
        <v>417</v>
      </c>
      <c r="F175" s="239" t="s">
        <v>398</v>
      </c>
      <c r="G175" s="320">
        <v>-2540025</v>
      </c>
    </row>
    <row r="176" spans="1:7">
      <c r="A176" s="244">
        <v>168</v>
      </c>
      <c r="B176" s="233">
        <v>43120000</v>
      </c>
      <c r="C176" s="233"/>
      <c r="E176" s="312" t="s">
        <v>417</v>
      </c>
      <c r="F176" s="239" t="s">
        <v>399</v>
      </c>
      <c r="G176" s="320">
        <v>-1814304</v>
      </c>
    </row>
    <row r="177" spans="1:7">
      <c r="A177" s="244">
        <v>169</v>
      </c>
      <c r="B177" s="233">
        <v>43130000</v>
      </c>
      <c r="C177" s="233"/>
      <c r="E177" s="312" t="s">
        <v>417</v>
      </c>
      <c r="F177" s="239" t="s">
        <v>340</v>
      </c>
      <c r="G177" s="320">
        <v>-3017638</v>
      </c>
    </row>
    <row r="178" spans="1:7">
      <c r="A178" s="244">
        <v>170</v>
      </c>
      <c r="B178" s="233">
        <v>43132000</v>
      </c>
      <c r="C178" s="233"/>
      <c r="E178" s="312" t="s">
        <v>417</v>
      </c>
      <c r="F178" s="239" t="s">
        <v>341</v>
      </c>
      <c r="G178" s="320">
        <v>-389430</v>
      </c>
    </row>
    <row r="179" spans="1:7">
      <c r="A179" s="244">
        <v>171</v>
      </c>
      <c r="B179" s="233">
        <v>43133000</v>
      </c>
      <c r="C179" s="233"/>
      <c r="E179" s="312" t="s">
        <v>417</v>
      </c>
      <c r="F179" s="239" t="s">
        <v>342</v>
      </c>
      <c r="G179" s="320">
        <v>-18023062</v>
      </c>
    </row>
    <row r="180" spans="1:7">
      <c r="A180" s="244">
        <v>172</v>
      </c>
      <c r="B180" s="233">
        <v>43300000</v>
      </c>
      <c r="C180" s="233"/>
      <c r="E180" s="312" t="s">
        <v>417</v>
      </c>
      <c r="F180" s="239" t="s">
        <v>343</v>
      </c>
      <c r="G180" s="320">
        <v>-7123375</v>
      </c>
    </row>
    <row r="181" spans="1:7">
      <c r="A181" s="244">
        <v>173</v>
      </c>
      <c r="B181" s="233">
        <v>44100000</v>
      </c>
      <c r="C181" s="233"/>
      <c r="E181" s="312" t="s">
        <v>417</v>
      </c>
      <c r="F181" s="238" t="s">
        <v>1778</v>
      </c>
      <c r="G181" s="320">
        <v>235877891</v>
      </c>
    </row>
    <row r="182" spans="1:7">
      <c r="A182" s="244">
        <v>174</v>
      </c>
      <c r="B182" s="233">
        <v>44320000</v>
      </c>
      <c r="C182" s="233"/>
      <c r="E182" s="312" t="s">
        <v>568</v>
      </c>
      <c r="F182" s="239" t="s">
        <v>344</v>
      </c>
      <c r="G182" s="320">
        <v>-169200</v>
      </c>
    </row>
    <row r="183" spans="1:7">
      <c r="A183" s="244">
        <v>175</v>
      </c>
      <c r="B183" s="233">
        <v>44490000</v>
      </c>
      <c r="C183" s="233"/>
      <c r="E183" s="312" t="s">
        <v>568</v>
      </c>
      <c r="F183" s="239" t="s">
        <v>1779</v>
      </c>
      <c r="G183" s="320">
        <v>239437493</v>
      </c>
    </row>
    <row r="184" spans="1:7">
      <c r="A184" s="244">
        <v>176</v>
      </c>
      <c r="B184" s="233">
        <v>44520000</v>
      </c>
      <c r="C184" s="233"/>
      <c r="E184" s="312" t="s">
        <v>568</v>
      </c>
      <c r="F184" s="239" t="s">
        <v>346</v>
      </c>
      <c r="G184" s="320">
        <v>975908</v>
      </c>
    </row>
    <row r="185" spans="1:7">
      <c r="A185" s="244">
        <v>177</v>
      </c>
      <c r="B185" s="233">
        <v>44540000</v>
      </c>
      <c r="C185" s="233"/>
      <c r="E185" s="312" t="s">
        <v>568</v>
      </c>
      <c r="F185" s="239" t="s">
        <v>400</v>
      </c>
      <c r="G185" s="320">
        <v>5753042</v>
      </c>
    </row>
    <row r="186" spans="1:7">
      <c r="A186" s="244">
        <v>178</v>
      </c>
      <c r="B186" s="233">
        <v>44710000</v>
      </c>
      <c r="C186" s="233"/>
      <c r="E186" s="312" t="s">
        <v>417</v>
      </c>
      <c r="F186" s="239" t="s">
        <v>401</v>
      </c>
      <c r="G186" s="320">
        <v>-162317</v>
      </c>
    </row>
    <row r="187" spans="1:7">
      <c r="A187" s="244">
        <v>179</v>
      </c>
      <c r="B187" s="233">
        <v>44721000</v>
      </c>
      <c r="C187" s="233"/>
      <c r="E187" s="312" t="s">
        <v>417</v>
      </c>
      <c r="F187" s="239" t="s">
        <v>347</v>
      </c>
      <c r="G187" s="320">
        <v>-479099595</v>
      </c>
    </row>
    <row r="188" spans="1:7">
      <c r="A188" s="244">
        <v>180</v>
      </c>
      <c r="B188" s="233">
        <v>44722000</v>
      </c>
      <c r="C188" s="233"/>
      <c r="E188" s="312" t="s">
        <v>417</v>
      </c>
      <c r="F188" s="239" t="s">
        <v>348</v>
      </c>
      <c r="G188" s="320">
        <v>-171000</v>
      </c>
    </row>
    <row r="189" spans="1:7">
      <c r="A189" s="244">
        <v>181</v>
      </c>
      <c r="B189" s="233">
        <v>44781000</v>
      </c>
      <c r="C189" s="233"/>
      <c r="E189" s="312" t="s">
        <v>417</v>
      </c>
      <c r="F189" s="239" t="s">
        <v>349</v>
      </c>
      <c r="G189" s="320">
        <v>-66018143</v>
      </c>
    </row>
    <row r="190" spans="1:7">
      <c r="A190" s="244">
        <v>182</v>
      </c>
      <c r="B190" s="233">
        <v>47110000</v>
      </c>
      <c r="C190" s="233"/>
      <c r="E190" s="312" t="s">
        <v>405</v>
      </c>
      <c r="F190" s="239" t="s">
        <v>1780</v>
      </c>
      <c r="G190" s="320">
        <v>189800</v>
      </c>
    </row>
    <row r="191" spans="1:7">
      <c r="A191" s="244">
        <v>183</v>
      </c>
      <c r="B191" s="233">
        <v>47110100</v>
      </c>
      <c r="C191" s="233"/>
      <c r="E191" s="312" t="s">
        <v>417</v>
      </c>
      <c r="F191" s="239" t="s">
        <v>1781</v>
      </c>
      <c r="G191" s="320">
        <v>420000</v>
      </c>
    </row>
    <row r="192" spans="1:7">
      <c r="A192" s="244">
        <v>184</v>
      </c>
      <c r="B192" s="233">
        <v>47111111</v>
      </c>
      <c r="C192" s="233"/>
      <c r="E192" s="312" t="s">
        <v>405</v>
      </c>
      <c r="F192" s="239" t="s">
        <v>350</v>
      </c>
      <c r="G192" s="320">
        <v>-241800</v>
      </c>
    </row>
    <row r="193" spans="1:7">
      <c r="A193" s="244">
        <v>185</v>
      </c>
      <c r="B193" s="233">
        <v>47111200</v>
      </c>
      <c r="C193" s="233"/>
      <c r="E193" s="312" t="s">
        <v>413</v>
      </c>
      <c r="F193" s="239" t="s">
        <v>351</v>
      </c>
      <c r="G193" s="320">
        <v>39052167</v>
      </c>
    </row>
    <row r="194" spans="1:7">
      <c r="A194" s="244">
        <v>186</v>
      </c>
      <c r="B194" s="233">
        <v>47111210</v>
      </c>
      <c r="C194" s="233"/>
      <c r="E194" s="312" t="s">
        <v>413</v>
      </c>
      <c r="F194" s="239" t="s">
        <v>352</v>
      </c>
      <c r="G194" s="320">
        <v>13509715</v>
      </c>
    </row>
    <row r="195" spans="1:7">
      <c r="A195" s="244">
        <v>187</v>
      </c>
      <c r="B195" s="233">
        <v>47111900</v>
      </c>
      <c r="C195" s="233"/>
      <c r="E195" s="312" t="s">
        <v>413</v>
      </c>
      <c r="F195" s="239" t="s">
        <v>186</v>
      </c>
      <c r="G195" s="320">
        <v>9195692</v>
      </c>
    </row>
    <row r="196" spans="1:7">
      <c r="A196" s="244">
        <v>188</v>
      </c>
      <c r="B196" s="233">
        <v>47114600</v>
      </c>
      <c r="C196" s="233"/>
      <c r="E196" s="312" t="s">
        <v>413</v>
      </c>
      <c r="F196" s="239" t="s">
        <v>353</v>
      </c>
      <c r="G196" s="320">
        <v>44000000</v>
      </c>
    </row>
    <row r="197" spans="1:7">
      <c r="A197" s="244">
        <v>189</v>
      </c>
      <c r="B197" s="233">
        <v>47116000</v>
      </c>
      <c r="C197" s="233"/>
      <c r="E197" s="312" t="s">
        <v>413</v>
      </c>
      <c r="F197" s="239" t="s">
        <v>567</v>
      </c>
      <c r="G197" s="320">
        <v>0</v>
      </c>
    </row>
    <row r="198" spans="1:7">
      <c r="A198" s="244">
        <v>190</v>
      </c>
      <c r="B198" s="233">
        <v>47118000</v>
      </c>
      <c r="C198" s="233"/>
      <c r="E198" s="312" t="s">
        <v>413</v>
      </c>
      <c r="F198" s="239" t="s">
        <v>354</v>
      </c>
      <c r="G198" s="320">
        <v>85804500</v>
      </c>
    </row>
    <row r="199" spans="1:7">
      <c r="A199" s="244">
        <v>191</v>
      </c>
      <c r="B199" s="233">
        <v>47140000</v>
      </c>
      <c r="C199" s="233"/>
      <c r="E199" s="312" t="s">
        <v>413</v>
      </c>
      <c r="F199" s="239" t="s">
        <v>355</v>
      </c>
      <c r="G199" s="320">
        <v>1276600</v>
      </c>
    </row>
    <row r="200" spans="1:7">
      <c r="A200" s="244">
        <v>192</v>
      </c>
      <c r="B200" s="233">
        <v>47461000</v>
      </c>
      <c r="C200" s="233"/>
      <c r="E200" s="312" t="s">
        <v>418</v>
      </c>
      <c r="F200" s="239" t="s">
        <v>356</v>
      </c>
      <c r="G200" s="320">
        <v>79586112</v>
      </c>
    </row>
    <row r="201" spans="1:7">
      <c r="A201" s="244">
        <v>193</v>
      </c>
      <c r="B201" s="233">
        <v>47462000</v>
      </c>
      <c r="C201" s="233"/>
      <c r="E201" s="312" t="s">
        <v>418</v>
      </c>
      <c r="F201" s="239" t="s">
        <v>357</v>
      </c>
      <c r="G201" s="320">
        <v>19786835</v>
      </c>
    </row>
    <row r="202" spans="1:7">
      <c r="A202" s="244">
        <v>194</v>
      </c>
      <c r="B202" s="233">
        <v>47463000</v>
      </c>
      <c r="C202" s="233"/>
      <c r="E202" s="312" t="s">
        <v>418</v>
      </c>
      <c r="F202" s="239" t="s">
        <v>358</v>
      </c>
      <c r="G202" s="320">
        <v>0</v>
      </c>
    </row>
    <row r="203" spans="1:7">
      <c r="A203" s="244">
        <v>195</v>
      </c>
      <c r="B203" s="233">
        <v>47464000</v>
      </c>
      <c r="C203" s="233"/>
      <c r="E203" s="312" t="s">
        <v>418</v>
      </c>
      <c r="F203" s="239" t="s">
        <v>359</v>
      </c>
      <c r="G203" s="320">
        <v>-2</v>
      </c>
    </row>
    <row r="204" spans="1:7">
      <c r="A204" s="244">
        <v>196</v>
      </c>
      <c r="B204" s="233">
        <v>47465000</v>
      </c>
      <c r="C204" s="233"/>
      <c r="E204" s="312" t="s">
        <v>418</v>
      </c>
      <c r="F204" s="239" t="s">
        <v>360</v>
      </c>
      <c r="G204" s="320">
        <v>1097051</v>
      </c>
    </row>
    <row r="205" spans="1:7">
      <c r="A205" s="244">
        <v>197</v>
      </c>
      <c r="B205" s="233">
        <v>47466000</v>
      </c>
      <c r="C205" s="233"/>
      <c r="E205" s="312" t="s">
        <v>418</v>
      </c>
      <c r="F205" s="239" t="s">
        <v>361</v>
      </c>
      <c r="G205" s="320">
        <v>2985522</v>
      </c>
    </row>
    <row r="206" spans="1:7">
      <c r="A206" s="244">
        <v>198</v>
      </c>
      <c r="B206" s="233">
        <v>47471110</v>
      </c>
      <c r="C206" s="233"/>
      <c r="E206" s="312" t="s">
        <v>418</v>
      </c>
      <c r="F206" s="239" t="s">
        <v>362</v>
      </c>
      <c r="G206" s="320">
        <v>33463632</v>
      </c>
    </row>
    <row r="207" spans="1:7">
      <c r="A207" s="244">
        <v>199</v>
      </c>
      <c r="B207" s="233">
        <v>47471120</v>
      </c>
      <c r="C207" s="233"/>
      <c r="E207" s="312" t="s">
        <v>418</v>
      </c>
      <c r="F207" s="239" t="s">
        <v>363</v>
      </c>
      <c r="G207" s="320">
        <v>37829530</v>
      </c>
    </row>
    <row r="208" spans="1:7">
      <c r="A208" s="244">
        <v>200</v>
      </c>
      <c r="B208" s="233">
        <v>47471130</v>
      </c>
      <c r="C208" s="233"/>
      <c r="E208" s="312" t="s">
        <v>418</v>
      </c>
      <c r="F208" s="239" t="s">
        <v>364</v>
      </c>
      <c r="G208" s="320">
        <v>54598555</v>
      </c>
    </row>
    <row r="209" spans="1:7">
      <c r="A209" s="244">
        <v>201</v>
      </c>
      <c r="B209" s="233">
        <v>47471140</v>
      </c>
      <c r="C209" s="233"/>
      <c r="E209" s="312" t="s">
        <v>418</v>
      </c>
      <c r="F209" s="239" t="s">
        <v>365</v>
      </c>
      <c r="G209" s="320">
        <v>42790780</v>
      </c>
    </row>
    <row r="210" spans="1:7">
      <c r="A210" s="244">
        <v>202</v>
      </c>
      <c r="B210" s="233">
        <v>47471150</v>
      </c>
      <c r="C210" s="233"/>
      <c r="E210" s="312" t="s">
        <v>418</v>
      </c>
      <c r="F210" s="239" t="s">
        <v>366</v>
      </c>
      <c r="G210" s="320">
        <v>16934399</v>
      </c>
    </row>
    <row r="211" spans="1:7">
      <c r="A211" s="244">
        <v>203</v>
      </c>
      <c r="B211" s="233">
        <v>47471210</v>
      </c>
      <c r="C211" s="233"/>
      <c r="E211" s="312" t="s">
        <v>418</v>
      </c>
      <c r="F211" s="239" t="s">
        <v>367</v>
      </c>
      <c r="G211" s="320">
        <v>69463637</v>
      </c>
    </row>
    <row r="212" spans="1:7">
      <c r="A212" s="244">
        <v>204</v>
      </c>
      <c r="B212" s="233">
        <v>47471220</v>
      </c>
      <c r="C212" s="233"/>
      <c r="E212" s="312" t="s">
        <v>418</v>
      </c>
      <c r="F212" s="239" t="s">
        <v>368</v>
      </c>
      <c r="G212" s="320">
        <v>69645492</v>
      </c>
    </row>
    <row r="213" spans="1:7">
      <c r="A213" s="244">
        <v>205</v>
      </c>
      <c r="B213" s="233">
        <v>47471230</v>
      </c>
      <c r="C213" s="233"/>
      <c r="E213" s="312" t="s">
        <v>418</v>
      </c>
      <c r="F213" s="239" t="s">
        <v>369</v>
      </c>
      <c r="G213" s="320">
        <v>69463637</v>
      </c>
    </row>
    <row r="214" spans="1:7">
      <c r="A214" s="244">
        <v>206</v>
      </c>
      <c r="B214" s="233">
        <v>47471240</v>
      </c>
      <c r="C214" s="233"/>
      <c r="E214" s="312" t="s">
        <v>418</v>
      </c>
      <c r="F214" s="239" t="s">
        <v>370</v>
      </c>
      <c r="G214" s="320">
        <v>69673590</v>
      </c>
    </row>
    <row r="215" spans="1:7">
      <c r="A215" s="244">
        <v>207</v>
      </c>
      <c r="B215" s="233">
        <v>47471250</v>
      </c>
      <c r="C215" s="233"/>
      <c r="E215" s="312" t="s">
        <v>418</v>
      </c>
      <c r="F215" s="239" t="s">
        <v>371</v>
      </c>
      <c r="G215" s="320">
        <v>58225682</v>
      </c>
    </row>
    <row r="216" spans="1:7">
      <c r="A216" s="244">
        <v>208</v>
      </c>
      <c r="B216" s="233">
        <v>47471310</v>
      </c>
      <c r="C216" s="233"/>
      <c r="E216" s="312" t="s">
        <v>418</v>
      </c>
      <c r="F216" s="239" t="s">
        <v>372</v>
      </c>
      <c r="G216" s="320">
        <v>27422181</v>
      </c>
    </row>
    <row r="217" spans="1:7">
      <c r="A217" s="244">
        <v>209</v>
      </c>
      <c r="B217" s="233">
        <v>47471320</v>
      </c>
      <c r="C217" s="233"/>
      <c r="E217" s="312" t="s">
        <v>418</v>
      </c>
      <c r="F217" s="239" t="s">
        <v>373</v>
      </c>
      <c r="G217" s="320">
        <v>52020500</v>
      </c>
    </row>
    <row r="218" spans="1:7">
      <c r="A218" s="244">
        <v>210</v>
      </c>
      <c r="B218" s="233">
        <v>47471330</v>
      </c>
      <c r="C218" s="233"/>
      <c r="E218" s="312" t="s">
        <v>418</v>
      </c>
      <c r="F218" s="239" t="s">
        <v>374</v>
      </c>
      <c r="G218" s="320">
        <v>14338500</v>
      </c>
    </row>
    <row r="219" spans="1:7">
      <c r="A219" s="244">
        <v>211</v>
      </c>
      <c r="B219" s="233">
        <v>47471340</v>
      </c>
      <c r="C219" s="233"/>
      <c r="E219" s="312" t="s">
        <v>418</v>
      </c>
      <c r="F219" s="239" t="s">
        <v>375</v>
      </c>
      <c r="G219" s="320">
        <v>31992541</v>
      </c>
    </row>
    <row r="220" spans="1:7">
      <c r="A220" s="244">
        <v>212</v>
      </c>
      <c r="B220" s="233">
        <v>47471410</v>
      </c>
      <c r="C220" s="233"/>
      <c r="E220" s="312" t="s">
        <v>418</v>
      </c>
      <c r="F220" s="239" t="s">
        <v>376</v>
      </c>
      <c r="G220" s="320">
        <v>11154215</v>
      </c>
    </row>
    <row r="221" spans="1:7">
      <c r="A221" s="244">
        <v>213</v>
      </c>
      <c r="B221" s="233">
        <v>47471420</v>
      </c>
      <c r="C221" s="233"/>
      <c r="E221" s="312" t="s">
        <v>418</v>
      </c>
      <c r="F221" s="239" t="s">
        <v>377</v>
      </c>
      <c r="G221" s="320">
        <v>12046545</v>
      </c>
    </row>
    <row r="222" spans="1:7">
      <c r="A222" s="244">
        <v>214</v>
      </c>
      <c r="B222" s="233">
        <v>47471430</v>
      </c>
      <c r="C222" s="233"/>
      <c r="E222" s="312" t="s">
        <v>418</v>
      </c>
      <c r="F222" s="239" t="s">
        <v>378</v>
      </c>
      <c r="G222" s="320">
        <v>12046545</v>
      </c>
    </row>
    <row r="223" spans="1:7">
      <c r="A223" s="244">
        <v>215</v>
      </c>
      <c r="B223" s="233">
        <v>47471440</v>
      </c>
      <c r="C223" s="233"/>
      <c r="E223" s="312" t="s">
        <v>418</v>
      </c>
      <c r="F223" s="239" t="s">
        <v>379</v>
      </c>
      <c r="G223" s="320">
        <v>12046545</v>
      </c>
    </row>
    <row r="224" spans="1:7">
      <c r="A224" s="244">
        <v>216</v>
      </c>
      <c r="B224" s="233">
        <v>47471450</v>
      </c>
      <c r="C224" s="233"/>
      <c r="E224" s="312" t="s">
        <v>418</v>
      </c>
      <c r="F224" s="239" t="s">
        <v>380</v>
      </c>
      <c r="G224" s="320">
        <v>10261877</v>
      </c>
    </row>
    <row r="225" spans="1:7">
      <c r="A225" s="244">
        <v>217</v>
      </c>
      <c r="B225" s="233">
        <v>47471900</v>
      </c>
      <c r="C225" s="233"/>
      <c r="E225" s="312" t="s">
        <v>418</v>
      </c>
      <c r="F225" s="239" t="s">
        <v>386</v>
      </c>
      <c r="G225" s="320">
        <v>-1</v>
      </c>
    </row>
    <row r="226" spans="1:7">
      <c r="A226" s="244">
        <v>218</v>
      </c>
      <c r="B226" s="233">
        <v>47472000</v>
      </c>
      <c r="C226" s="233"/>
      <c r="E226" s="312" t="s">
        <v>418</v>
      </c>
      <c r="F226" s="239" t="s">
        <v>387</v>
      </c>
      <c r="G226" s="320">
        <v>141449917</v>
      </c>
    </row>
    <row r="227" spans="1:7">
      <c r="A227" s="244">
        <v>219</v>
      </c>
      <c r="B227" s="233">
        <v>48121000</v>
      </c>
      <c r="C227" s="233"/>
      <c r="E227" s="312" t="s">
        <v>404</v>
      </c>
      <c r="F227" s="239" t="s">
        <v>351</v>
      </c>
      <c r="G227" s="320">
        <v>-9442703</v>
      </c>
    </row>
    <row r="228" spans="1:7">
      <c r="A228" s="244">
        <v>220</v>
      </c>
      <c r="B228" s="233">
        <v>52112000</v>
      </c>
      <c r="C228" s="233"/>
      <c r="E228" s="312" t="s">
        <v>419</v>
      </c>
      <c r="F228" s="239" t="s">
        <v>388</v>
      </c>
      <c r="G228" s="320">
        <v>5673251051</v>
      </c>
    </row>
    <row r="229" spans="1:7">
      <c r="A229" s="244">
        <v>221</v>
      </c>
      <c r="B229" s="233">
        <v>52113000</v>
      </c>
      <c r="C229" s="233"/>
      <c r="E229" s="312" t="s">
        <v>419</v>
      </c>
      <c r="F229" s="239" t="s">
        <v>389</v>
      </c>
      <c r="G229" s="320">
        <v>2487803028</v>
      </c>
    </row>
    <row r="230" spans="1:7">
      <c r="A230" s="244">
        <v>222</v>
      </c>
      <c r="B230" s="233">
        <v>52115000</v>
      </c>
      <c r="C230" s="233"/>
      <c r="E230" s="312" t="s">
        <v>419</v>
      </c>
      <c r="F230" s="239" t="s">
        <v>390</v>
      </c>
      <c r="G230" s="320">
        <v>400462</v>
      </c>
    </row>
    <row r="231" spans="1:7">
      <c r="A231" s="244">
        <v>223</v>
      </c>
      <c r="B231" s="233">
        <v>52119000</v>
      </c>
      <c r="C231" s="233"/>
      <c r="E231" s="312" t="s">
        <v>419</v>
      </c>
      <c r="F231" s="239" t="s">
        <v>391</v>
      </c>
      <c r="G231" s="320">
        <v>607658826</v>
      </c>
    </row>
    <row r="232" spans="1:7">
      <c r="A232" s="244">
        <v>224</v>
      </c>
      <c r="B232" s="233">
        <v>55400000</v>
      </c>
      <c r="C232" s="233"/>
      <c r="E232" s="312" t="s">
        <v>419</v>
      </c>
      <c r="F232" s="239" t="s">
        <v>392</v>
      </c>
      <c r="G232" s="320">
        <v>79579</v>
      </c>
    </row>
    <row r="233" spans="1:7">
      <c r="A233" s="244">
        <v>225</v>
      </c>
      <c r="B233" s="233">
        <v>57110000</v>
      </c>
      <c r="C233" s="233"/>
      <c r="E233" s="312" t="s">
        <v>419</v>
      </c>
      <c r="F233" s="239" t="s">
        <v>393</v>
      </c>
      <c r="G233" s="320">
        <v>35327935</v>
      </c>
    </row>
    <row r="234" spans="1:7">
      <c r="A234" s="244">
        <v>226</v>
      </c>
      <c r="B234" s="233">
        <v>60150096</v>
      </c>
      <c r="C234" s="233" t="s">
        <v>108</v>
      </c>
      <c r="E234" s="312" t="s">
        <v>126</v>
      </c>
      <c r="F234" s="239" t="s">
        <v>0</v>
      </c>
      <c r="G234" s="320">
        <v>127691837</v>
      </c>
    </row>
    <row r="235" spans="1:7">
      <c r="A235" s="244">
        <v>227</v>
      </c>
      <c r="B235" s="233">
        <v>60151000</v>
      </c>
      <c r="C235" s="233" t="s">
        <v>99</v>
      </c>
      <c r="E235" s="312" t="s">
        <v>115</v>
      </c>
      <c r="F235" s="239" t="s">
        <v>1</v>
      </c>
      <c r="G235" s="320">
        <v>360140</v>
      </c>
    </row>
    <row r="236" spans="1:7">
      <c r="A236" s="244">
        <v>228</v>
      </c>
      <c r="B236" s="233">
        <v>60151000</v>
      </c>
      <c r="C236" s="233" t="s">
        <v>101</v>
      </c>
      <c r="E236" s="312" t="s">
        <v>115</v>
      </c>
      <c r="F236" s="239" t="s">
        <v>1</v>
      </c>
      <c r="G236" s="320">
        <v>2010140</v>
      </c>
    </row>
    <row r="237" spans="1:7">
      <c r="A237" s="244">
        <v>229</v>
      </c>
      <c r="B237" s="233">
        <v>60151000</v>
      </c>
      <c r="C237" s="233" t="s">
        <v>103</v>
      </c>
      <c r="E237" s="312" t="s">
        <v>115</v>
      </c>
      <c r="F237" s="239" t="s">
        <v>1</v>
      </c>
      <c r="G237" s="320">
        <v>728552</v>
      </c>
    </row>
    <row r="238" spans="1:7">
      <c r="A238" s="244">
        <v>230</v>
      </c>
      <c r="B238" s="233">
        <v>60151000</v>
      </c>
      <c r="C238" s="233" t="s">
        <v>105</v>
      </c>
      <c r="E238" s="312" t="s">
        <v>115</v>
      </c>
      <c r="F238" s="239" t="s">
        <v>1</v>
      </c>
      <c r="G238" s="320">
        <v>960140</v>
      </c>
    </row>
    <row r="239" spans="1:7">
      <c r="A239" s="244">
        <v>231</v>
      </c>
      <c r="B239" s="233">
        <v>60151000</v>
      </c>
      <c r="C239" s="233" t="s">
        <v>107</v>
      </c>
      <c r="E239" s="312" t="s">
        <v>115</v>
      </c>
      <c r="F239" s="239" t="s">
        <v>1</v>
      </c>
      <c r="G239" s="320">
        <v>365140</v>
      </c>
    </row>
    <row r="240" spans="1:7">
      <c r="A240" s="244">
        <v>232</v>
      </c>
      <c r="B240" s="233">
        <v>60151000</v>
      </c>
      <c r="C240" s="233" t="s">
        <v>108</v>
      </c>
      <c r="E240" s="312" t="s">
        <v>127</v>
      </c>
      <c r="F240" s="239" t="s">
        <v>1</v>
      </c>
      <c r="G240" s="320">
        <v>6000000</v>
      </c>
    </row>
    <row r="241" spans="1:7">
      <c r="A241" s="244">
        <v>233</v>
      </c>
      <c r="B241" s="233">
        <v>60152000</v>
      </c>
      <c r="C241" s="233" t="s">
        <v>99</v>
      </c>
      <c r="E241" s="312" t="s">
        <v>110</v>
      </c>
      <c r="F241" s="239" t="s">
        <v>2</v>
      </c>
      <c r="G241" s="320">
        <v>8188978</v>
      </c>
    </row>
    <row r="242" spans="1:7">
      <c r="A242" s="244">
        <v>234</v>
      </c>
      <c r="B242" s="233">
        <v>60152000</v>
      </c>
      <c r="C242" s="233" t="s">
        <v>101</v>
      </c>
      <c r="E242" s="312" t="s">
        <v>110</v>
      </c>
      <c r="F242" s="239" t="s">
        <v>2</v>
      </c>
      <c r="G242" s="320">
        <v>2093205</v>
      </c>
    </row>
    <row r="243" spans="1:7">
      <c r="A243" s="244">
        <v>235</v>
      </c>
      <c r="B243" s="233">
        <v>60152000</v>
      </c>
      <c r="C243" s="233" t="s">
        <v>103</v>
      </c>
      <c r="E243" s="312" t="s">
        <v>110</v>
      </c>
      <c r="F243" s="239" t="s">
        <v>2</v>
      </c>
      <c r="G243" s="320">
        <v>6889114</v>
      </c>
    </row>
    <row r="244" spans="1:7">
      <c r="A244" s="244">
        <v>236</v>
      </c>
      <c r="B244" s="233">
        <v>60152000</v>
      </c>
      <c r="C244" s="233" t="s">
        <v>105</v>
      </c>
      <c r="E244" s="312" t="s">
        <v>110</v>
      </c>
      <c r="F244" s="239" t="s">
        <v>2</v>
      </c>
      <c r="G244" s="320">
        <v>2133205</v>
      </c>
    </row>
    <row r="245" spans="1:7">
      <c r="A245" s="244">
        <v>237</v>
      </c>
      <c r="B245" s="233">
        <v>60152000</v>
      </c>
      <c r="C245" s="233" t="s">
        <v>107</v>
      </c>
      <c r="E245" s="312" t="s">
        <v>110</v>
      </c>
      <c r="F245" s="239" t="s">
        <v>2</v>
      </c>
      <c r="G245" s="320">
        <v>2105268</v>
      </c>
    </row>
    <row r="246" spans="1:7">
      <c r="A246" s="244">
        <v>238</v>
      </c>
      <c r="B246" s="233">
        <v>60154000</v>
      </c>
      <c r="C246" s="233" t="s">
        <v>99</v>
      </c>
      <c r="E246" s="312" t="s">
        <v>111</v>
      </c>
      <c r="F246" s="239" t="s">
        <v>3</v>
      </c>
      <c r="G246" s="320">
        <v>12350</v>
      </c>
    </row>
    <row r="247" spans="1:7">
      <c r="A247" s="244">
        <v>239</v>
      </c>
      <c r="B247" s="233">
        <v>60154000</v>
      </c>
      <c r="C247" s="233" t="s">
        <v>99</v>
      </c>
      <c r="E247" s="312" t="s">
        <v>111</v>
      </c>
      <c r="F247" s="239" t="s">
        <v>3</v>
      </c>
      <c r="G247" s="320">
        <v>2933729</v>
      </c>
    </row>
    <row r="248" spans="1:7">
      <c r="A248" s="244">
        <v>240</v>
      </c>
      <c r="B248" s="233">
        <v>60154000</v>
      </c>
      <c r="C248" s="233" t="s">
        <v>101</v>
      </c>
      <c r="E248" s="312" t="s">
        <v>111</v>
      </c>
      <c r="F248" s="239" t="s">
        <v>3</v>
      </c>
      <c r="G248" s="320">
        <v>1029487</v>
      </c>
    </row>
    <row r="249" spans="1:7">
      <c r="A249" s="244">
        <v>241</v>
      </c>
      <c r="B249" s="233">
        <v>60154000</v>
      </c>
      <c r="C249" s="233" t="s">
        <v>103</v>
      </c>
      <c r="E249" s="312" t="s">
        <v>111</v>
      </c>
      <c r="F249" s="239" t="s">
        <v>3</v>
      </c>
      <c r="G249" s="320">
        <v>1416312</v>
      </c>
    </row>
    <row r="250" spans="1:7">
      <c r="A250" s="244">
        <v>242</v>
      </c>
      <c r="B250" s="233">
        <v>60154000</v>
      </c>
      <c r="C250" s="233" t="s">
        <v>105</v>
      </c>
      <c r="E250" s="312" t="s">
        <v>111</v>
      </c>
      <c r="F250" s="239" t="s">
        <v>3</v>
      </c>
      <c r="G250" s="320">
        <v>1713934</v>
      </c>
    </row>
    <row r="251" spans="1:7">
      <c r="A251" s="244">
        <v>243</v>
      </c>
      <c r="B251" s="233">
        <v>60154000</v>
      </c>
      <c r="C251" s="233" t="s">
        <v>107</v>
      </c>
      <c r="E251" s="312" t="s">
        <v>111</v>
      </c>
      <c r="F251" s="239" t="s">
        <v>3</v>
      </c>
      <c r="G251" s="320">
        <v>306439</v>
      </c>
    </row>
    <row r="252" spans="1:7">
      <c r="A252" s="244">
        <v>244</v>
      </c>
      <c r="B252" s="233">
        <v>60330000</v>
      </c>
      <c r="C252" s="233" t="s">
        <v>99</v>
      </c>
      <c r="E252" s="312" t="s">
        <v>112</v>
      </c>
      <c r="F252" s="239" t="s">
        <v>4</v>
      </c>
      <c r="G252" s="320">
        <v>-69170128</v>
      </c>
    </row>
    <row r="253" spans="1:7">
      <c r="A253" s="244">
        <v>245</v>
      </c>
      <c r="B253" s="233">
        <v>60330000</v>
      </c>
      <c r="C253" s="233" t="s">
        <v>101</v>
      </c>
      <c r="E253" s="312" t="s">
        <v>112</v>
      </c>
      <c r="F253" s="239" t="s">
        <v>4</v>
      </c>
      <c r="G253" s="320">
        <v>21598997</v>
      </c>
    </row>
    <row r="254" spans="1:7">
      <c r="A254" s="244">
        <v>246</v>
      </c>
      <c r="B254" s="233">
        <v>60330000</v>
      </c>
      <c r="C254" s="233" t="s">
        <v>103</v>
      </c>
      <c r="E254" s="312" t="s">
        <v>112</v>
      </c>
      <c r="F254" s="239" t="s">
        <v>4</v>
      </c>
      <c r="G254" s="320">
        <v>-15573557</v>
      </c>
    </row>
    <row r="255" spans="1:7">
      <c r="A255" s="244">
        <v>247</v>
      </c>
      <c r="B255" s="233">
        <v>60330000</v>
      </c>
      <c r="C255" s="233" t="s">
        <v>105</v>
      </c>
      <c r="E255" s="312" t="s">
        <v>112</v>
      </c>
      <c r="F255" s="239" t="s">
        <v>4</v>
      </c>
      <c r="G255" s="320">
        <v>-17450296</v>
      </c>
    </row>
    <row r="256" spans="1:7">
      <c r="A256" s="244">
        <v>248</v>
      </c>
      <c r="B256" s="233">
        <v>60330000</v>
      </c>
      <c r="C256" s="233" t="s">
        <v>107</v>
      </c>
      <c r="E256" s="312" t="s">
        <v>112</v>
      </c>
      <c r="F256" s="239" t="s">
        <v>4</v>
      </c>
      <c r="G256" s="320">
        <v>61098811</v>
      </c>
    </row>
    <row r="257" spans="1:7">
      <c r="A257" s="244">
        <v>249</v>
      </c>
      <c r="B257" s="233">
        <v>60340000</v>
      </c>
      <c r="C257" s="233" t="s">
        <v>99</v>
      </c>
      <c r="E257" s="312" t="s">
        <v>113</v>
      </c>
      <c r="F257" s="239" t="s">
        <v>5</v>
      </c>
      <c r="G257" s="320">
        <v>28899368</v>
      </c>
    </row>
    <row r="258" spans="1:7">
      <c r="A258" s="244">
        <v>250</v>
      </c>
      <c r="B258" s="233">
        <v>60340000</v>
      </c>
      <c r="C258" s="233" t="s">
        <v>101</v>
      </c>
      <c r="E258" s="312" t="s">
        <v>113</v>
      </c>
      <c r="F258" s="239" t="s">
        <v>5</v>
      </c>
      <c r="G258" s="320">
        <v>33715929</v>
      </c>
    </row>
    <row r="259" spans="1:7">
      <c r="A259" s="244">
        <v>251</v>
      </c>
      <c r="B259" s="233">
        <v>60340000</v>
      </c>
      <c r="C259" s="233" t="s">
        <v>103</v>
      </c>
      <c r="E259" s="312" t="s">
        <v>113</v>
      </c>
      <c r="F259" s="239" t="s">
        <v>5</v>
      </c>
      <c r="G259" s="320">
        <v>36124210</v>
      </c>
    </row>
    <row r="260" spans="1:7">
      <c r="A260" s="244">
        <v>252</v>
      </c>
      <c r="B260" s="233">
        <v>60340000</v>
      </c>
      <c r="C260" s="233" t="s">
        <v>105</v>
      </c>
      <c r="E260" s="312" t="s">
        <v>113</v>
      </c>
      <c r="F260" s="239" t="s">
        <v>5</v>
      </c>
      <c r="G260" s="320">
        <v>28899368</v>
      </c>
    </row>
    <row r="261" spans="1:7">
      <c r="A261" s="244">
        <v>253</v>
      </c>
      <c r="B261" s="233">
        <v>60340000</v>
      </c>
      <c r="C261" s="233" t="s">
        <v>107</v>
      </c>
      <c r="E261" s="312" t="s">
        <v>113</v>
      </c>
      <c r="F261" s="239" t="s">
        <v>5</v>
      </c>
      <c r="G261" s="320">
        <v>37087523</v>
      </c>
    </row>
    <row r="262" spans="1:7">
      <c r="A262" s="244">
        <v>254</v>
      </c>
      <c r="B262" s="233">
        <v>60410000</v>
      </c>
      <c r="C262" s="233" t="s">
        <v>103</v>
      </c>
      <c r="E262" s="312" t="s">
        <v>113</v>
      </c>
      <c r="F262" s="239" t="s">
        <v>6</v>
      </c>
      <c r="G262" s="320">
        <v>975000</v>
      </c>
    </row>
    <row r="263" spans="1:7">
      <c r="A263" s="244">
        <v>255</v>
      </c>
      <c r="B263" s="233">
        <v>60410000</v>
      </c>
      <c r="C263" s="233" t="s">
        <v>105</v>
      </c>
      <c r="E263" s="312" t="s">
        <v>113</v>
      </c>
      <c r="F263" s="239" t="s">
        <v>6</v>
      </c>
      <c r="G263" s="320">
        <v>975000</v>
      </c>
    </row>
    <row r="264" spans="1:7">
      <c r="A264" s="244">
        <v>256</v>
      </c>
      <c r="B264" s="233">
        <v>60410000</v>
      </c>
      <c r="C264" s="233" t="s">
        <v>107</v>
      </c>
      <c r="E264" s="312" t="s">
        <v>113</v>
      </c>
      <c r="F264" s="239" t="s">
        <v>6</v>
      </c>
      <c r="G264" s="320">
        <v>975000</v>
      </c>
    </row>
    <row r="265" spans="1:7">
      <c r="A265" s="244">
        <v>257</v>
      </c>
      <c r="B265" s="233">
        <v>60420000</v>
      </c>
      <c r="C265" s="233" t="s">
        <v>99</v>
      </c>
      <c r="E265" s="312" t="s">
        <v>112</v>
      </c>
      <c r="F265" s="239" t="s">
        <v>1773</v>
      </c>
      <c r="G265" s="320">
        <v>214378</v>
      </c>
    </row>
    <row r="266" spans="1:7">
      <c r="A266" s="244">
        <v>258</v>
      </c>
      <c r="B266" s="233">
        <v>60420000</v>
      </c>
      <c r="C266" s="233" t="s">
        <v>101</v>
      </c>
      <c r="E266" s="312" t="s">
        <v>112</v>
      </c>
      <c r="F266" s="239" t="s">
        <v>1773</v>
      </c>
      <c r="G266" s="320">
        <v>214378</v>
      </c>
    </row>
    <row r="267" spans="1:7">
      <c r="A267" s="244">
        <v>259</v>
      </c>
      <c r="B267" s="233">
        <v>60420000</v>
      </c>
      <c r="C267" s="233" t="s">
        <v>103</v>
      </c>
      <c r="E267" s="312" t="s">
        <v>112</v>
      </c>
      <c r="F267" s="239" t="s">
        <v>1773</v>
      </c>
      <c r="G267" s="320">
        <v>214379</v>
      </c>
    </row>
    <row r="268" spans="1:7">
      <c r="A268" s="244">
        <v>260</v>
      </c>
      <c r="B268" s="233">
        <v>60420000</v>
      </c>
      <c r="C268" s="233" t="s">
        <v>105</v>
      </c>
      <c r="E268" s="312" t="s">
        <v>112</v>
      </c>
      <c r="F268" s="239" t="s">
        <v>1773</v>
      </c>
      <c r="G268" s="320">
        <v>214379</v>
      </c>
    </row>
    <row r="269" spans="1:7">
      <c r="A269" s="244">
        <v>261</v>
      </c>
      <c r="B269" s="233">
        <v>60420000</v>
      </c>
      <c r="C269" s="233" t="s">
        <v>107</v>
      </c>
      <c r="E269" s="312" t="s">
        <v>112</v>
      </c>
      <c r="F269" s="239" t="s">
        <v>1773</v>
      </c>
      <c r="G269" s="320">
        <v>214379</v>
      </c>
    </row>
    <row r="270" spans="1:7">
      <c r="A270" s="244">
        <v>262</v>
      </c>
      <c r="B270" s="233">
        <v>60430000</v>
      </c>
      <c r="C270" s="233" t="s">
        <v>108</v>
      </c>
      <c r="E270" s="312" t="s">
        <v>127</v>
      </c>
      <c r="F270" s="239" t="s">
        <v>7</v>
      </c>
      <c r="G270" s="320">
        <v>30150</v>
      </c>
    </row>
    <row r="271" spans="1:7">
      <c r="A271" s="244">
        <v>263</v>
      </c>
      <c r="B271" s="233">
        <v>60510000</v>
      </c>
      <c r="C271" s="233" t="s">
        <v>108</v>
      </c>
      <c r="E271" s="312" t="s">
        <v>127</v>
      </c>
      <c r="F271" s="239" t="s">
        <v>8</v>
      </c>
      <c r="G271" s="320">
        <v>46546</v>
      </c>
    </row>
    <row r="272" spans="1:7">
      <c r="A272" s="244">
        <v>264</v>
      </c>
      <c r="B272" s="233">
        <v>60520000</v>
      </c>
      <c r="C272" s="233" t="s">
        <v>108</v>
      </c>
      <c r="E272" s="312" t="s">
        <v>127</v>
      </c>
      <c r="F272" s="239" t="s">
        <v>9</v>
      </c>
      <c r="G272" s="320">
        <v>240476</v>
      </c>
    </row>
    <row r="273" spans="1:7">
      <c r="A273" s="244">
        <v>265</v>
      </c>
      <c r="B273" s="233">
        <v>60530000</v>
      </c>
      <c r="C273" s="233" t="s">
        <v>99</v>
      </c>
      <c r="E273" s="312" t="s">
        <v>112</v>
      </c>
      <c r="F273" s="239" t="s">
        <v>10</v>
      </c>
      <c r="G273" s="320">
        <v>83000</v>
      </c>
    </row>
    <row r="274" spans="1:7">
      <c r="A274" s="244">
        <v>266</v>
      </c>
      <c r="B274" s="233">
        <v>60530000</v>
      </c>
      <c r="C274" s="233" t="s">
        <v>101</v>
      </c>
      <c r="E274" s="312" t="s">
        <v>112</v>
      </c>
      <c r="F274" s="239" t="s">
        <v>10</v>
      </c>
      <c r="G274" s="320">
        <v>60000</v>
      </c>
    </row>
    <row r="275" spans="1:7">
      <c r="A275" s="244">
        <v>267</v>
      </c>
      <c r="B275" s="233">
        <v>60530000</v>
      </c>
      <c r="C275" s="233" t="s">
        <v>103</v>
      </c>
      <c r="E275" s="312" t="s">
        <v>112</v>
      </c>
      <c r="F275" s="239" t="s">
        <v>10</v>
      </c>
      <c r="G275" s="320">
        <v>83000</v>
      </c>
    </row>
    <row r="276" spans="1:7">
      <c r="A276" s="244">
        <v>268</v>
      </c>
      <c r="B276" s="233">
        <v>60530000</v>
      </c>
      <c r="C276" s="233" t="s">
        <v>105</v>
      </c>
      <c r="E276" s="312" t="s">
        <v>112</v>
      </c>
      <c r="F276" s="239" t="s">
        <v>10</v>
      </c>
      <c r="G276" s="320">
        <v>106000</v>
      </c>
    </row>
    <row r="277" spans="1:7">
      <c r="A277" s="244">
        <v>269</v>
      </c>
      <c r="B277" s="233">
        <v>60530000</v>
      </c>
      <c r="C277" s="233" t="s">
        <v>107</v>
      </c>
      <c r="E277" s="312" t="s">
        <v>112</v>
      </c>
      <c r="F277" s="239" t="s">
        <v>10</v>
      </c>
      <c r="G277" s="320">
        <v>83000</v>
      </c>
    </row>
    <row r="278" spans="1:7">
      <c r="A278" s="244">
        <v>270</v>
      </c>
      <c r="B278" s="233">
        <v>60530000</v>
      </c>
      <c r="C278" s="233" t="s">
        <v>108</v>
      </c>
      <c r="E278" s="312" t="s">
        <v>127</v>
      </c>
      <c r="F278" s="239" t="s">
        <v>10</v>
      </c>
      <c r="G278" s="320">
        <v>777000</v>
      </c>
    </row>
    <row r="279" spans="1:7">
      <c r="A279" s="244">
        <v>271</v>
      </c>
      <c r="B279" s="233">
        <v>60531000</v>
      </c>
      <c r="C279" s="233" t="s">
        <v>99</v>
      </c>
      <c r="E279" s="312" t="s">
        <v>112</v>
      </c>
      <c r="F279" s="239" t="s">
        <v>11</v>
      </c>
      <c r="G279" s="320">
        <v>136620000</v>
      </c>
    </row>
    <row r="280" spans="1:7">
      <c r="A280" s="244">
        <v>272</v>
      </c>
      <c r="B280" s="233">
        <v>60531000</v>
      </c>
      <c r="C280" s="233" t="s">
        <v>101</v>
      </c>
      <c r="E280" s="312" t="s">
        <v>112</v>
      </c>
      <c r="F280" s="239" t="s">
        <v>11</v>
      </c>
      <c r="G280" s="320">
        <v>82677000</v>
      </c>
    </row>
    <row r="281" spans="1:7">
      <c r="A281" s="244">
        <v>273</v>
      </c>
      <c r="B281" s="233">
        <v>60531000</v>
      </c>
      <c r="C281" s="233" t="s">
        <v>103</v>
      </c>
      <c r="E281" s="312" t="s">
        <v>112</v>
      </c>
      <c r="F281" s="239" t="s">
        <v>11</v>
      </c>
      <c r="G281" s="320">
        <v>186550000</v>
      </c>
    </row>
    <row r="282" spans="1:7">
      <c r="A282" s="244">
        <v>274</v>
      </c>
      <c r="B282" s="233">
        <v>60531000</v>
      </c>
      <c r="C282" s="233" t="s">
        <v>105</v>
      </c>
      <c r="E282" s="312" t="s">
        <v>112</v>
      </c>
      <c r="F282" s="239" t="s">
        <v>11</v>
      </c>
      <c r="G282" s="320">
        <v>137148354</v>
      </c>
    </row>
    <row r="283" spans="1:7">
      <c r="A283" s="244">
        <v>275</v>
      </c>
      <c r="B283" s="233">
        <v>60550000</v>
      </c>
      <c r="C283" s="233" t="s">
        <v>108</v>
      </c>
      <c r="E283" s="312" t="s">
        <v>127</v>
      </c>
      <c r="F283" s="239" t="s">
        <v>12</v>
      </c>
      <c r="G283" s="320">
        <v>235573</v>
      </c>
    </row>
    <row r="284" spans="1:7">
      <c r="A284" s="244">
        <v>276</v>
      </c>
      <c r="B284" s="233">
        <v>60551000</v>
      </c>
      <c r="C284" s="233" t="s">
        <v>108</v>
      </c>
      <c r="E284" s="312" t="s">
        <v>127</v>
      </c>
      <c r="F284" s="239" t="s">
        <v>13</v>
      </c>
      <c r="G284" s="320">
        <v>82900</v>
      </c>
    </row>
    <row r="285" spans="1:7">
      <c r="A285" s="244">
        <v>277</v>
      </c>
      <c r="B285" s="233">
        <v>60561000</v>
      </c>
      <c r="C285" s="233" t="s">
        <v>99</v>
      </c>
      <c r="E285" s="312" t="s">
        <v>113</v>
      </c>
      <c r="F285" s="239" t="s">
        <v>14</v>
      </c>
      <c r="G285" s="320">
        <v>12776614</v>
      </c>
    </row>
    <row r="286" spans="1:7">
      <c r="A286" s="244">
        <v>278</v>
      </c>
      <c r="B286" s="233">
        <v>60561000</v>
      </c>
      <c r="C286" s="233" t="s">
        <v>101</v>
      </c>
      <c r="E286" s="312" t="s">
        <v>113</v>
      </c>
      <c r="F286" s="239" t="s">
        <v>14</v>
      </c>
      <c r="G286" s="320">
        <v>12776614</v>
      </c>
    </row>
    <row r="287" spans="1:7">
      <c r="A287" s="244">
        <v>279</v>
      </c>
      <c r="B287" s="233">
        <v>60561000</v>
      </c>
      <c r="C287" s="233" t="s">
        <v>103</v>
      </c>
      <c r="E287" s="312" t="s">
        <v>113</v>
      </c>
      <c r="F287" s="239" t="s">
        <v>14</v>
      </c>
      <c r="G287" s="320">
        <v>12776614</v>
      </c>
    </row>
    <row r="288" spans="1:7">
      <c r="A288" s="244">
        <v>280</v>
      </c>
      <c r="B288" s="233">
        <v>60561000</v>
      </c>
      <c r="C288" s="233" t="s">
        <v>105</v>
      </c>
      <c r="E288" s="312" t="s">
        <v>113</v>
      </c>
      <c r="F288" s="239" t="s">
        <v>14</v>
      </c>
      <c r="G288" s="320">
        <v>12776614</v>
      </c>
    </row>
    <row r="289" spans="1:7">
      <c r="A289" s="244">
        <v>281</v>
      </c>
      <c r="B289" s="233">
        <v>60561000</v>
      </c>
      <c r="C289" s="233" t="s">
        <v>107</v>
      </c>
      <c r="E289" s="312" t="s">
        <v>113</v>
      </c>
      <c r="F289" s="239" t="s">
        <v>14</v>
      </c>
      <c r="G289" s="320">
        <v>12776613</v>
      </c>
    </row>
    <row r="290" spans="1:7">
      <c r="A290" s="244">
        <v>282</v>
      </c>
      <c r="B290" s="233">
        <v>60562000</v>
      </c>
      <c r="C290" s="233" t="s">
        <v>99</v>
      </c>
      <c r="E290" s="312" t="s">
        <v>113</v>
      </c>
      <c r="F290" s="239" t="s">
        <v>15</v>
      </c>
      <c r="G290" s="320">
        <v>77073951</v>
      </c>
    </row>
    <row r="291" spans="1:7">
      <c r="A291" s="244">
        <v>283</v>
      </c>
      <c r="B291" s="233">
        <v>60562000</v>
      </c>
      <c r="C291" s="233" t="s">
        <v>101</v>
      </c>
      <c r="E291" s="312" t="s">
        <v>113</v>
      </c>
      <c r="F291" s="239" t="s">
        <v>15</v>
      </c>
      <c r="G291" s="320">
        <v>19200403</v>
      </c>
    </row>
    <row r="292" spans="1:7">
      <c r="A292" s="244">
        <v>284</v>
      </c>
      <c r="B292" s="233">
        <v>60562000</v>
      </c>
      <c r="C292" s="233" t="s">
        <v>103</v>
      </c>
      <c r="E292" s="312" t="s">
        <v>113</v>
      </c>
      <c r="F292" s="239" t="s">
        <v>15</v>
      </c>
      <c r="G292" s="320">
        <v>25229435</v>
      </c>
    </row>
    <row r="293" spans="1:7">
      <c r="A293" s="244">
        <v>285</v>
      </c>
      <c r="B293" s="233">
        <v>60562000</v>
      </c>
      <c r="C293" s="233" t="s">
        <v>105</v>
      </c>
      <c r="E293" s="312" t="s">
        <v>113</v>
      </c>
      <c r="F293" s="239" t="s">
        <v>15</v>
      </c>
      <c r="G293" s="320">
        <v>65523833</v>
      </c>
    </row>
    <row r="294" spans="1:7">
      <c r="A294" s="244">
        <v>286</v>
      </c>
      <c r="B294" s="233">
        <v>60562000</v>
      </c>
      <c r="C294" s="233" t="s">
        <v>107</v>
      </c>
      <c r="E294" s="312" t="s">
        <v>113</v>
      </c>
      <c r="F294" s="239" t="s">
        <v>15</v>
      </c>
      <c r="G294" s="320">
        <v>41528328</v>
      </c>
    </row>
    <row r="295" spans="1:7">
      <c r="A295" s="244">
        <v>287</v>
      </c>
      <c r="B295" s="233">
        <v>60563000</v>
      </c>
      <c r="C295" s="233" t="s">
        <v>105</v>
      </c>
      <c r="E295" s="312" t="s">
        <v>113</v>
      </c>
      <c r="F295" s="239" t="s">
        <v>16</v>
      </c>
      <c r="G295" s="320">
        <v>40000</v>
      </c>
    </row>
    <row r="296" spans="1:7">
      <c r="A296" s="244">
        <v>288</v>
      </c>
      <c r="B296" s="233">
        <v>60565000</v>
      </c>
      <c r="C296" s="233" t="s">
        <v>107</v>
      </c>
      <c r="E296" s="312" t="s">
        <v>113</v>
      </c>
      <c r="F296" s="239" t="s">
        <v>17</v>
      </c>
      <c r="G296" s="320">
        <v>842000</v>
      </c>
    </row>
    <row r="297" spans="1:7">
      <c r="A297" s="244">
        <v>289</v>
      </c>
      <c r="B297" s="233">
        <v>60567000</v>
      </c>
      <c r="C297" s="233" t="s">
        <v>99</v>
      </c>
      <c r="E297" s="312" t="s">
        <v>113</v>
      </c>
      <c r="F297" s="239" t="s">
        <v>1782</v>
      </c>
      <c r="G297" s="320">
        <v>2704421</v>
      </c>
    </row>
    <row r="298" spans="1:7">
      <c r="A298" s="244">
        <v>290</v>
      </c>
      <c r="B298" s="233">
        <v>60567000</v>
      </c>
      <c r="C298" s="233" t="s">
        <v>101</v>
      </c>
      <c r="E298" s="312" t="s">
        <v>113</v>
      </c>
      <c r="F298" s="239" t="s">
        <v>1782</v>
      </c>
      <c r="G298" s="320">
        <v>501567</v>
      </c>
    </row>
    <row r="299" spans="1:7">
      <c r="A299" s="244">
        <v>291</v>
      </c>
      <c r="B299" s="233">
        <v>60567000</v>
      </c>
      <c r="C299" s="233" t="s">
        <v>103</v>
      </c>
      <c r="E299" s="312" t="s">
        <v>113</v>
      </c>
      <c r="F299" s="239" t="s">
        <v>1782</v>
      </c>
      <c r="G299" s="320">
        <v>501567</v>
      </c>
    </row>
    <row r="300" spans="1:7">
      <c r="A300" s="244">
        <v>292</v>
      </c>
      <c r="B300" s="233">
        <v>60567000</v>
      </c>
      <c r="C300" s="233" t="s">
        <v>105</v>
      </c>
      <c r="E300" s="312" t="s">
        <v>113</v>
      </c>
      <c r="F300" s="239" t="s">
        <v>1782</v>
      </c>
      <c r="G300" s="320">
        <v>501567</v>
      </c>
    </row>
    <row r="301" spans="1:7">
      <c r="A301" s="244">
        <v>293</v>
      </c>
      <c r="B301" s="233">
        <v>60567000</v>
      </c>
      <c r="C301" s="233" t="s">
        <v>107</v>
      </c>
      <c r="E301" s="312" t="s">
        <v>113</v>
      </c>
      <c r="F301" s="239" t="s">
        <v>1782</v>
      </c>
      <c r="G301" s="320">
        <v>1006057</v>
      </c>
    </row>
    <row r="302" spans="1:7">
      <c r="A302" s="244">
        <v>294</v>
      </c>
      <c r="B302" s="233">
        <v>60568000</v>
      </c>
      <c r="C302" s="233" t="s">
        <v>99</v>
      </c>
      <c r="E302" s="312" t="s">
        <v>113</v>
      </c>
      <c r="F302" s="239" t="s">
        <v>18</v>
      </c>
      <c r="G302" s="320">
        <v>31046578</v>
      </c>
    </row>
    <row r="303" spans="1:7">
      <c r="A303" s="244">
        <v>295</v>
      </c>
      <c r="B303" s="233">
        <v>60568000</v>
      </c>
      <c r="C303" s="233" t="s">
        <v>101</v>
      </c>
      <c r="E303" s="312" t="s">
        <v>113</v>
      </c>
      <c r="F303" s="239" t="s">
        <v>18</v>
      </c>
      <c r="G303" s="320">
        <v>6493532</v>
      </c>
    </row>
    <row r="304" spans="1:7">
      <c r="A304" s="244">
        <v>296</v>
      </c>
      <c r="B304" s="233">
        <v>60568000</v>
      </c>
      <c r="C304" s="233" t="s">
        <v>103</v>
      </c>
      <c r="E304" s="312" t="s">
        <v>113</v>
      </c>
      <c r="F304" s="239" t="s">
        <v>18</v>
      </c>
      <c r="G304" s="320">
        <v>22494360</v>
      </c>
    </row>
    <row r="305" spans="1:7">
      <c r="A305" s="244">
        <v>297</v>
      </c>
      <c r="B305" s="233">
        <v>60568000</v>
      </c>
      <c r="C305" s="233" t="s">
        <v>105</v>
      </c>
      <c r="E305" s="312" t="s">
        <v>113</v>
      </c>
      <c r="F305" s="239" t="s">
        <v>18</v>
      </c>
      <c r="G305" s="320">
        <v>15346826</v>
      </c>
    </row>
    <row r="306" spans="1:7">
      <c r="A306" s="244">
        <v>298</v>
      </c>
      <c r="B306" s="233">
        <v>60568000</v>
      </c>
      <c r="C306" s="233" t="s">
        <v>107</v>
      </c>
      <c r="E306" s="312" t="s">
        <v>113</v>
      </c>
      <c r="F306" s="239" t="s">
        <v>18</v>
      </c>
      <c r="G306" s="320">
        <v>10521350</v>
      </c>
    </row>
    <row r="307" spans="1:7">
      <c r="A307" s="244">
        <v>299</v>
      </c>
      <c r="B307" s="233">
        <v>60568000</v>
      </c>
      <c r="C307" s="233" t="s">
        <v>108</v>
      </c>
      <c r="E307" s="312" t="s">
        <v>127</v>
      </c>
      <c r="F307" s="239" t="s">
        <v>18</v>
      </c>
      <c r="G307" s="320">
        <v>297000</v>
      </c>
    </row>
    <row r="308" spans="1:7">
      <c r="A308" s="244">
        <v>300</v>
      </c>
      <c r="B308" s="233">
        <v>60569000</v>
      </c>
      <c r="C308" s="233" t="s">
        <v>99</v>
      </c>
      <c r="E308" s="312" t="s">
        <v>113</v>
      </c>
      <c r="F308" s="239" t="s">
        <v>19</v>
      </c>
      <c r="G308" s="320">
        <v>13692833</v>
      </c>
    </row>
    <row r="309" spans="1:7">
      <c r="A309" s="244">
        <v>301</v>
      </c>
      <c r="B309" s="233">
        <v>60569000</v>
      </c>
      <c r="C309" s="233" t="s">
        <v>101</v>
      </c>
      <c r="E309" s="312" t="s">
        <v>113</v>
      </c>
      <c r="F309" s="239" t="s">
        <v>19</v>
      </c>
      <c r="G309" s="320">
        <v>1260651</v>
      </c>
    </row>
    <row r="310" spans="1:7">
      <c r="A310" s="244">
        <v>302</v>
      </c>
      <c r="B310" s="233">
        <v>60569000</v>
      </c>
      <c r="C310" s="233" t="s">
        <v>103</v>
      </c>
      <c r="E310" s="312" t="s">
        <v>113</v>
      </c>
      <c r="F310" s="239" t="s">
        <v>19</v>
      </c>
      <c r="G310" s="320">
        <v>1693247</v>
      </c>
    </row>
    <row r="311" spans="1:7">
      <c r="A311" s="244">
        <v>303</v>
      </c>
      <c r="B311" s="233">
        <v>60569000</v>
      </c>
      <c r="C311" s="233" t="s">
        <v>105</v>
      </c>
      <c r="E311" s="312" t="s">
        <v>113</v>
      </c>
      <c r="F311" s="239" t="s">
        <v>19</v>
      </c>
      <c r="G311" s="320">
        <v>1231448</v>
      </c>
    </row>
    <row r="312" spans="1:7">
      <c r="A312" s="244">
        <v>304</v>
      </c>
      <c r="B312" s="233">
        <v>60569000</v>
      </c>
      <c r="C312" s="233" t="s">
        <v>107</v>
      </c>
      <c r="E312" s="312" t="s">
        <v>113</v>
      </c>
      <c r="F312" s="239" t="s">
        <v>19</v>
      </c>
      <c r="G312" s="320">
        <v>1234485</v>
      </c>
    </row>
    <row r="313" spans="1:7">
      <c r="A313" s="244">
        <v>305</v>
      </c>
      <c r="B313" s="233">
        <v>60569000</v>
      </c>
      <c r="C313" s="233" t="s">
        <v>108</v>
      </c>
      <c r="E313" s="312" t="s">
        <v>127</v>
      </c>
      <c r="F313" s="239" t="s">
        <v>19</v>
      </c>
      <c r="G313" s="320">
        <v>11774</v>
      </c>
    </row>
    <row r="314" spans="1:7">
      <c r="A314" s="244">
        <v>306</v>
      </c>
      <c r="B314" s="233">
        <v>61600000</v>
      </c>
      <c r="C314" s="233" t="s">
        <v>99</v>
      </c>
      <c r="E314" s="312" t="s">
        <v>115</v>
      </c>
      <c r="F314" s="239" t="s">
        <v>23</v>
      </c>
      <c r="G314" s="320">
        <v>21536</v>
      </c>
    </row>
    <row r="315" spans="1:7">
      <c r="A315" s="244">
        <v>307</v>
      </c>
      <c r="B315" s="233">
        <v>61600000</v>
      </c>
      <c r="C315" s="233" t="s">
        <v>101</v>
      </c>
      <c r="E315" s="312" t="s">
        <v>115</v>
      </c>
      <c r="F315" s="239" t="s">
        <v>23</v>
      </c>
      <c r="G315" s="320">
        <v>48925</v>
      </c>
    </row>
    <row r="316" spans="1:7">
      <c r="A316" s="244">
        <v>308</v>
      </c>
      <c r="B316" s="233">
        <v>61600000</v>
      </c>
      <c r="C316" s="233" t="s">
        <v>103</v>
      </c>
      <c r="E316" s="312" t="s">
        <v>115</v>
      </c>
      <c r="F316" s="239" t="s">
        <v>23</v>
      </c>
      <c r="G316" s="320">
        <v>48925</v>
      </c>
    </row>
    <row r="317" spans="1:7">
      <c r="A317" s="244">
        <v>309</v>
      </c>
      <c r="B317" s="233">
        <v>61600000</v>
      </c>
      <c r="C317" s="233" t="s">
        <v>105</v>
      </c>
      <c r="E317" s="312" t="s">
        <v>115</v>
      </c>
      <c r="F317" s="239" t="s">
        <v>23</v>
      </c>
      <c r="G317" s="320">
        <v>63374</v>
      </c>
    </row>
    <row r="318" spans="1:7">
      <c r="A318" s="244">
        <v>310</v>
      </c>
      <c r="B318" s="233">
        <v>61600000</v>
      </c>
      <c r="C318" s="233" t="s">
        <v>107</v>
      </c>
      <c r="E318" s="312" t="s">
        <v>115</v>
      </c>
      <c r="F318" s="239" t="s">
        <v>23</v>
      </c>
      <c r="G318" s="320">
        <v>21536</v>
      </c>
    </row>
    <row r="319" spans="1:7">
      <c r="A319" s="244">
        <v>311</v>
      </c>
      <c r="B319" s="233">
        <v>61600000</v>
      </c>
      <c r="C319" s="233" t="s">
        <v>108</v>
      </c>
      <c r="E319" s="312" t="s">
        <v>127</v>
      </c>
      <c r="F319" s="239" t="s">
        <v>23</v>
      </c>
      <c r="G319" s="320">
        <v>34790</v>
      </c>
    </row>
    <row r="320" spans="1:7">
      <c r="A320" s="244">
        <v>312</v>
      </c>
      <c r="B320" s="233">
        <v>61810000</v>
      </c>
      <c r="C320" s="233" t="s">
        <v>99</v>
      </c>
      <c r="E320" s="312" t="s">
        <v>110</v>
      </c>
      <c r="F320" s="239" t="s">
        <v>24</v>
      </c>
      <c r="G320" s="320">
        <v>732700</v>
      </c>
    </row>
    <row r="321" spans="1:7">
      <c r="A321" s="244">
        <v>313</v>
      </c>
      <c r="B321" s="233">
        <v>61810000</v>
      </c>
      <c r="C321" s="233" t="s">
        <v>101</v>
      </c>
      <c r="E321" s="312" t="s">
        <v>110</v>
      </c>
      <c r="F321" s="239" t="s">
        <v>24</v>
      </c>
      <c r="G321" s="320">
        <v>325500</v>
      </c>
    </row>
    <row r="322" spans="1:7">
      <c r="A322" s="244">
        <v>314</v>
      </c>
      <c r="B322" s="233">
        <v>61810000</v>
      </c>
      <c r="C322" s="233" t="s">
        <v>103</v>
      </c>
      <c r="E322" s="312" t="s">
        <v>110</v>
      </c>
      <c r="F322" s="239" t="s">
        <v>24</v>
      </c>
      <c r="G322" s="320">
        <v>520500</v>
      </c>
    </row>
    <row r="323" spans="1:7">
      <c r="A323" s="244">
        <v>315</v>
      </c>
      <c r="B323" s="233">
        <v>61810000</v>
      </c>
      <c r="C323" s="233" t="s">
        <v>105</v>
      </c>
      <c r="E323" s="312" t="s">
        <v>110</v>
      </c>
      <c r="F323" s="239" t="s">
        <v>24</v>
      </c>
      <c r="G323" s="320">
        <v>1856600</v>
      </c>
    </row>
    <row r="324" spans="1:7">
      <c r="A324" s="244">
        <v>316</v>
      </c>
      <c r="B324" s="233">
        <v>61810000</v>
      </c>
      <c r="C324" s="233" t="s">
        <v>107</v>
      </c>
      <c r="E324" s="312" t="s">
        <v>110</v>
      </c>
      <c r="F324" s="239" t="s">
        <v>24</v>
      </c>
      <c r="G324" s="320">
        <v>635400</v>
      </c>
    </row>
    <row r="325" spans="1:7">
      <c r="A325" s="244">
        <v>317</v>
      </c>
      <c r="B325" s="233">
        <v>61810000</v>
      </c>
      <c r="C325" s="233" t="s">
        <v>108</v>
      </c>
      <c r="E325" s="312" t="s">
        <v>127</v>
      </c>
      <c r="F325" s="239" t="s">
        <v>24</v>
      </c>
      <c r="G325" s="320">
        <v>104300</v>
      </c>
    </row>
    <row r="326" spans="1:7">
      <c r="A326" s="244">
        <v>318</v>
      </c>
      <c r="B326" s="233">
        <v>61811000</v>
      </c>
      <c r="C326" s="233" t="s">
        <v>105</v>
      </c>
      <c r="E326" s="312" t="s">
        <v>116</v>
      </c>
      <c r="F326" s="239" t="s">
        <v>1800</v>
      </c>
      <c r="G326" s="320">
        <v>227200</v>
      </c>
    </row>
    <row r="327" spans="1:7">
      <c r="A327" s="244">
        <v>319</v>
      </c>
      <c r="B327" s="233">
        <v>61820000</v>
      </c>
      <c r="C327" s="233" t="s">
        <v>99</v>
      </c>
      <c r="E327" s="312" t="s">
        <v>110</v>
      </c>
      <c r="F327" s="239" t="s">
        <v>25</v>
      </c>
      <c r="G327" s="320">
        <v>16181880</v>
      </c>
    </row>
    <row r="328" spans="1:7">
      <c r="A328" s="244">
        <v>320</v>
      </c>
      <c r="B328" s="233">
        <v>61820000</v>
      </c>
      <c r="C328" s="233" t="s">
        <v>101</v>
      </c>
      <c r="E328" s="312" t="s">
        <v>110</v>
      </c>
      <c r="F328" s="239" t="s">
        <v>25</v>
      </c>
      <c r="G328" s="320">
        <v>15440288</v>
      </c>
    </row>
    <row r="329" spans="1:7">
      <c r="A329" s="244">
        <v>321</v>
      </c>
      <c r="B329" s="233">
        <v>61820000</v>
      </c>
      <c r="C329" s="233" t="s">
        <v>103</v>
      </c>
      <c r="E329" s="312" t="s">
        <v>110</v>
      </c>
      <c r="F329" s="239" t="s">
        <v>25</v>
      </c>
      <c r="G329" s="320">
        <v>4507800</v>
      </c>
    </row>
    <row r="330" spans="1:7">
      <c r="A330" s="244">
        <v>322</v>
      </c>
      <c r="B330" s="233">
        <v>61820000</v>
      </c>
      <c r="C330" s="233" t="s">
        <v>105</v>
      </c>
      <c r="E330" s="312" t="s">
        <v>110</v>
      </c>
      <c r="F330" s="239" t="s">
        <v>25</v>
      </c>
      <c r="G330" s="320">
        <v>6308452</v>
      </c>
    </row>
    <row r="331" spans="1:7">
      <c r="A331" s="244">
        <v>323</v>
      </c>
      <c r="B331" s="233">
        <v>61820000</v>
      </c>
      <c r="C331" s="233" t="s">
        <v>107</v>
      </c>
      <c r="E331" s="312" t="s">
        <v>110</v>
      </c>
      <c r="F331" s="239" t="s">
        <v>25</v>
      </c>
      <c r="G331" s="320">
        <v>4226560</v>
      </c>
    </row>
    <row r="332" spans="1:7">
      <c r="A332" s="244">
        <v>324</v>
      </c>
      <c r="B332" s="233">
        <v>61821000</v>
      </c>
      <c r="C332" s="233" t="s">
        <v>99</v>
      </c>
      <c r="E332" s="312" t="s">
        <v>110</v>
      </c>
      <c r="F332" s="239" t="s">
        <v>26</v>
      </c>
      <c r="G332" s="320">
        <v>2815736</v>
      </c>
    </row>
    <row r="333" spans="1:7">
      <c r="A333" s="244">
        <v>325</v>
      </c>
      <c r="B333" s="233">
        <v>61821000</v>
      </c>
      <c r="C333" s="233" t="s">
        <v>101</v>
      </c>
      <c r="E333" s="312" t="s">
        <v>110</v>
      </c>
      <c r="F333" s="239" t="s">
        <v>26</v>
      </c>
      <c r="G333" s="320">
        <v>1527316</v>
      </c>
    </row>
    <row r="334" spans="1:7">
      <c r="A334" s="244">
        <v>326</v>
      </c>
      <c r="B334" s="233">
        <v>61821000</v>
      </c>
      <c r="C334" s="233" t="s">
        <v>103</v>
      </c>
      <c r="E334" s="312" t="s">
        <v>110</v>
      </c>
      <c r="F334" s="239" t="s">
        <v>26</v>
      </c>
      <c r="G334" s="320">
        <v>364816</v>
      </c>
    </row>
    <row r="335" spans="1:7">
      <c r="A335" s="244">
        <v>327</v>
      </c>
      <c r="B335" s="233">
        <v>61821000</v>
      </c>
      <c r="C335" s="233" t="s">
        <v>105</v>
      </c>
      <c r="E335" s="312" t="s">
        <v>110</v>
      </c>
      <c r="F335" s="239" t="s">
        <v>26</v>
      </c>
      <c r="G335" s="320">
        <v>644816</v>
      </c>
    </row>
    <row r="336" spans="1:7">
      <c r="A336" s="244">
        <v>328</v>
      </c>
      <c r="B336" s="233">
        <v>61821000</v>
      </c>
      <c r="C336" s="233" t="s">
        <v>107</v>
      </c>
      <c r="E336" s="312" t="s">
        <v>110</v>
      </c>
      <c r="F336" s="239" t="s">
        <v>26</v>
      </c>
      <c r="G336" s="320">
        <v>364816</v>
      </c>
    </row>
    <row r="337" spans="1:7">
      <c r="A337" s="244">
        <v>329</v>
      </c>
      <c r="B337" s="233">
        <v>61830000</v>
      </c>
      <c r="C337" s="233" t="s">
        <v>101</v>
      </c>
      <c r="E337" s="312" t="s">
        <v>116</v>
      </c>
      <c r="F337" s="239" t="s">
        <v>27</v>
      </c>
      <c r="G337" s="320">
        <v>32500</v>
      </c>
    </row>
    <row r="338" spans="1:7">
      <c r="A338" s="244">
        <v>330</v>
      </c>
      <c r="B338" s="233">
        <v>61830000</v>
      </c>
      <c r="C338" s="233" t="s">
        <v>103</v>
      </c>
      <c r="E338" s="312" t="s">
        <v>116</v>
      </c>
      <c r="F338" s="239" t="s">
        <v>27</v>
      </c>
      <c r="G338" s="320">
        <v>52500</v>
      </c>
    </row>
    <row r="339" spans="1:7">
      <c r="A339" s="244">
        <v>331</v>
      </c>
      <c r="B339" s="233">
        <v>61830000</v>
      </c>
      <c r="C339" s="233" t="s">
        <v>108</v>
      </c>
      <c r="E339" s="312" t="s">
        <v>127</v>
      </c>
      <c r="F339" s="239" t="s">
        <v>27</v>
      </c>
      <c r="G339" s="320">
        <v>329500</v>
      </c>
    </row>
    <row r="340" spans="1:7">
      <c r="A340" s="244">
        <v>332</v>
      </c>
      <c r="B340" s="233">
        <v>62220000</v>
      </c>
      <c r="C340" s="233" t="s">
        <v>108</v>
      </c>
      <c r="E340" s="312" t="s">
        <v>127</v>
      </c>
      <c r="F340" s="239" t="s">
        <v>28</v>
      </c>
      <c r="G340" s="320">
        <v>6419912</v>
      </c>
    </row>
    <row r="341" spans="1:7">
      <c r="A341" s="244">
        <v>333</v>
      </c>
      <c r="B341" s="233">
        <v>62230000</v>
      </c>
      <c r="C341" s="233" t="s">
        <v>99</v>
      </c>
      <c r="E341" s="312" t="s">
        <v>111</v>
      </c>
      <c r="F341" s="239" t="s">
        <v>29</v>
      </c>
      <c r="G341" s="320">
        <v>3086985</v>
      </c>
    </row>
    <row r="342" spans="1:7">
      <c r="A342" s="244">
        <v>334</v>
      </c>
      <c r="B342" s="233">
        <v>62230000</v>
      </c>
      <c r="C342" s="233" t="s">
        <v>101</v>
      </c>
      <c r="E342" s="312" t="s">
        <v>116</v>
      </c>
      <c r="F342" s="239" t="s">
        <v>29</v>
      </c>
      <c r="G342" s="320">
        <v>1296985</v>
      </c>
    </row>
    <row r="343" spans="1:7">
      <c r="A343" s="244">
        <v>335</v>
      </c>
      <c r="B343" s="233">
        <v>62230000</v>
      </c>
      <c r="C343" s="233" t="s">
        <v>103</v>
      </c>
      <c r="E343" s="312" t="s">
        <v>116</v>
      </c>
      <c r="F343" s="239" t="s">
        <v>29</v>
      </c>
      <c r="G343" s="320">
        <v>2690000</v>
      </c>
    </row>
    <row r="344" spans="1:7">
      <c r="A344" s="244">
        <v>336</v>
      </c>
      <c r="B344" s="233">
        <v>62230000</v>
      </c>
      <c r="C344" s="233" t="s">
        <v>107</v>
      </c>
      <c r="E344" s="312" t="s">
        <v>116</v>
      </c>
      <c r="F344" s="239" t="s">
        <v>29</v>
      </c>
      <c r="G344" s="320">
        <v>1010000</v>
      </c>
    </row>
    <row r="345" spans="1:7">
      <c r="A345" s="244">
        <v>337</v>
      </c>
      <c r="B345" s="233">
        <v>62230000</v>
      </c>
      <c r="C345" s="233" t="s">
        <v>108</v>
      </c>
      <c r="E345" s="312" t="s">
        <v>127</v>
      </c>
      <c r="F345" s="239" t="s">
        <v>29</v>
      </c>
      <c r="G345" s="320">
        <v>80000</v>
      </c>
    </row>
    <row r="346" spans="1:7">
      <c r="A346" s="244">
        <v>338</v>
      </c>
      <c r="B346" s="233">
        <v>62281000</v>
      </c>
      <c r="C346" s="233" t="s">
        <v>108</v>
      </c>
      <c r="E346" s="312" t="s">
        <v>127</v>
      </c>
      <c r="F346" s="239" t="s">
        <v>30</v>
      </c>
      <c r="G346" s="320">
        <v>-453246</v>
      </c>
    </row>
    <row r="347" spans="1:7">
      <c r="A347" s="244">
        <v>339</v>
      </c>
      <c r="B347" s="233">
        <v>62285000</v>
      </c>
      <c r="C347" s="233" t="s">
        <v>108</v>
      </c>
      <c r="E347" s="312" t="s">
        <v>127</v>
      </c>
      <c r="F347" s="239" t="s">
        <v>31</v>
      </c>
      <c r="G347" s="320">
        <v>600919</v>
      </c>
    </row>
    <row r="348" spans="1:7">
      <c r="A348" s="244">
        <v>340</v>
      </c>
      <c r="B348" s="233">
        <v>62420000</v>
      </c>
      <c r="C348" s="233" t="s">
        <v>99</v>
      </c>
      <c r="E348" s="312" t="s">
        <v>117</v>
      </c>
      <c r="F348" s="239" t="s">
        <v>32</v>
      </c>
      <c r="G348" s="320">
        <v>14426967</v>
      </c>
    </row>
    <row r="349" spans="1:7">
      <c r="A349" s="244">
        <v>341</v>
      </c>
      <c r="B349" s="233">
        <v>62420000</v>
      </c>
      <c r="C349" s="233" t="s">
        <v>101</v>
      </c>
      <c r="E349" s="312" t="s">
        <v>117</v>
      </c>
      <c r="F349" s="239" t="s">
        <v>32</v>
      </c>
      <c r="G349" s="320">
        <v>7104402</v>
      </c>
    </row>
    <row r="350" spans="1:7">
      <c r="A350" s="244">
        <v>342</v>
      </c>
      <c r="B350" s="233">
        <v>62420000</v>
      </c>
      <c r="C350" s="233" t="s">
        <v>103</v>
      </c>
      <c r="E350" s="312" t="s">
        <v>117</v>
      </c>
      <c r="F350" s="239" t="s">
        <v>32</v>
      </c>
      <c r="G350" s="320">
        <v>16049481</v>
      </c>
    </row>
    <row r="351" spans="1:7">
      <c r="A351" s="244">
        <v>343</v>
      </c>
      <c r="B351" s="233">
        <v>62420000</v>
      </c>
      <c r="C351" s="233" t="s">
        <v>105</v>
      </c>
      <c r="E351" s="312" t="s">
        <v>117</v>
      </c>
      <c r="F351" s="239" t="s">
        <v>32</v>
      </c>
      <c r="G351" s="320">
        <v>10812898</v>
      </c>
    </row>
    <row r="352" spans="1:7">
      <c r="A352" s="244">
        <v>344</v>
      </c>
      <c r="B352" s="233">
        <v>62420000</v>
      </c>
      <c r="C352" s="233" t="s">
        <v>107</v>
      </c>
      <c r="E352" s="312" t="s">
        <v>117</v>
      </c>
      <c r="F352" s="239" t="s">
        <v>32</v>
      </c>
      <c r="G352" s="320">
        <v>5181755</v>
      </c>
    </row>
    <row r="353" spans="1:7">
      <c r="A353" s="244">
        <v>345</v>
      </c>
      <c r="B353" s="233">
        <v>62420000</v>
      </c>
      <c r="C353" s="233" t="s">
        <v>108</v>
      </c>
      <c r="E353" s="312" t="s">
        <v>127</v>
      </c>
      <c r="F353" s="239" t="s">
        <v>32</v>
      </c>
      <c r="G353" s="320">
        <v>500000</v>
      </c>
    </row>
    <row r="354" spans="1:7">
      <c r="A354" s="244">
        <v>346</v>
      </c>
      <c r="B354" s="233">
        <v>62430000</v>
      </c>
      <c r="C354" s="233" t="s">
        <v>99</v>
      </c>
      <c r="E354" s="312" t="s">
        <v>117</v>
      </c>
      <c r="F354" s="239" t="s">
        <v>33</v>
      </c>
      <c r="G354" s="320">
        <v>3020000</v>
      </c>
    </row>
    <row r="355" spans="1:7">
      <c r="A355" s="244">
        <v>347</v>
      </c>
      <c r="B355" s="233">
        <v>62430000</v>
      </c>
      <c r="C355" s="233" t="s">
        <v>101</v>
      </c>
      <c r="E355" s="312" t="s">
        <v>117</v>
      </c>
      <c r="F355" s="239" t="s">
        <v>33</v>
      </c>
      <c r="G355" s="320">
        <v>580000</v>
      </c>
    </row>
    <row r="356" spans="1:7">
      <c r="A356" s="244">
        <v>348</v>
      </c>
      <c r="B356" s="233">
        <v>62430000</v>
      </c>
      <c r="C356" s="233" t="s">
        <v>103</v>
      </c>
      <c r="E356" s="312" t="s">
        <v>117</v>
      </c>
      <c r="F356" s="239" t="s">
        <v>33</v>
      </c>
      <c r="G356" s="320">
        <v>6310000</v>
      </c>
    </row>
    <row r="357" spans="1:7">
      <c r="A357" s="244">
        <v>349</v>
      </c>
      <c r="B357" s="233">
        <v>62430000</v>
      </c>
      <c r="C357" s="233" t="s">
        <v>105</v>
      </c>
      <c r="E357" s="312" t="s">
        <v>117</v>
      </c>
      <c r="F357" s="239" t="s">
        <v>33</v>
      </c>
      <c r="G357" s="320">
        <v>470000</v>
      </c>
    </row>
    <row r="358" spans="1:7">
      <c r="A358" s="244">
        <v>350</v>
      </c>
      <c r="B358" s="233">
        <v>62430000</v>
      </c>
      <c r="C358" s="233" t="s">
        <v>108</v>
      </c>
      <c r="E358" s="312" t="s">
        <v>127</v>
      </c>
      <c r="F358" s="239" t="s">
        <v>33</v>
      </c>
      <c r="G358" s="320">
        <v>35000</v>
      </c>
    </row>
    <row r="359" spans="1:7">
      <c r="A359" s="244">
        <v>351</v>
      </c>
      <c r="B359" s="233">
        <v>62510000</v>
      </c>
      <c r="C359" s="233" t="s">
        <v>99</v>
      </c>
      <c r="E359" s="312" t="s">
        <v>118</v>
      </c>
      <c r="F359" s="239" t="s">
        <v>560</v>
      </c>
      <c r="G359" s="320">
        <v>54853</v>
      </c>
    </row>
    <row r="360" spans="1:7">
      <c r="A360" s="244">
        <v>352</v>
      </c>
      <c r="B360" s="233">
        <v>62510000</v>
      </c>
      <c r="C360" s="233" t="s">
        <v>101</v>
      </c>
      <c r="E360" s="312" t="s">
        <v>118</v>
      </c>
      <c r="F360" s="239" t="s">
        <v>560</v>
      </c>
      <c r="G360" s="320">
        <v>54853</v>
      </c>
    </row>
    <row r="361" spans="1:7">
      <c r="A361" s="244">
        <v>353</v>
      </c>
      <c r="B361" s="233">
        <v>62510000</v>
      </c>
      <c r="C361" s="233" t="s">
        <v>103</v>
      </c>
      <c r="E361" s="312" t="s">
        <v>118</v>
      </c>
      <c r="F361" s="239" t="s">
        <v>560</v>
      </c>
      <c r="G361" s="320">
        <v>54853</v>
      </c>
    </row>
    <row r="362" spans="1:7">
      <c r="A362" s="244">
        <v>354</v>
      </c>
      <c r="B362" s="233">
        <v>62510000</v>
      </c>
      <c r="C362" s="233" t="s">
        <v>105</v>
      </c>
      <c r="E362" s="312" t="s">
        <v>118</v>
      </c>
      <c r="F362" s="239" t="s">
        <v>560</v>
      </c>
      <c r="G362" s="320">
        <v>54853</v>
      </c>
    </row>
    <row r="363" spans="1:7">
      <c r="A363" s="244">
        <v>355</v>
      </c>
      <c r="B363" s="233">
        <v>62510000</v>
      </c>
      <c r="C363" s="233" t="s">
        <v>107</v>
      </c>
      <c r="E363" s="312" t="s">
        <v>118</v>
      </c>
      <c r="F363" s="239" t="s">
        <v>560</v>
      </c>
      <c r="G363" s="320">
        <v>54851</v>
      </c>
    </row>
    <row r="364" spans="1:7">
      <c r="A364" s="244">
        <v>356</v>
      </c>
      <c r="B364" s="233">
        <v>62511000</v>
      </c>
      <c r="C364" s="233" t="s">
        <v>99</v>
      </c>
      <c r="E364" s="312" t="s">
        <v>118</v>
      </c>
      <c r="F364" s="239" t="s">
        <v>34</v>
      </c>
      <c r="G364" s="320">
        <v>1005551</v>
      </c>
    </row>
    <row r="365" spans="1:7">
      <c r="A365" s="244">
        <v>357</v>
      </c>
      <c r="B365" s="233">
        <v>62511000</v>
      </c>
      <c r="C365" s="233" t="s">
        <v>101</v>
      </c>
      <c r="E365" s="312" t="s">
        <v>118</v>
      </c>
      <c r="F365" s="239" t="s">
        <v>34</v>
      </c>
      <c r="G365" s="320">
        <v>1005551</v>
      </c>
    </row>
    <row r="366" spans="1:7">
      <c r="A366" s="244">
        <v>358</v>
      </c>
      <c r="B366" s="233">
        <v>62511000</v>
      </c>
      <c r="C366" s="233" t="s">
        <v>103</v>
      </c>
      <c r="E366" s="312" t="s">
        <v>118</v>
      </c>
      <c r="F366" s="239" t="s">
        <v>34</v>
      </c>
      <c r="G366" s="320">
        <v>1005551</v>
      </c>
    </row>
    <row r="367" spans="1:7">
      <c r="A367" s="244">
        <v>359</v>
      </c>
      <c r="B367" s="233">
        <v>62511000</v>
      </c>
      <c r="C367" s="233" t="s">
        <v>105</v>
      </c>
      <c r="E367" s="312" t="s">
        <v>118</v>
      </c>
      <c r="F367" s="239" t="s">
        <v>34</v>
      </c>
      <c r="G367" s="320">
        <v>1005551</v>
      </c>
    </row>
    <row r="368" spans="1:7">
      <c r="A368" s="244">
        <v>360</v>
      </c>
      <c r="B368" s="233">
        <v>62511000</v>
      </c>
      <c r="C368" s="233" t="s">
        <v>107</v>
      </c>
      <c r="E368" s="312" t="s">
        <v>118</v>
      </c>
      <c r="F368" s="239" t="s">
        <v>34</v>
      </c>
      <c r="G368" s="320">
        <v>924506</v>
      </c>
    </row>
    <row r="369" spans="1:7">
      <c r="A369" s="244">
        <v>361</v>
      </c>
      <c r="B369" s="233">
        <v>62522000</v>
      </c>
      <c r="C369" s="233" t="s">
        <v>99</v>
      </c>
      <c r="E369" s="312" t="s">
        <v>118</v>
      </c>
      <c r="F369" s="239" t="s">
        <v>36</v>
      </c>
      <c r="G369" s="320">
        <v>3823513</v>
      </c>
    </row>
    <row r="370" spans="1:7">
      <c r="A370" s="244">
        <v>362</v>
      </c>
      <c r="B370" s="233">
        <v>62522000</v>
      </c>
      <c r="C370" s="233" t="s">
        <v>101</v>
      </c>
      <c r="E370" s="312" t="s">
        <v>118</v>
      </c>
      <c r="F370" s="239" t="s">
        <v>36</v>
      </c>
      <c r="G370" s="320">
        <v>3802279</v>
      </c>
    </row>
    <row r="371" spans="1:7">
      <c r="A371" s="244">
        <v>363</v>
      </c>
      <c r="B371" s="233">
        <v>62522000</v>
      </c>
      <c r="C371" s="233" t="s">
        <v>103</v>
      </c>
      <c r="E371" s="312" t="s">
        <v>118</v>
      </c>
      <c r="F371" s="239" t="s">
        <v>36</v>
      </c>
      <c r="G371" s="320">
        <v>5801586</v>
      </c>
    </row>
    <row r="372" spans="1:7">
      <c r="A372" s="244">
        <v>364</v>
      </c>
      <c r="B372" s="233">
        <v>62522000</v>
      </c>
      <c r="C372" s="233" t="s">
        <v>105</v>
      </c>
      <c r="E372" s="312" t="s">
        <v>118</v>
      </c>
      <c r="F372" s="239" t="s">
        <v>36</v>
      </c>
      <c r="G372" s="320">
        <v>5254597</v>
      </c>
    </row>
    <row r="373" spans="1:7">
      <c r="A373" s="244">
        <v>365</v>
      </c>
      <c r="B373" s="233">
        <v>62522000</v>
      </c>
      <c r="C373" s="233" t="s">
        <v>107</v>
      </c>
      <c r="E373" s="312" t="s">
        <v>118</v>
      </c>
      <c r="F373" s="239" t="s">
        <v>36</v>
      </c>
      <c r="G373" s="320">
        <v>1214554</v>
      </c>
    </row>
    <row r="374" spans="1:7">
      <c r="A374" s="244">
        <v>366</v>
      </c>
      <c r="B374" s="233">
        <v>62523000</v>
      </c>
      <c r="C374" s="233" t="s">
        <v>108</v>
      </c>
      <c r="E374" s="312" t="s">
        <v>127</v>
      </c>
      <c r="F374" s="239" t="s">
        <v>1803</v>
      </c>
      <c r="G374" s="320">
        <v>277520</v>
      </c>
    </row>
    <row r="375" spans="1:7">
      <c r="A375" s="244">
        <v>367</v>
      </c>
      <c r="B375" s="233">
        <v>62582000</v>
      </c>
      <c r="C375" s="233" t="s">
        <v>99</v>
      </c>
      <c r="E375" s="312" t="s">
        <v>118</v>
      </c>
      <c r="F375" s="239" t="s">
        <v>37</v>
      </c>
      <c r="G375" s="320">
        <v>90909</v>
      </c>
    </row>
    <row r="376" spans="1:7">
      <c r="A376" s="244">
        <v>368</v>
      </c>
      <c r="B376" s="233">
        <v>62582000</v>
      </c>
      <c r="C376" s="233" t="s">
        <v>101</v>
      </c>
      <c r="E376" s="312" t="s">
        <v>118</v>
      </c>
      <c r="F376" s="239" t="s">
        <v>37</v>
      </c>
      <c r="G376" s="320">
        <v>90909</v>
      </c>
    </row>
    <row r="377" spans="1:7">
      <c r="A377" s="244">
        <v>369</v>
      </c>
      <c r="B377" s="233">
        <v>62582000</v>
      </c>
      <c r="C377" s="233" t="s">
        <v>103</v>
      </c>
      <c r="E377" s="312" t="s">
        <v>118</v>
      </c>
      <c r="F377" s="239" t="s">
        <v>37</v>
      </c>
      <c r="G377" s="320">
        <v>90909</v>
      </c>
    </row>
    <row r="378" spans="1:7">
      <c r="A378" s="244">
        <v>370</v>
      </c>
      <c r="B378" s="233">
        <v>62582000</v>
      </c>
      <c r="C378" s="233" t="s">
        <v>105</v>
      </c>
      <c r="E378" s="312" t="s">
        <v>118</v>
      </c>
      <c r="F378" s="239" t="s">
        <v>37</v>
      </c>
      <c r="G378" s="320">
        <v>90909</v>
      </c>
    </row>
    <row r="379" spans="1:7">
      <c r="A379" s="244">
        <v>371</v>
      </c>
      <c r="B379" s="233">
        <v>62582000</v>
      </c>
      <c r="C379" s="233" t="s">
        <v>107</v>
      </c>
      <c r="E379" s="312" t="s">
        <v>118</v>
      </c>
      <c r="F379" s="239" t="s">
        <v>37</v>
      </c>
      <c r="G379" s="320">
        <v>9554</v>
      </c>
    </row>
    <row r="380" spans="1:7">
      <c r="A380" s="244">
        <v>372</v>
      </c>
      <c r="B380" s="233">
        <v>62760000</v>
      </c>
      <c r="C380" s="233" t="s">
        <v>108</v>
      </c>
      <c r="E380" s="312" t="s">
        <v>127</v>
      </c>
      <c r="F380" s="239" t="s">
        <v>38</v>
      </c>
      <c r="G380" s="320">
        <v>6050084</v>
      </c>
    </row>
    <row r="381" spans="1:7">
      <c r="A381" s="244">
        <v>373</v>
      </c>
      <c r="B381" s="233">
        <v>62880000</v>
      </c>
      <c r="C381" s="233" t="s">
        <v>99</v>
      </c>
      <c r="E381" s="312" t="s">
        <v>111</v>
      </c>
      <c r="F381" s="239" t="s">
        <v>39</v>
      </c>
      <c r="G381" s="320">
        <v>500004</v>
      </c>
    </row>
    <row r="382" spans="1:7">
      <c r="A382" s="244">
        <v>374</v>
      </c>
      <c r="B382" s="233">
        <v>62880000</v>
      </c>
      <c r="C382" s="233" t="s">
        <v>108</v>
      </c>
      <c r="E382" s="312" t="s">
        <v>127</v>
      </c>
      <c r="F382" s="239" t="s">
        <v>39</v>
      </c>
      <c r="G382" s="320">
        <v>317790</v>
      </c>
    </row>
    <row r="383" spans="1:7">
      <c r="A383" s="244">
        <v>375</v>
      </c>
      <c r="B383" s="233">
        <v>62883000</v>
      </c>
      <c r="C383" s="233" t="s">
        <v>99</v>
      </c>
      <c r="E383" s="312" t="s">
        <v>113</v>
      </c>
      <c r="F383" s="239" t="s">
        <v>41</v>
      </c>
      <c r="G383" s="320">
        <v>5295160</v>
      </c>
    </row>
    <row r="384" spans="1:7">
      <c r="A384" s="244">
        <v>376</v>
      </c>
      <c r="B384" s="233">
        <v>62883000</v>
      </c>
      <c r="C384" s="233" t="s">
        <v>101</v>
      </c>
      <c r="E384" s="312" t="s">
        <v>113</v>
      </c>
      <c r="F384" s="239" t="s">
        <v>41</v>
      </c>
      <c r="G384" s="320">
        <v>5295160</v>
      </c>
    </row>
    <row r="385" spans="1:7">
      <c r="A385" s="244">
        <v>377</v>
      </c>
      <c r="B385" s="233">
        <v>62883000</v>
      </c>
      <c r="C385" s="233" t="s">
        <v>103</v>
      </c>
      <c r="E385" s="312" t="s">
        <v>113</v>
      </c>
      <c r="F385" s="239" t="s">
        <v>41</v>
      </c>
      <c r="G385" s="320">
        <v>5295160</v>
      </c>
    </row>
    <row r="386" spans="1:7">
      <c r="A386" s="244">
        <v>378</v>
      </c>
      <c r="B386" s="233">
        <v>62883000</v>
      </c>
      <c r="C386" s="233" t="s">
        <v>105</v>
      </c>
      <c r="E386" s="312" t="s">
        <v>113</v>
      </c>
      <c r="F386" s="239" t="s">
        <v>41</v>
      </c>
      <c r="G386" s="320">
        <v>5295160</v>
      </c>
    </row>
    <row r="387" spans="1:7">
      <c r="A387" s="244">
        <v>379</v>
      </c>
      <c r="B387" s="233">
        <v>62883000</v>
      </c>
      <c r="C387" s="233" t="s">
        <v>107</v>
      </c>
      <c r="E387" s="312" t="s">
        <v>113</v>
      </c>
      <c r="F387" s="239" t="s">
        <v>41</v>
      </c>
      <c r="G387" s="320">
        <v>5295162</v>
      </c>
    </row>
    <row r="388" spans="1:7">
      <c r="A388" s="244">
        <v>380</v>
      </c>
      <c r="B388" s="233">
        <v>63180000</v>
      </c>
      <c r="C388" s="233" t="s">
        <v>108</v>
      </c>
      <c r="E388" s="312" t="s">
        <v>127</v>
      </c>
      <c r="F388" s="239" t="s">
        <v>42</v>
      </c>
      <c r="G388" s="320">
        <v>10139216</v>
      </c>
    </row>
    <row r="389" spans="1:7">
      <c r="A389" s="244">
        <v>381</v>
      </c>
      <c r="B389" s="233">
        <v>63210000</v>
      </c>
      <c r="C389" s="233" t="s">
        <v>99</v>
      </c>
      <c r="E389" s="312" t="s">
        <v>111</v>
      </c>
      <c r="F389" s="239" t="s">
        <v>43</v>
      </c>
      <c r="G389" s="320">
        <v>4560</v>
      </c>
    </row>
    <row r="390" spans="1:7">
      <c r="A390" s="244">
        <v>382</v>
      </c>
      <c r="B390" s="233">
        <v>63210000</v>
      </c>
      <c r="C390" s="233" t="s">
        <v>103</v>
      </c>
      <c r="E390" s="312" t="s">
        <v>111</v>
      </c>
      <c r="F390" s="239" t="s">
        <v>43</v>
      </c>
      <c r="G390" s="320">
        <v>110864</v>
      </c>
    </row>
    <row r="391" spans="1:7">
      <c r="A391" s="244">
        <v>383</v>
      </c>
      <c r="B391" s="233">
        <v>63210000</v>
      </c>
      <c r="C391" s="233" t="s">
        <v>107</v>
      </c>
      <c r="E391" s="312" t="s">
        <v>111</v>
      </c>
      <c r="F391" s="239" t="s">
        <v>43</v>
      </c>
      <c r="G391" s="320">
        <v>34322</v>
      </c>
    </row>
    <row r="392" spans="1:7">
      <c r="A392" s="244">
        <v>384</v>
      </c>
      <c r="B392" s="233">
        <v>63240000</v>
      </c>
      <c r="C392" s="233" t="s">
        <v>108</v>
      </c>
      <c r="E392" s="312" t="s">
        <v>127</v>
      </c>
      <c r="F392" s="239" t="s">
        <v>44</v>
      </c>
      <c r="G392" s="320">
        <v>10221160</v>
      </c>
    </row>
    <row r="393" spans="1:7">
      <c r="A393" s="244">
        <v>385</v>
      </c>
      <c r="B393" s="233">
        <v>63241000</v>
      </c>
      <c r="C393" s="233" t="s">
        <v>101</v>
      </c>
      <c r="E393" s="312" t="s">
        <v>111</v>
      </c>
      <c r="F393" s="239" t="s">
        <v>45</v>
      </c>
      <c r="G393" s="320">
        <v>750000</v>
      </c>
    </row>
    <row r="394" spans="1:7">
      <c r="A394" s="244">
        <v>386</v>
      </c>
      <c r="B394" s="233">
        <v>63241000</v>
      </c>
      <c r="C394" s="233" t="s">
        <v>103</v>
      </c>
      <c r="E394" s="312" t="s">
        <v>111</v>
      </c>
      <c r="F394" s="239" t="s">
        <v>45</v>
      </c>
      <c r="G394" s="320">
        <v>350000</v>
      </c>
    </row>
    <row r="395" spans="1:7">
      <c r="A395" s="244">
        <v>387</v>
      </c>
      <c r="B395" s="233">
        <v>63241000</v>
      </c>
      <c r="C395" s="233" t="s">
        <v>105</v>
      </c>
      <c r="E395" s="312" t="s">
        <v>111</v>
      </c>
      <c r="F395" s="239" t="s">
        <v>45</v>
      </c>
      <c r="G395" s="320">
        <v>375000</v>
      </c>
    </row>
    <row r="396" spans="1:7">
      <c r="A396" s="244">
        <v>388</v>
      </c>
      <c r="B396" s="233">
        <v>63241000</v>
      </c>
      <c r="C396" s="233" t="s">
        <v>107</v>
      </c>
      <c r="E396" s="312" t="s">
        <v>111</v>
      </c>
      <c r="F396" s="239" t="s">
        <v>45</v>
      </c>
      <c r="G396" s="320">
        <v>350000</v>
      </c>
    </row>
    <row r="397" spans="1:7">
      <c r="A397" s="244">
        <v>389</v>
      </c>
      <c r="B397" s="233">
        <v>63280000</v>
      </c>
      <c r="C397" s="233" t="s">
        <v>99</v>
      </c>
      <c r="E397" s="312" t="s">
        <v>111</v>
      </c>
      <c r="F397" s="239" t="s">
        <v>1795</v>
      </c>
      <c r="G397" s="320">
        <v>70000</v>
      </c>
    </row>
    <row r="398" spans="1:7">
      <c r="A398" s="244">
        <v>390</v>
      </c>
      <c r="B398" s="233">
        <v>63281000</v>
      </c>
      <c r="C398" s="233" t="s">
        <v>99</v>
      </c>
      <c r="E398" s="312" t="s">
        <v>110</v>
      </c>
      <c r="F398" s="239" t="s">
        <v>47</v>
      </c>
      <c r="G398" s="320">
        <v>20702</v>
      </c>
    </row>
    <row r="399" spans="1:7">
      <c r="A399" s="244">
        <v>391</v>
      </c>
      <c r="B399" s="233">
        <v>63281000</v>
      </c>
      <c r="C399" s="233" t="s">
        <v>101</v>
      </c>
      <c r="E399" s="312" t="s">
        <v>110</v>
      </c>
      <c r="F399" s="239" t="s">
        <v>47</v>
      </c>
      <c r="G399" s="320">
        <v>3021504</v>
      </c>
    </row>
    <row r="400" spans="1:7">
      <c r="A400" s="244">
        <v>392</v>
      </c>
      <c r="B400" s="233">
        <v>63281000</v>
      </c>
      <c r="C400" s="233" t="s">
        <v>103</v>
      </c>
      <c r="E400" s="312" t="s">
        <v>110</v>
      </c>
      <c r="F400" s="239" t="s">
        <v>47</v>
      </c>
      <c r="G400" s="320">
        <v>356175</v>
      </c>
    </row>
    <row r="401" spans="1:7">
      <c r="A401" s="244">
        <v>393</v>
      </c>
      <c r="B401" s="233">
        <v>63281000</v>
      </c>
      <c r="C401" s="233" t="s">
        <v>105</v>
      </c>
      <c r="E401" s="312" t="s">
        <v>110</v>
      </c>
      <c r="F401" s="239" t="s">
        <v>47</v>
      </c>
      <c r="G401" s="320">
        <v>1646071</v>
      </c>
    </row>
    <row r="402" spans="1:7">
      <c r="A402" s="244">
        <v>394</v>
      </c>
      <c r="B402" s="233">
        <v>63281000</v>
      </c>
      <c r="C402" s="233" t="s">
        <v>107</v>
      </c>
      <c r="E402" s="312" t="s">
        <v>110</v>
      </c>
      <c r="F402" s="239" t="s">
        <v>47</v>
      </c>
      <c r="G402" s="320">
        <v>739846</v>
      </c>
    </row>
    <row r="403" spans="1:7">
      <c r="A403" s="244">
        <v>395</v>
      </c>
      <c r="B403" s="233">
        <v>63282000</v>
      </c>
      <c r="C403" s="233" t="s">
        <v>99</v>
      </c>
      <c r="E403" s="312" t="s">
        <v>111</v>
      </c>
      <c r="F403" s="239" t="s">
        <v>48</v>
      </c>
      <c r="G403" s="320">
        <v>1285000</v>
      </c>
    </row>
    <row r="404" spans="1:7">
      <c r="A404" s="244">
        <v>396</v>
      </c>
      <c r="B404" s="233">
        <v>63282000</v>
      </c>
      <c r="C404" s="233" t="s">
        <v>101</v>
      </c>
      <c r="E404" s="312" t="s">
        <v>111</v>
      </c>
      <c r="F404" s="239" t="s">
        <v>48</v>
      </c>
      <c r="G404" s="320">
        <v>2135000</v>
      </c>
    </row>
    <row r="405" spans="1:7">
      <c r="A405" s="244">
        <v>397</v>
      </c>
      <c r="B405" s="233">
        <v>63282000</v>
      </c>
      <c r="C405" s="233" t="s">
        <v>103</v>
      </c>
      <c r="E405" s="312" t="s">
        <v>111</v>
      </c>
      <c r="F405" s="239" t="s">
        <v>48</v>
      </c>
      <c r="G405" s="320">
        <v>3535240</v>
      </c>
    </row>
    <row r="406" spans="1:7">
      <c r="A406" s="244">
        <v>398</v>
      </c>
      <c r="B406" s="233">
        <v>63282000</v>
      </c>
      <c r="C406" s="233" t="s">
        <v>105</v>
      </c>
      <c r="E406" s="312" t="s">
        <v>111</v>
      </c>
      <c r="F406" s="239" t="s">
        <v>48</v>
      </c>
      <c r="G406" s="320">
        <v>805000</v>
      </c>
    </row>
    <row r="407" spans="1:7">
      <c r="A407" s="244">
        <v>399</v>
      </c>
      <c r="B407" s="233">
        <v>63282000</v>
      </c>
      <c r="C407" s="233" t="s">
        <v>107</v>
      </c>
      <c r="E407" s="312" t="s">
        <v>111</v>
      </c>
      <c r="F407" s="239" t="s">
        <v>48</v>
      </c>
      <c r="G407" s="320">
        <v>545417</v>
      </c>
    </row>
    <row r="408" spans="1:7">
      <c r="A408" s="244">
        <v>400</v>
      </c>
      <c r="B408" s="233">
        <v>63282000</v>
      </c>
      <c r="C408" s="233" t="s">
        <v>108</v>
      </c>
      <c r="E408" s="312" t="s">
        <v>127</v>
      </c>
      <c r="F408" s="239" t="s">
        <v>48</v>
      </c>
      <c r="G408" s="320">
        <v>232568</v>
      </c>
    </row>
    <row r="409" spans="1:7">
      <c r="A409" s="244">
        <v>401</v>
      </c>
      <c r="B409" s="233">
        <v>63284000</v>
      </c>
      <c r="C409" s="233" t="s">
        <v>99</v>
      </c>
      <c r="E409" s="312" t="s">
        <v>110</v>
      </c>
      <c r="F409" s="239" t="s">
        <v>49</v>
      </c>
      <c r="G409" s="320">
        <v>3793640</v>
      </c>
    </row>
    <row r="410" spans="1:7">
      <c r="A410" s="244">
        <v>402</v>
      </c>
      <c r="B410" s="233">
        <v>63284000</v>
      </c>
      <c r="C410" s="233" t="s">
        <v>101</v>
      </c>
      <c r="E410" s="312" t="s">
        <v>110</v>
      </c>
      <c r="F410" s="239" t="s">
        <v>49</v>
      </c>
      <c r="G410" s="320">
        <v>3414363</v>
      </c>
    </row>
    <row r="411" spans="1:7">
      <c r="A411" s="244">
        <v>403</v>
      </c>
      <c r="B411" s="233">
        <v>63284000</v>
      </c>
      <c r="C411" s="233" t="s">
        <v>103</v>
      </c>
      <c r="E411" s="312" t="s">
        <v>110</v>
      </c>
      <c r="F411" s="239" t="s">
        <v>49</v>
      </c>
      <c r="G411" s="320">
        <v>3462989</v>
      </c>
    </row>
    <row r="412" spans="1:7">
      <c r="A412" s="244">
        <v>404</v>
      </c>
      <c r="B412" s="233">
        <v>63284000</v>
      </c>
      <c r="C412" s="233" t="s">
        <v>105</v>
      </c>
      <c r="E412" s="312" t="s">
        <v>110</v>
      </c>
      <c r="F412" s="239" t="s">
        <v>49</v>
      </c>
      <c r="G412" s="320">
        <v>3444196</v>
      </c>
    </row>
    <row r="413" spans="1:7">
      <c r="A413" s="244">
        <v>405</v>
      </c>
      <c r="B413" s="233">
        <v>63284000</v>
      </c>
      <c r="C413" s="233" t="s">
        <v>107</v>
      </c>
      <c r="E413" s="312" t="s">
        <v>110</v>
      </c>
      <c r="F413" s="239" t="s">
        <v>49</v>
      </c>
      <c r="G413" s="320">
        <v>1433092</v>
      </c>
    </row>
    <row r="414" spans="1:7">
      <c r="A414" s="244">
        <v>406</v>
      </c>
      <c r="B414" s="233">
        <v>63284000</v>
      </c>
      <c r="C414" s="233" t="s">
        <v>108</v>
      </c>
      <c r="E414" s="312" t="s">
        <v>128</v>
      </c>
      <c r="F414" s="239" t="s">
        <v>49</v>
      </c>
      <c r="G414" s="320">
        <v>1683540</v>
      </c>
    </row>
    <row r="415" spans="1:7">
      <c r="A415" s="244">
        <v>407</v>
      </c>
      <c r="B415" s="233">
        <v>63421000</v>
      </c>
      <c r="C415" s="233" t="s">
        <v>99</v>
      </c>
      <c r="E415" s="312" t="s">
        <v>119</v>
      </c>
      <c r="F415" s="239" t="s">
        <v>51</v>
      </c>
      <c r="G415" s="320">
        <v>9029867</v>
      </c>
    </row>
    <row r="416" spans="1:7">
      <c r="A416" s="244">
        <v>408</v>
      </c>
      <c r="B416" s="233">
        <v>63421000</v>
      </c>
      <c r="C416" s="233" t="s">
        <v>101</v>
      </c>
      <c r="E416" s="312" t="s">
        <v>119</v>
      </c>
      <c r="F416" s="239" t="s">
        <v>51</v>
      </c>
      <c r="G416" s="320">
        <v>10207969</v>
      </c>
    </row>
    <row r="417" spans="1:7">
      <c r="A417" s="244">
        <v>409</v>
      </c>
      <c r="B417" s="233">
        <v>63421000</v>
      </c>
      <c r="C417" s="233" t="s">
        <v>103</v>
      </c>
      <c r="E417" s="312" t="s">
        <v>119</v>
      </c>
      <c r="F417" s="239" t="s">
        <v>51</v>
      </c>
      <c r="G417" s="320">
        <v>14732944</v>
      </c>
    </row>
    <row r="418" spans="1:7">
      <c r="A418" s="244">
        <v>410</v>
      </c>
      <c r="B418" s="233">
        <v>63421000</v>
      </c>
      <c r="C418" s="233" t="s">
        <v>105</v>
      </c>
      <c r="E418" s="312" t="s">
        <v>119</v>
      </c>
      <c r="F418" s="239" t="s">
        <v>51</v>
      </c>
      <c r="G418" s="320">
        <v>11546719</v>
      </c>
    </row>
    <row r="419" spans="1:7">
      <c r="A419" s="244">
        <v>411</v>
      </c>
      <c r="B419" s="233">
        <v>63421000</v>
      </c>
      <c r="C419" s="233" t="s">
        <v>107</v>
      </c>
      <c r="E419" s="312" t="s">
        <v>119</v>
      </c>
      <c r="F419" s="239" t="s">
        <v>51</v>
      </c>
      <c r="G419" s="320">
        <v>4569601</v>
      </c>
    </row>
    <row r="420" spans="1:7">
      <c r="A420" s="244">
        <v>412</v>
      </c>
      <c r="B420" s="233">
        <v>63423100</v>
      </c>
      <c r="C420" s="233" t="s">
        <v>99</v>
      </c>
      <c r="E420" s="312" t="s">
        <v>119</v>
      </c>
      <c r="F420" s="239" t="s">
        <v>52</v>
      </c>
      <c r="G420" s="320">
        <v>6434626</v>
      </c>
    </row>
    <row r="421" spans="1:7">
      <c r="A421" s="244">
        <v>413</v>
      </c>
      <c r="B421" s="233">
        <v>63423100</v>
      </c>
      <c r="C421" s="233" t="s">
        <v>101</v>
      </c>
      <c r="E421" s="312" t="s">
        <v>119</v>
      </c>
      <c r="F421" s="239" t="s">
        <v>52</v>
      </c>
      <c r="G421" s="320">
        <v>6454833</v>
      </c>
    </row>
    <row r="422" spans="1:7">
      <c r="A422" s="244">
        <v>414</v>
      </c>
      <c r="B422" s="233">
        <v>63423100</v>
      </c>
      <c r="C422" s="233" t="s">
        <v>103</v>
      </c>
      <c r="E422" s="312" t="s">
        <v>119</v>
      </c>
      <c r="F422" s="239" t="s">
        <v>52</v>
      </c>
      <c r="G422" s="320">
        <v>6434626</v>
      </c>
    </row>
    <row r="423" spans="1:7">
      <c r="A423" s="244">
        <v>415</v>
      </c>
      <c r="B423" s="233">
        <v>63423100</v>
      </c>
      <c r="C423" s="233" t="s">
        <v>105</v>
      </c>
      <c r="E423" s="312" t="s">
        <v>119</v>
      </c>
      <c r="F423" s="239" t="s">
        <v>52</v>
      </c>
      <c r="G423" s="320">
        <v>6457955</v>
      </c>
    </row>
    <row r="424" spans="1:7">
      <c r="A424" s="244">
        <v>416</v>
      </c>
      <c r="B424" s="233">
        <v>63423100</v>
      </c>
      <c r="C424" s="233" t="s">
        <v>107</v>
      </c>
      <c r="E424" s="312" t="s">
        <v>119</v>
      </c>
      <c r="F424" s="239" t="s">
        <v>52</v>
      </c>
      <c r="G424" s="320">
        <v>5185964</v>
      </c>
    </row>
    <row r="425" spans="1:7">
      <c r="A425" s="244">
        <v>417</v>
      </c>
      <c r="B425" s="233">
        <v>63423300</v>
      </c>
      <c r="C425" s="233" t="s">
        <v>99</v>
      </c>
      <c r="E425" s="312" t="s">
        <v>119</v>
      </c>
      <c r="F425" s="239" t="s">
        <v>53</v>
      </c>
      <c r="G425" s="320">
        <v>4570363</v>
      </c>
    </row>
    <row r="426" spans="1:7">
      <c r="A426" s="244">
        <v>418</v>
      </c>
      <c r="B426" s="233">
        <v>63423300</v>
      </c>
      <c r="C426" s="233" t="s">
        <v>105</v>
      </c>
      <c r="E426" s="312" t="s">
        <v>119</v>
      </c>
      <c r="F426" s="239" t="s">
        <v>53</v>
      </c>
      <c r="G426" s="320">
        <v>4570364</v>
      </c>
    </row>
    <row r="427" spans="1:7">
      <c r="A427" s="244">
        <v>419</v>
      </c>
      <c r="B427" s="233">
        <v>63423400</v>
      </c>
      <c r="C427" s="233" t="s">
        <v>99</v>
      </c>
      <c r="E427" s="312" t="s">
        <v>119</v>
      </c>
      <c r="F427" s="239" t="s">
        <v>54</v>
      </c>
      <c r="G427" s="320">
        <v>1239357</v>
      </c>
    </row>
    <row r="428" spans="1:7">
      <c r="A428" s="244">
        <v>420</v>
      </c>
      <c r="B428" s="233">
        <v>63423400</v>
      </c>
      <c r="C428" s="233" t="s">
        <v>101</v>
      </c>
      <c r="E428" s="312" t="s">
        <v>119</v>
      </c>
      <c r="F428" s="239" t="s">
        <v>54</v>
      </c>
      <c r="G428" s="320">
        <v>1338505</v>
      </c>
    </row>
    <row r="429" spans="1:7">
      <c r="A429" s="244">
        <v>421</v>
      </c>
      <c r="B429" s="233">
        <v>63423400</v>
      </c>
      <c r="C429" s="233" t="s">
        <v>103</v>
      </c>
      <c r="E429" s="312" t="s">
        <v>119</v>
      </c>
      <c r="F429" s="239" t="s">
        <v>54</v>
      </c>
      <c r="G429" s="320">
        <v>1338505</v>
      </c>
    </row>
    <row r="430" spans="1:7">
      <c r="A430" s="244">
        <v>422</v>
      </c>
      <c r="B430" s="233">
        <v>63423400</v>
      </c>
      <c r="C430" s="233" t="s">
        <v>105</v>
      </c>
      <c r="E430" s="312" t="s">
        <v>119</v>
      </c>
      <c r="F430" s="239" t="s">
        <v>54</v>
      </c>
      <c r="G430" s="320">
        <v>1338505</v>
      </c>
    </row>
    <row r="431" spans="1:7">
      <c r="A431" s="244">
        <v>423</v>
      </c>
      <c r="B431" s="233">
        <v>63423400</v>
      </c>
      <c r="C431" s="233" t="s">
        <v>107</v>
      </c>
      <c r="E431" s="312" t="s">
        <v>119</v>
      </c>
      <c r="F431" s="239" t="s">
        <v>54</v>
      </c>
      <c r="G431" s="320">
        <v>1140209</v>
      </c>
    </row>
    <row r="432" spans="1:7">
      <c r="A432" s="244">
        <v>424</v>
      </c>
      <c r="B432" s="233">
        <v>63423500</v>
      </c>
      <c r="C432" s="233" t="s">
        <v>99</v>
      </c>
      <c r="E432" s="312" t="s">
        <v>119</v>
      </c>
      <c r="F432" s="239" t="s">
        <v>55</v>
      </c>
      <c r="G432" s="320">
        <v>8656833</v>
      </c>
    </row>
    <row r="433" spans="1:7">
      <c r="A433" s="244">
        <v>425</v>
      </c>
      <c r="B433" s="233">
        <v>63423500</v>
      </c>
      <c r="C433" s="233" t="s">
        <v>101</v>
      </c>
      <c r="E433" s="312" t="s">
        <v>119</v>
      </c>
      <c r="F433" s="239" t="s">
        <v>55</v>
      </c>
      <c r="G433" s="320">
        <v>8656833</v>
      </c>
    </row>
    <row r="434" spans="1:7">
      <c r="A434" s="244">
        <v>426</v>
      </c>
      <c r="B434" s="233">
        <v>63423500</v>
      </c>
      <c r="C434" s="233" t="s">
        <v>103</v>
      </c>
      <c r="E434" s="312" t="s">
        <v>119</v>
      </c>
      <c r="F434" s="239" t="s">
        <v>55</v>
      </c>
      <c r="G434" s="320">
        <v>8656833</v>
      </c>
    </row>
    <row r="435" spans="1:7">
      <c r="A435" s="244">
        <v>427</v>
      </c>
      <c r="B435" s="233">
        <v>63423500</v>
      </c>
      <c r="C435" s="233" t="s">
        <v>105</v>
      </c>
      <c r="E435" s="312" t="s">
        <v>119</v>
      </c>
      <c r="F435" s="239" t="s">
        <v>55</v>
      </c>
      <c r="G435" s="320">
        <v>8656833</v>
      </c>
    </row>
    <row r="436" spans="1:7">
      <c r="A436" s="244">
        <v>428</v>
      </c>
      <c r="B436" s="233">
        <v>63423500</v>
      </c>
      <c r="C436" s="233" t="s">
        <v>107</v>
      </c>
      <c r="E436" s="312" t="s">
        <v>119</v>
      </c>
      <c r="F436" s="239" t="s">
        <v>55</v>
      </c>
      <c r="G436" s="320">
        <v>6306418</v>
      </c>
    </row>
    <row r="437" spans="1:7">
      <c r="A437" s="244">
        <v>429</v>
      </c>
      <c r="B437" s="233">
        <v>63423950</v>
      </c>
      <c r="C437" s="233" t="s">
        <v>99</v>
      </c>
      <c r="E437" s="312" t="s">
        <v>119</v>
      </c>
      <c r="F437" s="239" t="s">
        <v>561</v>
      </c>
      <c r="G437" s="320">
        <v>3929164</v>
      </c>
    </row>
    <row r="438" spans="1:7">
      <c r="A438" s="244">
        <v>430</v>
      </c>
      <c r="B438" s="233">
        <v>63423950</v>
      </c>
      <c r="C438" s="233" t="s">
        <v>101</v>
      </c>
      <c r="E438" s="312" t="s">
        <v>119</v>
      </c>
      <c r="F438" s="239" t="s">
        <v>561</v>
      </c>
      <c r="G438" s="320">
        <v>3929164</v>
      </c>
    </row>
    <row r="439" spans="1:7">
      <c r="A439" s="244">
        <v>431</v>
      </c>
      <c r="B439" s="233">
        <v>63423950</v>
      </c>
      <c r="C439" s="233" t="s">
        <v>103</v>
      </c>
      <c r="E439" s="312" t="s">
        <v>119</v>
      </c>
      <c r="F439" s="239" t="s">
        <v>561</v>
      </c>
      <c r="G439" s="320">
        <v>3929165</v>
      </c>
    </row>
    <row r="440" spans="1:7">
      <c r="A440" s="244">
        <v>432</v>
      </c>
      <c r="B440" s="233">
        <v>63423950</v>
      </c>
      <c r="C440" s="233" t="s">
        <v>105</v>
      </c>
      <c r="E440" s="312" t="s">
        <v>119</v>
      </c>
      <c r="F440" s="239" t="s">
        <v>561</v>
      </c>
      <c r="G440" s="320">
        <v>3929165</v>
      </c>
    </row>
    <row r="441" spans="1:7">
      <c r="A441" s="244">
        <v>433</v>
      </c>
      <c r="B441" s="233">
        <v>63510000</v>
      </c>
      <c r="C441" s="233" t="s">
        <v>99</v>
      </c>
      <c r="E441" s="312" t="s">
        <v>111</v>
      </c>
      <c r="F441" s="239" t="s">
        <v>1796</v>
      </c>
      <c r="G441" s="320">
        <v>1000000</v>
      </c>
    </row>
    <row r="442" spans="1:7">
      <c r="A442" s="244">
        <v>434</v>
      </c>
      <c r="B442" s="233">
        <v>63510000</v>
      </c>
      <c r="C442" s="233" t="s">
        <v>101</v>
      </c>
      <c r="E442" s="312" t="s">
        <v>119</v>
      </c>
      <c r="F442" s="239" t="s">
        <v>1796</v>
      </c>
      <c r="G442" s="320">
        <v>1000000</v>
      </c>
    </row>
    <row r="443" spans="1:7">
      <c r="A443" s="244">
        <v>435</v>
      </c>
      <c r="B443" s="233">
        <v>63510000</v>
      </c>
      <c r="C443" s="233" t="s">
        <v>103</v>
      </c>
      <c r="E443" s="312" t="s">
        <v>111</v>
      </c>
      <c r="F443" s="239" t="s">
        <v>1796</v>
      </c>
      <c r="G443" s="320">
        <v>1000000</v>
      </c>
    </row>
    <row r="444" spans="1:7">
      <c r="A444" s="244">
        <v>436</v>
      </c>
      <c r="B444" s="233">
        <v>63510000</v>
      </c>
      <c r="C444" s="233" t="s">
        <v>105</v>
      </c>
      <c r="E444" s="312" t="s">
        <v>111</v>
      </c>
      <c r="F444" s="239" t="s">
        <v>1796</v>
      </c>
      <c r="G444" s="320">
        <v>1000000</v>
      </c>
    </row>
    <row r="445" spans="1:7">
      <c r="A445" s="244">
        <v>437</v>
      </c>
      <c r="B445" s="233">
        <v>63510000</v>
      </c>
      <c r="C445" s="233" t="s">
        <v>107</v>
      </c>
      <c r="E445" s="312" t="s">
        <v>111</v>
      </c>
      <c r="F445" s="239" t="s">
        <v>1796</v>
      </c>
      <c r="G445" s="320">
        <v>1000000</v>
      </c>
    </row>
    <row r="446" spans="1:7">
      <c r="A446" s="244">
        <v>438</v>
      </c>
      <c r="B446" s="233">
        <v>63711000</v>
      </c>
      <c r="C446" s="233" t="s">
        <v>99</v>
      </c>
      <c r="E446" s="312" t="s">
        <v>110</v>
      </c>
      <c r="F446" s="239" t="s">
        <v>562</v>
      </c>
      <c r="G446" s="320">
        <v>7375266</v>
      </c>
    </row>
    <row r="447" spans="1:7">
      <c r="A447" s="244">
        <v>439</v>
      </c>
      <c r="B447" s="233">
        <v>63711000</v>
      </c>
      <c r="C447" s="233" t="s">
        <v>101</v>
      </c>
      <c r="E447" s="312" t="s">
        <v>119</v>
      </c>
      <c r="F447" s="239" t="s">
        <v>562</v>
      </c>
      <c r="G447" s="320">
        <v>7142978</v>
      </c>
    </row>
    <row r="448" spans="1:7">
      <c r="A448" s="244">
        <v>440</v>
      </c>
      <c r="B448" s="233">
        <v>63711000</v>
      </c>
      <c r="C448" s="233" t="s">
        <v>103</v>
      </c>
      <c r="E448" s="312" t="s">
        <v>110</v>
      </c>
      <c r="F448" s="239" t="s">
        <v>562</v>
      </c>
      <c r="G448" s="320">
        <v>10645631</v>
      </c>
    </row>
    <row r="449" spans="1:7">
      <c r="A449" s="244">
        <v>441</v>
      </c>
      <c r="B449" s="233">
        <v>63711000</v>
      </c>
      <c r="C449" s="233" t="s">
        <v>105</v>
      </c>
      <c r="E449" s="312" t="s">
        <v>110</v>
      </c>
      <c r="F449" s="239" t="s">
        <v>562</v>
      </c>
      <c r="G449" s="320">
        <v>7890697</v>
      </c>
    </row>
    <row r="450" spans="1:7">
      <c r="A450" s="244">
        <v>442</v>
      </c>
      <c r="B450" s="233">
        <v>63711000</v>
      </c>
      <c r="C450" s="233" t="s">
        <v>107</v>
      </c>
      <c r="E450" s="312" t="s">
        <v>110</v>
      </c>
      <c r="F450" s="239" t="s">
        <v>562</v>
      </c>
      <c r="G450" s="320">
        <v>3391613</v>
      </c>
    </row>
    <row r="451" spans="1:7">
      <c r="A451" s="244">
        <v>443</v>
      </c>
      <c r="B451" s="233">
        <v>63712000</v>
      </c>
      <c r="C451" s="233" t="s">
        <v>99</v>
      </c>
      <c r="E451" s="312" t="s">
        <v>110</v>
      </c>
      <c r="F451" s="239" t="s">
        <v>57</v>
      </c>
      <c r="G451" s="320">
        <v>3201077</v>
      </c>
    </row>
    <row r="452" spans="1:7">
      <c r="A452" s="244">
        <v>444</v>
      </c>
      <c r="B452" s="233">
        <v>63712000</v>
      </c>
      <c r="C452" s="233" t="s">
        <v>101</v>
      </c>
      <c r="E452" s="312" t="s">
        <v>110</v>
      </c>
      <c r="F452" s="239" t="s">
        <v>57</v>
      </c>
      <c r="G452" s="320">
        <v>3992148</v>
      </c>
    </row>
    <row r="453" spans="1:7">
      <c r="A453" s="244">
        <v>445</v>
      </c>
      <c r="B453" s="233">
        <v>63712000</v>
      </c>
      <c r="C453" s="233" t="s">
        <v>103</v>
      </c>
      <c r="E453" s="312" t="s">
        <v>110</v>
      </c>
      <c r="F453" s="239" t="s">
        <v>57</v>
      </c>
      <c r="G453" s="320">
        <v>4108665</v>
      </c>
    </row>
    <row r="454" spans="1:7">
      <c r="A454" s="244">
        <v>446</v>
      </c>
      <c r="B454" s="233">
        <v>63712000</v>
      </c>
      <c r="C454" s="233" t="s">
        <v>105</v>
      </c>
      <c r="E454" s="312" t="s">
        <v>110</v>
      </c>
      <c r="F454" s="239" t="s">
        <v>57</v>
      </c>
      <c r="G454" s="320">
        <v>6706334</v>
      </c>
    </row>
    <row r="455" spans="1:7">
      <c r="A455" s="244">
        <v>447</v>
      </c>
      <c r="B455" s="233">
        <v>63712001</v>
      </c>
      <c r="C455" s="233" t="s">
        <v>99</v>
      </c>
      <c r="E455" s="312" t="s">
        <v>111</v>
      </c>
      <c r="F455" s="239" t="s">
        <v>58</v>
      </c>
      <c r="G455" s="320">
        <v>9533900</v>
      </c>
    </row>
    <row r="456" spans="1:7">
      <c r="A456" s="244">
        <v>448</v>
      </c>
      <c r="B456" s="233">
        <v>63712001</v>
      </c>
      <c r="C456" s="233" t="s">
        <v>101</v>
      </c>
      <c r="E456" s="312" t="s">
        <v>111</v>
      </c>
      <c r="F456" s="239" t="s">
        <v>58</v>
      </c>
      <c r="G456" s="320">
        <v>3774600</v>
      </c>
    </row>
    <row r="457" spans="1:7">
      <c r="A457" s="244">
        <v>449</v>
      </c>
      <c r="B457" s="233">
        <v>63712001</v>
      </c>
      <c r="C457" s="233" t="s">
        <v>103</v>
      </c>
      <c r="E457" s="312" t="s">
        <v>111</v>
      </c>
      <c r="F457" s="239" t="s">
        <v>58</v>
      </c>
      <c r="G457" s="320">
        <v>2104600</v>
      </c>
    </row>
    <row r="458" spans="1:7">
      <c r="A458" s="244">
        <v>450</v>
      </c>
      <c r="B458" s="233">
        <v>63712001</v>
      </c>
      <c r="C458" s="233" t="s">
        <v>105</v>
      </c>
      <c r="E458" s="312" t="s">
        <v>111</v>
      </c>
      <c r="F458" s="239" t="s">
        <v>58</v>
      </c>
      <c r="G458" s="320">
        <v>789600</v>
      </c>
    </row>
    <row r="459" spans="1:7">
      <c r="A459" s="244">
        <v>451</v>
      </c>
      <c r="B459" s="233">
        <v>63712001</v>
      </c>
      <c r="C459" s="233" t="s">
        <v>107</v>
      </c>
      <c r="E459" s="312" t="s">
        <v>111</v>
      </c>
      <c r="F459" s="239" t="s">
        <v>58</v>
      </c>
      <c r="G459" s="320">
        <v>629600</v>
      </c>
    </row>
    <row r="460" spans="1:7">
      <c r="A460" s="244">
        <v>452</v>
      </c>
      <c r="B460" s="233">
        <v>63720000</v>
      </c>
      <c r="C460" s="233" t="s">
        <v>108</v>
      </c>
      <c r="E460" s="312" t="s">
        <v>127</v>
      </c>
      <c r="F460" s="239" t="s">
        <v>59</v>
      </c>
      <c r="G460" s="320">
        <v>3188154</v>
      </c>
    </row>
    <row r="461" spans="1:7">
      <c r="A461" s="244">
        <v>453</v>
      </c>
      <c r="B461" s="233">
        <v>63830000</v>
      </c>
      <c r="C461" s="233" t="s">
        <v>108</v>
      </c>
      <c r="E461" s="312" t="s">
        <v>127</v>
      </c>
      <c r="F461" s="239" t="s">
        <v>60</v>
      </c>
      <c r="G461" s="320">
        <v>889000</v>
      </c>
    </row>
    <row r="462" spans="1:7">
      <c r="A462" s="244">
        <v>454</v>
      </c>
      <c r="B462" s="233">
        <v>63830060</v>
      </c>
      <c r="C462" s="233" t="s">
        <v>99</v>
      </c>
      <c r="E462" s="312" t="s">
        <v>120</v>
      </c>
      <c r="F462" s="239" t="s">
        <v>61</v>
      </c>
      <c r="G462" s="320">
        <v>91296</v>
      </c>
    </row>
    <row r="463" spans="1:7">
      <c r="A463" s="244">
        <v>455</v>
      </c>
      <c r="B463" s="233">
        <v>63830060</v>
      </c>
      <c r="C463" s="233" t="s">
        <v>101</v>
      </c>
      <c r="E463" s="312" t="s">
        <v>120</v>
      </c>
      <c r="F463" s="239" t="s">
        <v>61</v>
      </c>
      <c r="G463" s="320">
        <v>508500</v>
      </c>
    </row>
    <row r="464" spans="1:7">
      <c r="A464" s="244">
        <v>456</v>
      </c>
      <c r="B464" s="233">
        <v>63830060</v>
      </c>
      <c r="C464" s="233" t="s">
        <v>103</v>
      </c>
      <c r="E464" s="312" t="s">
        <v>120</v>
      </c>
      <c r="F464" s="239" t="s">
        <v>61</v>
      </c>
      <c r="G464" s="320">
        <v>409000</v>
      </c>
    </row>
    <row r="465" spans="1:7">
      <c r="A465" s="244">
        <v>457</v>
      </c>
      <c r="B465" s="233">
        <v>63830060</v>
      </c>
      <c r="C465" s="233" t="s">
        <v>105</v>
      </c>
      <c r="E465" s="312" t="s">
        <v>120</v>
      </c>
      <c r="F465" s="239" t="s">
        <v>61</v>
      </c>
      <c r="G465" s="320">
        <v>378425</v>
      </c>
    </row>
    <row r="466" spans="1:7">
      <c r="A466" s="244">
        <v>458</v>
      </c>
      <c r="B466" s="233">
        <v>63830060</v>
      </c>
      <c r="C466" s="233" t="s">
        <v>108</v>
      </c>
      <c r="E466" s="312" t="s">
        <v>127</v>
      </c>
      <c r="F466" s="239" t="s">
        <v>61</v>
      </c>
      <c r="G466" s="320">
        <v>15598892</v>
      </c>
    </row>
    <row r="467" spans="1:7">
      <c r="A467" s="244">
        <v>459</v>
      </c>
      <c r="B467" s="233">
        <v>63831000</v>
      </c>
      <c r="C467" s="233" t="s">
        <v>99</v>
      </c>
      <c r="E467" s="312" t="s">
        <v>120</v>
      </c>
      <c r="F467" s="239" t="s">
        <v>62</v>
      </c>
      <c r="G467" s="320">
        <v>851320</v>
      </c>
    </row>
    <row r="468" spans="1:7">
      <c r="A468" s="244">
        <v>460</v>
      </c>
      <c r="B468" s="233">
        <v>63831000</v>
      </c>
      <c r="C468" s="233" t="s">
        <v>103</v>
      </c>
      <c r="E468" s="312" t="s">
        <v>120</v>
      </c>
      <c r="F468" s="239" t="s">
        <v>62</v>
      </c>
      <c r="G468" s="320">
        <v>2113365</v>
      </c>
    </row>
    <row r="469" spans="1:7">
      <c r="A469" s="244">
        <v>461</v>
      </c>
      <c r="B469" s="233">
        <v>63832000</v>
      </c>
      <c r="C469" s="233" t="s">
        <v>99</v>
      </c>
      <c r="E469" s="312" t="s">
        <v>120</v>
      </c>
      <c r="F469" s="239" t="s">
        <v>63</v>
      </c>
      <c r="G469" s="320">
        <v>6398643</v>
      </c>
    </row>
    <row r="470" spans="1:7">
      <c r="A470" s="244">
        <v>462</v>
      </c>
      <c r="B470" s="233">
        <v>63832000</v>
      </c>
      <c r="C470" s="233" t="s">
        <v>101</v>
      </c>
      <c r="E470" s="312" t="s">
        <v>120</v>
      </c>
      <c r="F470" s="239" t="s">
        <v>63</v>
      </c>
      <c r="G470" s="320">
        <v>4310728</v>
      </c>
    </row>
    <row r="471" spans="1:7">
      <c r="A471" s="244">
        <v>463</v>
      </c>
      <c r="B471" s="233">
        <v>63832000</v>
      </c>
      <c r="C471" s="233" t="s">
        <v>103</v>
      </c>
      <c r="E471" s="312" t="s">
        <v>120</v>
      </c>
      <c r="F471" s="239" t="s">
        <v>63</v>
      </c>
      <c r="G471" s="320">
        <v>4670628</v>
      </c>
    </row>
    <row r="472" spans="1:7">
      <c r="A472" s="244">
        <v>464</v>
      </c>
      <c r="B472" s="233">
        <v>63832000</v>
      </c>
      <c r="C472" s="233" t="s">
        <v>105</v>
      </c>
      <c r="E472" s="312" t="s">
        <v>120</v>
      </c>
      <c r="F472" s="239" t="s">
        <v>63</v>
      </c>
      <c r="G472" s="320">
        <v>4961272</v>
      </c>
    </row>
    <row r="473" spans="1:7">
      <c r="A473" s="244">
        <v>465</v>
      </c>
      <c r="B473" s="233">
        <v>63832000</v>
      </c>
      <c r="C473" s="233" t="s">
        <v>107</v>
      </c>
      <c r="E473" s="312" t="s">
        <v>120</v>
      </c>
      <c r="F473" s="239" t="s">
        <v>63</v>
      </c>
      <c r="G473" s="320">
        <v>894430</v>
      </c>
    </row>
    <row r="474" spans="1:7">
      <c r="A474" s="244">
        <v>466</v>
      </c>
      <c r="B474" s="233">
        <v>64110000</v>
      </c>
      <c r="C474" s="233" t="s">
        <v>99</v>
      </c>
      <c r="E474" s="312" t="s">
        <v>122</v>
      </c>
      <c r="F474" s="239" t="s">
        <v>65</v>
      </c>
      <c r="G474" s="320">
        <v>18700</v>
      </c>
    </row>
    <row r="475" spans="1:7">
      <c r="A475" s="244">
        <v>467</v>
      </c>
      <c r="B475" s="233">
        <v>64110000</v>
      </c>
      <c r="C475" s="233" t="s">
        <v>101</v>
      </c>
      <c r="E475" s="312" t="s">
        <v>122</v>
      </c>
      <c r="F475" s="239" t="s">
        <v>65</v>
      </c>
      <c r="G475" s="320">
        <v>29000</v>
      </c>
    </row>
    <row r="476" spans="1:7">
      <c r="A476" s="244">
        <v>468</v>
      </c>
      <c r="B476" s="233">
        <v>64110000</v>
      </c>
      <c r="C476" s="233" t="s">
        <v>103</v>
      </c>
      <c r="E476" s="312" t="s">
        <v>122</v>
      </c>
      <c r="F476" s="239" t="s">
        <v>65</v>
      </c>
      <c r="G476" s="320">
        <v>33900</v>
      </c>
    </row>
    <row r="477" spans="1:7">
      <c r="A477" s="244">
        <v>469</v>
      </c>
      <c r="B477" s="233">
        <v>64110000</v>
      </c>
      <c r="C477" s="233" t="s">
        <v>105</v>
      </c>
      <c r="E477" s="312" t="s">
        <v>122</v>
      </c>
      <c r="F477" s="239" t="s">
        <v>65</v>
      </c>
      <c r="G477" s="320">
        <v>32500</v>
      </c>
    </row>
    <row r="478" spans="1:7">
      <c r="A478" s="244">
        <v>470</v>
      </c>
      <c r="B478" s="233">
        <v>64110000</v>
      </c>
      <c r="C478" s="233" t="s">
        <v>107</v>
      </c>
      <c r="E478" s="312" t="s">
        <v>122</v>
      </c>
      <c r="F478" s="239" t="s">
        <v>65</v>
      </c>
      <c r="G478" s="320">
        <v>33400</v>
      </c>
    </row>
    <row r="479" spans="1:7">
      <c r="A479" s="244">
        <v>471</v>
      </c>
      <c r="B479" s="233">
        <v>64110000</v>
      </c>
      <c r="C479" s="233" t="s">
        <v>108</v>
      </c>
      <c r="E479" s="312" t="s">
        <v>127</v>
      </c>
      <c r="F479" s="239" t="s">
        <v>65</v>
      </c>
      <c r="G479" s="320">
        <v>23500</v>
      </c>
    </row>
    <row r="480" spans="1:7">
      <c r="A480" s="244">
        <v>472</v>
      </c>
      <c r="B480" s="233">
        <v>64112000</v>
      </c>
      <c r="C480" s="233" t="s">
        <v>99</v>
      </c>
      <c r="E480" s="312" t="s">
        <v>121</v>
      </c>
      <c r="F480" s="239" t="s">
        <v>66</v>
      </c>
      <c r="G480" s="320">
        <v>26586988</v>
      </c>
    </row>
    <row r="481" spans="1:7">
      <c r="A481" s="244">
        <v>473</v>
      </c>
      <c r="B481" s="233">
        <v>64112000</v>
      </c>
      <c r="C481" s="233" t="s">
        <v>101</v>
      </c>
      <c r="E481" s="312" t="s">
        <v>121</v>
      </c>
      <c r="F481" s="239" t="s">
        <v>66</v>
      </c>
      <c r="G481" s="320">
        <v>31428918</v>
      </c>
    </row>
    <row r="482" spans="1:7">
      <c r="A482" s="244">
        <v>474</v>
      </c>
      <c r="B482" s="233">
        <v>64112000</v>
      </c>
      <c r="C482" s="233" t="s">
        <v>103</v>
      </c>
      <c r="E482" s="312" t="s">
        <v>121</v>
      </c>
      <c r="F482" s="239" t="s">
        <v>66</v>
      </c>
      <c r="G482" s="320">
        <v>89046085</v>
      </c>
    </row>
    <row r="483" spans="1:7">
      <c r="A483" s="244">
        <v>475</v>
      </c>
      <c r="B483" s="233">
        <v>64112000</v>
      </c>
      <c r="C483" s="233" t="s">
        <v>105</v>
      </c>
      <c r="E483" s="312" t="s">
        <v>121</v>
      </c>
      <c r="F483" s="239" t="s">
        <v>66</v>
      </c>
      <c r="G483" s="320">
        <v>32906570</v>
      </c>
    </row>
    <row r="484" spans="1:7">
      <c r="A484" s="244">
        <v>476</v>
      </c>
      <c r="B484" s="233">
        <v>64112000</v>
      </c>
      <c r="C484" s="233" t="s">
        <v>107</v>
      </c>
      <c r="E484" s="312" t="s">
        <v>121</v>
      </c>
      <c r="F484" s="239" t="s">
        <v>66</v>
      </c>
      <c r="G484" s="320">
        <v>21835162</v>
      </c>
    </row>
    <row r="485" spans="1:7">
      <c r="A485" s="244">
        <v>477</v>
      </c>
      <c r="B485" s="233">
        <v>64112000</v>
      </c>
      <c r="C485" s="233" t="s">
        <v>108</v>
      </c>
      <c r="E485" s="312" t="s">
        <v>129</v>
      </c>
      <c r="F485" s="239" t="s">
        <v>66</v>
      </c>
      <c r="G485" s="320">
        <v>4637224</v>
      </c>
    </row>
    <row r="486" spans="1:7">
      <c r="A486" s="244">
        <v>478</v>
      </c>
      <c r="B486" s="233">
        <v>64113000</v>
      </c>
      <c r="C486" s="233" t="s">
        <v>99</v>
      </c>
      <c r="E486" s="312" t="s">
        <v>111</v>
      </c>
      <c r="F486" s="239" t="s">
        <v>1797</v>
      </c>
      <c r="G486" s="320">
        <v>150976</v>
      </c>
    </row>
    <row r="487" spans="1:7">
      <c r="A487" s="244">
        <v>479</v>
      </c>
      <c r="B487" s="233">
        <v>64113000</v>
      </c>
      <c r="C487" s="233" t="s">
        <v>101</v>
      </c>
      <c r="E487" s="312" t="s">
        <v>111</v>
      </c>
      <c r="F487" s="239" t="s">
        <v>1797</v>
      </c>
      <c r="G487" s="320">
        <v>150976</v>
      </c>
    </row>
    <row r="488" spans="1:7">
      <c r="A488" s="244">
        <v>480</v>
      </c>
      <c r="B488" s="233">
        <v>64113000</v>
      </c>
      <c r="C488" s="233" t="s">
        <v>103</v>
      </c>
      <c r="E488" s="312" t="s">
        <v>111</v>
      </c>
      <c r="F488" s="239" t="s">
        <v>1797</v>
      </c>
      <c r="G488" s="320">
        <v>150976</v>
      </c>
    </row>
    <row r="489" spans="1:7">
      <c r="A489" s="244">
        <v>481</v>
      </c>
      <c r="B489" s="233">
        <v>64113000</v>
      </c>
      <c r="C489" s="233" t="s">
        <v>105</v>
      </c>
      <c r="E489" s="312" t="s">
        <v>111</v>
      </c>
      <c r="F489" s="239" t="s">
        <v>1797</v>
      </c>
      <c r="G489" s="320">
        <v>1090835</v>
      </c>
    </row>
    <row r="490" spans="1:7">
      <c r="A490" s="244">
        <v>482</v>
      </c>
      <c r="B490" s="233">
        <v>64113000</v>
      </c>
      <c r="C490" s="233" t="s">
        <v>107</v>
      </c>
      <c r="E490" s="312" t="s">
        <v>111</v>
      </c>
      <c r="F490" s="239" t="s">
        <v>1797</v>
      </c>
      <c r="G490" s="320">
        <v>150975</v>
      </c>
    </row>
    <row r="491" spans="1:7">
      <c r="A491" s="244">
        <v>483</v>
      </c>
      <c r="B491" s="233">
        <v>64620000</v>
      </c>
      <c r="C491" s="233" t="s">
        <v>108</v>
      </c>
      <c r="E491" s="312" t="s">
        <v>127</v>
      </c>
      <c r="F491" s="239" t="s">
        <v>67</v>
      </c>
      <c r="G491" s="320">
        <v>36305</v>
      </c>
    </row>
    <row r="492" spans="1:7">
      <c r="A492" s="244">
        <v>484</v>
      </c>
      <c r="B492" s="233">
        <v>64782000</v>
      </c>
      <c r="C492" s="233" t="s">
        <v>99</v>
      </c>
      <c r="E492" s="312" t="s">
        <v>111</v>
      </c>
      <c r="F492" s="239" t="s">
        <v>1798</v>
      </c>
      <c r="G492" s="320">
        <v>1040000</v>
      </c>
    </row>
    <row r="493" spans="1:7">
      <c r="A493" s="244">
        <v>485</v>
      </c>
      <c r="B493" s="233">
        <v>64782000</v>
      </c>
      <c r="C493" s="233" t="s">
        <v>101</v>
      </c>
      <c r="E493" s="312" t="s">
        <v>111</v>
      </c>
      <c r="F493" s="239" t="s">
        <v>1798</v>
      </c>
      <c r="G493" s="320">
        <v>40000</v>
      </c>
    </row>
    <row r="494" spans="1:7">
      <c r="A494" s="244">
        <v>486</v>
      </c>
      <c r="B494" s="233">
        <v>64782000</v>
      </c>
      <c r="C494" s="233" t="s">
        <v>103</v>
      </c>
      <c r="E494" s="312" t="s">
        <v>111</v>
      </c>
      <c r="F494" s="239" t="s">
        <v>1798</v>
      </c>
      <c r="G494" s="320">
        <v>40000</v>
      </c>
    </row>
    <row r="495" spans="1:7">
      <c r="A495" s="244">
        <v>487</v>
      </c>
      <c r="B495" s="233">
        <v>64782000</v>
      </c>
      <c r="C495" s="233" t="s">
        <v>105</v>
      </c>
      <c r="E495" s="312" t="s">
        <v>111</v>
      </c>
      <c r="F495" s="239" t="s">
        <v>1798</v>
      </c>
      <c r="G495" s="320">
        <v>40000</v>
      </c>
    </row>
    <row r="496" spans="1:7">
      <c r="A496" s="244">
        <v>488</v>
      </c>
      <c r="B496" s="233">
        <v>64782000</v>
      </c>
      <c r="C496" s="233" t="s">
        <v>107</v>
      </c>
      <c r="E496" s="312" t="s">
        <v>111</v>
      </c>
      <c r="F496" s="239" t="s">
        <v>1798</v>
      </c>
      <c r="G496" s="320">
        <v>40000</v>
      </c>
    </row>
    <row r="497" spans="1:7">
      <c r="A497" s="244">
        <v>489</v>
      </c>
      <c r="B497" s="233">
        <v>65000000</v>
      </c>
      <c r="C497" s="233" t="s">
        <v>101</v>
      </c>
      <c r="E497" s="312" t="s">
        <v>111</v>
      </c>
      <c r="F497" s="239" t="s">
        <v>68</v>
      </c>
      <c r="G497" s="320">
        <v>181541</v>
      </c>
    </row>
    <row r="498" spans="1:7">
      <c r="A498" s="244">
        <v>490</v>
      </c>
      <c r="B498" s="233">
        <v>65000000</v>
      </c>
      <c r="C498" s="233" t="s">
        <v>108</v>
      </c>
      <c r="E498" s="312" t="s">
        <v>128</v>
      </c>
      <c r="F498" s="239" t="s">
        <v>68</v>
      </c>
      <c r="G498" s="320">
        <v>32155</v>
      </c>
    </row>
    <row r="499" spans="1:7">
      <c r="A499" s="244">
        <v>491</v>
      </c>
      <c r="B499" s="233">
        <v>66110000</v>
      </c>
      <c r="C499" s="233" t="s">
        <v>99</v>
      </c>
      <c r="E499" s="312" t="s">
        <v>122</v>
      </c>
      <c r="F499" s="239" t="s">
        <v>70</v>
      </c>
      <c r="G499" s="320">
        <v>15210852</v>
      </c>
    </row>
    <row r="500" spans="1:7">
      <c r="A500" s="244">
        <v>492</v>
      </c>
      <c r="B500" s="233">
        <v>66110000</v>
      </c>
      <c r="C500" s="233" t="s">
        <v>101</v>
      </c>
      <c r="E500" s="312" t="s">
        <v>122</v>
      </c>
      <c r="F500" s="239" t="s">
        <v>70</v>
      </c>
      <c r="G500" s="320">
        <v>24170131</v>
      </c>
    </row>
    <row r="501" spans="1:7">
      <c r="A501" s="244">
        <v>493</v>
      </c>
      <c r="B501" s="233">
        <v>66110000</v>
      </c>
      <c r="C501" s="233" t="s">
        <v>103</v>
      </c>
      <c r="E501" s="312" t="s">
        <v>122</v>
      </c>
      <c r="F501" s="239" t="s">
        <v>70</v>
      </c>
      <c r="G501" s="320">
        <v>23744821</v>
      </c>
    </row>
    <row r="502" spans="1:7">
      <c r="A502" s="244">
        <v>494</v>
      </c>
      <c r="B502" s="233">
        <v>66110000</v>
      </c>
      <c r="C502" s="233" t="s">
        <v>105</v>
      </c>
      <c r="E502" s="312" t="s">
        <v>122</v>
      </c>
      <c r="F502" s="239" t="s">
        <v>70</v>
      </c>
      <c r="G502" s="320">
        <v>22119919</v>
      </c>
    </row>
    <row r="503" spans="1:7">
      <c r="A503" s="244">
        <v>495</v>
      </c>
      <c r="B503" s="233">
        <v>66110000</v>
      </c>
      <c r="C503" s="233" t="s">
        <v>107</v>
      </c>
      <c r="E503" s="312" t="s">
        <v>122</v>
      </c>
      <c r="F503" s="239" t="s">
        <v>70</v>
      </c>
      <c r="G503" s="320">
        <v>6297100</v>
      </c>
    </row>
    <row r="504" spans="1:7">
      <c r="A504" s="244">
        <v>496</v>
      </c>
      <c r="B504" s="233">
        <v>66110000</v>
      </c>
      <c r="C504" s="233" t="s">
        <v>108</v>
      </c>
      <c r="E504" s="312" t="s">
        <v>129</v>
      </c>
      <c r="F504" s="239" t="s">
        <v>70</v>
      </c>
      <c r="G504" s="320">
        <v>11159590</v>
      </c>
    </row>
    <row r="505" spans="1:7">
      <c r="A505" s="244">
        <v>497</v>
      </c>
      <c r="B505" s="233">
        <v>66121000</v>
      </c>
      <c r="C505" s="233" t="s">
        <v>99</v>
      </c>
      <c r="E505" s="312" t="s">
        <v>122</v>
      </c>
      <c r="F505" s="239" t="s">
        <v>71</v>
      </c>
      <c r="G505" s="320">
        <v>-141</v>
      </c>
    </row>
    <row r="506" spans="1:7">
      <c r="A506" s="244">
        <v>498</v>
      </c>
      <c r="B506" s="233">
        <v>66121000</v>
      </c>
      <c r="C506" s="233" t="s">
        <v>101</v>
      </c>
      <c r="E506" s="312" t="s">
        <v>122</v>
      </c>
      <c r="F506" s="239" t="s">
        <v>71</v>
      </c>
      <c r="G506" s="320">
        <v>-285</v>
      </c>
    </row>
    <row r="507" spans="1:7">
      <c r="A507" s="244">
        <v>499</v>
      </c>
      <c r="B507" s="233">
        <v>66121000</v>
      </c>
      <c r="C507" s="233" t="s">
        <v>103</v>
      </c>
      <c r="E507" s="312" t="s">
        <v>122</v>
      </c>
      <c r="F507" s="239" t="s">
        <v>71</v>
      </c>
      <c r="G507" s="320">
        <v>-3029</v>
      </c>
    </row>
    <row r="508" spans="1:7">
      <c r="A508" s="244">
        <v>500</v>
      </c>
      <c r="B508" s="233">
        <v>66121000</v>
      </c>
      <c r="C508" s="233" t="s">
        <v>105</v>
      </c>
      <c r="E508" s="312" t="s">
        <v>122</v>
      </c>
      <c r="F508" s="239" t="s">
        <v>71</v>
      </c>
      <c r="G508" s="320">
        <v>2285</v>
      </c>
    </row>
    <row r="509" spans="1:7">
      <c r="A509" s="244">
        <v>501</v>
      </c>
      <c r="B509" s="233">
        <v>66121000</v>
      </c>
      <c r="C509" s="233" t="s">
        <v>107</v>
      </c>
      <c r="E509" s="312" t="s">
        <v>122</v>
      </c>
      <c r="F509" s="239" t="s">
        <v>71</v>
      </c>
      <c r="G509" s="320">
        <v>-610</v>
      </c>
    </row>
    <row r="510" spans="1:7">
      <c r="A510" s="244">
        <v>502</v>
      </c>
      <c r="B510" s="233">
        <v>66121000</v>
      </c>
      <c r="C510" s="233" t="s">
        <v>108</v>
      </c>
      <c r="E510" s="312" t="s">
        <v>129</v>
      </c>
      <c r="F510" s="239" t="s">
        <v>71</v>
      </c>
      <c r="G510" s="320">
        <v>-436</v>
      </c>
    </row>
    <row r="511" spans="1:7">
      <c r="A511" s="244">
        <v>503</v>
      </c>
      <c r="B511" s="233">
        <v>66220019</v>
      </c>
      <c r="C511" s="233" t="s">
        <v>99</v>
      </c>
      <c r="E511" s="312" t="s">
        <v>121</v>
      </c>
      <c r="F511" s="239" t="s">
        <v>73</v>
      </c>
      <c r="G511" s="320">
        <v>41821767</v>
      </c>
    </row>
    <row r="512" spans="1:7">
      <c r="A512" s="244">
        <v>504</v>
      </c>
      <c r="B512" s="233">
        <v>66220029</v>
      </c>
      <c r="C512" s="233" t="s">
        <v>101</v>
      </c>
      <c r="E512" s="312" t="s">
        <v>121</v>
      </c>
      <c r="F512" s="239" t="s">
        <v>74</v>
      </c>
      <c r="G512" s="320">
        <v>121898481</v>
      </c>
    </row>
    <row r="513" spans="1:10">
      <c r="A513" s="244">
        <v>505</v>
      </c>
      <c r="B513" s="233">
        <v>66220039</v>
      </c>
      <c r="C513" s="233" t="s">
        <v>103</v>
      </c>
      <c r="E513" s="312" t="s">
        <v>121</v>
      </c>
      <c r="F513" s="239" t="s">
        <v>1799</v>
      </c>
      <c r="G513" s="320">
        <v>55490441</v>
      </c>
    </row>
    <row r="514" spans="1:10">
      <c r="A514" s="244">
        <v>506</v>
      </c>
      <c r="B514" s="233">
        <v>66220049</v>
      </c>
      <c r="C514" s="233" t="s">
        <v>105</v>
      </c>
      <c r="E514" s="312" t="s">
        <v>121</v>
      </c>
      <c r="F514" s="239" t="s">
        <v>1801</v>
      </c>
      <c r="G514" s="320">
        <v>117996114</v>
      </c>
    </row>
    <row r="515" spans="1:10">
      <c r="A515" s="244">
        <v>507</v>
      </c>
      <c r="B515" s="233">
        <v>66220059</v>
      </c>
      <c r="C515" s="233" t="s">
        <v>107</v>
      </c>
      <c r="E515" s="313" t="s">
        <v>121</v>
      </c>
      <c r="F515" s="239" t="s">
        <v>1802</v>
      </c>
      <c r="G515" s="320">
        <v>17972824</v>
      </c>
    </row>
    <row r="516" spans="1:10">
      <c r="A516" s="244">
        <v>508</v>
      </c>
      <c r="B516" s="233">
        <v>66380000</v>
      </c>
      <c r="C516" s="233" t="s">
        <v>99</v>
      </c>
      <c r="E516" s="312" t="s">
        <v>122</v>
      </c>
      <c r="F516" s="239" t="s">
        <v>75</v>
      </c>
      <c r="G516" s="320">
        <v>386187</v>
      </c>
    </row>
    <row r="517" spans="1:10">
      <c r="A517" s="244">
        <v>509</v>
      </c>
      <c r="B517" s="233">
        <v>66380000</v>
      </c>
      <c r="C517" s="233" t="s">
        <v>101</v>
      </c>
      <c r="E517" s="312" t="s">
        <v>122</v>
      </c>
      <c r="F517" s="239" t="s">
        <v>75</v>
      </c>
      <c r="G517" s="320">
        <v>364694</v>
      </c>
    </row>
    <row r="518" spans="1:10">
      <c r="A518" s="244">
        <v>510</v>
      </c>
      <c r="B518" s="233">
        <v>66380000</v>
      </c>
      <c r="C518" s="233" t="s">
        <v>103</v>
      </c>
      <c r="E518" s="312" t="s">
        <v>122</v>
      </c>
      <c r="F518" s="239" t="s">
        <v>75</v>
      </c>
      <c r="G518" s="320">
        <v>383413</v>
      </c>
    </row>
    <row r="519" spans="1:10">
      <c r="A519" s="244">
        <v>511</v>
      </c>
      <c r="B519" s="233">
        <v>66380000</v>
      </c>
      <c r="C519" s="233" t="s">
        <v>105</v>
      </c>
      <c r="E519" s="312" t="s">
        <v>122</v>
      </c>
      <c r="F519" s="239" t="s">
        <v>75</v>
      </c>
      <c r="G519" s="320">
        <v>394507</v>
      </c>
    </row>
    <row r="520" spans="1:10">
      <c r="A520" s="244">
        <v>512</v>
      </c>
      <c r="B520" s="233">
        <v>66380000</v>
      </c>
      <c r="C520" s="233" t="s">
        <v>107</v>
      </c>
      <c r="E520" s="312" t="s">
        <v>122</v>
      </c>
      <c r="F520" s="239" t="s">
        <v>75</v>
      </c>
      <c r="G520" s="320">
        <v>603200</v>
      </c>
    </row>
    <row r="521" spans="1:10">
      <c r="A521" s="244">
        <v>513</v>
      </c>
      <c r="B521" s="233">
        <v>66380000</v>
      </c>
      <c r="C521" s="233" t="s">
        <v>108</v>
      </c>
      <c r="E521" s="312" t="s">
        <v>129</v>
      </c>
      <c r="F521" s="239" t="s">
        <v>75</v>
      </c>
      <c r="G521" s="320">
        <v>574600</v>
      </c>
    </row>
    <row r="522" spans="1:10">
      <c r="A522" s="244">
        <v>514</v>
      </c>
      <c r="B522" s="233">
        <v>66410000</v>
      </c>
      <c r="C522" s="233" t="s">
        <v>99</v>
      </c>
      <c r="E522" s="312" t="s">
        <v>122</v>
      </c>
      <c r="F522" s="239" t="s">
        <v>76</v>
      </c>
      <c r="G522" s="320">
        <v>151200</v>
      </c>
    </row>
    <row r="523" spans="1:10">
      <c r="A523" s="244">
        <v>515</v>
      </c>
      <c r="B523" s="233">
        <v>66410000</v>
      </c>
      <c r="C523" s="233" t="s">
        <v>101</v>
      </c>
      <c r="E523" s="312" t="s">
        <v>122</v>
      </c>
      <c r="F523" s="239" t="s">
        <v>76</v>
      </c>
      <c r="G523" s="320">
        <v>151200</v>
      </c>
    </row>
    <row r="524" spans="1:10">
      <c r="A524" s="244">
        <v>516</v>
      </c>
      <c r="B524" s="233">
        <v>66410000</v>
      </c>
      <c r="C524" s="233" t="s">
        <v>103</v>
      </c>
      <c r="E524" s="312" t="s">
        <v>122</v>
      </c>
      <c r="F524" s="239" t="s">
        <v>76</v>
      </c>
      <c r="G524" s="320">
        <v>143640</v>
      </c>
    </row>
    <row r="525" spans="1:10">
      <c r="A525" s="244">
        <v>517</v>
      </c>
      <c r="B525" s="233">
        <v>66410000</v>
      </c>
      <c r="C525" s="233" t="s">
        <v>105</v>
      </c>
      <c r="E525" s="312" t="s">
        <v>122</v>
      </c>
      <c r="F525" s="239" t="s">
        <v>76</v>
      </c>
      <c r="G525" s="320">
        <v>158760</v>
      </c>
    </row>
    <row r="526" spans="1:10">
      <c r="A526" s="244">
        <v>518</v>
      </c>
      <c r="B526" s="233">
        <v>66410000</v>
      </c>
      <c r="C526" s="233" t="s">
        <v>107</v>
      </c>
      <c r="E526" s="312" t="s">
        <v>122</v>
      </c>
      <c r="F526" s="239" t="s">
        <v>76</v>
      </c>
      <c r="G526" s="320">
        <v>219240</v>
      </c>
    </row>
    <row r="527" spans="1:10">
      <c r="A527" s="244">
        <v>519</v>
      </c>
      <c r="B527" s="233">
        <v>66410000</v>
      </c>
      <c r="C527" s="233" t="s">
        <v>108</v>
      </c>
      <c r="E527" s="312" t="s">
        <v>129</v>
      </c>
      <c r="F527" s="239" t="s">
        <v>76</v>
      </c>
      <c r="G527" s="320">
        <v>83160</v>
      </c>
    </row>
    <row r="528" spans="1:10">
      <c r="A528" s="244">
        <v>520</v>
      </c>
      <c r="B528" s="233">
        <v>66411000</v>
      </c>
      <c r="C528" s="233" t="s">
        <v>99</v>
      </c>
      <c r="E528" s="312" t="s">
        <v>122</v>
      </c>
      <c r="F528" s="239" t="s">
        <v>77</v>
      </c>
      <c r="G528" s="320">
        <v>386573</v>
      </c>
      <c r="J528" s="7"/>
    </row>
    <row r="529" spans="1:9">
      <c r="A529" s="244">
        <v>521</v>
      </c>
      <c r="B529" s="233">
        <v>66411000</v>
      </c>
      <c r="C529" s="233" t="s">
        <v>101</v>
      </c>
      <c r="E529" s="313" t="s">
        <v>122</v>
      </c>
      <c r="F529" s="239" t="s">
        <v>77</v>
      </c>
      <c r="G529" s="320">
        <v>630679</v>
      </c>
      <c r="I529" s="13"/>
    </row>
    <row r="530" spans="1:9">
      <c r="A530" s="244">
        <v>522</v>
      </c>
      <c r="B530" s="233">
        <v>66411000</v>
      </c>
      <c r="C530" s="233" t="s">
        <v>103</v>
      </c>
      <c r="E530" s="312" t="s">
        <v>122</v>
      </c>
      <c r="F530" s="239" t="s">
        <v>77</v>
      </c>
      <c r="G530" s="320">
        <v>661028</v>
      </c>
      <c r="I530" s="13"/>
    </row>
    <row r="531" spans="1:9">
      <c r="A531" s="244">
        <v>523</v>
      </c>
      <c r="B531" s="233">
        <v>66411000</v>
      </c>
      <c r="C531" s="233" t="s">
        <v>105</v>
      </c>
      <c r="E531" s="312" t="s">
        <v>122</v>
      </c>
      <c r="F531" s="239" t="s">
        <v>77</v>
      </c>
      <c r="G531" s="320">
        <v>558444</v>
      </c>
      <c r="I531" s="13"/>
    </row>
    <row r="532" spans="1:9">
      <c r="A532" s="244">
        <v>524</v>
      </c>
      <c r="B532" s="233">
        <v>66411000</v>
      </c>
      <c r="C532" s="233" t="s">
        <v>107</v>
      </c>
      <c r="E532" s="312" t="s">
        <v>122</v>
      </c>
      <c r="F532" s="239" t="s">
        <v>77</v>
      </c>
      <c r="G532" s="320">
        <v>354144</v>
      </c>
      <c r="I532" s="13"/>
    </row>
    <row r="533" spans="1:9">
      <c r="A533" s="244">
        <v>525</v>
      </c>
      <c r="B533" s="233">
        <v>66411000</v>
      </c>
      <c r="C533" s="233" t="s">
        <v>108</v>
      </c>
      <c r="E533" s="312" t="s">
        <v>129</v>
      </c>
      <c r="F533" s="239" t="s">
        <v>77</v>
      </c>
      <c r="G533" s="320">
        <v>338640</v>
      </c>
      <c r="I533" s="13"/>
    </row>
    <row r="534" spans="1:9">
      <c r="A534" s="244">
        <v>526</v>
      </c>
      <c r="B534" s="233">
        <v>66420000</v>
      </c>
      <c r="C534" s="233" t="s">
        <v>99</v>
      </c>
      <c r="E534" s="312" t="s">
        <v>122</v>
      </c>
      <c r="F534" s="239" t="s">
        <v>78</v>
      </c>
      <c r="G534" s="320">
        <v>90720</v>
      </c>
    </row>
    <row r="535" spans="1:9">
      <c r="A535" s="244">
        <v>527</v>
      </c>
      <c r="B535" s="233">
        <v>66420000</v>
      </c>
      <c r="C535" s="233" t="s">
        <v>101</v>
      </c>
      <c r="E535" s="312" t="s">
        <v>122</v>
      </c>
      <c r="F535" s="239" t="s">
        <v>78</v>
      </c>
      <c r="G535" s="320">
        <v>83160</v>
      </c>
    </row>
    <row r="536" spans="1:9">
      <c r="A536" s="244">
        <v>528</v>
      </c>
      <c r="B536" s="233">
        <v>66420000</v>
      </c>
      <c r="C536" s="233" t="s">
        <v>103</v>
      </c>
      <c r="E536" s="312" t="s">
        <v>122</v>
      </c>
      <c r="F536" s="239" t="s">
        <v>78</v>
      </c>
      <c r="G536" s="320">
        <v>90720</v>
      </c>
    </row>
    <row r="537" spans="1:9">
      <c r="A537" s="244">
        <v>529</v>
      </c>
      <c r="B537" s="233">
        <v>66420000</v>
      </c>
      <c r="C537" s="233" t="s">
        <v>105</v>
      </c>
      <c r="E537" s="312" t="s">
        <v>122</v>
      </c>
      <c r="F537" s="239" t="s">
        <v>78</v>
      </c>
      <c r="G537" s="320">
        <v>120960</v>
      </c>
    </row>
    <row r="538" spans="1:9">
      <c r="A538" s="244">
        <v>530</v>
      </c>
      <c r="B538" s="233">
        <v>66420000</v>
      </c>
      <c r="C538" s="233" t="s">
        <v>107</v>
      </c>
      <c r="E538" s="312" t="s">
        <v>122</v>
      </c>
      <c r="F538" s="239" t="s">
        <v>78</v>
      </c>
      <c r="G538" s="320">
        <v>75600</v>
      </c>
    </row>
    <row r="539" spans="1:9">
      <c r="A539" s="244">
        <v>531</v>
      </c>
      <c r="B539" s="233">
        <v>66420000</v>
      </c>
      <c r="C539" s="233" t="s">
        <v>108</v>
      </c>
      <c r="E539" s="313" t="s">
        <v>129</v>
      </c>
      <c r="F539" s="239" t="s">
        <v>78</v>
      </c>
      <c r="G539" s="320">
        <v>30240</v>
      </c>
    </row>
    <row r="540" spans="1:9">
      <c r="A540" s="244">
        <v>532</v>
      </c>
      <c r="B540" s="233">
        <v>66421000</v>
      </c>
      <c r="C540" s="233" t="s">
        <v>108</v>
      </c>
      <c r="E540" s="312" t="s">
        <v>129</v>
      </c>
      <c r="F540" s="239" t="s">
        <v>79</v>
      </c>
      <c r="G540" s="320">
        <v>67032</v>
      </c>
      <c r="I540" s="13"/>
    </row>
    <row r="541" spans="1:9">
      <c r="A541" s="244">
        <v>533</v>
      </c>
      <c r="B541" s="233">
        <v>66424000</v>
      </c>
      <c r="C541" s="233" t="s">
        <v>107</v>
      </c>
      <c r="E541" s="313" t="s">
        <v>122</v>
      </c>
      <c r="F541" s="239" t="s">
        <v>564</v>
      </c>
      <c r="G541" s="320">
        <v>1820000</v>
      </c>
    </row>
    <row r="542" spans="1:9">
      <c r="A542" s="244">
        <v>534</v>
      </c>
      <c r="B542" s="233">
        <v>66430000</v>
      </c>
      <c r="C542" s="233" t="s">
        <v>99</v>
      </c>
      <c r="E542" s="312" t="s">
        <v>121</v>
      </c>
      <c r="F542" s="239" t="s">
        <v>80</v>
      </c>
      <c r="G542" s="320">
        <v>404621</v>
      </c>
    </row>
    <row r="543" spans="1:9">
      <c r="A543" s="244">
        <v>535</v>
      </c>
      <c r="B543" s="233">
        <v>66430000</v>
      </c>
      <c r="C543" s="233" t="s">
        <v>101</v>
      </c>
      <c r="E543" s="312" t="s">
        <v>121</v>
      </c>
      <c r="F543" s="239" t="s">
        <v>80</v>
      </c>
      <c r="G543" s="320">
        <v>404699</v>
      </c>
      <c r="I543" s="13"/>
    </row>
    <row r="544" spans="1:9">
      <c r="A544" s="52"/>
      <c r="B544" s="61">
        <v>66430000</v>
      </c>
      <c r="C544" s="61" t="s">
        <v>103</v>
      </c>
      <c r="D544" s="171"/>
      <c r="E544" s="171" t="s">
        <v>121</v>
      </c>
      <c r="F544" s="52" t="s">
        <v>80</v>
      </c>
      <c r="G544" s="319">
        <v>466267</v>
      </c>
      <c r="I544" s="13"/>
    </row>
    <row r="545" spans="2:9">
      <c r="B545" s="12">
        <v>66430000</v>
      </c>
      <c r="C545" s="12" t="s">
        <v>105</v>
      </c>
      <c r="E545" s="26" t="s">
        <v>121</v>
      </c>
      <c r="F545" s="13" t="s">
        <v>80</v>
      </c>
      <c r="G545" s="321">
        <v>361754</v>
      </c>
      <c r="I545" s="13"/>
    </row>
    <row r="546" spans="2:9">
      <c r="B546" s="12">
        <v>66831000</v>
      </c>
      <c r="C546" s="12" t="s">
        <v>108</v>
      </c>
      <c r="E546" s="26" t="s">
        <v>129</v>
      </c>
      <c r="F546" s="13" t="s">
        <v>81</v>
      </c>
      <c r="G546" s="321">
        <v>650000</v>
      </c>
      <c r="I546" s="13"/>
    </row>
    <row r="547" spans="2:9">
      <c r="B547" s="12">
        <v>66840001</v>
      </c>
      <c r="C547" s="12" t="s">
        <v>99</v>
      </c>
      <c r="E547" s="26" t="s">
        <v>123</v>
      </c>
      <c r="F547" s="13" t="s">
        <v>82</v>
      </c>
      <c r="G547" s="321">
        <v>368185</v>
      </c>
      <c r="I547" s="13"/>
    </row>
    <row r="548" spans="2:9">
      <c r="B548" s="12">
        <v>66840001</v>
      </c>
      <c r="C548" s="12" t="s">
        <v>101</v>
      </c>
      <c r="E548" s="26" t="s">
        <v>123</v>
      </c>
      <c r="F548" s="13" t="s">
        <v>82</v>
      </c>
      <c r="G548" s="321">
        <v>403252</v>
      </c>
      <c r="I548" s="13"/>
    </row>
    <row r="549" spans="2:9">
      <c r="B549" s="12">
        <v>66840001</v>
      </c>
      <c r="C549" s="12" t="s">
        <v>103</v>
      </c>
      <c r="E549" s="26" t="s">
        <v>123</v>
      </c>
      <c r="F549" s="13" t="s">
        <v>82</v>
      </c>
      <c r="G549" s="321">
        <v>224399</v>
      </c>
    </row>
    <row r="550" spans="2:9">
      <c r="B550" s="12">
        <v>66840001</v>
      </c>
      <c r="C550" s="12" t="s">
        <v>105</v>
      </c>
      <c r="E550" s="26" t="s">
        <v>123</v>
      </c>
      <c r="F550" s="13" t="s">
        <v>82</v>
      </c>
      <c r="G550" s="321">
        <v>311054</v>
      </c>
    </row>
    <row r="551" spans="2:9">
      <c r="B551" s="12">
        <v>66840001</v>
      </c>
      <c r="C551" s="12" t="s">
        <v>107</v>
      </c>
      <c r="E551" s="26" t="s">
        <v>123</v>
      </c>
      <c r="F551" s="13" t="s">
        <v>82</v>
      </c>
      <c r="G551" s="321">
        <v>64000</v>
      </c>
    </row>
    <row r="552" spans="2:9">
      <c r="B552" s="12">
        <v>66840001</v>
      </c>
      <c r="C552" s="12" t="s">
        <v>108</v>
      </c>
      <c r="E552" s="26" t="s">
        <v>127</v>
      </c>
      <c r="F552" s="13" t="s">
        <v>82</v>
      </c>
      <c r="G552" s="321">
        <v>8613</v>
      </c>
    </row>
    <row r="553" spans="2:9">
      <c r="B553" s="12">
        <v>67443000</v>
      </c>
      <c r="C553" s="12" t="s">
        <v>103</v>
      </c>
      <c r="E553" s="26" t="s">
        <v>125</v>
      </c>
      <c r="F553" s="13" t="s">
        <v>83</v>
      </c>
      <c r="G553" s="321">
        <v>596278</v>
      </c>
    </row>
    <row r="554" spans="2:9">
      <c r="B554" s="12">
        <v>67445000</v>
      </c>
      <c r="C554" s="12" t="s">
        <v>105</v>
      </c>
      <c r="E554" s="26" t="s">
        <v>125</v>
      </c>
      <c r="F554" s="13" t="s">
        <v>84</v>
      </c>
      <c r="G554" s="321">
        <v>5342501</v>
      </c>
    </row>
    <row r="555" spans="2:9">
      <c r="B555" s="12">
        <v>67600000</v>
      </c>
      <c r="C555" s="12" t="s">
        <v>99</v>
      </c>
      <c r="E555" s="26" t="s">
        <v>111</v>
      </c>
      <c r="F555" s="13" t="s">
        <v>1783</v>
      </c>
      <c r="G555" s="321">
        <v>-282178</v>
      </c>
    </row>
    <row r="556" spans="2:9">
      <c r="B556" s="12">
        <v>67600000</v>
      </c>
      <c r="C556" s="12" t="s">
        <v>101</v>
      </c>
      <c r="E556" s="26" t="s">
        <v>111</v>
      </c>
      <c r="F556" s="13" t="s">
        <v>1783</v>
      </c>
      <c r="G556" s="321">
        <v>-282178</v>
      </c>
    </row>
    <row r="557" spans="2:9">
      <c r="B557" s="12">
        <v>67600000</v>
      </c>
      <c r="C557" s="12" t="s">
        <v>103</v>
      </c>
      <c r="E557" s="26" t="s">
        <v>111</v>
      </c>
      <c r="F557" s="13" t="s">
        <v>1783</v>
      </c>
      <c r="G557" s="321">
        <v>-282178</v>
      </c>
    </row>
    <row r="558" spans="2:9">
      <c r="B558" s="12">
        <v>67600000</v>
      </c>
      <c r="C558" s="12" t="s">
        <v>105</v>
      </c>
      <c r="E558" s="26" t="s">
        <v>111</v>
      </c>
      <c r="F558" s="13" t="s">
        <v>1783</v>
      </c>
      <c r="G558" s="321">
        <v>-282178</v>
      </c>
    </row>
    <row r="559" spans="2:9">
      <c r="B559" s="12">
        <v>67600000</v>
      </c>
      <c r="C559" s="12" t="s">
        <v>107</v>
      </c>
      <c r="E559" s="26" t="s">
        <v>111</v>
      </c>
      <c r="F559" s="13" t="s">
        <v>1783</v>
      </c>
      <c r="G559" s="321">
        <v>-282180</v>
      </c>
    </row>
    <row r="560" spans="2:9">
      <c r="B560" s="12">
        <v>67600000</v>
      </c>
      <c r="C560" s="12" t="s">
        <v>108</v>
      </c>
      <c r="E560" s="26" t="s">
        <v>127</v>
      </c>
      <c r="F560" s="13" t="s">
        <v>1783</v>
      </c>
      <c r="G560" s="321">
        <v>1582037</v>
      </c>
    </row>
    <row r="561" spans="2:16">
      <c r="B561" s="12">
        <v>68130000</v>
      </c>
      <c r="C561" s="12" t="s">
        <v>99</v>
      </c>
      <c r="E561" s="26" t="s">
        <v>124</v>
      </c>
      <c r="F561" s="13" t="s">
        <v>85</v>
      </c>
      <c r="G561" s="321">
        <v>25484068</v>
      </c>
    </row>
    <row r="562" spans="2:16">
      <c r="B562" s="12">
        <v>68130000</v>
      </c>
      <c r="C562" s="12" t="s">
        <v>101</v>
      </c>
      <c r="E562" s="26" t="s">
        <v>124</v>
      </c>
      <c r="F562" s="13" t="s">
        <v>85</v>
      </c>
      <c r="G562" s="321">
        <v>40162145</v>
      </c>
    </row>
    <row r="563" spans="2:16">
      <c r="B563" s="12">
        <v>68130000</v>
      </c>
      <c r="C563" s="12" t="s">
        <v>103</v>
      </c>
      <c r="E563" s="26" t="s">
        <v>124</v>
      </c>
      <c r="F563" s="13" t="s">
        <v>85</v>
      </c>
      <c r="G563" s="321">
        <v>64225235</v>
      </c>
    </row>
    <row r="564" spans="2:16">
      <c r="B564" s="12">
        <v>68130000</v>
      </c>
      <c r="C564" s="12" t="s">
        <v>105</v>
      </c>
      <c r="E564" s="26" t="s">
        <v>124</v>
      </c>
      <c r="F564" s="13" t="s">
        <v>85</v>
      </c>
      <c r="G564" s="321">
        <v>80265189</v>
      </c>
    </row>
    <row r="565" spans="2:16">
      <c r="B565" s="12">
        <v>68130000</v>
      </c>
      <c r="C565" s="12" t="s">
        <v>107</v>
      </c>
      <c r="E565" s="26" t="s">
        <v>124</v>
      </c>
      <c r="F565" s="13" t="s">
        <v>85</v>
      </c>
      <c r="G565" s="321">
        <v>46480931</v>
      </c>
    </row>
    <row r="566" spans="2:16">
      <c r="B566" s="12">
        <v>68130000</v>
      </c>
      <c r="C566" s="12" t="s">
        <v>108</v>
      </c>
      <c r="E566" s="26" t="s">
        <v>127</v>
      </c>
      <c r="F566" s="13" t="s">
        <v>85</v>
      </c>
      <c r="G566" s="321">
        <v>2001994</v>
      </c>
    </row>
    <row r="567" spans="2:16">
      <c r="B567" s="12">
        <v>70210000</v>
      </c>
      <c r="C567" s="12" t="s">
        <v>101</v>
      </c>
      <c r="E567" s="26" t="s">
        <v>490</v>
      </c>
      <c r="F567" s="13" t="s">
        <v>87</v>
      </c>
      <c r="G567" s="321">
        <v>-226425100</v>
      </c>
      <c r="N567" t="s">
        <v>490</v>
      </c>
      <c r="O567" s="7">
        <f>SUMIF($E$567:$E$590,N567,$G$567:$G$590)</f>
        <v>-1906872628</v>
      </c>
      <c r="P567" s="7">
        <f>O567/655.957</f>
        <v>-2907008.5813551801</v>
      </c>
    </row>
    <row r="568" spans="2:16">
      <c r="B568" s="12">
        <v>70210000</v>
      </c>
      <c r="C568" s="12" t="s">
        <v>103</v>
      </c>
      <c r="E568" s="26" t="s">
        <v>490</v>
      </c>
      <c r="F568" s="13" t="s">
        <v>87</v>
      </c>
      <c r="G568" s="321">
        <v>-149279750</v>
      </c>
      <c r="N568" t="s">
        <v>493</v>
      </c>
      <c r="O568" s="7">
        <f t="shared" ref="O568:O572" si="0">SUMIF($E$567:$E$590,N568,$G$567:$G$590)</f>
        <v>89876446</v>
      </c>
      <c r="P568" s="7">
        <f t="shared" ref="P568:P572" si="1">O568/655.957</f>
        <v>137015.75865491183</v>
      </c>
    </row>
    <row r="569" spans="2:16">
      <c r="B569" s="12">
        <v>70210000</v>
      </c>
      <c r="C569" s="12" t="s">
        <v>105</v>
      </c>
      <c r="E569" s="26" t="s">
        <v>490</v>
      </c>
      <c r="F569" s="13" t="s">
        <v>87</v>
      </c>
      <c r="G569" s="321">
        <v>-115770250</v>
      </c>
      <c r="N569" t="s">
        <v>138</v>
      </c>
      <c r="O569" s="7">
        <f t="shared" si="0"/>
        <v>-316821</v>
      </c>
      <c r="P569" s="7">
        <f t="shared" si="1"/>
        <v>-482.99050090173591</v>
      </c>
    </row>
    <row r="570" spans="2:16">
      <c r="B570" s="12">
        <v>70221000</v>
      </c>
      <c r="C570" s="12" t="s">
        <v>99</v>
      </c>
      <c r="E570" s="26" t="s">
        <v>493</v>
      </c>
      <c r="F570" s="13" t="s">
        <v>88</v>
      </c>
      <c r="G570" s="321">
        <v>22923671</v>
      </c>
      <c r="N570" t="s">
        <v>422</v>
      </c>
      <c r="O570" s="7">
        <f t="shared" si="0"/>
        <v>-433885774</v>
      </c>
      <c r="P570" s="7">
        <f t="shared" si="1"/>
        <v>-661454.59839593142</v>
      </c>
    </row>
    <row r="571" spans="2:16">
      <c r="B571" s="12">
        <v>70221000</v>
      </c>
      <c r="C571" s="12" t="s">
        <v>101</v>
      </c>
      <c r="E571" s="26" t="s">
        <v>493</v>
      </c>
      <c r="F571" s="13" t="s">
        <v>88</v>
      </c>
      <c r="G571" s="321">
        <v>7166048</v>
      </c>
      <c r="N571" t="s">
        <v>140</v>
      </c>
      <c r="O571" s="7">
        <f t="shared" si="0"/>
        <v>-435801</v>
      </c>
      <c r="P571" s="7">
        <f t="shared" si="1"/>
        <v>-664.37434161080682</v>
      </c>
    </row>
    <row r="572" spans="2:16">
      <c r="B572" s="12">
        <v>70221000</v>
      </c>
      <c r="C572" s="12" t="s">
        <v>103</v>
      </c>
      <c r="E572" s="26" t="s">
        <v>493</v>
      </c>
      <c r="F572" s="13" t="s">
        <v>88</v>
      </c>
      <c r="G572" s="321">
        <v>13141435</v>
      </c>
      <c r="N572" t="s">
        <v>139</v>
      </c>
      <c r="O572" s="7">
        <f t="shared" si="0"/>
        <v>-1462589</v>
      </c>
      <c r="P572" s="7">
        <f t="shared" si="1"/>
        <v>-2229.7025567224682</v>
      </c>
    </row>
    <row r="573" spans="2:16">
      <c r="B573" s="12">
        <v>70221000</v>
      </c>
      <c r="C573" s="12" t="s">
        <v>105</v>
      </c>
      <c r="E573" s="26" t="s">
        <v>493</v>
      </c>
      <c r="F573" s="13" t="s">
        <v>88</v>
      </c>
      <c r="G573" s="321">
        <v>46645292</v>
      </c>
    </row>
    <row r="574" spans="2:16">
      <c r="B574" s="12">
        <v>70230000</v>
      </c>
      <c r="C574" s="12" t="s">
        <v>99</v>
      </c>
      <c r="E574" s="26" t="s">
        <v>490</v>
      </c>
      <c r="F574" s="13" t="s">
        <v>89</v>
      </c>
      <c r="G574" s="321">
        <v>21383247</v>
      </c>
    </row>
    <row r="575" spans="2:16">
      <c r="B575" s="12">
        <v>70230000</v>
      </c>
      <c r="C575" s="12" t="s">
        <v>101</v>
      </c>
      <c r="E575" s="26" t="s">
        <v>490</v>
      </c>
      <c r="F575" s="13" t="s">
        <v>89</v>
      </c>
      <c r="G575" s="321">
        <v>-441952820</v>
      </c>
    </row>
    <row r="576" spans="2:16">
      <c r="B576" s="12">
        <v>70230000</v>
      </c>
      <c r="C576" s="12" t="s">
        <v>103</v>
      </c>
      <c r="E576" s="26" t="s">
        <v>490</v>
      </c>
      <c r="F576" s="13" t="s">
        <v>89</v>
      </c>
      <c r="G576" s="321">
        <v>-461463716</v>
      </c>
    </row>
    <row r="577" spans="2:11">
      <c r="B577" s="12">
        <v>70230000</v>
      </c>
      <c r="C577" s="12" t="s">
        <v>105</v>
      </c>
      <c r="E577" s="26" t="s">
        <v>490</v>
      </c>
      <c r="F577" s="13" t="s">
        <v>89</v>
      </c>
      <c r="G577" s="321">
        <v>-533364239</v>
      </c>
      <c r="J577" s="385">
        <f>SUM(G567:G577)</f>
        <v>-1816996182</v>
      </c>
      <c r="K577">
        <f>J577/655.957</f>
        <v>-2769992.8227002686</v>
      </c>
    </row>
    <row r="578" spans="2:11">
      <c r="B578" s="12">
        <v>70781000</v>
      </c>
      <c r="C578" s="12" t="s">
        <v>99</v>
      </c>
      <c r="E578" s="26" t="s">
        <v>138</v>
      </c>
      <c r="F578" s="13" t="s">
        <v>91</v>
      </c>
      <c r="G578" s="321">
        <v>-62000</v>
      </c>
    </row>
    <row r="579" spans="2:11">
      <c r="B579" s="12">
        <v>70781000</v>
      </c>
      <c r="C579" s="12" t="s">
        <v>101</v>
      </c>
      <c r="E579" s="26" t="s">
        <v>138</v>
      </c>
      <c r="F579" s="13" t="s">
        <v>91</v>
      </c>
      <c r="G579" s="321">
        <v>-62000</v>
      </c>
    </row>
    <row r="580" spans="2:11">
      <c r="B580" s="12">
        <v>70781000</v>
      </c>
      <c r="C580" s="12" t="s">
        <v>103</v>
      </c>
      <c r="E580" s="26" t="s">
        <v>138</v>
      </c>
      <c r="F580" s="13" t="s">
        <v>91</v>
      </c>
      <c r="G580" s="321">
        <v>-62000</v>
      </c>
    </row>
    <row r="581" spans="2:11">
      <c r="B581" s="12">
        <v>70781000</v>
      </c>
      <c r="C581" s="12" t="s">
        <v>105</v>
      </c>
      <c r="E581" s="26" t="s">
        <v>138</v>
      </c>
      <c r="F581" s="13" t="s">
        <v>91</v>
      </c>
      <c r="G581" s="321">
        <v>-62000</v>
      </c>
    </row>
    <row r="582" spans="2:11">
      <c r="B582" s="12">
        <v>70781000</v>
      </c>
      <c r="C582" s="12" t="s">
        <v>107</v>
      </c>
      <c r="E582" s="26" t="s">
        <v>138</v>
      </c>
      <c r="F582" s="13" t="s">
        <v>91</v>
      </c>
      <c r="G582" s="321">
        <v>-62000</v>
      </c>
    </row>
    <row r="583" spans="2:11">
      <c r="B583" s="12">
        <v>73610000</v>
      </c>
      <c r="C583" s="12" t="s">
        <v>99</v>
      </c>
      <c r="E583" s="26" t="s">
        <v>422</v>
      </c>
      <c r="F583" s="13" t="s">
        <v>92</v>
      </c>
      <c r="G583" s="321">
        <v>-437536210</v>
      </c>
    </row>
    <row r="584" spans="2:11">
      <c r="B584" s="12">
        <v>73610000</v>
      </c>
      <c r="C584" s="12" t="s">
        <v>101</v>
      </c>
      <c r="E584" s="26" t="s">
        <v>422</v>
      </c>
      <c r="F584" s="13" t="s">
        <v>92</v>
      </c>
      <c r="G584" s="321">
        <v>86954560</v>
      </c>
    </row>
    <row r="585" spans="2:11">
      <c r="B585" s="12">
        <v>73610000</v>
      </c>
      <c r="C585" s="12" t="s">
        <v>103</v>
      </c>
      <c r="E585" s="26" t="s">
        <v>422</v>
      </c>
      <c r="F585" s="13" t="s">
        <v>92</v>
      </c>
      <c r="G585" s="321">
        <v>176193128</v>
      </c>
    </row>
    <row r="586" spans="2:11">
      <c r="B586" s="12">
        <v>73610000</v>
      </c>
      <c r="C586" s="12" t="s">
        <v>105</v>
      </c>
      <c r="E586" s="26" t="s">
        <v>422</v>
      </c>
      <c r="F586" s="13" t="s">
        <v>92</v>
      </c>
      <c r="G586" s="321">
        <v>40986278</v>
      </c>
    </row>
    <row r="587" spans="2:11">
      <c r="B587" s="12">
        <v>73610000</v>
      </c>
      <c r="C587" s="12" t="s">
        <v>107</v>
      </c>
      <c r="E587" s="26" t="s">
        <v>422</v>
      </c>
      <c r="F587" s="13" t="s">
        <v>92</v>
      </c>
      <c r="G587" s="321">
        <v>-300483530</v>
      </c>
    </row>
    <row r="588" spans="2:11">
      <c r="B588" s="12">
        <v>75800000</v>
      </c>
      <c r="C588" s="12" t="s">
        <v>108</v>
      </c>
      <c r="E588" s="26" t="s">
        <v>138</v>
      </c>
      <c r="F588" s="13" t="s">
        <v>94</v>
      </c>
      <c r="G588" s="321">
        <v>-6821</v>
      </c>
    </row>
    <row r="589" spans="2:11">
      <c r="B589" s="12">
        <v>77210000</v>
      </c>
      <c r="C589" s="12" t="s">
        <v>108</v>
      </c>
      <c r="E589" s="26" t="s">
        <v>140</v>
      </c>
      <c r="F589" s="13" t="s">
        <v>96</v>
      </c>
      <c r="G589" s="321">
        <v>-435801</v>
      </c>
    </row>
    <row r="590" spans="2:11">
      <c r="B590" s="12">
        <v>77600000</v>
      </c>
      <c r="C590" s="12" t="s">
        <v>108</v>
      </c>
      <c r="E590" s="26" t="s">
        <v>139</v>
      </c>
      <c r="F590" s="13" t="s">
        <v>97</v>
      </c>
      <c r="G590" s="321">
        <v>-1462589</v>
      </c>
    </row>
  </sheetData>
  <sortState ref="B9:I547">
    <sortCondition ref="B9:B547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L96"/>
  <sheetViews>
    <sheetView topLeftCell="S1" zoomScale="73" zoomScaleNormal="73" workbookViewId="0">
      <selection activeCell="AB47" sqref="AB47"/>
    </sheetView>
  </sheetViews>
  <sheetFormatPr baseColWidth="10" defaultRowHeight="15" outlineLevelCol="1"/>
  <cols>
    <col min="1" max="1" width="17.42578125" customWidth="1"/>
    <col min="2" max="2" width="12.42578125" customWidth="1" outlineLevel="1"/>
    <col min="3" max="3" width="13.42578125" customWidth="1" outlineLevel="1"/>
    <col min="4" max="4" width="42.140625" customWidth="1" outlineLevel="1"/>
    <col min="5" max="5" width="50.5703125" customWidth="1" outlineLevel="1"/>
    <col min="6" max="6" width="16.7109375" style="7" customWidth="1" outlineLevel="1"/>
    <col min="7" max="7" width="11.42578125" customWidth="1" outlineLevel="1"/>
    <col min="9" max="9" width="11.42578125" customWidth="1" outlineLevel="1"/>
    <col min="10" max="10" width="12.28515625" bestFit="1" customWidth="1" outlineLevel="1"/>
    <col min="11" max="11" width="16.28515625" customWidth="1" outlineLevel="1"/>
    <col min="12" max="12" width="54.42578125" customWidth="1" outlineLevel="1"/>
    <col min="13" max="13" width="17.5703125" customWidth="1" outlineLevel="1"/>
    <col min="14" max="14" width="11.42578125" customWidth="1" outlineLevel="1"/>
    <col min="16" max="16" width="11.42578125" customWidth="1" outlineLevel="1"/>
    <col min="17" max="17" width="42.140625" customWidth="1" outlineLevel="1"/>
    <col min="18" max="18" width="49" customWidth="1" outlineLevel="1"/>
    <col min="19" max="19" width="13.42578125" style="7" customWidth="1" outlineLevel="1"/>
    <col min="20" max="20" width="11.42578125" customWidth="1" outlineLevel="1"/>
    <col min="22" max="22" width="11.42578125" customWidth="1" outlineLevel="1"/>
    <col min="23" max="23" width="42.140625" customWidth="1" outlineLevel="1"/>
    <col min="24" max="24" width="55.85546875" customWidth="1" outlineLevel="1"/>
    <col min="25" max="25" width="13.7109375" style="7" customWidth="1" outlineLevel="1"/>
    <col min="26" max="26" width="11.42578125" customWidth="1" outlineLevel="1"/>
    <col min="29" max="29" width="25.140625" customWidth="1"/>
    <col min="30" max="30" width="1" customWidth="1"/>
    <col min="31" max="31" width="16.42578125" bestFit="1" customWidth="1"/>
    <col min="32" max="32" width="17.5703125" bestFit="1" customWidth="1"/>
    <col min="33" max="33" width="15.140625" bestFit="1" customWidth="1"/>
    <col min="35" max="35" width="12.7109375" bestFit="1" customWidth="1"/>
    <col min="36" max="36" width="12.5703125" bestFit="1" customWidth="1"/>
    <col min="37" max="37" width="11.5703125" bestFit="1" customWidth="1"/>
  </cols>
  <sheetData>
    <row r="2" spans="2:38">
      <c r="C2" s="177" t="s">
        <v>572</v>
      </c>
      <c r="D2" s="176"/>
      <c r="E2" s="176"/>
      <c r="F2" s="182">
        <f>SUM(F4:F49)</f>
        <v>24484648982</v>
      </c>
      <c r="J2" s="179" t="s">
        <v>573</v>
      </c>
      <c r="K2" s="178"/>
      <c r="L2" s="178"/>
      <c r="M2" s="181">
        <f>SUM(M4:M49)</f>
        <v>-20961029771</v>
      </c>
      <c r="Q2" s="177" t="s">
        <v>574</v>
      </c>
      <c r="R2" s="176"/>
      <c r="S2" s="208">
        <f>SUM(S4:S49)</f>
        <v>339759863</v>
      </c>
      <c r="W2" s="177" t="s">
        <v>575</v>
      </c>
      <c r="X2" s="176"/>
      <c r="Y2" s="208">
        <f>SUM(Y4:Y49)</f>
        <v>-151165917</v>
      </c>
    </row>
    <row r="3" spans="2:38" ht="15.75" thickBot="1">
      <c r="C3" s="9"/>
      <c r="D3" s="9"/>
      <c r="E3" s="9"/>
      <c r="F3" s="175"/>
      <c r="J3" s="12"/>
      <c r="K3" s="26"/>
      <c r="L3" s="13"/>
      <c r="M3" s="16"/>
    </row>
    <row r="4" spans="2:38">
      <c r="B4" s="29"/>
      <c r="C4" s="308"/>
      <c r="D4" s="308"/>
      <c r="E4" s="308"/>
      <c r="F4" s="309"/>
      <c r="G4" s="100"/>
      <c r="I4" s="29"/>
      <c r="J4" s="308"/>
      <c r="K4" s="308"/>
      <c r="L4" s="308"/>
      <c r="M4" s="309"/>
      <c r="N4" s="100"/>
      <c r="P4" s="379"/>
      <c r="Q4" s="380"/>
      <c r="R4" s="380"/>
      <c r="S4" s="381"/>
      <c r="T4" s="169"/>
      <c r="V4" s="307"/>
      <c r="W4" s="308"/>
      <c r="X4" s="308"/>
      <c r="Y4" s="306"/>
      <c r="Z4" s="100"/>
      <c r="AC4" s="29"/>
      <c r="AD4" s="30"/>
      <c r="AE4" s="30"/>
      <c r="AF4" s="30"/>
      <c r="AG4" s="30"/>
      <c r="AH4" s="30"/>
      <c r="AI4" s="30"/>
      <c r="AJ4" s="30"/>
      <c r="AK4" s="30"/>
      <c r="AL4" s="100"/>
    </row>
    <row r="5" spans="2:38">
      <c r="B5" s="32"/>
      <c r="C5" s="310">
        <v>24111002</v>
      </c>
      <c r="D5" s="310" t="s">
        <v>433</v>
      </c>
      <c r="E5" s="310" t="s">
        <v>204</v>
      </c>
      <c r="F5" s="314">
        <v>3275849258</v>
      </c>
      <c r="G5" s="102"/>
      <c r="I5" s="32"/>
      <c r="J5" s="311">
        <v>28411012</v>
      </c>
      <c r="K5" s="311" t="s">
        <v>433</v>
      </c>
      <c r="L5" s="311" t="s">
        <v>249</v>
      </c>
      <c r="M5" s="314">
        <v>-3275849220</v>
      </c>
      <c r="N5" s="102"/>
      <c r="P5" s="382">
        <v>23210000</v>
      </c>
      <c r="Q5" s="383" t="s">
        <v>420</v>
      </c>
      <c r="R5" s="383" t="s">
        <v>203</v>
      </c>
      <c r="S5" s="384">
        <v>57202062</v>
      </c>
      <c r="T5" s="40"/>
      <c r="V5" s="382">
        <v>28320000</v>
      </c>
      <c r="W5" s="383" t="s">
        <v>420</v>
      </c>
      <c r="X5" s="383" t="s">
        <v>248</v>
      </c>
      <c r="Y5" s="384">
        <v>-28895928</v>
      </c>
      <c r="Z5" s="40"/>
      <c r="AC5" s="32"/>
      <c r="AD5" s="54"/>
      <c r="AE5" s="19" t="s">
        <v>441</v>
      </c>
      <c r="AF5" s="19"/>
      <c r="AG5" s="19"/>
      <c r="AH5" s="54"/>
      <c r="AI5" s="19" t="s">
        <v>442</v>
      </c>
      <c r="AJ5" s="19"/>
      <c r="AK5" s="19"/>
      <c r="AL5" s="184"/>
    </row>
    <row r="6" spans="2:38">
      <c r="B6" s="32"/>
      <c r="C6" s="310">
        <v>24111003</v>
      </c>
      <c r="D6" s="310" t="s">
        <v>433</v>
      </c>
      <c r="E6" s="310" t="s">
        <v>205</v>
      </c>
      <c r="F6" s="314">
        <v>291554520</v>
      </c>
      <c r="G6" s="102"/>
      <c r="I6" s="32"/>
      <c r="J6" s="311">
        <v>28411013</v>
      </c>
      <c r="K6" s="311" t="s">
        <v>433</v>
      </c>
      <c r="L6" s="311" t="s">
        <v>249</v>
      </c>
      <c r="M6" s="314">
        <v>-291554520</v>
      </c>
      <c r="N6" s="102"/>
      <c r="P6" s="382">
        <v>24120000</v>
      </c>
      <c r="Q6" s="383" t="s">
        <v>406</v>
      </c>
      <c r="R6" s="383" t="s">
        <v>395</v>
      </c>
      <c r="S6" s="384">
        <v>16893000</v>
      </c>
      <c r="T6" s="40"/>
      <c r="V6" s="382">
        <v>28430000</v>
      </c>
      <c r="W6" s="383" t="s">
        <v>406</v>
      </c>
      <c r="X6" s="383" t="s">
        <v>287</v>
      </c>
      <c r="Y6" s="384">
        <v>-3766094</v>
      </c>
      <c r="Z6" s="40"/>
      <c r="AC6" s="32"/>
      <c r="AD6" s="1"/>
      <c r="AE6" s="103"/>
      <c r="AF6" s="103"/>
      <c r="AG6" s="103"/>
      <c r="AH6" s="1"/>
      <c r="AI6" s="103"/>
      <c r="AJ6" s="103"/>
      <c r="AK6" s="103"/>
      <c r="AL6" s="102"/>
    </row>
    <row r="7" spans="2:38">
      <c r="B7" s="32"/>
      <c r="C7" s="310">
        <v>24111004</v>
      </c>
      <c r="D7" s="310" t="s">
        <v>433</v>
      </c>
      <c r="E7" s="310" t="s">
        <v>206</v>
      </c>
      <c r="F7" s="314">
        <v>87751264</v>
      </c>
      <c r="G7" s="102"/>
      <c r="I7" s="32"/>
      <c r="J7" s="311">
        <v>28411014</v>
      </c>
      <c r="K7" s="311" t="s">
        <v>433</v>
      </c>
      <c r="L7" s="311" t="s">
        <v>250</v>
      </c>
      <c r="M7" s="314">
        <v>-87751264</v>
      </c>
      <c r="N7" s="102"/>
      <c r="P7" s="382">
        <v>24300000</v>
      </c>
      <c r="Q7" s="383" t="s">
        <v>406</v>
      </c>
      <c r="R7" s="383" t="s">
        <v>237</v>
      </c>
      <c r="S7" s="384">
        <v>5074077</v>
      </c>
      <c r="T7" s="40"/>
      <c r="V7" s="382">
        <v>28441000</v>
      </c>
      <c r="W7" s="383" t="s">
        <v>406</v>
      </c>
      <c r="X7" s="383" t="s">
        <v>288</v>
      </c>
      <c r="Y7" s="384">
        <v>-4027260</v>
      </c>
      <c r="Z7" s="40"/>
      <c r="AC7" s="32"/>
      <c r="AD7" s="1"/>
      <c r="AE7" s="33" t="s">
        <v>431</v>
      </c>
      <c r="AF7" s="33" t="s">
        <v>439</v>
      </c>
      <c r="AG7" s="33" t="s">
        <v>440</v>
      </c>
      <c r="AH7" s="1"/>
      <c r="AI7" s="33" t="s">
        <v>431</v>
      </c>
      <c r="AJ7" s="33" t="s">
        <v>439</v>
      </c>
      <c r="AK7" s="33" t="s">
        <v>440</v>
      </c>
      <c r="AL7" s="114"/>
    </row>
    <row r="8" spans="2:38">
      <c r="B8" s="32"/>
      <c r="C8" s="310">
        <v>24111005</v>
      </c>
      <c r="D8" s="310" t="s">
        <v>433</v>
      </c>
      <c r="E8" s="310" t="s">
        <v>207</v>
      </c>
      <c r="F8" s="314">
        <v>280879475</v>
      </c>
      <c r="G8" s="102"/>
      <c r="I8" s="32"/>
      <c r="J8" s="311">
        <v>28411015</v>
      </c>
      <c r="K8" s="311" t="s">
        <v>433</v>
      </c>
      <c r="L8" s="311" t="s">
        <v>251</v>
      </c>
      <c r="M8" s="314">
        <v>-280879470</v>
      </c>
      <c r="N8" s="102"/>
      <c r="P8" s="382">
        <v>24410000</v>
      </c>
      <c r="Q8" s="383" t="s">
        <v>406</v>
      </c>
      <c r="R8" s="383" t="s">
        <v>238</v>
      </c>
      <c r="S8" s="384">
        <v>6465628</v>
      </c>
      <c r="T8" s="40"/>
      <c r="V8" s="382">
        <v>28442000</v>
      </c>
      <c r="W8" s="383" t="s">
        <v>406</v>
      </c>
      <c r="X8" s="383" t="s">
        <v>289</v>
      </c>
      <c r="Y8" s="384">
        <v>-7225046</v>
      </c>
      <c r="Z8" s="40"/>
      <c r="AC8" s="32" t="s">
        <v>433</v>
      </c>
      <c r="AD8" s="1"/>
      <c r="AE8" s="20">
        <f t="shared" ref="AE8:AE13" si="0">SUMIF($D$4:$D$49,AC8,$F$4:$F$49)</f>
        <v>5508064184</v>
      </c>
      <c r="AF8" s="20">
        <f t="shared" ref="AF8:AF13" ca="1" si="1">SUMIF($K$4:$K$49,AC8,$M$4:$M$42)</f>
        <v>-4692723402</v>
      </c>
      <c r="AG8" s="20">
        <f ca="1">AE8+AF8</f>
        <v>815340782</v>
      </c>
      <c r="AH8" s="20"/>
      <c r="AI8" s="20">
        <f t="shared" ref="AI8:AK13" si="2">AE8/655.957</f>
        <v>8396989.717313787</v>
      </c>
      <c r="AJ8" s="20">
        <f t="shared" ca="1" si="2"/>
        <v>-7154010.7080189707</v>
      </c>
      <c r="AK8" s="20">
        <f t="shared" ca="1" si="2"/>
        <v>1242979.0092948165</v>
      </c>
      <c r="AL8" s="114"/>
    </row>
    <row r="9" spans="2:38">
      <c r="B9" s="32"/>
      <c r="C9" s="310">
        <v>24111006</v>
      </c>
      <c r="D9" s="310" t="s">
        <v>433</v>
      </c>
      <c r="E9" s="310" t="s">
        <v>208</v>
      </c>
      <c r="F9" s="314">
        <v>587442875</v>
      </c>
      <c r="G9" s="102"/>
      <c r="I9" s="32"/>
      <c r="J9" s="311">
        <v>28411016</v>
      </c>
      <c r="K9" s="311" t="s">
        <v>433</v>
      </c>
      <c r="L9" s="311" t="s">
        <v>252</v>
      </c>
      <c r="M9" s="314">
        <v>-151549967</v>
      </c>
      <c r="N9" s="102"/>
      <c r="P9" s="382">
        <v>24420000</v>
      </c>
      <c r="Q9" s="383" t="s">
        <v>406</v>
      </c>
      <c r="R9" s="383" t="s">
        <v>239</v>
      </c>
      <c r="S9" s="384">
        <v>8134863</v>
      </c>
      <c r="T9" s="40"/>
      <c r="V9" s="382">
        <v>28444000</v>
      </c>
      <c r="W9" s="383" t="s">
        <v>406</v>
      </c>
      <c r="X9" s="383" t="s">
        <v>290</v>
      </c>
      <c r="Y9" s="384">
        <v>-2284323</v>
      </c>
      <c r="Z9" s="40"/>
      <c r="AC9" s="32" t="s">
        <v>445</v>
      </c>
      <c r="AD9" s="1"/>
      <c r="AE9" s="20">
        <f t="shared" si="0"/>
        <v>4798436367</v>
      </c>
      <c r="AF9" s="20">
        <f t="shared" ca="1" si="1"/>
        <v>-4848631500</v>
      </c>
      <c r="AG9" s="20">
        <f ca="1">AE9+AF9</f>
        <v>-50195133</v>
      </c>
      <c r="AH9" s="20"/>
      <c r="AI9" s="20">
        <f t="shared" si="2"/>
        <v>7315169.0842539985</v>
      </c>
      <c r="AJ9" s="20">
        <f t="shared" ca="1" si="2"/>
        <v>-7391691.0712135099</v>
      </c>
      <c r="AK9" s="20">
        <f t="shared" ca="1" si="2"/>
        <v>-76521.986959511065</v>
      </c>
      <c r="AL9" s="114"/>
    </row>
    <row r="10" spans="2:38">
      <c r="B10" s="32"/>
      <c r="C10" s="310">
        <v>24111011</v>
      </c>
      <c r="D10" s="310" t="s">
        <v>433</v>
      </c>
      <c r="E10" s="310" t="s">
        <v>209</v>
      </c>
      <c r="F10" s="314">
        <v>265531392</v>
      </c>
      <c r="G10" s="102"/>
      <c r="I10" s="32"/>
      <c r="J10" s="311">
        <v>28411022</v>
      </c>
      <c r="K10" s="311" t="s">
        <v>445</v>
      </c>
      <c r="L10" s="311" t="s">
        <v>253</v>
      </c>
      <c r="M10" s="314">
        <v>-3481491720</v>
      </c>
      <c r="N10" s="102"/>
      <c r="P10" s="382">
        <v>24440000</v>
      </c>
      <c r="Q10" s="383" t="s">
        <v>406</v>
      </c>
      <c r="R10" s="383" t="s">
        <v>240</v>
      </c>
      <c r="S10" s="384">
        <v>2284323</v>
      </c>
      <c r="T10" s="40"/>
      <c r="V10" s="382">
        <v>28451000</v>
      </c>
      <c r="W10" s="383" t="s">
        <v>450</v>
      </c>
      <c r="X10" s="383" t="s">
        <v>291</v>
      </c>
      <c r="Y10" s="384">
        <v>-64470569</v>
      </c>
      <c r="Z10" s="40"/>
      <c r="AC10" s="32" t="s">
        <v>446</v>
      </c>
      <c r="AD10" s="1"/>
      <c r="AE10" s="20">
        <f t="shared" si="0"/>
        <v>6736998336</v>
      </c>
      <c r="AF10" s="20">
        <f t="shared" ca="1" si="1"/>
        <v>-5960164037</v>
      </c>
      <c r="AG10" s="20">
        <f ca="1">AE10+AF10</f>
        <v>776834299</v>
      </c>
      <c r="AH10" s="20"/>
      <c r="AI10" s="20">
        <f t="shared" si="2"/>
        <v>10270487.754532691</v>
      </c>
      <c r="AJ10" s="20">
        <f t="shared" ca="1" si="2"/>
        <v>-9086211.5001440644</v>
      </c>
      <c r="AK10" s="20">
        <f t="shared" ca="1" si="2"/>
        <v>1184276.2543886262</v>
      </c>
      <c r="AL10" s="114"/>
    </row>
    <row r="11" spans="2:38">
      <c r="B11" s="32"/>
      <c r="C11" s="310">
        <v>24111012</v>
      </c>
      <c r="D11" s="310" t="s">
        <v>433</v>
      </c>
      <c r="E11" s="310" t="s">
        <v>210</v>
      </c>
      <c r="F11" s="314">
        <v>454454534</v>
      </c>
      <c r="G11" s="102"/>
      <c r="I11" s="32"/>
      <c r="J11" s="311">
        <v>28411023</v>
      </c>
      <c r="K11" s="311" t="s">
        <v>445</v>
      </c>
      <c r="L11" s="311" t="s">
        <v>254</v>
      </c>
      <c r="M11" s="314">
        <v>-309059388</v>
      </c>
      <c r="N11" s="102"/>
      <c r="P11" s="382">
        <v>24510000</v>
      </c>
      <c r="Q11" s="383" t="s">
        <v>450</v>
      </c>
      <c r="R11" s="383" t="s">
        <v>241</v>
      </c>
      <c r="S11" s="384">
        <v>80129206</v>
      </c>
      <c r="T11" s="40"/>
      <c r="V11" s="382">
        <v>28451001</v>
      </c>
      <c r="W11" s="383" t="s">
        <v>450</v>
      </c>
      <c r="X11" s="383" t="s">
        <v>292</v>
      </c>
      <c r="Y11" s="384">
        <v>-14550530</v>
      </c>
      <c r="Z11" s="40"/>
      <c r="AC11" s="32" t="s">
        <v>444</v>
      </c>
      <c r="AD11" s="1"/>
      <c r="AE11" s="20">
        <f t="shared" si="0"/>
        <v>4663423016</v>
      </c>
      <c r="AF11" s="20">
        <f t="shared" ca="1" si="1"/>
        <v>-3979596953</v>
      </c>
      <c r="AG11" s="20">
        <f ca="1">AE11+AF11</f>
        <v>683826063</v>
      </c>
      <c r="AH11" s="20"/>
      <c r="AI11" s="20">
        <f t="shared" si="2"/>
        <v>7109342.557515203</v>
      </c>
      <c r="AJ11" s="20">
        <f t="shared" ca="1" si="2"/>
        <v>-6066856.4448584281</v>
      </c>
      <c r="AK11" s="20">
        <f t="shared" ca="1" si="2"/>
        <v>1042486.1126567748</v>
      </c>
      <c r="AL11" s="114"/>
    </row>
    <row r="12" spans="2:38">
      <c r="B12" s="32"/>
      <c r="C12" s="310">
        <v>24111013</v>
      </c>
      <c r="D12" s="310" t="s">
        <v>433</v>
      </c>
      <c r="E12" s="310" t="s">
        <v>211</v>
      </c>
      <c r="F12" s="314">
        <v>264600866</v>
      </c>
      <c r="G12" s="102"/>
      <c r="I12" s="32"/>
      <c r="J12" s="311">
        <v>28411024</v>
      </c>
      <c r="K12" s="311" t="s">
        <v>445</v>
      </c>
      <c r="L12" s="311" t="s">
        <v>255</v>
      </c>
      <c r="M12" s="314">
        <v>-110038901</v>
      </c>
      <c r="N12" s="102"/>
      <c r="P12" s="382">
        <v>24510001</v>
      </c>
      <c r="Q12" s="383" t="s">
        <v>450</v>
      </c>
      <c r="R12" s="383" t="s">
        <v>242</v>
      </c>
      <c r="S12" s="384">
        <v>14550530</v>
      </c>
      <c r="T12" s="40"/>
      <c r="V12" s="382">
        <v>28451002</v>
      </c>
      <c r="W12" s="383" t="s">
        <v>450</v>
      </c>
      <c r="X12" s="383" t="s">
        <v>293</v>
      </c>
      <c r="Y12" s="384">
        <v>-12584325</v>
      </c>
      <c r="Z12" s="40"/>
      <c r="AC12" s="32" t="s">
        <v>186</v>
      </c>
      <c r="AD12" s="1"/>
      <c r="AE12" s="20">
        <f t="shared" si="0"/>
        <v>2777727079</v>
      </c>
      <c r="AF12" s="20">
        <f t="shared" ca="1" si="1"/>
        <v>-1479913879</v>
      </c>
      <c r="AG12" s="20">
        <f ca="1">AE12+AF12</f>
        <v>1297813200</v>
      </c>
      <c r="AH12" s="20"/>
      <c r="AI12" s="20">
        <f t="shared" si="2"/>
        <v>4234617.633472926</v>
      </c>
      <c r="AJ12" s="20">
        <f t="shared" ca="1" si="2"/>
        <v>-2256114.1644955385</v>
      </c>
      <c r="AK12" s="20">
        <f t="shared" ca="1" si="2"/>
        <v>1978503.4689773873</v>
      </c>
      <c r="AL12" s="114"/>
    </row>
    <row r="13" spans="2:38">
      <c r="B13" s="32"/>
      <c r="C13" s="310">
        <v>24112002</v>
      </c>
      <c r="D13" s="310" t="s">
        <v>445</v>
      </c>
      <c r="E13" s="310" t="s">
        <v>212</v>
      </c>
      <c r="F13" s="314">
        <v>3481491775</v>
      </c>
      <c r="G13" s="102"/>
      <c r="I13" s="32"/>
      <c r="J13" s="311">
        <v>28411025</v>
      </c>
      <c r="K13" s="311" t="s">
        <v>445</v>
      </c>
      <c r="L13" s="311" t="s">
        <v>256</v>
      </c>
      <c r="M13" s="314">
        <v>-169655215</v>
      </c>
      <c r="N13" s="102"/>
      <c r="P13" s="382">
        <v>24510002</v>
      </c>
      <c r="Q13" s="383" t="s">
        <v>450</v>
      </c>
      <c r="R13" s="383" t="s">
        <v>243</v>
      </c>
      <c r="S13" s="384">
        <v>12584325</v>
      </c>
      <c r="T13" s="40"/>
      <c r="V13" s="382">
        <v>28454000</v>
      </c>
      <c r="W13" s="383" t="s">
        <v>406</v>
      </c>
      <c r="X13" s="383" t="s">
        <v>294</v>
      </c>
      <c r="Y13" s="384">
        <v>-2700000</v>
      </c>
      <c r="Z13" s="40"/>
      <c r="AC13" s="32" t="s">
        <v>443</v>
      </c>
      <c r="AD13" s="1"/>
      <c r="AE13" s="20">
        <f t="shared" si="0"/>
        <v>0</v>
      </c>
      <c r="AF13" s="20">
        <f t="shared" ca="1" si="1"/>
        <v>0</v>
      </c>
      <c r="AG13" s="20">
        <f t="shared" ref="AG13" ca="1" si="3">AE13+AF13</f>
        <v>0</v>
      </c>
      <c r="AH13" s="20"/>
      <c r="AI13" s="20">
        <f t="shared" si="2"/>
        <v>0</v>
      </c>
      <c r="AJ13" s="20">
        <f t="shared" ca="1" si="2"/>
        <v>0</v>
      </c>
      <c r="AK13" s="20">
        <f t="shared" ca="1" si="2"/>
        <v>0</v>
      </c>
      <c r="AL13" s="114"/>
    </row>
    <row r="14" spans="2:38">
      <c r="B14" s="32"/>
      <c r="C14" s="310">
        <v>24112003</v>
      </c>
      <c r="D14" s="310" t="s">
        <v>445</v>
      </c>
      <c r="E14" s="310" t="s">
        <v>213</v>
      </c>
      <c r="F14" s="314">
        <v>809383977</v>
      </c>
      <c r="G14" s="102"/>
      <c r="I14" s="32"/>
      <c r="J14" s="311">
        <v>28411026</v>
      </c>
      <c r="K14" s="311" t="s">
        <v>445</v>
      </c>
      <c r="L14" s="311" t="s">
        <v>257</v>
      </c>
      <c r="M14" s="314">
        <v>-93557481</v>
      </c>
      <c r="N14" s="102"/>
      <c r="P14" s="382">
        <v>24540000</v>
      </c>
      <c r="Q14" s="383" t="s">
        <v>406</v>
      </c>
      <c r="R14" s="383" t="s">
        <v>244</v>
      </c>
      <c r="S14" s="384">
        <v>2700011</v>
      </c>
      <c r="T14" s="40"/>
      <c r="V14" s="104">
        <v>28480000</v>
      </c>
      <c r="W14" s="171" t="s">
        <v>406</v>
      </c>
      <c r="X14" s="52" t="s">
        <v>295</v>
      </c>
      <c r="Y14" s="21">
        <v>-10661842</v>
      </c>
      <c r="Z14" s="40"/>
      <c r="AC14" s="32"/>
      <c r="AD14" s="1"/>
      <c r="AE14" s="1"/>
      <c r="AF14" s="1"/>
      <c r="AG14" s="1"/>
      <c r="AH14" s="1"/>
      <c r="AI14" s="1"/>
      <c r="AJ14" s="1"/>
      <c r="AK14" s="1"/>
      <c r="AL14" s="114"/>
    </row>
    <row r="15" spans="2:38">
      <c r="B15" s="32"/>
      <c r="C15" s="310">
        <v>24112004</v>
      </c>
      <c r="D15" s="310" t="s">
        <v>445</v>
      </c>
      <c r="E15" s="310" t="s">
        <v>214</v>
      </c>
      <c r="F15" s="314">
        <v>110038901</v>
      </c>
      <c r="G15" s="102"/>
      <c r="I15" s="32"/>
      <c r="J15" s="311">
        <v>28411032</v>
      </c>
      <c r="K15" s="311" t="s">
        <v>446</v>
      </c>
      <c r="L15" s="311" t="s">
        <v>258</v>
      </c>
      <c r="M15" s="314">
        <v>-4256439400</v>
      </c>
      <c r="N15" s="102"/>
      <c r="P15" s="382">
        <v>24800000</v>
      </c>
      <c r="Q15" s="383" t="s">
        <v>406</v>
      </c>
      <c r="R15" s="383" t="s">
        <v>245</v>
      </c>
      <c r="S15" s="384">
        <v>12811271</v>
      </c>
      <c r="T15" s="40"/>
      <c r="V15" s="104"/>
      <c r="W15" s="171"/>
      <c r="X15" s="52"/>
      <c r="Y15" s="21"/>
      <c r="Z15" s="40"/>
      <c r="AC15" s="32"/>
      <c r="AD15" s="1"/>
      <c r="AE15" s="123">
        <f>SUM(AE8:AE13)</f>
        <v>24484648982</v>
      </c>
      <c r="AF15" s="123">
        <f ca="1">SUM(AF8:AF13)</f>
        <v>-20961029771</v>
      </c>
      <c r="AG15" s="123">
        <f ca="1">SUM(AG8:AG13)</f>
        <v>3523619211</v>
      </c>
      <c r="AH15" s="20"/>
      <c r="AI15" s="123">
        <f>SUM(AI8:AI13)</f>
        <v>37326606.747088604</v>
      </c>
      <c r="AJ15" s="123">
        <f ca="1">SUM(AJ8:AJ13)</f>
        <v>-31954883.888730511</v>
      </c>
      <c r="AK15" s="123">
        <f ca="1">SUM(AK8:AK13)</f>
        <v>5371722.8583580935</v>
      </c>
      <c r="AL15" s="114"/>
    </row>
    <row r="16" spans="2:38">
      <c r="B16" s="32"/>
      <c r="C16" s="310">
        <v>24112011</v>
      </c>
      <c r="D16" s="310" t="s">
        <v>445</v>
      </c>
      <c r="E16" s="310" t="s">
        <v>215</v>
      </c>
      <c r="F16" s="314">
        <v>101017382</v>
      </c>
      <c r="G16" s="102"/>
      <c r="I16" s="32"/>
      <c r="J16" s="311">
        <v>28411033</v>
      </c>
      <c r="K16" s="311" t="s">
        <v>446</v>
      </c>
      <c r="L16" s="311" t="s">
        <v>259</v>
      </c>
      <c r="M16" s="314">
        <v>-654005528</v>
      </c>
      <c r="N16" s="102"/>
      <c r="P16" s="382">
        <v>24910000</v>
      </c>
      <c r="Q16" s="383" t="s">
        <v>407</v>
      </c>
      <c r="R16" s="383" t="s">
        <v>1775</v>
      </c>
      <c r="S16" s="384">
        <v>120930567</v>
      </c>
      <c r="T16" s="40"/>
      <c r="V16" s="104"/>
      <c r="W16" s="171"/>
      <c r="X16" s="52"/>
      <c r="Y16" s="21"/>
      <c r="Z16" s="40"/>
      <c r="AC16" s="32"/>
      <c r="AD16" s="1"/>
      <c r="AE16" s="20"/>
      <c r="AF16" s="20"/>
      <c r="AG16" s="209">
        <f ca="1">AG15-G51</f>
        <v>0</v>
      </c>
      <c r="AH16" s="20"/>
      <c r="AI16" s="20"/>
      <c r="AJ16" s="20"/>
      <c r="AK16" s="20"/>
      <c r="AL16" s="114"/>
    </row>
    <row r="17" spans="2:38">
      <c r="B17" s="32"/>
      <c r="C17" s="310">
        <v>24112012</v>
      </c>
      <c r="D17" s="310" t="s">
        <v>445</v>
      </c>
      <c r="E17" s="310" t="s">
        <v>215</v>
      </c>
      <c r="F17" s="314">
        <v>25254334</v>
      </c>
      <c r="G17" s="102"/>
      <c r="I17" s="32"/>
      <c r="J17" s="311">
        <v>28411034</v>
      </c>
      <c r="K17" s="311" t="s">
        <v>446</v>
      </c>
      <c r="L17" s="311" t="s">
        <v>260</v>
      </c>
      <c r="M17" s="314">
        <v>-195254181</v>
      </c>
      <c r="N17" s="102"/>
      <c r="P17" s="382"/>
      <c r="Q17" s="383"/>
      <c r="R17" s="383"/>
      <c r="S17" s="384"/>
      <c r="T17" s="40"/>
      <c r="V17" s="104"/>
      <c r="W17" s="171"/>
      <c r="X17" s="52"/>
      <c r="Y17" s="21"/>
      <c r="Z17" s="40"/>
      <c r="AC17" s="32"/>
      <c r="AD17" s="1"/>
      <c r="AE17" s="20"/>
      <c r="AF17" s="20"/>
      <c r="AG17" s="20"/>
      <c r="AH17" s="20"/>
      <c r="AI17" s="20"/>
      <c r="AJ17" s="20"/>
      <c r="AK17" s="20"/>
      <c r="AL17" s="114"/>
    </row>
    <row r="18" spans="2:38">
      <c r="B18" s="32"/>
      <c r="C18" s="310">
        <v>24112013</v>
      </c>
      <c r="D18" s="310" t="s">
        <v>445</v>
      </c>
      <c r="E18" s="310" t="s">
        <v>216</v>
      </c>
      <c r="F18" s="314">
        <v>271249998</v>
      </c>
      <c r="G18" s="102"/>
      <c r="I18" s="32"/>
      <c r="J18" s="311">
        <v>28411035</v>
      </c>
      <c r="K18" s="311" t="s">
        <v>446</v>
      </c>
      <c r="L18" s="311" t="s">
        <v>261</v>
      </c>
      <c r="M18" s="314">
        <v>-96959646</v>
      </c>
      <c r="N18" s="102"/>
      <c r="P18" s="382"/>
      <c r="Q18" s="383"/>
      <c r="R18" s="383"/>
      <c r="S18" s="384"/>
      <c r="T18" s="40"/>
      <c r="V18" s="104"/>
      <c r="W18" s="52"/>
      <c r="X18" s="52"/>
      <c r="Y18" s="21"/>
      <c r="Z18" s="40"/>
      <c r="AC18" s="32"/>
      <c r="AD18" s="1"/>
      <c r="AE18" s="20"/>
      <c r="AF18" s="20"/>
      <c r="AG18" s="20"/>
      <c r="AH18" s="20"/>
      <c r="AI18" s="20"/>
      <c r="AJ18" s="20"/>
      <c r="AK18" s="20"/>
      <c r="AL18" s="114"/>
    </row>
    <row r="19" spans="2:38">
      <c r="B19" s="32"/>
      <c r="C19" s="310">
        <v>24112014</v>
      </c>
      <c r="D19" s="310" t="s">
        <v>446</v>
      </c>
      <c r="E19" s="310" t="s">
        <v>217</v>
      </c>
      <c r="F19" s="314">
        <v>463566891</v>
      </c>
      <c r="G19" s="102"/>
      <c r="I19" s="32"/>
      <c r="J19" s="311">
        <v>28411036</v>
      </c>
      <c r="K19" s="311" t="s">
        <v>446</v>
      </c>
      <c r="L19" s="311" t="s">
        <v>262</v>
      </c>
      <c r="M19" s="314">
        <v>-211737674</v>
      </c>
      <c r="N19" s="102"/>
      <c r="P19" s="104"/>
      <c r="Q19" s="52"/>
      <c r="R19" s="52"/>
      <c r="S19" s="21"/>
      <c r="T19" s="40"/>
      <c r="V19" s="32"/>
      <c r="W19" s="52"/>
      <c r="X19" s="52"/>
      <c r="Y19" s="21"/>
      <c r="Z19" s="102"/>
      <c r="AC19" s="193" t="s">
        <v>420</v>
      </c>
      <c r="AD19" s="20"/>
      <c r="AE19" s="20">
        <f>SUMIF($Q$4:$Q$996,AC19,$S$4:$S$996)</f>
        <v>57202062</v>
      </c>
      <c r="AF19" s="20">
        <f>SUMIF(W4:W996,AC19,Y4:Y996)</f>
        <v>-28895928</v>
      </c>
      <c r="AG19" s="20">
        <f>AE19+AF19</f>
        <v>28306134</v>
      </c>
      <c r="AH19" s="20"/>
      <c r="AI19" s="20">
        <f t="shared" ref="AI19:AJ22" si="4">AE19/655.957</f>
        <v>87203.981358534176</v>
      </c>
      <c r="AJ19" s="20">
        <f t="shared" si="4"/>
        <v>-44051.558257629695</v>
      </c>
      <c r="AK19" s="20">
        <f>AI19+AJ19</f>
        <v>43152.423100904482</v>
      </c>
      <c r="AL19" s="114"/>
    </row>
    <row r="20" spans="2:38">
      <c r="B20" s="32"/>
      <c r="C20" s="310">
        <v>24113002</v>
      </c>
      <c r="D20" s="310" t="s">
        <v>446</v>
      </c>
      <c r="E20" s="310" t="s">
        <v>218</v>
      </c>
      <c r="F20" s="314">
        <v>4256439377</v>
      </c>
      <c r="G20" s="102"/>
      <c r="I20" s="32"/>
      <c r="J20" s="311">
        <v>28411042</v>
      </c>
      <c r="K20" s="311" t="s">
        <v>444</v>
      </c>
      <c r="L20" s="311" t="s">
        <v>263</v>
      </c>
      <c r="M20" s="314">
        <v>-3150299063</v>
      </c>
      <c r="N20" s="102"/>
      <c r="P20" s="104"/>
      <c r="Q20" s="52"/>
      <c r="R20" s="52"/>
      <c r="S20" s="21"/>
      <c r="T20" s="40"/>
      <c r="V20" s="32"/>
      <c r="W20" s="1"/>
      <c r="X20" s="1"/>
      <c r="Y20" s="20"/>
      <c r="Z20" s="102"/>
      <c r="AC20" s="193" t="s">
        <v>406</v>
      </c>
      <c r="AD20" s="183"/>
      <c r="AE20" s="20">
        <f>SUMIF($Q$4:$Q$996,AC20,$S$4:$S$996)</f>
        <v>54363173</v>
      </c>
      <c r="AF20" s="20">
        <f>SUMIF(W5:W997,AC20,Y5:Y997)</f>
        <v>-30664565</v>
      </c>
      <c r="AG20" s="20">
        <f>AE20+AF20</f>
        <v>23698608</v>
      </c>
      <c r="AH20" s="20"/>
      <c r="AI20" s="20">
        <f t="shared" si="4"/>
        <v>82876.122977573221</v>
      </c>
      <c r="AJ20" s="20">
        <f t="shared" si="4"/>
        <v>-46747.827982626914</v>
      </c>
      <c r="AK20" s="20">
        <f>AI20+AJ20</f>
        <v>36128.294994946307</v>
      </c>
      <c r="AL20" s="114"/>
    </row>
    <row r="21" spans="2:38">
      <c r="B21" s="32"/>
      <c r="C21" s="310">
        <v>24113003</v>
      </c>
      <c r="D21" s="310" t="s">
        <v>446</v>
      </c>
      <c r="E21" s="310" t="s">
        <v>219</v>
      </c>
      <c r="F21" s="314">
        <v>654005528</v>
      </c>
      <c r="G21" s="102"/>
      <c r="I21" s="32"/>
      <c r="J21" s="311">
        <v>28411052</v>
      </c>
      <c r="K21" s="311" t="s">
        <v>186</v>
      </c>
      <c r="L21" s="311" t="s">
        <v>264</v>
      </c>
      <c r="M21" s="314">
        <v>-1290763636</v>
      </c>
      <c r="N21" s="102"/>
      <c r="P21" s="104"/>
      <c r="Q21" s="52"/>
      <c r="R21" s="52"/>
      <c r="S21" s="21"/>
      <c r="T21" s="40"/>
      <c r="V21" s="32"/>
      <c r="W21" s="1"/>
      <c r="X21" s="1"/>
      <c r="Y21" s="20"/>
      <c r="Z21" s="102"/>
      <c r="AC21" s="194" t="s">
        <v>450</v>
      </c>
      <c r="AD21" s="1"/>
      <c r="AE21" s="20">
        <f>SUMIF($Q$4:$Q$996,AC21,$S$4:$S$996)</f>
        <v>107264061</v>
      </c>
      <c r="AF21" s="20">
        <f>SUMIF(W6:W998,AC21,Y6:Y998)</f>
        <v>-91605424</v>
      </c>
      <c r="AG21" s="20">
        <f>AE21+AF21</f>
        <v>15658637</v>
      </c>
      <c r="AH21" s="20"/>
      <c r="AI21" s="20">
        <f t="shared" si="4"/>
        <v>163523.00684343639</v>
      </c>
      <c r="AJ21" s="20">
        <f t="shared" si="4"/>
        <v>-139651.56862416287</v>
      </c>
      <c r="AK21" s="20">
        <f>AI21+AJ21</f>
        <v>23871.438219273521</v>
      </c>
      <c r="AL21" s="102"/>
    </row>
    <row r="22" spans="2:38">
      <c r="B22" s="32"/>
      <c r="C22" s="310">
        <v>24113004</v>
      </c>
      <c r="D22" s="310" t="s">
        <v>446</v>
      </c>
      <c r="E22" s="310" t="s">
        <v>220</v>
      </c>
      <c r="F22" s="314">
        <v>195254181</v>
      </c>
      <c r="G22" s="102"/>
      <c r="I22" s="32"/>
      <c r="J22" s="311">
        <v>28411101</v>
      </c>
      <c r="K22" s="311" t="s">
        <v>433</v>
      </c>
      <c r="L22" s="311" t="s">
        <v>265</v>
      </c>
      <c r="M22" s="314">
        <v>-265531380</v>
      </c>
      <c r="N22" s="102"/>
      <c r="P22" s="104"/>
      <c r="Q22" s="52"/>
      <c r="R22" s="52"/>
      <c r="S22" s="21"/>
      <c r="T22" s="40"/>
      <c r="V22" s="32"/>
      <c r="W22" s="1"/>
      <c r="X22" s="1"/>
      <c r="Y22" s="20"/>
      <c r="Z22" s="102"/>
      <c r="AC22" s="194" t="s">
        <v>421</v>
      </c>
      <c r="AD22" s="1"/>
      <c r="AE22" s="20">
        <f>SUMIF($Q$4:$Q$996,AC22,$S$4:$S$996)</f>
        <v>120930567</v>
      </c>
      <c r="AF22" s="20">
        <f>SUMIF(W7:W999,AC22,Y7:Y999)</f>
        <v>0</v>
      </c>
      <c r="AG22" s="20">
        <f>AE22+AF22</f>
        <v>120930567</v>
      </c>
      <c r="AH22" s="1"/>
      <c r="AI22" s="20">
        <f t="shared" si="4"/>
        <v>184357.46093112812</v>
      </c>
      <c r="AJ22" s="20">
        <f t="shared" si="4"/>
        <v>0</v>
      </c>
      <c r="AK22" s="20">
        <f>AI22+AJ22</f>
        <v>184357.46093112812</v>
      </c>
      <c r="AL22" s="102"/>
    </row>
    <row r="23" spans="2:38">
      <c r="B23" s="32"/>
      <c r="C23" s="310">
        <v>24113005</v>
      </c>
      <c r="D23" s="310" t="s">
        <v>446</v>
      </c>
      <c r="E23" s="310" t="s">
        <v>220</v>
      </c>
      <c r="F23" s="314">
        <v>211737672</v>
      </c>
      <c r="G23" s="102"/>
      <c r="I23" s="32"/>
      <c r="J23" s="311">
        <v>28411102</v>
      </c>
      <c r="K23" s="311" t="s">
        <v>433</v>
      </c>
      <c r="L23" s="311" t="s">
        <v>266</v>
      </c>
      <c r="M23" s="314">
        <v>-75006715</v>
      </c>
      <c r="N23" s="102"/>
      <c r="P23" s="104"/>
      <c r="Q23" s="52"/>
      <c r="R23" s="52"/>
      <c r="S23" s="21"/>
      <c r="T23" s="40"/>
      <c r="V23" s="32"/>
      <c r="W23" s="1"/>
      <c r="X23" s="1"/>
      <c r="Y23" s="20"/>
      <c r="Z23" s="102"/>
      <c r="AC23" s="32"/>
      <c r="AD23" s="1"/>
      <c r="AE23" s="1"/>
      <c r="AF23" s="1"/>
      <c r="AG23" s="1"/>
      <c r="AH23" s="1"/>
      <c r="AI23" s="1"/>
      <c r="AJ23" s="1"/>
      <c r="AK23" s="1"/>
      <c r="AL23" s="102"/>
    </row>
    <row r="24" spans="2:38">
      <c r="B24" s="32"/>
      <c r="C24" s="310">
        <v>24113006</v>
      </c>
      <c r="D24" s="310" t="s">
        <v>446</v>
      </c>
      <c r="E24" s="310" t="s">
        <v>221</v>
      </c>
      <c r="F24" s="314">
        <v>101175279</v>
      </c>
      <c r="G24" s="102"/>
      <c r="I24" s="32"/>
      <c r="J24" s="311">
        <v>28411103</v>
      </c>
      <c r="K24" s="311" t="s">
        <v>433</v>
      </c>
      <c r="L24" s="311" t="s">
        <v>267</v>
      </c>
      <c r="M24" s="314">
        <v>-264600866</v>
      </c>
      <c r="N24" s="102"/>
      <c r="P24" s="104"/>
      <c r="Q24" s="52"/>
      <c r="R24" s="52"/>
      <c r="S24" s="21"/>
      <c r="T24" s="40"/>
      <c r="V24" s="32"/>
      <c r="W24" s="1"/>
      <c r="X24" s="1"/>
      <c r="Y24" s="20"/>
      <c r="Z24" s="102"/>
      <c r="AC24" s="32"/>
      <c r="AD24" s="1"/>
      <c r="AE24" s="123">
        <f>SUM(AE19:AE22)</f>
        <v>339759863</v>
      </c>
      <c r="AF24" s="123">
        <f t="shared" ref="AF24:AK24" si="5">SUM(AF19:AF22)</f>
        <v>-151165917</v>
      </c>
      <c r="AG24" s="123">
        <f>SUM(AG19:AG22)</f>
        <v>188593946</v>
      </c>
      <c r="AH24" s="20"/>
      <c r="AI24" s="123">
        <f t="shared" si="5"/>
        <v>517960.5721106719</v>
      </c>
      <c r="AJ24" s="123">
        <f t="shared" si="5"/>
        <v>-230450.95486441947</v>
      </c>
      <c r="AK24" s="123">
        <f t="shared" si="5"/>
        <v>287509.61724625243</v>
      </c>
      <c r="AL24" s="102"/>
    </row>
    <row r="25" spans="2:38">
      <c r="B25" s="32"/>
      <c r="C25" s="310">
        <v>24113007</v>
      </c>
      <c r="D25" s="310" t="s">
        <v>446</v>
      </c>
      <c r="E25" s="310" t="s">
        <v>1774</v>
      </c>
      <c r="F25" s="314">
        <v>225689045</v>
      </c>
      <c r="G25" s="102"/>
      <c r="I25" s="32"/>
      <c r="J25" s="311">
        <v>28411201</v>
      </c>
      <c r="K25" s="311" t="s">
        <v>445</v>
      </c>
      <c r="L25" s="311" t="s">
        <v>268</v>
      </c>
      <c r="M25" s="314">
        <v>-101017380</v>
      </c>
      <c r="N25" s="102"/>
      <c r="P25" s="104"/>
      <c r="Q25" s="52"/>
      <c r="R25" s="52"/>
      <c r="S25" s="21"/>
      <c r="T25" s="40"/>
      <c r="V25" s="32"/>
      <c r="W25" s="1"/>
      <c r="X25" s="1"/>
      <c r="Y25" s="20"/>
      <c r="Z25" s="102"/>
      <c r="AC25" s="32"/>
      <c r="AD25" s="1"/>
      <c r="AE25" s="1"/>
      <c r="AF25" s="1"/>
      <c r="AG25" s="1"/>
      <c r="AH25" s="1"/>
      <c r="AI25" s="1"/>
      <c r="AJ25" s="1"/>
      <c r="AK25" s="1"/>
      <c r="AL25" s="102"/>
    </row>
    <row r="26" spans="2:38">
      <c r="B26" s="32"/>
      <c r="C26" s="310">
        <v>24113011</v>
      </c>
      <c r="D26" s="310" t="s">
        <v>446</v>
      </c>
      <c r="E26" s="310" t="s">
        <v>222</v>
      </c>
      <c r="F26" s="314">
        <v>236721762</v>
      </c>
      <c r="G26" s="102"/>
      <c r="I26" s="32"/>
      <c r="J26" s="311">
        <v>28411202</v>
      </c>
      <c r="K26" s="311" t="s">
        <v>445</v>
      </c>
      <c r="L26" s="311" t="s">
        <v>269</v>
      </c>
      <c r="M26" s="314">
        <v>-25254400</v>
      </c>
      <c r="N26" s="102"/>
      <c r="P26" s="32"/>
      <c r="Q26" s="1"/>
      <c r="R26" s="1"/>
      <c r="S26" s="20"/>
      <c r="T26" s="102"/>
      <c r="V26" s="32"/>
      <c r="W26" s="1"/>
      <c r="X26" s="1"/>
      <c r="Y26" s="20"/>
      <c r="Z26" s="102"/>
      <c r="AC26" s="32"/>
      <c r="AD26" s="1"/>
      <c r="AE26" s="1"/>
      <c r="AF26" s="1"/>
      <c r="AG26" s="209">
        <f>AG24-T51</f>
        <v>0</v>
      </c>
      <c r="AH26" s="1"/>
      <c r="AI26" s="1"/>
      <c r="AJ26" s="1"/>
      <c r="AK26" s="1"/>
      <c r="AL26" s="102"/>
    </row>
    <row r="27" spans="2:38" ht="15.75" thickBot="1">
      <c r="B27" s="32"/>
      <c r="C27" s="310">
        <v>24113012</v>
      </c>
      <c r="D27" s="310" t="s">
        <v>446</v>
      </c>
      <c r="E27" s="310" t="s">
        <v>223</v>
      </c>
      <c r="F27" s="314">
        <v>392408601</v>
      </c>
      <c r="G27" s="102"/>
      <c r="I27" s="32"/>
      <c r="J27" s="311">
        <v>28411203</v>
      </c>
      <c r="K27" s="311" t="s">
        <v>445</v>
      </c>
      <c r="L27" s="311" t="s">
        <v>270</v>
      </c>
      <c r="M27" s="314">
        <v>-271249996</v>
      </c>
      <c r="N27" s="102"/>
      <c r="P27" s="32"/>
      <c r="Q27" s="1"/>
      <c r="R27" s="1"/>
      <c r="S27" s="20"/>
      <c r="T27" s="102"/>
      <c r="V27" s="32"/>
      <c r="W27" s="1"/>
      <c r="X27" s="1"/>
      <c r="Y27" s="20"/>
      <c r="Z27" s="102"/>
      <c r="AC27" s="37"/>
      <c r="AD27" s="38"/>
      <c r="AE27" s="38"/>
      <c r="AF27" s="38"/>
      <c r="AG27" s="38"/>
      <c r="AH27" s="38"/>
      <c r="AI27" s="38"/>
      <c r="AJ27" s="38"/>
      <c r="AK27" s="38"/>
      <c r="AL27" s="109"/>
    </row>
    <row r="28" spans="2:38">
      <c r="B28" s="32"/>
      <c r="C28" s="310">
        <v>24113013</v>
      </c>
      <c r="D28" s="310" t="s">
        <v>444</v>
      </c>
      <c r="E28" s="310" t="s">
        <v>224</v>
      </c>
      <c r="F28" s="314">
        <v>669575544</v>
      </c>
      <c r="G28" s="102"/>
      <c r="I28" s="32"/>
      <c r="J28" s="311">
        <v>28411204</v>
      </c>
      <c r="K28" s="311" t="s">
        <v>445</v>
      </c>
      <c r="L28" s="311" t="s">
        <v>271</v>
      </c>
      <c r="M28" s="314">
        <v>-270414019</v>
      </c>
      <c r="N28" s="102"/>
      <c r="P28" s="32"/>
      <c r="Q28" s="1"/>
      <c r="R28" s="1"/>
      <c r="S28" s="20"/>
      <c r="T28" s="102"/>
      <c r="V28" s="32"/>
      <c r="W28" s="1"/>
      <c r="X28" s="1"/>
      <c r="Y28" s="20"/>
      <c r="Z28" s="102"/>
    </row>
    <row r="29" spans="2:38">
      <c r="B29" s="32"/>
      <c r="C29" s="310">
        <v>24114002</v>
      </c>
      <c r="D29" s="310" t="s">
        <v>444</v>
      </c>
      <c r="E29" s="310" t="s">
        <v>225</v>
      </c>
      <c r="F29" s="314">
        <v>3436689913</v>
      </c>
      <c r="G29" s="102"/>
      <c r="I29" s="32"/>
      <c r="J29" s="311">
        <v>28411301</v>
      </c>
      <c r="K29" s="311" t="s">
        <v>446</v>
      </c>
      <c r="L29" s="311" t="s">
        <v>272</v>
      </c>
      <c r="M29" s="314">
        <v>-236721780</v>
      </c>
      <c r="N29" s="102"/>
      <c r="P29" s="32"/>
      <c r="Q29" s="1"/>
      <c r="R29" s="1"/>
      <c r="S29" s="20"/>
      <c r="T29" s="102"/>
      <c r="V29" s="32"/>
      <c r="W29" s="1"/>
      <c r="X29" s="1"/>
      <c r="Y29" s="20"/>
      <c r="Z29" s="102"/>
    </row>
    <row r="30" spans="2:38">
      <c r="B30" s="32"/>
      <c r="C30" s="310">
        <v>24114003</v>
      </c>
      <c r="D30" s="310" t="s">
        <v>444</v>
      </c>
      <c r="E30" s="310" t="s">
        <v>226</v>
      </c>
      <c r="F30" s="314">
        <v>217494350</v>
      </c>
      <c r="G30" s="102"/>
      <c r="I30" s="32"/>
      <c r="J30" s="311">
        <v>28411302</v>
      </c>
      <c r="K30" s="311" t="s">
        <v>446</v>
      </c>
      <c r="L30" s="311" t="s">
        <v>273</v>
      </c>
      <c r="M30" s="314">
        <v>-59180400</v>
      </c>
      <c r="N30" s="102"/>
      <c r="P30" s="32"/>
      <c r="Q30" s="1"/>
      <c r="R30" s="1"/>
      <c r="S30" s="20"/>
      <c r="T30" s="102"/>
      <c r="V30" s="32"/>
      <c r="W30" s="1"/>
      <c r="X30" s="1"/>
      <c r="Y30" s="20"/>
      <c r="Z30" s="102"/>
    </row>
    <row r="31" spans="2:38">
      <c r="B31" s="32"/>
      <c r="C31" s="310">
        <v>24114004</v>
      </c>
      <c r="D31" s="310" t="s">
        <v>444</v>
      </c>
      <c r="E31" s="310" t="s">
        <v>227</v>
      </c>
      <c r="F31" s="314">
        <v>148140164</v>
      </c>
      <c r="G31" s="102"/>
      <c r="I31" s="32"/>
      <c r="J31" s="311">
        <v>28411303</v>
      </c>
      <c r="K31" s="311" t="s">
        <v>446</v>
      </c>
      <c r="L31" s="311" t="s">
        <v>274</v>
      </c>
      <c r="M31" s="314">
        <v>-208267601</v>
      </c>
      <c r="N31" s="102"/>
      <c r="P31" s="32"/>
      <c r="Q31" s="1"/>
      <c r="R31" s="1"/>
      <c r="S31" s="20"/>
      <c r="T31" s="102"/>
      <c r="V31" s="32"/>
      <c r="W31" s="1"/>
      <c r="X31" s="1"/>
      <c r="Y31" s="20"/>
      <c r="Z31" s="102"/>
    </row>
    <row r="32" spans="2:38">
      <c r="B32" s="32"/>
      <c r="C32" s="310">
        <v>24114005</v>
      </c>
      <c r="D32" s="310" t="s">
        <v>444</v>
      </c>
      <c r="E32" s="310" t="s">
        <v>228</v>
      </c>
      <c r="F32" s="314">
        <v>28425896</v>
      </c>
      <c r="G32" s="102"/>
      <c r="I32" s="32"/>
      <c r="J32" s="311">
        <v>28411304</v>
      </c>
      <c r="K32" s="311" t="s">
        <v>446</v>
      </c>
      <c r="L32" s="311" t="s">
        <v>1776</v>
      </c>
      <c r="M32" s="314">
        <v>-41597827</v>
      </c>
      <c r="N32" s="102"/>
      <c r="P32" s="32"/>
      <c r="Q32" s="171"/>
      <c r="R32" s="52"/>
      <c r="S32" s="21"/>
      <c r="T32" s="102"/>
      <c r="V32" s="32"/>
      <c r="W32" s="1"/>
      <c r="X32" s="1"/>
      <c r="Y32" s="20"/>
      <c r="Z32" s="102"/>
    </row>
    <row r="33" spans="2:33">
      <c r="B33" s="32"/>
      <c r="C33" s="310">
        <v>24114011</v>
      </c>
      <c r="D33" s="310" t="s">
        <v>444</v>
      </c>
      <c r="E33" s="310" t="s">
        <v>229</v>
      </c>
      <c r="F33" s="314">
        <v>163097149</v>
      </c>
      <c r="G33" s="102"/>
      <c r="I33" s="32"/>
      <c r="J33" s="311">
        <v>28411401</v>
      </c>
      <c r="K33" s="311" t="s">
        <v>444</v>
      </c>
      <c r="L33" s="311" t="s">
        <v>275</v>
      </c>
      <c r="M33" s="314">
        <v>-149505729</v>
      </c>
      <c r="N33" s="102"/>
      <c r="P33" s="32"/>
      <c r="Q33" s="1"/>
      <c r="R33" s="1"/>
      <c r="S33" s="20"/>
      <c r="T33" s="102"/>
      <c r="V33" s="32"/>
      <c r="W33" s="1"/>
      <c r="X33" s="1"/>
      <c r="Y33" s="20"/>
      <c r="Z33" s="102"/>
    </row>
    <row r="34" spans="2:33">
      <c r="B34" s="32"/>
      <c r="C34" s="310">
        <v>24114012</v>
      </c>
      <c r="D34" s="310" t="s">
        <v>186</v>
      </c>
      <c r="E34" s="310" t="s">
        <v>230</v>
      </c>
      <c r="F34" s="314">
        <v>350658017</v>
      </c>
      <c r="G34" s="102"/>
      <c r="I34" s="32"/>
      <c r="J34" s="311">
        <v>28411402</v>
      </c>
      <c r="K34" s="311" t="s">
        <v>444</v>
      </c>
      <c r="L34" s="311" t="s">
        <v>276</v>
      </c>
      <c r="M34" s="314">
        <v>-40774289</v>
      </c>
      <c r="N34" s="102"/>
      <c r="P34" s="32"/>
      <c r="Q34" s="171"/>
      <c r="R34" s="52"/>
      <c r="S34" s="21"/>
      <c r="T34" s="102"/>
      <c r="V34" s="32"/>
      <c r="W34" s="1"/>
      <c r="X34" s="1"/>
      <c r="Y34" s="20"/>
      <c r="Z34" s="102"/>
    </row>
    <row r="35" spans="2:33">
      <c r="B35" s="32"/>
      <c r="C35" s="310">
        <v>24115002</v>
      </c>
      <c r="D35" s="310" t="s">
        <v>186</v>
      </c>
      <c r="E35" s="310" t="s">
        <v>231</v>
      </c>
      <c r="F35" s="314">
        <v>2130825332</v>
      </c>
      <c r="G35" s="102"/>
      <c r="I35" s="32"/>
      <c r="J35" s="311">
        <v>28411403</v>
      </c>
      <c r="K35" s="311" t="s">
        <v>444</v>
      </c>
      <c r="L35" s="311" t="s">
        <v>277</v>
      </c>
      <c r="M35" s="314">
        <v>-217494355</v>
      </c>
      <c r="N35" s="102"/>
      <c r="P35" s="32"/>
      <c r="Q35" s="171"/>
      <c r="R35" s="52"/>
      <c r="S35" s="21"/>
      <c r="T35" s="102"/>
      <c r="V35" s="32"/>
      <c r="W35" s="1"/>
      <c r="X35" s="1"/>
      <c r="Y35" s="20"/>
      <c r="Z35" s="102"/>
      <c r="AG35" s="235"/>
    </row>
    <row r="36" spans="2:33">
      <c r="B36" s="32"/>
      <c r="C36" s="310">
        <v>24115003</v>
      </c>
      <c r="D36" s="310" t="s">
        <v>186</v>
      </c>
      <c r="E36" s="310" t="s">
        <v>232</v>
      </c>
      <c r="F36" s="314">
        <v>64241805</v>
      </c>
      <c r="G36" s="102"/>
      <c r="I36" s="32"/>
      <c r="J36" s="311">
        <v>28411404</v>
      </c>
      <c r="K36" s="311" t="s">
        <v>444</v>
      </c>
      <c r="L36" s="311" t="s">
        <v>278</v>
      </c>
      <c r="M36" s="314">
        <v>-141967659</v>
      </c>
      <c r="N36" s="102"/>
      <c r="P36" s="32"/>
      <c r="Q36" s="171"/>
      <c r="R36" s="52"/>
      <c r="S36" s="21"/>
      <c r="T36" s="102"/>
      <c r="V36" s="32"/>
      <c r="W36" s="1"/>
      <c r="X36" s="1"/>
      <c r="Y36" s="20"/>
      <c r="Z36" s="102"/>
    </row>
    <row r="37" spans="2:33">
      <c r="B37" s="32"/>
      <c r="C37" s="310">
        <v>24115004</v>
      </c>
      <c r="D37" s="310" t="s">
        <v>186</v>
      </c>
      <c r="E37" s="310" t="s">
        <v>233</v>
      </c>
      <c r="F37" s="314">
        <v>49205537</v>
      </c>
      <c r="G37" s="102"/>
      <c r="I37" s="32"/>
      <c r="J37" s="311">
        <v>28411405</v>
      </c>
      <c r="K37" s="311" t="s">
        <v>444</v>
      </c>
      <c r="L37" s="311" t="s">
        <v>279</v>
      </c>
      <c r="M37" s="314">
        <v>-258236438</v>
      </c>
      <c r="N37" s="102"/>
      <c r="P37" s="32"/>
      <c r="Q37" s="171"/>
      <c r="R37" s="52"/>
      <c r="S37" s="21"/>
      <c r="T37" s="102"/>
      <c r="V37" s="32"/>
      <c r="W37" s="1"/>
      <c r="X37" s="1"/>
      <c r="Y37" s="20"/>
      <c r="Z37" s="102"/>
    </row>
    <row r="38" spans="2:33">
      <c r="B38" s="32"/>
      <c r="C38" s="310">
        <v>24115007</v>
      </c>
      <c r="D38" s="310" t="s">
        <v>186</v>
      </c>
      <c r="E38" s="310" t="s">
        <v>566</v>
      </c>
      <c r="F38" s="314">
        <v>68449677</v>
      </c>
      <c r="G38" s="102"/>
      <c r="I38" s="32"/>
      <c r="J38" s="311">
        <v>28411406</v>
      </c>
      <c r="K38" s="311" t="s">
        <v>444</v>
      </c>
      <c r="L38" s="311" t="s">
        <v>280</v>
      </c>
      <c r="M38" s="314">
        <v>-21319420</v>
      </c>
      <c r="N38" s="102"/>
      <c r="P38" s="32"/>
      <c r="Q38" s="171"/>
      <c r="R38" s="52"/>
      <c r="S38" s="21"/>
      <c r="T38" s="102"/>
      <c r="V38" s="32"/>
      <c r="W38" s="1"/>
      <c r="X38" s="1"/>
      <c r="Y38" s="20"/>
      <c r="Z38" s="102"/>
    </row>
    <row r="39" spans="2:33">
      <c r="B39" s="32"/>
      <c r="C39" s="310">
        <v>24115011</v>
      </c>
      <c r="D39" s="310" t="s">
        <v>186</v>
      </c>
      <c r="E39" s="310" t="s">
        <v>234</v>
      </c>
      <c r="F39" s="314">
        <v>82714169</v>
      </c>
      <c r="G39" s="102"/>
      <c r="I39" s="32"/>
      <c r="J39" s="311">
        <v>28411501</v>
      </c>
      <c r="K39" s="311" t="s">
        <v>186</v>
      </c>
      <c r="L39" s="311" t="s">
        <v>281</v>
      </c>
      <c r="M39" s="314">
        <v>-53764230</v>
      </c>
      <c r="N39" s="102"/>
      <c r="P39" s="32"/>
      <c r="Q39" s="171"/>
      <c r="R39" s="52"/>
      <c r="S39" s="21"/>
      <c r="T39" s="102"/>
      <c r="V39" s="32"/>
      <c r="W39" s="1"/>
      <c r="X39" s="1"/>
      <c r="Y39" s="20"/>
      <c r="Z39" s="102"/>
    </row>
    <row r="40" spans="2:33" s="13" customFormat="1">
      <c r="B40" s="104"/>
      <c r="C40" s="310">
        <v>24115012</v>
      </c>
      <c r="D40" s="310" t="s">
        <v>186</v>
      </c>
      <c r="E40" s="310" t="s">
        <v>235</v>
      </c>
      <c r="F40" s="314">
        <v>20678542</v>
      </c>
      <c r="G40" s="40"/>
      <c r="I40" s="104"/>
      <c r="J40" s="311">
        <v>28411502</v>
      </c>
      <c r="K40" s="311" t="s">
        <v>186</v>
      </c>
      <c r="L40" s="311" t="s">
        <v>282</v>
      </c>
      <c r="M40" s="314">
        <v>-13441038</v>
      </c>
      <c r="N40" s="40"/>
      <c r="P40" s="104"/>
      <c r="Q40" s="171"/>
      <c r="R40" s="52"/>
      <c r="S40" s="21"/>
      <c r="T40" s="40"/>
      <c r="V40" s="104"/>
      <c r="W40" s="52"/>
      <c r="X40" s="52"/>
      <c r="Y40" s="21"/>
      <c r="Z40" s="40"/>
      <c r="AG40"/>
    </row>
    <row r="41" spans="2:33" s="13" customFormat="1">
      <c r="B41" s="104"/>
      <c r="C41" s="310">
        <v>24116000</v>
      </c>
      <c r="D41" s="310" t="s">
        <v>186</v>
      </c>
      <c r="E41" s="310" t="s">
        <v>236</v>
      </c>
      <c r="F41" s="314">
        <v>10954000</v>
      </c>
      <c r="G41" s="40"/>
      <c r="I41" s="104"/>
      <c r="J41" s="311">
        <v>28411503</v>
      </c>
      <c r="K41" s="311" t="s">
        <v>186</v>
      </c>
      <c r="L41" s="311" t="s">
        <v>283</v>
      </c>
      <c r="M41" s="314">
        <v>-64241806</v>
      </c>
      <c r="N41" s="40"/>
      <c r="P41" s="104"/>
      <c r="Q41" s="171"/>
      <c r="R41" s="52"/>
      <c r="S41" s="21"/>
      <c r="T41" s="40"/>
      <c r="V41" s="104"/>
      <c r="W41" s="52"/>
      <c r="X41" s="52"/>
      <c r="Y41" s="21"/>
      <c r="Z41" s="40"/>
      <c r="AG41"/>
    </row>
    <row r="42" spans="2:33">
      <c r="B42" s="32"/>
      <c r="C42" s="1"/>
      <c r="D42" s="1"/>
      <c r="E42" s="1"/>
      <c r="F42" s="20"/>
      <c r="G42" s="102"/>
      <c r="I42" s="32"/>
      <c r="J42" s="311">
        <v>28411504</v>
      </c>
      <c r="K42" s="311" t="s">
        <v>186</v>
      </c>
      <c r="L42" s="311" t="s">
        <v>284</v>
      </c>
      <c r="M42" s="314">
        <v>-47155309</v>
      </c>
      <c r="N42" s="102"/>
      <c r="P42" s="32"/>
      <c r="Q42" s="171"/>
      <c r="R42" s="52"/>
      <c r="S42" s="21"/>
      <c r="T42" s="102"/>
      <c r="V42" s="32"/>
      <c r="W42" s="1"/>
      <c r="X42" s="1"/>
      <c r="Y42" s="20"/>
      <c r="Z42" s="102"/>
    </row>
    <row r="43" spans="2:33">
      <c r="B43" s="32"/>
      <c r="C43" s="1"/>
      <c r="D43" s="1"/>
      <c r="E43" s="1"/>
      <c r="F43" s="20"/>
      <c r="G43" s="102"/>
      <c r="I43" s="32"/>
      <c r="J43" s="311">
        <v>28411506</v>
      </c>
      <c r="K43" s="311" t="s">
        <v>186</v>
      </c>
      <c r="L43" s="311" t="s">
        <v>1777</v>
      </c>
      <c r="M43" s="314">
        <v>-5435992</v>
      </c>
      <c r="N43" s="102"/>
      <c r="P43" s="32"/>
      <c r="Q43" s="1"/>
      <c r="R43" s="1"/>
      <c r="S43" s="20"/>
      <c r="T43" s="102"/>
      <c r="V43" s="32"/>
      <c r="W43" s="1"/>
      <c r="X43" s="1"/>
      <c r="Y43" s="20"/>
      <c r="Z43" s="102"/>
    </row>
    <row r="44" spans="2:33">
      <c r="B44" s="32"/>
      <c r="C44" s="1"/>
      <c r="D44" s="1"/>
      <c r="E44" s="1"/>
      <c r="F44" s="20"/>
      <c r="G44" s="102"/>
      <c r="I44" s="32"/>
      <c r="J44" s="311">
        <v>28411600</v>
      </c>
      <c r="K44" s="311" t="s">
        <v>186</v>
      </c>
      <c r="L44" s="311" t="s">
        <v>285</v>
      </c>
      <c r="M44" s="314">
        <v>-5111868</v>
      </c>
      <c r="N44" s="102"/>
      <c r="P44" s="32"/>
      <c r="Q44" s="1"/>
      <c r="R44" s="1"/>
      <c r="S44" s="20"/>
      <c r="T44" s="102"/>
      <c r="V44" s="32"/>
      <c r="W44" s="1"/>
      <c r="X44" s="1"/>
      <c r="Y44" s="20"/>
      <c r="Z44" s="102"/>
    </row>
    <row r="45" spans="2:33">
      <c r="B45" s="32"/>
      <c r="C45" s="1"/>
      <c r="D45" s="1"/>
      <c r="E45" s="1"/>
      <c r="F45" s="20"/>
      <c r="G45" s="102"/>
      <c r="I45" s="32"/>
      <c r="J45" s="311">
        <v>28412000</v>
      </c>
      <c r="K45" s="311" t="s">
        <v>445</v>
      </c>
      <c r="L45" s="311" t="s">
        <v>286</v>
      </c>
      <c r="M45" s="314">
        <v>-16893000</v>
      </c>
      <c r="N45" s="102"/>
      <c r="P45" s="32"/>
      <c r="Q45" s="1"/>
      <c r="R45" s="1"/>
      <c r="S45" s="20"/>
      <c r="T45" s="102"/>
      <c r="V45" s="32"/>
      <c r="W45" s="1"/>
      <c r="X45" s="1"/>
      <c r="Y45" s="20"/>
      <c r="Z45" s="102"/>
    </row>
    <row r="46" spans="2:33">
      <c r="B46" s="32"/>
      <c r="C46" s="1"/>
      <c r="D46" s="1"/>
      <c r="E46" s="1"/>
      <c r="F46" s="20"/>
      <c r="G46" s="102"/>
      <c r="I46" s="32"/>
      <c r="J46" s="1"/>
      <c r="K46" s="1"/>
      <c r="L46" s="1"/>
      <c r="M46" s="1"/>
      <c r="N46" s="102"/>
      <c r="P46" s="32"/>
      <c r="Q46" s="1"/>
      <c r="R46" s="1"/>
      <c r="S46" s="20"/>
      <c r="T46" s="102"/>
      <c r="V46" s="32"/>
      <c r="W46" s="1"/>
      <c r="X46" s="1"/>
      <c r="Y46" s="20"/>
      <c r="Z46" s="102"/>
    </row>
    <row r="47" spans="2:33">
      <c r="B47" s="32"/>
      <c r="C47" s="1"/>
      <c r="D47" s="1"/>
      <c r="E47" s="1"/>
      <c r="F47" s="20"/>
      <c r="G47" s="102"/>
      <c r="I47" s="32"/>
      <c r="J47" s="1"/>
      <c r="K47" s="1"/>
      <c r="L47" s="1"/>
      <c r="M47" s="1"/>
      <c r="N47" s="102"/>
      <c r="P47" s="32"/>
      <c r="Q47" s="1"/>
      <c r="R47" s="1"/>
      <c r="S47" s="20"/>
      <c r="T47" s="102"/>
      <c r="V47" s="32"/>
      <c r="W47" s="1"/>
      <c r="X47" s="1"/>
      <c r="Y47" s="20"/>
      <c r="Z47" s="102"/>
    </row>
    <row r="48" spans="2:33">
      <c r="B48" s="32"/>
      <c r="C48" s="1"/>
      <c r="D48" s="1"/>
      <c r="E48" s="1"/>
      <c r="F48" s="20"/>
      <c r="G48" s="102"/>
      <c r="I48" s="32"/>
      <c r="J48" s="1"/>
      <c r="K48" s="1"/>
      <c r="L48" s="1"/>
      <c r="M48" s="1"/>
      <c r="N48" s="102"/>
      <c r="P48" s="32"/>
      <c r="Q48" s="1"/>
      <c r="R48" s="1"/>
      <c r="S48" s="20"/>
      <c r="T48" s="102"/>
      <c r="V48" s="32"/>
      <c r="W48" s="1"/>
      <c r="X48" s="1"/>
      <c r="Y48" s="20"/>
      <c r="Z48" s="102"/>
    </row>
    <row r="49" spans="2:26" ht="15.75" thickBot="1">
      <c r="B49" s="37"/>
      <c r="C49" s="38"/>
      <c r="D49" s="38"/>
      <c r="E49" s="38"/>
      <c r="F49" s="107"/>
      <c r="G49" s="109"/>
      <c r="I49" s="37"/>
      <c r="J49" s="38"/>
      <c r="K49" s="38"/>
      <c r="L49" s="38"/>
      <c r="M49" s="38"/>
      <c r="N49" s="109"/>
      <c r="P49" s="37"/>
      <c r="Q49" s="38"/>
      <c r="R49" s="38"/>
      <c r="S49" s="107"/>
      <c r="T49" s="109"/>
      <c r="V49" s="37"/>
      <c r="W49" s="38"/>
      <c r="X49" s="38"/>
      <c r="Y49" s="107"/>
      <c r="Z49" s="109"/>
    </row>
    <row r="51" spans="2:26">
      <c r="G51" s="230">
        <f>F2+M2</f>
        <v>3523619211</v>
      </c>
      <c r="H51" s="231"/>
      <c r="I51" s="232"/>
      <c r="T51" s="230">
        <f>S2+Y2</f>
        <v>188593946</v>
      </c>
      <c r="U51" s="231"/>
      <c r="V51" s="232"/>
    </row>
    <row r="68" spans="1:28">
      <c r="A68" t="s">
        <v>448</v>
      </c>
    </row>
    <row r="69" spans="1:28">
      <c r="C69" s="13">
        <v>23210000</v>
      </c>
    </row>
    <row r="70" spans="1:28">
      <c r="C70" s="12">
        <v>24300000</v>
      </c>
    </row>
    <row r="71" spans="1:28">
      <c r="C71" s="12">
        <v>24410000</v>
      </c>
    </row>
    <row r="72" spans="1:28">
      <c r="C72" s="12">
        <v>24420000</v>
      </c>
    </row>
    <row r="73" spans="1:28">
      <c r="C73" s="12">
        <v>24440000</v>
      </c>
    </row>
    <row r="74" spans="1:28">
      <c r="C74" s="12">
        <v>24510000</v>
      </c>
    </row>
    <row r="75" spans="1:28">
      <c r="C75" s="12">
        <v>24510001</v>
      </c>
    </row>
    <row r="76" spans="1:28">
      <c r="C76" s="12">
        <v>24510002</v>
      </c>
    </row>
    <row r="77" spans="1:28">
      <c r="C77" s="12">
        <v>24540000</v>
      </c>
      <c r="AB77" s="13"/>
    </row>
    <row r="78" spans="1:28">
      <c r="C78" s="12">
        <v>24800000</v>
      </c>
      <c r="AB78" s="13"/>
    </row>
    <row r="79" spans="1:28">
      <c r="C79" s="12">
        <v>24910000</v>
      </c>
      <c r="AB79" s="13"/>
    </row>
    <row r="80" spans="1:28">
      <c r="C80" s="12">
        <v>27510000</v>
      </c>
      <c r="AB80" s="13"/>
    </row>
    <row r="81" spans="1:32">
      <c r="C81" s="12">
        <v>27520000</v>
      </c>
      <c r="AB81" s="13"/>
    </row>
    <row r="82" spans="1:32">
      <c r="C82" s="12">
        <v>27580000</v>
      </c>
      <c r="AB82" s="13"/>
    </row>
    <row r="83" spans="1:32">
      <c r="C83" s="13"/>
      <c r="AB83" s="13"/>
    </row>
    <row r="84" spans="1:32">
      <c r="A84" t="s">
        <v>449</v>
      </c>
      <c r="C84" s="13"/>
      <c r="AB84" s="13"/>
    </row>
    <row r="85" spans="1:32">
      <c r="C85" s="12">
        <v>28320000</v>
      </c>
      <c r="AB85" s="13"/>
      <c r="AF85" s="7"/>
    </row>
    <row r="86" spans="1:32">
      <c r="C86">
        <v>28412000</v>
      </c>
      <c r="AB86" s="13"/>
      <c r="AF86" s="7"/>
    </row>
    <row r="87" spans="1:32">
      <c r="C87" s="12">
        <v>28430000</v>
      </c>
      <c r="AB87" s="13"/>
      <c r="AF87" s="7"/>
    </row>
    <row r="88" spans="1:32">
      <c r="C88" s="12">
        <v>28441000</v>
      </c>
      <c r="AB88" s="13"/>
      <c r="AF88" s="7"/>
    </row>
    <row r="89" spans="1:32">
      <c r="C89" s="12">
        <v>28442000</v>
      </c>
      <c r="AB89" s="13"/>
      <c r="AF89" s="7"/>
    </row>
    <row r="90" spans="1:32">
      <c r="C90" s="12">
        <v>28444000</v>
      </c>
      <c r="AB90" s="13"/>
      <c r="AF90" s="7"/>
    </row>
    <row r="91" spans="1:32">
      <c r="C91" s="12">
        <v>28451000</v>
      </c>
      <c r="AB91" s="13"/>
      <c r="AF91" s="7"/>
    </row>
    <row r="92" spans="1:32">
      <c r="C92" s="12">
        <v>28451001</v>
      </c>
      <c r="AB92" s="13"/>
      <c r="AF92" s="7"/>
    </row>
    <row r="93" spans="1:32">
      <c r="C93" s="12">
        <v>28451002</v>
      </c>
      <c r="AF93" s="7"/>
    </row>
    <row r="94" spans="1:32">
      <c r="C94" s="12">
        <v>28454000</v>
      </c>
      <c r="AF94" s="7"/>
    </row>
    <row r="95" spans="1:32">
      <c r="C95" s="12">
        <v>28480000</v>
      </c>
      <c r="AF95" s="7"/>
    </row>
    <row r="96" spans="1:32">
      <c r="C96" s="13"/>
      <c r="D96" s="13"/>
      <c r="E96" s="13"/>
      <c r="F96" s="16"/>
      <c r="AF96" s="7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X43"/>
  <sheetViews>
    <sheetView zoomScale="62" zoomScaleNormal="62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R43" sqref="R43:R44"/>
    </sheetView>
  </sheetViews>
  <sheetFormatPr baseColWidth="10" defaultRowHeight="15"/>
  <cols>
    <col min="3" max="3" width="22.140625" bestFit="1" customWidth="1"/>
    <col min="5" max="5" width="1.140625" customWidth="1"/>
    <col min="6" max="6" width="14.28515625" customWidth="1"/>
    <col min="7" max="7" width="17.42578125" customWidth="1"/>
    <col min="8" max="8" width="13.7109375" customWidth="1"/>
    <col min="11" max="11" width="14.7109375" bestFit="1" customWidth="1"/>
    <col min="12" max="13" width="17.42578125" customWidth="1"/>
    <col min="16" max="16" width="13.28515625" bestFit="1" customWidth="1"/>
    <col min="21" max="21" width="16.5703125" bestFit="1" customWidth="1"/>
    <col min="22" max="22" width="46.42578125" bestFit="1" customWidth="1"/>
    <col min="23" max="23" width="15.42578125" customWidth="1"/>
  </cols>
  <sheetData>
    <row r="2" spans="2:24" ht="15.75" thickBot="1">
      <c r="P2" s="7"/>
    </row>
    <row r="3" spans="2:24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00"/>
      <c r="P3" s="7"/>
      <c r="R3" s="29"/>
      <c r="S3" s="30"/>
      <c r="T3" s="30"/>
      <c r="U3" s="30"/>
      <c r="V3" s="30"/>
      <c r="W3" s="30"/>
      <c r="X3" s="100"/>
    </row>
    <row r="4" spans="2:24">
      <c r="B4" s="32"/>
      <c r="C4" s="177" t="s">
        <v>571</v>
      </c>
      <c r="D4" s="205"/>
      <c r="E4" s="205"/>
      <c r="F4" s="205"/>
      <c r="G4" s="205"/>
      <c r="H4" s="205"/>
      <c r="I4" s="205"/>
      <c r="J4" s="205"/>
      <c r="K4" s="205"/>
      <c r="L4" s="205"/>
      <c r="M4" s="206"/>
      <c r="N4" s="102"/>
      <c r="P4" s="7"/>
      <c r="R4" s="210"/>
      <c r="S4" s="177" t="s">
        <v>577</v>
      </c>
      <c r="T4" s="176"/>
      <c r="U4" s="176"/>
      <c r="V4" s="176"/>
      <c r="W4" s="180"/>
      <c r="X4" s="102"/>
    </row>
    <row r="5" spans="2:24"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02"/>
      <c r="P5" s="7"/>
      <c r="R5" s="32"/>
      <c r="S5" s="1"/>
      <c r="T5" s="1"/>
      <c r="U5" s="1"/>
      <c r="V5" s="1"/>
      <c r="W5" s="1"/>
      <c r="X5" s="102"/>
    </row>
    <row r="6" spans="2:24">
      <c r="B6" s="32"/>
      <c r="C6" s="1"/>
      <c r="D6" s="1"/>
      <c r="E6" s="1"/>
      <c r="F6" s="87" t="s">
        <v>551</v>
      </c>
      <c r="G6" s="87"/>
      <c r="H6" s="87"/>
      <c r="I6" s="1"/>
      <c r="J6" s="1"/>
      <c r="K6" s="87" t="s">
        <v>552</v>
      </c>
      <c r="L6" s="87"/>
      <c r="M6" s="87"/>
      <c r="N6" s="102"/>
      <c r="P6" s="7"/>
      <c r="R6" s="32"/>
      <c r="S6" s="1"/>
      <c r="T6" s="1"/>
      <c r="U6" s="1"/>
      <c r="V6" s="1"/>
      <c r="W6" s="1"/>
      <c r="X6" s="102"/>
    </row>
    <row r="7" spans="2:24">
      <c r="B7" s="32"/>
      <c r="C7" s="1"/>
      <c r="D7" s="1"/>
      <c r="E7" s="1"/>
      <c r="F7" s="97" t="s">
        <v>545</v>
      </c>
      <c r="G7" s="97" t="s">
        <v>546</v>
      </c>
      <c r="H7" s="97" t="s">
        <v>550</v>
      </c>
      <c r="I7" s="1"/>
      <c r="J7" s="1"/>
      <c r="K7" s="97" t="s">
        <v>545</v>
      </c>
      <c r="L7" s="97" t="s">
        <v>546</v>
      </c>
      <c r="M7" s="97" t="s">
        <v>550</v>
      </c>
      <c r="N7" s="102"/>
      <c r="P7" s="7"/>
      <c r="R7" s="32"/>
      <c r="S7" s="1"/>
      <c r="T7" s="1"/>
      <c r="U7" s="1"/>
      <c r="V7" s="1"/>
      <c r="W7" s="1"/>
      <c r="X7" s="102"/>
    </row>
    <row r="8" spans="2:24" ht="5.25" customHeight="1">
      <c r="B8" s="3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02"/>
      <c r="P8" s="7"/>
      <c r="R8" s="32"/>
      <c r="S8" s="1"/>
      <c r="T8" s="1"/>
      <c r="U8" s="1"/>
      <c r="V8" s="1"/>
      <c r="W8" s="1"/>
      <c r="X8" s="102"/>
    </row>
    <row r="9" spans="2:24">
      <c r="B9" s="3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02"/>
      <c r="P9" s="7"/>
      <c r="R9" s="32"/>
      <c r="S9" s="1"/>
      <c r="T9" s="1"/>
      <c r="U9" s="1"/>
      <c r="V9" s="1"/>
      <c r="W9" s="1"/>
      <c r="X9" s="102"/>
    </row>
    <row r="10" spans="2:24">
      <c r="B10" s="32"/>
      <c r="C10" s="119" t="s">
        <v>159</v>
      </c>
      <c r="D10" s="1"/>
      <c r="E10" s="1"/>
      <c r="F10" s="20"/>
      <c r="G10" s="20"/>
      <c r="H10" s="20"/>
      <c r="I10" s="20"/>
      <c r="J10" s="20"/>
      <c r="K10" s="20"/>
      <c r="L10" s="20"/>
      <c r="M10" s="20"/>
      <c r="N10" s="102"/>
      <c r="P10" s="7"/>
      <c r="R10" s="32"/>
      <c r="S10" s="1"/>
      <c r="T10" s="128"/>
      <c r="U10" s="1"/>
      <c r="V10" s="1"/>
      <c r="W10" s="237"/>
      <c r="X10" s="102"/>
    </row>
    <row r="11" spans="2:24">
      <c r="B11" s="32"/>
      <c r="C11" s="34" t="s">
        <v>547</v>
      </c>
      <c r="D11" s="1"/>
      <c r="E11" s="1"/>
      <c r="F11" s="20">
        <v>0</v>
      </c>
      <c r="G11" s="20">
        <v>0</v>
      </c>
      <c r="H11" s="20">
        <v>0</v>
      </c>
      <c r="I11" s="21"/>
      <c r="J11" s="21"/>
      <c r="K11" s="20">
        <f>L11</f>
        <v>185</v>
      </c>
      <c r="L11" s="20">
        <v>185</v>
      </c>
      <c r="M11" s="20">
        <f>L11-K11</f>
        <v>0</v>
      </c>
      <c r="N11" s="102"/>
      <c r="P11" s="7"/>
      <c r="R11" s="32"/>
      <c r="S11" s="8">
        <v>36110000</v>
      </c>
      <c r="T11" t="s">
        <v>159</v>
      </c>
      <c r="U11" t="s">
        <v>410</v>
      </c>
      <c r="V11" t="s">
        <v>302</v>
      </c>
      <c r="W11" s="7">
        <v>437762556</v>
      </c>
      <c r="X11" s="102"/>
    </row>
    <row r="12" spans="2:24">
      <c r="B12" s="32"/>
      <c r="C12" s="34" t="s">
        <v>548</v>
      </c>
      <c r="D12" s="1"/>
      <c r="E12" s="1"/>
      <c r="F12" s="20">
        <v>0</v>
      </c>
      <c r="G12" s="20">
        <v>1450</v>
      </c>
      <c r="H12" s="20">
        <v>1450</v>
      </c>
      <c r="I12" s="21"/>
      <c r="J12" s="21"/>
      <c r="K12" s="20">
        <f>IFERROR(K13/K11,0)</f>
        <v>3607.3768348938825</v>
      </c>
      <c r="L12" s="20">
        <v>1800</v>
      </c>
      <c r="M12" s="20">
        <f>L12-K12</f>
        <v>-1807.3768348938825</v>
      </c>
      <c r="N12" s="102"/>
      <c r="P12" s="7"/>
      <c r="R12" s="32"/>
      <c r="S12" s="8">
        <v>36210000</v>
      </c>
      <c r="T12" t="s">
        <v>160</v>
      </c>
      <c r="U12" t="s">
        <v>410</v>
      </c>
      <c r="V12" t="s">
        <v>306</v>
      </c>
      <c r="W12" s="7">
        <v>112057476</v>
      </c>
      <c r="X12" s="102"/>
    </row>
    <row r="13" spans="2:24">
      <c r="B13" s="32"/>
      <c r="C13" s="34" t="s">
        <v>549</v>
      </c>
      <c r="D13" s="1"/>
      <c r="E13" s="1"/>
      <c r="F13" s="20">
        <v>345.06225255618892</v>
      </c>
      <c r="G13" s="20">
        <v>0</v>
      </c>
      <c r="H13" s="20">
        <v>-345.06225255618892</v>
      </c>
      <c r="I13" s="21"/>
      <c r="J13" s="21"/>
      <c r="K13" s="20">
        <f>SUMIF(T10:T34,C10,W10:W34)/655.957</f>
        <v>667364.71445536823</v>
      </c>
      <c r="L13" s="20">
        <f>L11*L12</f>
        <v>333000</v>
      </c>
      <c r="M13" s="20">
        <f>L13-K13</f>
        <v>-334364.71445536823</v>
      </c>
      <c r="N13" s="102"/>
      <c r="P13" s="7"/>
      <c r="R13" s="32"/>
      <c r="S13" s="8">
        <v>36310000</v>
      </c>
      <c r="T13" t="s">
        <v>161</v>
      </c>
      <c r="U13" t="s">
        <v>410</v>
      </c>
      <c r="V13" t="s">
        <v>310</v>
      </c>
      <c r="W13" s="7">
        <v>127334311</v>
      </c>
      <c r="X13" s="102"/>
    </row>
    <row r="14" spans="2:24">
      <c r="B14" s="32"/>
      <c r="C14" s="1"/>
      <c r="D14" s="1"/>
      <c r="E14" s="1"/>
      <c r="F14" s="20"/>
      <c r="G14" s="20"/>
      <c r="H14" s="20"/>
      <c r="I14" s="21"/>
      <c r="J14" s="21"/>
      <c r="K14" s="20"/>
      <c r="L14" s="20"/>
      <c r="M14" s="20"/>
      <c r="N14" s="102"/>
      <c r="P14" s="7"/>
      <c r="R14" s="32"/>
      <c r="S14" s="8">
        <v>36510000</v>
      </c>
      <c r="T14" t="s">
        <v>163</v>
      </c>
      <c r="U14" t="s">
        <v>410</v>
      </c>
      <c r="V14" t="s">
        <v>315</v>
      </c>
      <c r="W14" s="7">
        <v>360683011</v>
      </c>
      <c r="X14" s="102"/>
    </row>
    <row r="15" spans="2:24">
      <c r="B15" s="32"/>
      <c r="C15" s="119" t="s">
        <v>160</v>
      </c>
      <c r="D15" s="1"/>
      <c r="E15" s="1"/>
      <c r="F15" s="20"/>
      <c r="G15" s="20"/>
      <c r="H15" s="20"/>
      <c r="I15" s="21"/>
      <c r="J15" s="21"/>
      <c r="K15" s="20"/>
      <c r="L15" s="20"/>
      <c r="M15" s="20"/>
      <c r="N15" s="102"/>
      <c r="P15" s="7"/>
      <c r="R15" s="32"/>
      <c r="W15" s="7"/>
      <c r="X15" s="102"/>
    </row>
    <row r="16" spans="2:24">
      <c r="B16" s="32"/>
      <c r="C16" s="34" t="s">
        <v>547</v>
      </c>
      <c r="D16" s="1"/>
      <c r="E16" s="1"/>
      <c r="F16" s="20">
        <v>440</v>
      </c>
      <c r="G16" s="20">
        <v>440</v>
      </c>
      <c r="H16" s="20">
        <v>0</v>
      </c>
      <c r="I16" s="21"/>
      <c r="J16" s="21"/>
      <c r="K16" s="20">
        <f>L16</f>
        <v>143</v>
      </c>
      <c r="L16" s="20">
        <v>143</v>
      </c>
      <c r="M16" s="20">
        <f>L16-K16</f>
        <v>0</v>
      </c>
      <c r="N16" s="102"/>
      <c r="P16" s="7"/>
      <c r="R16" s="32"/>
      <c r="S16" s="1"/>
      <c r="T16" s="128"/>
      <c r="U16" s="1"/>
      <c r="V16" s="1"/>
      <c r="W16" s="237"/>
      <c r="X16" s="102"/>
    </row>
    <row r="17" spans="2:24" ht="15.75" thickBot="1">
      <c r="B17" s="32"/>
      <c r="C17" s="34" t="s">
        <v>548</v>
      </c>
      <c r="D17" s="1"/>
      <c r="E17" s="1"/>
      <c r="F17" s="20">
        <v>689.52702969582128</v>
      </c>
      <c r="G17" s="20">
        <v>1450</v>
      </c>
      <c r="H17" s="20">
        <v>760.47297030417872</v>
      </c>
      <c r="I17" s="21"/>
      <c r="J17" s="21"/>
      <c r="K17" s="20">
        <f>K18/K16</f>
        <v>1194.619027294035</v>
      </c>
      <c r="L17" s="20">
        <v>1800</v>
      </c>
      <c r="M17" s="20">
        <f>L17-K17</f>
        <v>605.38097270596495</v>
      </c>
      <c r="N17" s="102"/>
      <c r="P17" s="7"/>
      <c r="R17" s="37"/>
      <c r="S17" s="38"/>
      <c r="T17" s="327"/>
      <c r="U17" s="38"/>
      <c r="V17" s="38"/>
      <c r="W17" s="328"/>
      <c r="X17" s="109"/>
    </row>
    <row r="18" spans="2:24">
      <c r="B18" s="32"/>
      <c r="C18" s="34" t="s">
        <v>549</v>
      </c>
      <c r="D18" s="1"/>
      <c r="E18" s="1"/>
      <c r="F18" s="20">
        <v>303391.89306616137</v>
      </c>
      <c r="G18" s="20">
        <v>638000</v>
      </c>
      <c r="H18" s="20">
        <v>334608.10693383863</v>
      </c>
      <c r="I18" s="21"/>
      <c r="J18" s="21"/>
      <c r="K18" s="20">
        <f>SUMIF(T10:T34,C15,W10:W34)/655.957</f>
        <v>170830.520903047</v>
      </c>
      <c r="L18" s="20">
        <f>L16*L17</f>
        <v>257400</v>
      </c>
      <c r="M18" s="20">
        <f>L18-K18</f>
        <v>86569.479096953</v>
      </c>
      <c r="N18" s="102"/>
      <c r="P18" s="7"/>
      <c r="R18" s="1"/>
      <c r="S18" s="1"/>
      <c r="T18" s="128"/>
      <c r="U18" s="1"/>
      <c r="V18" s="1"/>
      <c r="W18" s="326"/>
      <c r="X18" s="1"/>
    </row>
    <row r="19" spans="2:24">
      <c r="B19" s="32"/>
      <c r="C19" s="1"/>
      <c r="D19" s="1"/>
      <c r="E19" s="1"/>
      <c r="F19" s="20"/>
      <c r="G19" s="20"/>
      <c r="H19" s="20"/>
      <c r="I19" s="21"/>
      <c r="J19" s="21"/>
      <c r="K19" s="20"/>
      <c r="L19" s="20"/>
      <c r="M19" s="20"/>
      <c r="N19" s="102"/>
      <c r="P19" s="7"/>
      <c r="R19" s="1"/>
      <c r="S19" s="1"/>
      <c r="T19" s="1"/>
      <c r="U19" s="1"/>
      <c r="V19" s="1"/>
      <c r="W19" s="20"/>
      <c r="X19" s="1"/>
    </row>
    <row r="20" spans="2:24">
      <c r="B20" s="32"/>
      <c r="C20" s="119" t="s">
        <v>161</v>
      </c>
      <c r="D20" s="1"/>
      <c r="E20" s="1"/>
      <c r="F20" s="20"/>
      <c r="G20" s="20"/>
      <c r="H20" s="20"/>
      <c r="I20" s="21"/>
      <c r="J20" s="21"/>
      <c r="K20" s="20"/>
      <c r="L20" s="20"/>
      <c r="M20" s="20"/>
      <c r="N20" s="102"/>
      <c r="P20" s="7"/>
      <c r="R20" s="1"/>
      <c r="S20" s="1"/>
      <c r="T20" s="128"/>
      <c r="U20" s="1"/>
      <c r="V20" s="1"/>
      <c r="W20" s="20"/>
      <c r="X20" s="1"/>
    </row>
    <row r="21" spans="2:24">
      <c r="B21" s="32"/>
      <c r="C21" s="34" t="s">
        <v>547</v>
      </c>
      <c r="D21" s="1"/>
      <c r="E21" s="1"/>
      <c r="F21" s="20">
        <v>280</v>
      </c>
      <c r="G21" s="20">
        <v>280</v>
      </c>
      <c r="H21" s="20">
        <v>0</v>
      </c>
      <c r="I21" s="21"/>
      <c r="J21" s="21"/>
      <c r="K21" s="20">
        <f>L21</f>
        <v>110</v>
      </c>
      <c r="L21" s="20">
        <v>110</v>
      </c>
      <c r="M21" s="20">
        <f>L21-K21</f>
        <v>0</v>
      </c>
      <c r="N21" s="102"/>
      <c r="P21" s="7"/>
      <c r="R21" s="1"/>
      <c r="S21" s="1"/>
      <c r="T21" s="128"/>
      <c r="U21" s="1"/>
      <c r="V21" s="1"/>
      <c r="W21" s="20"/>
      <c r="X21" s="1"/>
    </row>
    <row r="22" spans="2:24">
      <c r="B22" s="32"/>
      <c r="C22" s="34" t="s">
        <v>548</v>
      </c>
      <c r="D22" s="1"/>
      <c r="E22" s="1"/>
      <c r="F22" s="20">
        <v>1652.5878492906438</v>
      </c>
      <c r="G22" s="20">
        <v>1450</v>
      </c>
      <c r="H22" s="20">
        <v>-202.58784929064382</v>
      </c>
      <c r="I22" s="21"/>
      <c r="J22" s="21"/>
      <c r="K22" s="20">
        <f>IFERROR(K23/K21,0)</f>
        <v>1764.7264156866156</v>
      </c>
      <c r="L22" s="20">
        <v>1800</v>
      </c>
      <c r="M22" s="20">
        <f>L22-K22</f>
        <v>35.27358431338439</v>
      </c>
      <c r="N22" s="102"/>
      <c r="P22" s="7"/>
      <c r="R22" s="1"/>
      <c r="S22" s="1"/>
      <c r="T22" s="128"/>
      <c r="U22" s="1"/>
      <c r="V22" s="1"/>
      <c r="W22" s="20"/>
      <c r="X22" s="1"/>
    </row>
    <row r="23" spans="2:24">
      <c r="B23" s="32"/>
      <c r="C23" s="34" t="s">
        <v>549</v>
      </c>
      <c r="D23" s="1"/>
      <c r="E23" s="1"/>
      <c r="F23" s="20">
        <v>462724.59780138027</v>
      </c>
      <c r="G23" s="20">
        <v>406000</v>
      </c>
      <c r="H23" s="20">
        <v>-56724.597801380267</v>
      </c>
      <c r="I23" s="21"/>
      <c r="J23" s="21"/>
      <c r="K23" s="20">
        <f>SUMIF(T10:T34,C20,W10:W34)/655.957</f>
        <v>194119.90572552773</v>
      </c>
      <c r="L23" s="20">
        <f>L21*L22</f>
        <v>198000</v>
      </c>
      <c r="M23" s="20">
        <f>L23-K23</f>
        <v>3880.0942744722706</v>
      </c>
      <c r="N23" s="102"/>
      <c r="P23" s="7"/>
      <c r="R23" s="1"/>
      <c r="S23" s="1"/>
      <c r="T23" s="1"/>
      <c r="U23" s="1"/>
      <c r="V23" s="1"/>
      <c r="W23" s="20"/>
      <c r="X23" s="1"/>
    </row>
    <row r="24" spans="2:24">
      <c r="B24" s="32"/>
      <c r="C24" s="1"/>
      <c r="D24" s="1"/>
      <c r="E24" s="1"/>
      <c r="F24" s="20"/>
      <c r="G24" s="20"/>
      <c r="H24" s="20"/>
      <c r="I24" s="21"/>
      <c r="J24" s="21"/>
      <c r="K24" s="20"/>
      <c r="L24" s="20"/>
      <c r="M24" s="20"/>
      <c r="N24" s="102"/>
      <c r="P24" s="7"/>
      <c r="R24" s="1"/>
      <c r="S24" s="1"/>
      <c r="T24" s="128"/>
      <c r="U24" s="1"/>
      <c r="V24" s="1"/>
      <c r="W24" s="326"/>
      <c r="X24" s="1"/>
    </row>
    <row r="25" spans="2:24">
      <c r="B25" s="32"/>
      <c r="C25" s="119" t="s">
        <v>162</v>
      </c>
      <c r="D25" s="1"/>
      <c r="E25" s="1"/>
      <c r="F25" s="20"/>
      <c r="G25" s="20"/>
      <c r="H25" s="20"/>
      <c r="I25" s="21"/>
      <c r="J25" s="21"/>
      <c r="K25" s="20"/>
      <c r="L25" s="20"/>
      <c r="M25" s="20"/>
      <c r="N25" s="102"/>
      <c r="P25" s="7"/>
      <c r="R25" s="1"/>
      <c r="S25" s="1"/>
      <c r="T25" s="128"/>
      <c r="U25" s="1"/>
      <c r="V25" s="1"/>
      <c r="W25" s="326"/>
      <c r="X25" s="1"/>
    </row>
    <row r="26" spans="2:24">
      <c r="B26" s="32"/>
      <c r="C26" s="34" t="s">
        <v>547</v>
      </c>
      <c r="D26" s="1"/>
      <c r="E26" s="1"/>
      <c r="F26" s="20">
        <v>60</v>
      </c>
      <c r="G26" s="20">
        <v>60</v>
      </c>
      <c r="H26" s="20">
        <v>0</v>
      </c>
      <c r="I26" s="21"/>
      <c r="J26" s="21"/>
      <c r="K26" s="20">
        <f>L26</f>
        <v>0</v>
      </c>
      <c r="L26" s="20">
        <v>0</v>
      </c>
      <c r="M26" s="20">
        <f>L26-K26</f>
        <v>0</v>
      </c>
      <c r="N26" s="102"/>
      <c r="P26" s="7"/>
      <c r="R26" s="1"/>
      <c r="S26" s="1"/>
      <c r="T26" s="128"/>
      <c r="U26" s="1"/>
      <c r="V26" s="1"/>
      <c r="W26" s="326"/>
      <c r="X26" s="1"/>
    </row>
    <row r="27" spans="2:24">
      <c r="B27" s="32"/>
      <c r="C27" s="34" t="s">
        <v>548</v>
      </c>
      <c r="D27" s="1"/>
      <c r="E27" s="1"/>
      <c r="F27" s="20">
        <v>1041.3863002198823</v>
      </c>
      <c r="G27" s="20">
        <v>1450</v>
      </c>
      <c r="H27" s="20">
        <v>408.61369978011771</v>
      </c>
      <c r="I27" s="21"/>
      <c r="J27" s="21"/>
      <c r="K27" s="20">
        <f>IFERROR(K28/K26,0)</f>
        <v>0</v>
      </c>
      <c r="L27" s="20">
        <v>1800</v>
      </c>
      <c r="M27" s="20">
        <f>L27-K27</f>
        <v>1800</v>
      </c>
      <c r="N27" s="102"/>
      <c r="P27" s="7"/>
      <c r="R27" s="1"/>
      <c r="S27" s="1"/>
      <c r="T27" s="1"/>
      <c r="U27" s="1"/>
      <c r="V27" s="1"/>
      <c r="W27" s="20"/>
      <c r="X27" s="1"/>
    </row>
    <row r="28" spans="2:24">
      <c r="B28" s="32"/>
      <c r="C28" s="34" t="s">
        <v>549</v>
      </c>
      <c r="D28" s="1"/>
      <c r="E28" s="1"/>
      <c r="F28" s="20">
        <v>62483.178013192941</v>
      </c>
      <c r="G28" s="20">
        <v>87000</v>
      </c>
      <c r="H28" s="20">
        <v>24516.821986807059</v>
      </c>
      <c r="I28" s="21"/>
      <c r="J28" s="21"/>
      <c r="K28" s="20">
        <f>SUMIF(T10:T34,C25,W10:W34)/655.957</f>
        <v>0</v>
      </c>
      <c r="L28" s="20">
        <f>L26*L27</f>
        <v>0</v>
      </c>
      <c r="M28" s="20">
        <f>L28-K28</f>
        <v>0</v>
      </c>
      <c r="N28" s="102"/>
      <c r="P28" s="7"/>
      <c r="R28" s="1"/>
      <c r="S28" s="1"/>
      <c r="T28" s="1"/>
      <c r="U28" s="1"/>
      <c r="V28" s="1"/>
      <c r="W28" s="326"/>
      <c r="X28" s="1"/>
    </row>
    <row r="29" spans="2:24">
      <c r="B29" s="32"/>
      <c r="C29" s="1"/>
      <c r="D29" s="1"/>
      <c r="E29" s="1"/>
      <c r="F29" s="20"/>
      <c r="G29" s="20"/>
      <c r="H29" s="20"/>
      <c r="I29" s="21"/>
      <c r="J29" s="21"/>
      <c r="K29" s="20"/>
      <c r="L29" s="20"/>
      <c r="M29" s="20"/>
      <c r="N29" s="102"/>
      <c r="P29" s="7"/>
      <c r="R29" s="1"/>
      <c r="S29" s="1"/>
      <c r="T29" s="1"/>
      <c r="U29" s="1"/>
      <c r="V29" s="1"/>
      <c r="W29" s="326"/>
      <c r="X29" s="1"/>
    </row>
    <row r="30" spans="2:24">
      <c r="B30" s="32"/>
      <c r="C30" s="119" t="s">
        <v>163</v>
      </c>
      <c r="D30" s="1"/>
      <c r="E30" s="1"/>
      <c r="F30" s="20"/>
      <c r="G30" s="20"/>
      <c r="H30" s="20"/>
      <c r="I30" s="21"/>
      <c r="J30" s="21"/>
      <c r="K30" s="20"/>
      <c r="L30" s="20"/>
      <c r="M30" s="20"/>
      <c r="N30" s="102"/>
      <c r="P30" s="7"/>
      <c r="R30" s="1"/>
      <c r="S30" s="1"/>
      <c r="T30" s="1"/>
      <c r="U30" s="1"/>
      <c r="V30" s="1"/>
      <c r="W30" s="326"/>
      <c r="X30" s="1"/>
    </row>
    <row r="31" spans="2:24">
      <c r="B31" s="32"/>
      <c r="C31" s="34" t="s">
        <v>547</v>
      </c>
      <c r="D31" s="1"/>
      <c r="E31" s="1"/>
      <c r="F31" s="20">
        <v>27</v>
      </c>
      <c r="G31" s="20">
        <v>27</v>
      </c>
      <c r="H31" s="20">
        <v>0</v>
      </c>
      <c r="I31" s="21"/>
      <c r="J31" s="21"/>
      <c r="K31" s="20">
        <f>L31</f>
        <v>170</v>
      </c>
      <c r="L31" s="20">
        <v>170</v>
      </c>
      <c r="M31" s="20">
        <f>L31-K31</f>
        <v>0</v>
      </c>
      <c r="N31" s="102"/>
      <c r="P31" s="7"/>
      <c r="R31" s="1"/>
      <c r="S31" s="1"/>
      <c r="T31" s="1"/>
      <c r="U31" s="1"/>
      <c r="V31" s="1"/>
      <c r="W31" s="1"/>
      <c r="X31" s="1"/>
    </row>
    <row r="32" spans="2:24">
      <c r="B32" s="32"/>
      <c r="C32" s="34" t="s">
        <v>548</v>
      </c>
      <c r="D32" s="1"/>
      <c r="E32" s="1"/>
      <c r="F32" s="20">
        <v>3399.0191543156143</v>
      </c>
      <c r="G32" s="20">
        <v>1450</v>
      </c>
      <c r="H32" s="20">
        <v>-1949.0191543156143</v>
      </c>
      <c r="I32" s="21"/>
      <c r="J32" s="21"/>
      <c r="K32" s="20">
        <f>K33/K31</f>
        <v>3234.4570918341224</v>
      </c>
      <c r="L32" s="20">
        <v>1800</v>
      </c>
      <c r="M32" s="20">
        <f>L32-K32</f>
        <v>-1434.4570918341224</v>
      </c>
      <c r="N32" s="102"/>
      <c r="P32" s="7"/>
      <c r="R32" s="1"/>
      <c r="S32" s="1"/>
      <c r="T32" s="1"/>
      <c r="U32" s="1"/>
      <c r="V32" s="1"/>
      <c r="W32" s="1"/>
      <c r="X32" s="1"/>
    </row>
    <row r="33" spans="2:24">
      <c r="B33" s="32"/>
      <c r="C33" s="34" t="s">
        <v>549</v>
      </c>
      <c r="D33" s="1"/>
      <c r="E33" s="1"/>
      <c r="F33" s="20">
        <v>91773.517166521589</v>
      </c>
      <c r="G33" s="20">
        <v>39150</v>
      </c>
      <c r="H33" s="20">
        <v>-52623.517166521589</v>
      </c>
      <c r="I33" s="21"/>
      <c r="J33" s="21"/>
      <c r="K33" s="20">
        <f>SUMIF(T10:T34,C30,W10:W34)/655.957</f>
        <v>549857.70561180077</v>
      </c>
      <c r="L33" s="20">
        <f>L31*L32</f>
        <v>306000</v>
      </c>
      <c r="M33" s="20">
        <f>L33-K33</f>
        <v>-243857.70561180077</v>
      </c>
      <c r="N33" s="102"/>
      <c r="P33" s="7"/>
      <c r="R33" s="1"/>
      <c r="S33" s="1"/>
      <c r="T33" s="1"/>
      <c r="U33" s="1"/>
      <c r="V33" s="1"/>
      <c r="W33" s="1"/>
      <c r="X33" s="1"/>
    </row>
    <row r="34" spans="2:24">
      <c r="B34" s="32"/>
      <c r="C34" s="1"/>
      <c r="D34" s="1"/>
      <c r="E34" s="1"/>
      <c r="F34" s="20"/>
      <c r="G34" s="20"/>
      <c r="H34" s="20"/>
      <c r="I34" s="21"/>
      <c r="J34" s="21"/>
      <c r="K34" s="20"/>
      <c r="L34" s="20"/>
      <c r="M34" s="20"/>
      <c r="N34" s="102"/>
      <c r="P34" s="7"/>
      <c r="R34" s="1"/>
      <c r="S34" s="1"/>
      <c r="T34" s="1"/>
      <c r="U34" s="1"/>
      <c r="V34" s="1"/>
      <c r="W34" s="1"/>
      <c r="X34" s="1"/>
    </row>
    <row r="35" spans="2:24">
      <c r="B35" s="32"/>
      <c r="C35" s="1"/>
      <c r="D35" s="1"/>
      <c r="E35" s="1"/>
      <c r="F35" s="20"/>
      <c r="G35" s="20"/>
      <c r="H35" s="20"/>
      <c r="I35" s="21"/>
      <c r="J35" s="21"/>
      <c r="K35" s="20"/>
      <c r="L35" s="20"/>
      <c r="M35" s="20"/>
      <c r="N35" s="102"/>
      <c r="P35" s="7"/>
      <c r="R35" s="1"/>
      <c r="S35" s="1"/>
      <c r="T35" s="1"/>
      <c r="U35" s="1"/>
      <c r="V35" s="1"/>
      <c r="W35" s="1"/>
      <c r="X35" s="1"/>
    </row>
    <row r="36" spans="2:24">
      <c r="B36" s="32"/>
      <c r="C36" s="187" t="s">
        <v>187</v>
      </c>
      <c r="D36" s="188"/>
      <c r="E36" s="66"/>
      <c r="F36" s="204"/>
      <c r="G36" s="202"/>
      <c r="H36" s="203"/>
      <c r="I36" s="199"/>
      <c r="J36" s="199"/>
      <c r="K36" s="204"/>
      <c r="L36" s="202"/>
      <c r="M36" s="203"/>
      <c r="N36" s="102"/>
      <c r="P36" s="7"/>
      <c r="R36" s="1"/>
    </row>
    <row r="37" spans="2:24">
      <c r="B37" s="32"/>
      <c r="C37" s="189" t="s">
        <v>547</v>
      </c>
      <c r="D37" s="186"/>
      <c r="E37" s="66"/>
      <c r="F37" s="200">
        <f>F11+F16+F21+F26+F31</f>
        <v>807</v>
      </c>
      <c r="G37" s="195">
        <f>G11+G16+G21+G26+G31</f>
        <v>807</v>
      </c>
      <c r="H37" s="196">
        <f>G37-F37</f>
        <v>0</v>
      </c>
      <c r="I37" s="199"/>
      <c r="J37" s="199"/>
      <c r="K37" s="200">
        <f>K11+K16+K21+K26+K31</f>
        <v>608</v>
      </c>
      <c r="L37" s="195">
        <f>L11+L16+L21+L26+L31</f>
        <v>608</v>
      </c>
      <c r="M37" s="196">
        <f>L37-K37</f>
        <v>0</v>
      </c>
      <c r="N37" s="102"/>
      <c r="P37" s="7"/>
      <c r="R37" s="1"/>
    </row>
    <row r="38" spans="2:24">
      <c r="B38" s="32"/>
      <c r="C38" s="189" t="s">
        <v>548</v>
      </c>
      <c r="D38" s="186"/>
      <c r="E38" s="66"/>
      <c r="F38" s="200">
        <f>F39/F37</f>
        <v>1140.9148058238072</v>
      </c>
      <c r="G38" s="195">
        <f>G39/G37</f>
        <v>1450</v>
      </c>
      <c r="H38" s="196">
        <f>G38-F38</f>
        <v>309.08519417619277</v>
      </c>
      <c r="I38" s="199"/>
      <c r="J38" s="199"/>
      <c r="K38" s="200">
        <f>K39/K37</f>
        <v>2602.2579715390521</v>
      </c>
      <c r="L38" s="195">
        <f>IFERROR(AVERAGE(L12,L17,L22,L27,L32),0)</f>
        <v>1800</v>
      </c>
      <c r="M38" s="196">
        <f>L38-K38</f>
        <v>-802.25797153905205</v>
      </c>
      <c r="N38" s="102"/>
      <c r="P38" s="7"/>
      <c r="R38" s="1"/>
    </row>
    <row r="39" spans="2:24">
      <c r="B39" s="32"/>
      <c r="C39" s="190" t="s">
        <v>549</v>
      </c>
      <c r="D39" s="191"/>
      <c r="E39" s="66"/>
      <c r="F39" s="201">
        <f>F13+F18+F23+F28+F33</f>
        <v>920718.24829981243</v>
      </c>
      <c r="G39" s="197">
        <f>G13+G18+G23+G28+G33</f>
        <v>1170150</v>
      </c>
      <c r="H39" s="198">
        <f>G39-F39</f>
        <v>249431.75170018757</v>
      </c>
      <c r="I39" s="199"/>
      <c r="J39" s="199"/>
      <c r="K39" s="201">
        <f>K13+K18+K23+K28+K33</f>
        <v>1582172.8466957437</v>
      </c>
      <c r="L39" s="197">
        <f>L37*L38</f>
        <v>1094400</v>
      </c>
      <c r="M39" s="198">
        <f>L39-K39</f>
        <v>-487772.84669574373</v>
      </c>
      <c r="N39" s="102"/>
      <c r="P39" s="7"/>
      <c r="R39" s="1"/>
      <c r="S39" s="1"/>
      <c r="T39" s="128"/>
      <c r="U39" s="1"/>
      <c r="V39" s="1"/>
      <c r="W39" s="326"/>
      <c r="X39" s="1"/>
    </row>
    <row r="40" spans="2:24" ht="15.75" thickBot="1"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109"/>
      <c r="P40" s="7"/>
      <c r="R40" s="1"/>
      <c r="S40" s="1"/>
      <c r="T40" s="171"/>
      <c r="U40" s="1"/>
      <c r="V40" s="1"/>
      <c r="W40" s="326"/>
      <c r="X40" s="1"/>
    </row>
    <row r="41" spans="2:24">
      <c r="P41" s="7"/>
      <c r="S41" s="1"/>
      <c r="T41" s="1"/>
      <c r="U41" s="1"/>
      <c r="V41" s="1"/>
      <c r="W41" s="1"/>
      <c r="X41" s="1"/>
    </row>
    <row r="42" spans="2:24">
      <c r="S42" s="1"/>
      <c r="T42" s="128"/>
      <c r="U42" s="1"/>
      <c r="V42" s="1"/>
      <c r="W42" s="20"/>
      <c r="X42" s="1"/>
    </row>
    <row r="43" spans="2:24">
      <c r="S43" s="1"/>
      <c r="T43" s="128"/>
      <c r="U43" s="1"/>
      <c r="V43" s="1"/>
      <c r="W43" s="20"/>
      <c r="X43" s="1"/>
    </row>
  </sheetData>
  <sortState ref="S22:X43">
    <sortCondition ref="W22:W43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39"/>
  <sheetViews>
    <sheetView zoomScale="55" zoomScaleNormal="55" workbookViewId="0">
      <selection activeCell="U27" sqref="U27"/>
    </sheetView>
  </sheetViews>
  <sheetFormatPr baseColWidth="10" defaultRowHeight="15"/>
  <cols>
    <col min="1" max="1" width="11.42578125" style="347"/>
    <col min="2" max="2" width="12.85546875" style="347" bestFit="1" customWidth="1"/>
    <col min="3" max="3" width="12.85546875" style="347" customWidth="1"/>
    <col min="4" max="4" width="39.85546875" style="347" bestFit="1" customWidth="1"/>
    <col min="5" max="5" width="0.5703125" style="347" customWidth="1"/>
    <col min="6" max="6" width="18.5703125" style="347" customWidth="1"/>
    <col min="7" max="7" width="18" style="347" customWidth="1"/>
    <col min="8" max="8" width="19" style="347" customWidth="1"/>
    <col min="9" max="9" width="18.5703125" style="347" bestFit="1" customWidth="1"/>
    <col min="10" max="16384" width="11.42578125" style="347"/>
  </cols>
  <sheetData>
    <row r="1" spans="2:11">
      <c r="B1" s="344" t="s">
        <v>532</v>
      </c>
      <c r="C1" s="345"/>
      <c r="D1" s="346"/>
      <c r="E1" s="346"/>
      <c r="F1" s="346"/>
      <c r="G1" s="346"/>
      <c r="H1" s="346"/>
      <c r="I1" s="346"/>
      <c r="J1" s="346"/>
      <c r="K1" s="346"/>
    </row>
    <row r="2" spans="2:11">
      <c r="B2" s="348">
        <v>0.04</v>
      </c>
      <c r="C2" s="349"/>
      <c r="D2" s="346"/>
      <c r="E2" s="350"/>
      <c r="F2" s="350"/>
      <c r="G2" s="350"/>
      <c r="H2" s="350"/>
      <c r="I2" s="350"/>
      <c r="J2" s="346"/>
      <c r="K2" s="346"/>
    </row>
    <row r="3" spans="2:11">
      <c r="D3" s="346"/>
      <c r="E3" s="346"/>
      <c r="F3" s="346"/>
      <c r="G3" s="351"/>
      <c r="H3" s="346"/>
      <c r="I3" s="346"/>
      <c r="J3" s="346"/>
      <c r="K3" s="346"/>
    </row>
    <row r="4" spans="2:11" ht="15.75" thickBot="1">
      <c r="G4" s="352"/>
    </row>
    <row r="5" spans="2:11">
      <c r="C5" s="353"/>
      <c r="D5" s="354"/>
      <c r="E5" s="355"/>
      <c r="F5" s="355"/>
      <c r="G5" s="356"/>
      <c r="H5" s="355"/>
      <c r="I5" s="355"/>
      <c r="J5" s="357"/>
    </row>
    <row r="6" spans="2:11">
      <c r="C6" s="358"/>
      <c r="D6" s="346"/>
      <c r="E6" s="346"/>
      <c r="F6" s="359" t="s">
        <v>530</v>
      </c>
      <c r="G6" s="359" t="s">
        <v>531</v>
      </c>
      <c r="H6" s="359" t="s">
        <v>533</v>
      </c>
      <c r="I6" s="359" t="s">
        <v>534</v>
      </c>
      <c r="J6" s="360"/>
    </row>
    <row r="7" spans="2:11" ht="2.25" customHeight="1">
      <c r="C7" s="358"/>
      <c r="D7" s="346"/>
      <c r="E7" s="346"/>
      <c r="F7" s="359"/>
      <c r="G7" s="359"/>
      <c r="H7" s="359"/>
      <c r="I7" s="359"/>
      <c r="J7" s="360"/>
    </row>
    <row r="8" spans="2:11">
      <c r="C8" s="358"/>
      <c r="D8" s="346" t="s">
        <v>529</v>
      </c>
      <c r="E8" s="346"/>
      <c r="F8" s="361">
        <v>23328.16898821111</v>
      </c>
      <c r="G8" s="361">
        <f>SoFP!H13/1000</f>
        <v>15637.886157171883</v>
      </c>
      <c r="H8" s="361">
        <f t="shared" ref="H8" si="0">((F8+G8)/2)*(($B$2/12))</f>
        <v>64.943425242304983</v>
      </c>
      <c r="I8" s="361">
        <f t="shared" ref="I8:I18" si="1">H8</f>
        <v>64.943425242304983</v>
      </c>
      <c r="J8" s="360"/>
    </row>
    <row r="9" spans="2:11">
      <c r="C9" s="358"/>
      <c r="D9" s="346" t="s">
        <v>542</v>
      </c>
      <c r="E9" s="346"/>
      <c r="F9" s="361">
        <v>920.71824982430246</v>
      </c>
      <c r="G9" s="361">
        <f>(('Net Income'!K31+'Net Income'!N31+'Net Income'!Q31+'Net Income'!T31+'Net Income'!W31)/655.957)/1000</f>
        <v>1582.1728451712536</v>
      </c>
      <c r="H9" s="361">
        <f>((F9+G9)/2)*(($B$2/12))</f>
        <v>4.1714851583259271</v>
      </c>
      <c r="I9" s="361">
        <f t="shared" si="1"/>
        <v>4.1714851583259271</v>
      </c>
      <c r="J9" s="360"/>
    </row>
    <row r="10" spans="2:11">
      <c r="C10" s="358"/>
      <c r="D10" s="346" t="s">
        <v>1787</v>
      </c>
      <c r="E10" s="346"/>
      <c r="F10" s="361">
        <v>522</v>
      </c>
      <c r="G10" s="361">
        <v>522</v>
      </c>
      <c r="H10" s="361">
        <f t="shared" ref="H10" si="2">((F10+G10)/2)*(($B$2/12))</f>
        <v>1.7400000000000002</v>
      </c>
      <c r="I10" s="361">
        <f t="shared" si="1"/>
        <v>1.7400000000000002</v>
      </c>
      <c r="J10" s="360"/>
    </row>
    <row r="11" spans="2:11">
      <c r="C11" s="358"/>
      <c r="D11" s="346" t="s">
        <v>543</v>
      </c>
      <c r="E11" s="346"/>
      <c r="F11" s="361">
        <v>1243</v>
      </c>
      <c r="G11" s="361">
        <v>1243</v>
      </c>
      <c r="H11" s="361">
        <f t="shared" ref="H11" si="3">((F11+G11)/2)*(($B$2/12))</f>
        <v>4.1433333333333335</v>
      </c>
      <c r="I11" s="361">
        <f t="shared" si="1"/>
        <v>4.1433333333333335</v>
      </c>
      <c r="J11" s="360"/>
    </row>
    <row r="12" spans="2:11">
      <c r="C12" s="358"/>
      <c r="D12" s="346" t="s">
        <v>1788</v>
      </c>
      <c r="E12" s="346"/>
      <c r="F12" s="361">
        <v>43.902784786197884</v>
      </c>
      <c r="G12" s="361">
        <f>'Fixed Assets Schedule'!AK19/1000</f>
        <v>43.152423100904478</v>
      </c>
      <c r="H12" s="361">
        <f t="shared" ref="H12" si="4">((F12+G12)/2)*(($B$2/12))</f>
        <v>0.14509201314517062</v>
      </c>
      <c r="I12" s="361">
        <f t="shared" si="1"/>
        <v>0.14509201314517062</v>
      </c>
      <c r="J12" s="360"/>
    </row>
    <row r="13" spans="2:11">
      <c r="C13" s="358"/>
      <c r="D13" s="346" t="s">
        <v>535</v>
      </c>
      <c r="E13" s="346"/>
      <c r="F13" s="361">
        <v>15916</v>
      </c>
      <c r="G13" s="362">
        <v>15916</v>
      </c>
      <c r="H13" s="361">
        <f t="shared" ref="H13" si="5">((F13+G13)/2)*(($B$2/12))</f>
        <v>53.053333333333335</v>
      </c>
      <c r="I13" s="361">
        <f t="shared" si="1"/>
        <v>53.053333333333335</v>
      </c>
      <c r="J13" s="360"/>
    </row>
    <row r="14" spans="2:11">
      <c r="C14" s="358"/>
      <c r="D14" s="346" t="s">
        <v>536</v>
      </c>
      <c r="E14" s="346"/>
      <c r="F14" s="361">
        <v>25.836105110548406</v>
      </c>
      <c r="G14" s="361">
        <f>('Fixed Assets Schedule'!AK21)/1000</f>
        <v>23.871438219273521</v>
      </c>
      <c r="H14" s="361">
        <f>((F14+G14)/2)*(($B$2/12))</f>
        <v>8.2845905549703225E-2</v>
      </c>
      <c r="I14" s="361">
        <f t="shared" si="1"/>
        <v>8.2845905549703225E-2</v>
      </c>
      <c r="J14" s="360"/>
    </row>
    <row r="15" spans="2:11">
      <c r="C15" s="358"/>
      <c r="D15" s="346" t="s">
        <v>1789</v>
      </c>
      <c r="E15" s="346"/>
      <c r="F15" s="361">
        <v>701.37494073544451</v>
      </c>
      <c r="G15" s="361">
        <f>('Fixed Assets Schedule'!AK20+'Fixed Assets Schedule'!AK22)/1000</f>
        <v>220.48575592607443</v>
      </c>
      <c r="H15" s="361">
        <f>((F15+G15)/2)*(($B$2/12))</f>
        <v>1.536434494435865</v>
      </c>
      <c r="I15" s="361">
        <f t="shared" si="1"/>
        <v>1.536434494435865</v>
      </c>
      <c r="J15" s="360"/>
    </row>
    <row r="16" spans="2:11">
      <c r="C16" s="358"/>
      <c r="D16" s="346" t="s">
        <v>538</v>
      </c>
      <c r="E16" s="346"/>
      <c r="F16" s="361">
        <v>90.576778660796364</v>
      </c>
      <c r="G16" s="362">
        <f>(SUM('Trial Balance'!G202:G207)/655.957)/1000</f>
        <v>114.90956419399441</v>
      </c>
      <c r="H16" s="361">
        <f t="shared" ref="H16" si="6">((F16+G16)/2)*(($B$2/12))</f>
        <v>0.34247723809131803</v>
      </c>
      <c r="I16" s="361">
        <f t="shared" si="1"/>
        <v>0.34247723809131803</v>
      </c>
      <c r="J16" s="360"/>
    </row>
    <row r="17" spans="3:10">
      <c r="C17" s="358"/>
      <c r="D17" s="346" t="s">
        <v>539</v>
      </c>
      <c r="E17" s="346"/>
      <c r="F17" s="361">
        <v>8119.4799156042245</v>
      </c>
      <c r="G17" s="362">
        <f>(SUM('Trial Balance'!G208:G233)/655.957)/1000</f>
        <v>14590.366921917139</v>
      </c>
      <c r="H17" s="361">
        <f>((F17+G17)/2)*(($B$2/12))</f>
        <v>37.849744729202271</v>
      </c>
      <c r="I17" s="361">
        <f t="shared" si="1"/>
        <v>37.849744729202271</v>
      </c>
      <c r="J17" s="360"/>
    </row>
    <row r="18" spans="3:10">
      <c r="C18" s="358"/>
      <c r="D18" s="346" t="s">
        <v>540</v>
      </c>
      <c r="E18" s="346"/>
      <c r="F18" s="361">
        <v>39.331492765531891</v>
      </c>
      <c r="G18" s="362">
        <f>SoFP!H16/1000</f>
        <v>36.587686387979701</v>
      </c>
      <c r="H18" s="361">
        <f>((F18+G18)/2)*(($B$2/12))</f>
        <v>0.12653196525585267</v>
      </c>
      <c r="I18" s="361">
        <f t="shared" si="1"/>
        <v>0.12653196525585267</v>
      </c>
      <c r="J18" s="360"/>
    </row>
    <row r="19" spans="3:10">
      <c r="C19" s="358"/>
      <c r="D19" s="346"/>
      <c r="E19" s="346"/>
      <c r="F19" s="346"/>
      <c r="G19" s="346"/>
      <c r="H19" s="346"/>
      <c r="I19" s="346"/>
      <c r="J19" s="360"/>
    </row>
    <row r="20" spans="3:10">
      <c r="C20" s="358"/>
      <c r="D20" s="346"/>
      <c r="E20" s="346"/>
      <c r="F20" s="346"/>
      <c r="G20" s="346"/>
      <c r="H20" s="346"/>
      <c r="I20" s="346"/>
      <c r="J20" s="360"/>
    </row>
    <row r="21" spans="3:10">
      <c r="C21" s="358"/>
      <c r="D21" s="363"/>
      <c r="E21" s="363"/>
      <c r="F21" s="364" t="s">
        <v>529</v>
      </c>
      <c r="G21" s="364" t="s">
        <v>422</v>
      </c>
      <c r="H21" s="364" t="s">
        <v>541</v>
      </c>
      <c r="I21" s="364" t="s">
        <v>537</v>
      </c>
      <c r="J21" s="360"/>
    </row>
    <row r="22" spans="3:10">
      <c r="C22" s="358"/>
      <c r="D22" s="363"/>
      <c r="E22" s="363"/>
      <c r="F22" s="365"/>
      <c r="G22" s="365"/>
      <c r="H22" s="365"/>
      <c r="I22" s="365"/>
      <c r="J22" s="360"/>
    </row>
    <row r="23" spans="3:10">
      <c r="C23" s="358"/>
      <c r="D23" s="363" t="s">
        <v>1785</v>
      </c>
      <c r="E23" s="363"/>
      <c r="F23" s="366">
        <f>H8*1000</f>
        <v>64943.425242304984</v>
      </c>
      <c r="G23" s="366">
        <f>(H9+H10+H11)*1000</f>
        <v>10054.818491659262</v>
      </c>
      <c r="H23" s="366">
        <f>(H12+H13+H14+H15)*1000</f>
        <v>54817.705746464075</v>
      </c>
      <c r="I23" s="366">
        <f>(H16+H17+H18)*1000</f>
        <v>38318.753932549444</v>
      </c>
      <c r="J23" s="360"/>
    </row>
    <row r="24" spans="3:10">
      <c r="C24" s="358"/>
      <c r="D24" s="346"/>
      <c r="E24" s="346"/>
      <c r="F24" s="346"/>
      <c r="G24" s="346"/>
      <c r="H24" s="346"/>
      <c r="I24" s="346"/>
      <c r="J24" s="360"/>
    </row>
    <row r="25" spans="3:10" ht="15.75" thickBot="1">
      <c r="C25" s="367"/>
      <c r="D25" s="368"/>
      <c r="E25" s="368"/>
      <c r="F25" s="368"/>
      <c r="G25" s="368"/>
      <c r="H25" s="368"/>
      <c r="I25" s="368"/>
      <c r="J25" s="369"/>
    </row>
    <row r="27" spans="3:10">
      <c r="D27" s="346"/>
      <c r="E27" s="346"/>
      <c r="F27" s="346"/>
      <c r="G27" s="346"/>
      <c r="H27" s="361"/>
      <c r="I27" s="361"/>
    </row>
    <row r="29" spans="3:10">
      <c r="D29" s="346"/>
      <c r="E29" s="346"/>
      <c r="F29" s="346"/>
      <c r="G29" s="346"/>
      <c r="H29" s="346"/>
      <c r="I29" s="346"/>
    </row>
    <row r="30" spans="3:10">
      <c r="D30" s="346"/>
      <c r="E30" s="346"/>
      <c r="F30" s="346"/>
      <c r="G30" s="346"/>
      <c r="H30" s="346"/>
      <c r="I30" s="346"/>
    </row>
    <row r="31" spans="3:10">
      <c r="D31" s="346"/>
      <c r="E31" s="346"/>
      <c r="F31" s="346"/>
      <c r="G31" s="346"/>
      <c r="H31" s="346"/>
      <c r="I31" s="346"/>
    </row>
    <row r="32" spans="3:10">
      <c r="D32" s="346"/>
      <c r="E32" s="346"/>
      <c r="F32" s="346"/>
      <c r="G32" s="346"/>
      <c r="H32" s="346"/>
      <c r="I32" s="346"/>
    </row>
    <row r="33" spans="4:9">
      <c r="D33" s="346"/>
      <c r="E33" s="346"/>
      <c r="F33" s="346"/>
      <c r="G33" s="346"/>
      <c r="H33" s="346"/>
      <c r="I33" s="346"/>
    </row>
    <row r="34" spans="4:9">
      <c r="D34" s="346"/>
      <c r="E34" s="346"/>
      <c r="F34" s="346"/>
      <c r="G34" s="346"/>
      <c r="H34" s="346"/>
      <c r="I34" s="346"/>
    </row>
    <row r="35" spans="4:9">
      <c r="D35" s="346"/>
      <c r="E35" s="346"/>
      <c r="F35" s="346"/>
      <c r="G35" s="346"/>
      <c r="H35" s="346"/>
      <c r="I35" s="346"/>
    </row>
    <row r="36" spans="4:9">
      <c r="D36" s="346"/>
      <c r="E36" s="346"/>
      <c r="F36" s="346"/>
      <c r="G36" s="346"/>
      <c r="H36" s="346"/>
      <c r="I36" s="346"/>
    </row>
    <row r="37" spans="4:9">
      <c r="D37" s="346"/>
      <c r="E37" s="346"/>
      <c r="F37" s="346"/>
      <c r="G37" s="346"/>
      <c r="H37" s="346"/>
      <c r="I37" s="346"/>
    </row>
    <row r="38" spans="4:9">
      <c r="D38" s="346"/>
      <c r="E38" s="346"/>
      <c r="F38" s="346"/>
      <c r="G38" s="346"/>
      <c r="H38" s="346"/>
      <c r="I38" s="346"/>
    </row>
    <row r="39" spans="4:9">
      <c r="D39" s="346"/>
      <c r="E39" s="346"/>
      <c r="F39" s="346"/>
      <c r="G39" s="346"/>
      <c r="H39" s="346"/>
      <c r="I39" s="346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93"/>
  <sheetViews>
    <sheetView zoomScale="89" zoomScaleNormal="89" workbookViewId="0">
      <selection activeCell="L67" sqref="L67"/>
    </sheetView>
  </sheetViews>
  <sheetFormatPr baseColWidth="10" defaultRowHeight="15"/>
  <cols>
    <col min="1" max="2" width="11.42578125" style="337"/>
    <col min="3" max="4" width="11.42578125" style="370"/>
    <col min="5" max="5" width="13.85546875" style="371" customWidth="1"/>
    <col min="6" max="6" width="17.140625" style="371" bestFit="1" customWidth="1"/>
    <col min="7" max="9" width="11.42578125" style="337"/>
    <col min="10" max="11" width="11.42578125" style="370"/>
    <col min="12" max="12" width="13.85546875" style="371" customWidth="1"/>
    <col min="13" max="13" width="13.7109375" style="371" customWidth="1"/>
    <col min="14" max="16384" width="11.42578125" style="337"/>
  </cols>
  <sheetData>
    <row r="1" spans="2:14" ht="15.75" thickBot="1"/>
    <row r="2" spans="2:14">
      <c r="B2" s="338"/>
      <c r="C2" s="223" t="s">
        <v>446</v>
      </c>
      <c r="D2" s="223"/>
      <c r="E2" s="330"/>
      <c r="F2" s="330"/>
      <c r="G2" s="339"/>
      <c r="I2" s="338"/>
      <c r="J2" s="223" t="s">
        <v>444</v>
      </c>
      <c r="K2" s="223"/>
      <c r="L2" s="330"/>
      <c r="M2" s="330"/>
      <c r="N2" s="339"/>
    </row>
    <row r="3" spans="2:14">
      <c r="B3" s="194"/>
      <c r="C3" s="331" t="s">
        <v>1794</v>
      </c>
      <c r="D3" s="332" t="s">
        <v>1793</v>
      </c>
      <c r="E3" s="333" t="s">
        <v>1792</v>
      </c>
      <c r="F3" s="334" t="s">
        <v>1791</v>
      </c>
      <c r="G3" s="341"/>
      <c r="I3" s="194"/>
      <c r="J3" s="331" t="s">
        <v>1794</v>
      </c>
      <c r="K3" s="332" t="s">
        <v>1793</v>
      </c>
      <c r="L3" s="333" t="s">
        <v>1792</v>
      </c>
      <c r="M3" s="334" t="s">
        <v>1791</v>
      </c>
      <c r="N3" s="341"/>
    </row>
    <row r="4" spans="2:14">
      <c r="B4" s="194"/>
      <c r="C4" s="340"/>
      <c r="D4" s="340"/>
      <c r="E4" s="372"/>
      <c r="F4" s="373"/>
      <c r="G4" s="341"/>
      <c r="I4" s="194"/>
      <c r="J4" s="340"/>
      <c r="K4" s="340"/>
      <c r="L4" s="374"/>
      <c r="M4" s="374"/>
      <c r="N4" s="341"/>
    </row>
    <row r="5" spans="2:14">
      <c r="B5" s="194"/>
      <c r="C5" s="340"/>
      <c r="D5" s="340"/>
      <c r="E5" s="374"/>
      <c r="F5" s="374">
        <v>794977.00000000012</v>
      </c>
      <c r="G5" s="341"/>
      <c r="I5" s="194"/>
      <c r="J5" s="340"/>
      <c r="K5" s="340"/>
      <c r="L5" s="374"/>
      <c r="M5" s="374"/>
      <c r="N5" s="341"/>
    </row>
    <row r="6" spans="2:14">
      <c r="B6" s="194"/>
      <c r="C6" s="340">
        <v>2017.03</v>
      </c>
      <c r="D6" s="340">
        <v>17</v>
      </c>
      <c r="E6" s="374">
        <v>10130.89</v>
      </c>
      <c r="F6" s="374">
        <v>784846.1100000001</v>
      </c>
      <c r="G6" s="341"/>
      <c r="I6" s="194"/>
      <c r="J6" s="340">
        <v>2018.07</v>
      </c>
      <c r="K6" s="340">
        <v>25</v>
      </c>
      <c r="L6" s="374">
        <v>11256.33</v>
      </c>
      <c r="M6" s="374">
        <v>589381.53908487421</v>
      </c>
      <c r="N6" s="341"/>
    </row>
    <row r="7" spans="2:14">
      <c r="B7" s="194"/>
      <c r="C7" s="340">
        <v>2017.04</v>
      </c>
      <c r="D7" s="340">
        <v>30</v>
      </c>
      <c r="E7" s="374">
        <v>17878.04</v>
      </c>
      <c r="F7" s="374">
        <v>766968.07000000007</v>
      </c>
      <c r="G7" s="341"/>
      <c r="I7" s="194"/>
      <c r="J7" s="340">
        <v>2018.08</v>
      </c>
      <c r="K7" s="340">
        <v>31</v>
      </c>
      <c r="L7" s="374">
        <v>13957.85</v>
      </c>
      <c r="M7" s="374">
        <v>575423.68908487423</v>
      </c>
      <c r="N7" s="341"/>
    </row>
    <row r="8" spans="2:14">
      <c r="B8" s="194"/>
      <c r="C8" s="340">
        <v>2017.05</v>
      </c>
      <c r="D8" s="340">
        <v>31</v>
      </c>
      <c r="E8" s="374">
        <v>18473.98</v>
      </c>
      <c r="F8" s="374">
        <v>748494.09000000008</v>
      </c>
      <c r="G8" s="341"/>
      <c r="I8" s="194"/>
      <c r="J8" s="340">
        <v>2018.09</v>
      </c>
      <c r="K8" s="340">
        <v>30</v>
      </c>
      <c r="L8" s="374">
        <v>13507.6</v>
      </c>
      <c r="M8" s="374">
        <v>561916.08908487426</v>
      </c>
      <c r="N8" s="341"/>
    </row>
    <row r="9" spans="2:14">
      <c r="B9" s="194"/>
      <c r="C9" s="340">
        <v>2017.06</v>
      </c>
      <c r="D9" s="340">
        <v>30</v>
      </c>
      <c r="E9" s="374">
        <v>17878.04</v>
      </c>
      <c r="F9" s="374">
        <v>730616.05</v>
      </c>
      <c r="G9" s="341"/>
      <c r="I9" s="194"/>
      <c r="J9" s="340">
        <v>2018.1</v>
      </c>
      <c r="K9" s="340">
        <v>31</v>
      </c>
      <c r="L9" s="374">
        <v>13957.85</v>
      </c>
      <c r="M9" s="374">
        <v>547958.23908487428</v>
      </c>
      <c r="N9" s="341"/>
    </row>
    <row r="10" spans="2:14">
      <c r="B10" s="194"/>
      <c r="C10" s="340">
        <v>2017.07</v>
      </c>
      <c r="D10" s="340">
        <v>31</v>
      </c>
      <c r="E10" s="374">
        <v>18473.98</v>
      </c>
      <c r="F10" s="374">
        <v>712142.07000000007</v>
      </c>
      <c r="G10" s="341"/>
      <c r="I10" s="194"/>
      <c r="J10" s="340">
        <v>2018.11</v>
      </c>
      <c r="K10" s="340">
        <v>30</v>
      </c>
      <c r="L10" s="374">
        <v>13507.6</v>
      </c>
      <c r="M10" s="374">
        <v>534450.6390848743</v>
      </c>
      <c r="N10" s="341"/>
    </row>
    <row r="11" spans="2:14">
      <c r="B11" s="194"/>
      <c r="C11" s="340">
        <v>2017.08</v>
      </c>
      <c r="D11" s="340">
        <v>31</v>
      </c>
      <c r="E11" s="374">
        <v>18473.98</v>
      </c>
      <c r="F11" s="374">
        <v>693668.09000000008</v>
      </c>
      <c r="G11" s="341"/>
      <c r="I11" s="194"/>
      <c r="J11" s="340">
        <v>2018.12</v>
      </c>
      <c r="K11" s="340">
        <v>31</v>
      </c>
      <c r="L11" s="374">
        <v>13957.85</v>
      </c>
      <c r="M11" s="374">
        <v>520492.78908487433</v>
      </c>
      <c r="N11" s="341"/>
    </row>
    <row r="12" spans="2:14">
      <c r="B12" s="194"/>
      <c r="C12" s="340">
        <v>2017.09</v>
      </c>
      <c r="D12" s="340">
        <v>30</v>
      </c>
      <c r="E12" s="374">
        <v>17982.82</v>
      </c>
      <c r="F12" s="374">
        <v>675685.27000000014</v>
      </c>
      <c r="G12" s="341"/>
      <c r="I12" s="194"/>
      <c r="J12" s="340"/>
      <c r="K12" s="340"/>
      <c r="L12" s="374">
        <v>80145.08</v>
      </c>
      <c r="M12" s="374"/>
      <c r="N12" s="341"/>
    </row>
    <row r="13" spans="2:14">
      <c r="B13" s="194"/>
      <c r="C13" s="340">
        <v>2017.1</v>
      </c>
      <c r="D13" s="340">
        <v>31</v>
      </c>
      <c r="E13" s="374">
        <v>18676.990000000002</v>
      </c>
      <c r="F13" s="374">
        <v>657008.28000000014</v>
      </c>
      <c r="G13" s="341"/>
      <c r="I13" s="194"/>
      <c r="J13" s="340">
        <v>2019.01</v>
      </c>
      <c r="K13" s="340">
        <v>31</v>
      </c>
      <c r="L13" s="374">
        <v>14207.99</v>
      </c>
      <c r="M13" s="374">
        <v>506284.79908487434</v>
      </c>
      <c r="N13" s="341"/>
    </row>
    <row r="14" spans="2:14">
      <c r="B14" s="194"/>
      <c r="C14" s="340">
        <v>2017.11</v>
      </c>
      <c r="D14" s="340">
        <v>30</v>
      </c>
      <c r="E14" s="374">
        <v>18074.509999999998</v>
      </c>
      <c r="F14" s="374">
        <v>638933.77000000014</v>
      </c>
      <c r="G14" s="341"/>
      <c r="I14" s="194"/>
      <c r="J14" s="340">
        <v>2019.02</v>
      </c>
      <c r="K14" s="340">
        <v>28</v>
      </c>
      <c r="L14" s="374">
        <v>12887.25</v>
      </c>
      <c r="M14" s="374">
        <v>493397.54908487434</v>
      </c>
      <c r="N14" s="341"/>
    </row>
    <row r="15" spans="2:14">
      <c r="B15" s="194"/>
      <c r="C15" s="340">
        <v>2017.12</v>
      </c>
      <c r="D15" s="340">
        <v>31</v>
      </c>
      <c r="E15" s="374">
        <v>18790.79</v>
      </c>
      <c r="F15" s="374">
        <v>620142.9800000001</v>
      </c>
      <c r="G15" s="341"/>
      <c r="I15" s="194"/>
      <c r="J15" s="340">
        <v>2019.03</v>
      </c>
      <c r="K15" s="340">
        <v>31</v>
      </c>
      <c r="L15" s="374">
        <v>14268.03</v>
      </c>
      <c r="M15" s="374">
        <v>479129.51908487431</v>
      </c>
      <c r="N15" s="341"/>
    </row>
    <row r="16" spans="2:14">
      <c r="B16" s="194"/>
      <c r="C16" s="340"/>
      <c r="D16" s="340"/>
      <c r="E16" s="374">
        <v>174834.02000000002</v>
      </c>
      <c r="F16" s="374"/>
      <c r="G16" s="341"/>
      <c r="I16" s="194"/>
      <c r="J16" s="340">
        <v>2019.04</v>
      </c>
      <c r="K16" s="340">
        <v>30</v>
      </c>
      <c r="L16" s="374">
        <v>13686.38</v>
      </c>
      <c r="M16" s="374">
        <v>465443.1390848743</v>
      </c>
      <c r="N16" s="341"/>
    </row>
    <row r="17" spans="2:14">
      <c r="B17" s="194"/>
      <c r="C17" s="340"/>
      <c r="D17" s="340"/>
      <c r="E17" s="374"/>
      <c r="F17" s="374"/>
      <c r="G17" s="341"/>
      <c r="I17" s="194"/>
      <c r="J17" s="340">
        <v>2019.05</v>
      </c>
      <c r="K17" s="340">
        <v>31</v>
      </c>
      <c r="L17" s="374">
        <v>14111.23</v>
      </c>
      <c r="M17" s="374">
        <v>451331.90908487432</v>
      </c>
      <c r="N17" s="341"/>
    </row>
    <row r="18" spans="2:14">
      <c r="B18" s="194"/>
      <c r="C18" s="340">
        <v>2018.01</v>
      </c>
      <c r="D18" s="340">
        <v>31</v>
      </c>
      <c r="E18" s="374">
        <v>18884.509999999998</v>
      </c>
      <c r="F18" s="374">
        <v>601258.47000000009</v>
      </c>
      <c r="G18" s="341"/>
      <c r="I18" s="194"/>
      <c r="J18" s="340">
        <v>2019.06</v>
      </c>
      <c r="K18" s="340">
        <v>30</v>
      </c>
      <c r="L18" s="374">
        <v>13656.03</v>
      </c>
      <c r="M18" s="374">
        <v>437675.87908487429</v>
      </c>
      <c r="N18" s="341"/>
    </row>
    <row r="19" spans="2:14">
      <c r="B19" s="194"/>
      <c r="C19" s="340">
        <v>2018.02</v>
      </c>
      <c r="D19" s="340">
        <v>28</v>
      </c>
      <c r="E19" s="374">
        <v>17056.98</v>
      </c>
      <c r="F19" s="374">
        <v>584201.49000000011</v>
      </c>
      <c r="G19" s="341"/>
      <c r="I19" s="194"/>
      <c r="J19" s="340">
        <v>2019.07</v>
      </c>
      <c r="K19" s="340">
        <v>31</v>
      </c>
      <c r="L19" s="374">
        <v>13987.54</v>
      </c>
      <c r="M19" s="374">
        <v>423688.33908487431</v>
      </c>
      <c r="N19" s="341"/>
    </row>
    <row r="20" spans="2:14">
      <c r="B20" s="194"/>
      <c r="C20" s="340">
        <v>2018.03</v>
      </c>
      <c r="D20" s="340">
        <v>31</v>
      </c>
      <c r="E20" s="374">
        <v>18659.38</v>
      </c>
      <c r="F20" s="374">
        <v>565542.1100000001</v>
      </c>
      <c r="G20" s="341"/>
      <c r="I20" s="194"/>
      <c r="J20" s="340">
        <v>2019.08</v>
      </c>
      <c r="K20" s="340">
        <v>31</v>
      </c>
      <c r="L20" s="374">
        <v>13957.85</v>
      </c>
      <c r="M20" s="374">
        <v>409730.48908487434</v>
      </c>
      <c r="N20" s="341"/>
    </row>
    <row r="21" spans="2:14">
      <c r="B21" s="194"/>
      <c r="C21" s="340">
        <v>2018.04</v>
      </c>
      <c r="D21" s="340">
        <v>30</v>
      </c>
      <c r="E21" s="374">
        <v>17878.04</v>
      </c>
      <c r="F21" s="374">
        <v>547664.07000000007</v>
      </c>
      <c r="G21" s="341"/>
      <c r="I21" s="194"/>
      <c r="J21" s="340">
        <v>2019.09</v>
      </c>
      <c r="K21" s="340">
        <v>30</v>
      </c>
      <c r="L21" s="374">
        <v>13507.6</v>
      </c>
      <c r="M21" s="374">
        <v>396222.88908487436</v>
      </c>
      <c r="N21" s="341"/>
    </row>
    <row r="22" spans="2:14">
      <c r="B22" s="194"/>
      <c r="C22" s="340">
        <v>2018.05</v>
      </c>
      <c r="D22" s="340">
        <v>31</v>
      </c>
      <c r="E22" s="374">
        <v>18473.98</v>
      </c>
      <c r="F22" s="374">
        <v>529190.09000000008</v>
      </c>
      <c r="G22" s="341"/>
      <c r="I22" s="194"/>
      <c r="J22" s="340">
        <v>2019.1</v>
      </c>
      <c r="K22" s="340">
        <v>31</v>
      </c>
      <c r="L22" s="374">
        <v>13395.03</v>
      </c>
      <c r="M22" s="374">
        <v>382827.85908487433</v>
      </c>
      <c r="N22" s="341"/>
    </row>
    <row r="23" spans="2:14">
      <c r="B23" s="194"/>
      <c r="C23" s="340">
        <v>2018.06</v>
      </c>
      <c r="D23" s="340">
        <v>30</v>
      </c>
      <c r="E23" s="374">
        <v>17401.3</v>
      </c>
      <c r="F23" s="374">
        <v>511788.7900000001</v>
      </c>
      <c r="G23" s="341"/>
      <c r="I23" s="194"/>
      <c r="J23" s="340">
        <v>2019.11</v>
      </c>
      <c r="K23" s="340">
        <v>30</v>
      </c>
      <c r="L23" s="374">
        <v>12832.22</v>
      </c>
      <c r="M23" s="374">
        <v>369995.63908487436</v>
      </c>
      <c r="N23" s="341"/>
    </row>
    <row r="24" spans="2:14">
      <c r="B24" s="194"/>
      <c r="C24" s="340">
        <v>2018.07</v>
      </c>
      <c r="D24" s="340">
        <v>31</v>
      </c>
      <c r="E24" s="374">
        <v>17550.28</v>
      </c>
      <c r="F24" s="374">
        <v>494238.51000000013</v>
      </c>
      <c r="G24" s="341"/>
      <c r="I24" s="194"/>
      <c r="J24" s="340">
        <v>2019.12</v>
      </c>
      <c r="K24" s="340">
        <v>31</v>
      </c>
      <c r="L24" s="374">
        <v>13259.96</v>
      </c>
      <c r="M24" s="374">
        <v>356735.67908487434</v>
      </c>
      <c r="N24" s="341"/>
    </row>
    <row r="25" spans="2:14">
      <c r="B25" s="194"/>
      <c r="C25" s="340">
        <v>2018.08</v>
      </c>
      <c r="D25" s="340">
        <v>31</v>
      </c>
      <c r="E25" s="374">
        <v>17550.28</v>
      </c>
      <c r="F25" s="374">
        <v>476688.2300000001</v>
      </c>
      <c r="G25" s="341"/>
      <c r="I25" s="194"/>
      <c r="J25" s="340"/>
      <c r="K25" s="340"/>
      <c r="L25" s="374">
        <v>163757.10999999999</v>
      </c>
      <c r="M25" s="374"/>
      <c r="N25" s="341"/>
    </row>
    <row r="26" spans="2:14">
      <c r="B26" s="194"/>
      <c r="C26" s="340">
        <v>2018.09</v>
      </c>
      <c r="D26" s="340">
        <v>30</v>
      </c>
      <c r="E26" s="374">
        <v>16601.7</v>
      </c>
      <c r="F26" s="374">
        <v>460086.53000000009</v>
      </c>
      <c r="G26" s="341"/>
      <c r="I26" s="194"/>
      <c r="J26" s="340">
        <v>2020.01</v>
      </c>
      <c r="K26" s="340">
        <v>31</v>
      </c>
      <c r="L26" s="374">
        <v>12808.47</v>
      </c>
      <c r="M26" s="374">
        <v>343927.20908487437</v>
      </c>
      <c r="N26" s="341"/>
    </row>
    <row r="27" spans="2:14">
      <c r="B27" s="194"/>
      <c r="C27" s="340">
        <v>2018.1</v>
      </c>
      <c r="D27" s="340">
        <v>31</v>
      </c>
      <c r="E27" s="374">
        <v>16809.29</v>
      </c>
      <c r="F27" s="374">
        <v>443277.24000000011</v>
      </c>
      <c r="G27" s="341"/>
      <c r="I27" s="194"/>
      <c r="J27" s="340">
        <v>2020.02</v>
      </c>
      <c r="K27" s="340">
        <v>29</v>
      </c>
      <c r="L27" s="374">
        <v>11880.75</v>
      </c>
      <c r="M27" s="374">
        <v>332046.45908487437</v>
      </c>
      <c r="N27" s="341"/>
    </row>
    <row r="28" spans="2:14">
      <c r="B28" s="194"/>
      <c r="C28" s="340">
        <v>2018.11</v>
      </c>
      <c r="D28" s="340">
        <v>30</v>
      </c>
      <c r="E28" s="374">
        <v>16267.05</v>
      </c>
      <c r="F28" s="374">
        <v>427010.19000000012</v>
      </c>
      <c r="G28" s="341"/>
      <c r="I28" s="194"/>
      <c r="J28" s="340">
        <v>2020.03</v>
      </c>
      <c r="K28" s="340">
        <v>31</v>
      </c>
      <c r="L28" s="374">
        <v>12700.11</v>
      </c>
      <c r="M28" s="374">
        <v>319346.34908487438</v>
      </c>
      <c r="N28" s="341"/>
    </row>
    <row r="29" spans="2:14">
      <c r="B29" s="194"/>
      <c r="C29" s="340">
        <v>2018.12</v>
      </c>
      <c r="D29" s="340">
        <v>31</v>
      </c>
      <c r="E29" s="374">
        <v>16393.91</v>
      </c>
      <c r="F29" s="374">
        <v>410616.28000000014</v>
      </c>
      <c r="G29" s="341"/>
      <c r="I29" s="194"/>
      <c r="J29" s="340">
        <v>2020.04</v>
      </c>
      <c r="K29" s="340">
        <v>30</v>
      </c>
      <c r="L29" s="374">
        <v>11744.19</v>
      </c>
      <c r="M29" s="374">
        <v>307602.15908487438</v>
      </c>
      <c r="N29" s="341"/>
    </row>
    <row r="30" spans="2:14">
      <c r="B30" s="194"/>
      <c r="C30" s="340"/>
      <c r="D30" s="340"/>
      <c r="E30" s="374">
        <v>209526.7</v>
      </c>
      <c r="F30" s="374"/>
      <c r="G30" s="341"/>
      <c r="I30" s="194"/>
      <c r="J30" s="340">
        <v>2020.05</v>
      </c>
      <c r="K30" s="340">
        <v>31</v>
      </c>
      <c r="L30" s="374">
        <v>11994.55</v>
      </c>
      <c r="M30" s="374">
        <v>295607.60908487439</v>
      </c>
      <c r="N30" s="341"/>
    </row>
    <row r="31" spans="2:14">
      <c r="B31" s="194"/>
      <c r="C31" s="340"/>
      <c r="D31" s="340"/>
      <c r="E31" s="374"/>
      <c r="F31" s="374"/>
      <c r="G31" s="341"/>
      <c r="I31" s="194"/>
      <c r="J31" s="340">
        <v>2020.06</v>
      </c>
      <c r="K31" s="340">
        <v>30</v>
      </c>
      <c r="L31" s="374">
        <v>11607.63</v>
      </c>
      <c r="M31" s="374">
        <v>283999.97908487439</v>
      </c>
      <c r="N31" s="341"/>
    </row>
    <row r="32" spans="2:14">
      <c r="B32" s="194"/>
      <c r="C32" s="340">
        <v>2019.01</v>
      </c>
      <c r="D32" s="340">
        <v>31</v>
      </c>
      <c r="E32" s="374">
        <v>16051.83</v>
      </c>
      <c r="F32" s="374">
        <v>394564.45000000013</v>
      </c>
      <c r="G32" s="341"/>
      <c r="I32" s="194"/>
      <c r="J32" s="340">
        <v>2020.07</v>
      </c>
      <c r="K32" s="340">
        <v>31</v>
      </c>
      <c r="L32" s="374">
        <v>11326.59</v>
      </c>
      <c r="M32" s="374">
        <v>272673.38908487436</v>
      </c>
      <c r="N32" s="341"/>
    </row>
    <row r="33" spans="2:14">
      <c r="B33" s="194"/>
      <c r="C33" s="340">
        <v>2019.02</v>
      </c>
      <c r="D33" s="340">
        <v>28</v>
      </c>
      <c r="E33" s="374">
        <v>14498.43</v>
      </c>
      <c r="F33" s="374">
        <v>380066.02000000014</v>
      </c>
      <c r="G33" s="341"/>
      <c r="I33" s="194"/>
      <c r="J33" s="340">
        <v>2020.08</v>
      </c>
      <c r="K33" s="340">
        <v>31</v>
      </c>
      <c r="L33" s="374">
        <v>11166.28</v>
      </c>
      <c r="M33" s="374">
        <v>261507.10908487436</v>
      </c>
      <c r="N33" s="341"/>
    </row>
    <row r="34" spans="2:14">
      <c r="B34" s="194"/>
      <c r="C34" s="340">
        <v>2019.03</v>
      </c>
      <c r="D34" s="340">
        <v>31</v>
      </c>
      <c r="E34" s="374">
        <v>15353.93</v>
      </c>
      <c r="F34" s="374">
        <v>364712.09000000014</v>
      </c>
      <c r="G34" s="341"/>
      <c r="I34" s="194"/>
      <c r="J34" s="340">
        <v>2020.09</v>
      </c>
      <c r="K34" s="340">
        <v>30</v>
      </c>
      <c r="L34" s="374">
        <v>10806.08</v>
      </c>
      <c r="M34" s="374">
        <v>250701.02908487438</v>
      </c>
      <c r="N34" s="341"/>
    </row>
    <row r="35" spans="2:14">
      <c r="B35" s="194"/>
      <c r="C35" s="340">
        <v>2019.04</v>
      </c>
      <c r="D35" s="340">
        <v>30</v>
      </c>
      <c r="E35" s="374">
        <v>14302.43</v>
      </c>
      <c r="F35" s="374">
        <v>350409.66000000015</v>
      </c>
      <c r="G35" s="341"/>
      <c r="I35" s="194"/>
      <c r="J35" s="340">
        <v>2020.1</v>
      </c>
      <c r="K35" s="340">
        <v>31</v>
      </c>
      <c r="L35" s="374">
        <v>10603.46</v>
      </c>
      <c r="M35" s="374">
        <v>240097.56908487438</v>
      </c>
      <c r="N35" s="341"/>
    </row>
    <row r="36" spans="2:14">
      <c r="B36" s="194"/>
      <c r="C36" s="340">
        <v>2019.05</v>
      </c>
      <c r="D36" s="340">
        <v>31</v>
      </c>
      <c r="E36" s="374">
        <v>14779.18</v>
      </c>
      <c r="F36" s="374">
        <v>335630.48000000016</v>
      </c>
      <c r="G36" s="341"/>
      <c r="I36" s="194"/>
      <c r="J36" s="340">
        <v>2020.11</v>
      </c>
      <c r="K36" s="340">
        <v>30</v>
      </c>
      <c r="L36" s="374">
        <v>10130.700000000001</v>
      </c>
      <c r="M36" s="374">
        <v>229966.86908487437</v>
      </c>
      <c r="N36" s="341"/>
    </row>
    <row r="37" spans="2:14">
      <c r="B37" s="194"/>
      <c r="C37" s="340">
        <v>2019.06</v>
      </c>
      <c r="D37" s="340">
        <v>30</v>
      </c>
      <c r="E37" s="374">
        <v>13825.69</v>
      </c>
      <c r="F37" s="374">
        <v>321804.79000000015</v>
      </c>
      <c r="G37" s="341"/>
      <c r="I37" s="194"/>
      <c r="J37" s="340">
        <v>2020.12</v>
      </c>
      <c r="K37" s="340">
        <v>31</v>
      </c>
      <c r="L37" s="374">
        <v>10468.39</v>
      </c>
      <c r="M37" s="374">
        <v>219498.47908487439</v>
      </c>
      <c r="N37" s="341"/>
    </row>
    <row r="38" spans="2:14">
      <c r="B38" s="194"/>
      <c r="C38" s="340">
        <v>2019.07</v>
      </c>
      <c r="D38" s="340">
        <v>31</v>
      </c>
      <c r="E38" s="374">
        <v>13855.48</v>
      </c>
      <c r="F38" s="374">
        <v>307949.31000000017</v>
      </c>
      <c r="G38" s="341"/>
      <c r="I38" s="194"/>
      <c r="J38" s="340"/>
      <c r="K38" s="340"/>
      <c r="L38" s="374">
        <v>137237.20000000001</v>
      </c>
      <c r="M38" s="374"/>
      <c r="N38" s="341"/>
    </row>
    <row r="39" spans="2:14">
      <c r="B39" s="194"/>
      <c r="C39" s="340">
        <v>2019.08</v>
      </c>
      <c r="D39" s="340">
        <v>31</v>
      </c>
      <c r="E39" s="374">
        <v>13855.48</v>
      </c>
      <c r="F39" s="374">
        <v>294093.83000000019</v>
      </c>
      <c r="G39" s="341"/>
      <c r="I39" s="194"/>
      <c r="J39" s="340">
        <v>2021.01</v>
      </c>
      <c r="K39" s="340">
        <v>31</v>
      </c>
      <c r="L39" s="374">
        <v>10080.67</v>
      </c>
      <c r="M39" s="374">
        <v>209417.80908487437</v>
      </c>
      <c r="N39" s="341"/>
    </row>
    <row r="40" spans="2:14">
      <c r="B40" s="194"/>
      <c r="C40" s="340">
        <v>2019.09</v>
      </c>
      <c r="D40" s="340">
        <v>30</v>
      </c>
      <c r="E40" s="374">
        <v>13005.13</v>
      </c>
      <c r="F40" s="374">
        <v>281088.70000000019</v>
      </c>
      <c r="G40" s="341"/>
      <c r="I40" s="194"/>
      <c r="J40" s="340">
        <v>2021.02</v>
      </c>
      <c r="K40" s="340">
        <v>28</v>
      </c>
      <c r="L40" s="374">
        <v>9021.07</v>
      </c>
      <c r="M40" s="374">
        <v>200396.73908487437</v>
      </c>
      <c r="N40" s="341"/>
    </row>
    <row r="41" spans="2:14">
      <c r="B41" s="194"/>
      <c r="C41" s="340">
        <v>2019.1</v>
      </c>
      <c r="D41" s="340">
        <v>31</v>
      </c>
      <c r="E41" s="374">
        <v>13073.89</v>
      </c>
      <c r="F41" s="374">
        <v>268014.81000000017</v>
      </c>
      <c r="G41" s="341"/>
      <c r="I41" s="194"/>
      <c r="J41" s="340">
        <v>2021.03</v>
      </c>
      <c r="K41" s="340">
        <v>31</v>
      </c>
      <c r="L41" s="374">
        <v>9987.6200000000008</v>
      </c>
      <c r="M41" s="374">
        <v>190409.11908487437</v>
      </c>
      <c r="N41" s="341"/>
    </row>
    <row r="42" spans="2:14">
      <c r="B42" s="194"/>
      <c r="C42" s="340">
        <v>2019.11</v>
      </c>
      <c r="D42" s="340">
        <v>30</v>
      </c>
      <c r="E42" s="374">
        <v>12652.15</v>
      </c>
      <c r="F42" s="374">
        <v>255362.66000000018</v>
      </c>
      <c r="G42" s="341"/>
      <c r="I42" s="194"/>
      <c r="J42" s="340">
        <v>2021.04</v>
      </c>
      <c r="K42" s="340">
        <v>30</v>
      </c>
      <c r="L42" s="374">
        <v>9034.2199999999993</v>
      </c>
      <c r="M42" s="374">
        <v>181374.89908487437</v>
      </c>
      <c r="N42" s="341"/>
    </row>
    <row r="43" spans="2:14">
      <c r="B43" s="194"/>
      <c r="C43" s="340">
        <v>2019.12</v>
      </c>
      <c r="D43" s="340">
        <v>31</v>
      </c>
      <c r="E43" s="374">
        <v>12561.78</v>
      </c>
      <c r="F43" s="374">
        <v>242800.88000000018</v>
      </c>
      <c r="G43" s="341"/>
      <c r="I43" s="194"/>
      <c r="J43" s="340">
        <v>2021.05</v>
      </c>
      <c r="K43" s="340">
        <v>31</v>
      </c>
      <c r="L43" s="374">
        <v>9172.2999999999993</v>
      </c>
      <c r="M43" s="374">
        <v>172202.59908487438</v>
      </c>
      <c r="N43" s="341"/>
    </row>
    <row r="44" spans="2:14">
      <c r="B44" s="194"/>
      <c r="C44" s="340"/>
      <c r="D44" s="340"/>
      <c r="E44" s="374">
        <v>167815.4</v>
      </c>
      <c r="F44" s="374"/>
      <c r="G44" s="341"/>
      <c r="I44" s="194"/>
      <c r="J44" s="340">
        <v>2021.06</v>
      </c>
      <c r="K44" s="340">
        <v>30</v>
      </c>
      <c r="L44" s="374">
        <v>8876.42</v>
      </c>
      <c r="M44" s="374">
        <v>163326.17908487437</v>
      </c>
      <c r="N44" s="341"/>
    </row>
    <row r="45" spans="2:14">
      <c r="B45" s="194"/>
      <c r="C45" s="340"/>
      <c r="D45" s="340"/>
      <c r="E45" s="374"/>
      <c r="F45" s="374"/>
      <c r="G45" s="341"/>
      <c r="I45" s="194"/>
      <c r="J45" s="340">
        <v>2021.07</v>
      </c>
      <c r="K45" s="340">
        <v>31</v>
      </c>
      <c r="L45" s="374">
        <v>8529.08</v>
      </c>
      <c r="M45" s="374">
        <v>154797.09908487438</v>
      </c>
      <c r="N45" s="341"/>
    </row>
    <row r="46" spans="2:14">
      <c r="B46" s="194"/>
      <c r="C46" s="340">
        <v>2020.01</v>
      </c>
      <c r="D46" s="340">
        <v>31</v>
      </c>
      <c r="E46" s="374">
        <v>12140.04</v>
      </c>
      <c r="F46" s="374">
        <v>230660.84000000017</v>
      </c>
      <c r="G46" s="341"/>
      <c r="I46" s="194"/>
      <c r="J46" s="340">
        <v>2021.08</v>
      </c>
      <c r="K46" s="340">
        <v>31</v>
      </c>
      <c r="L46" s="374">
        <v>8374.7099999999991</v>
      </c>
      <c r="M46" s="374">
        <v>146422.38908487439</v>
      </c>
      <c r="N46" s="341"/>
    </row>
    <row r="47" spans="2:14">
      <c r="B47" s="194"/>
      <c r="C47" s="340">
        <v>2020.02</v>
      </c>
      <c r="D47" s="340">
        <v>29</v>
      </c>
      <c r="E47" s="374">
        <v>11356.81</v>
      </c>
      <c r="F47" s="374">
        <v>219304.03000000017</v>
      </c>
      <c r="G47" s="341"/>
      <c r="I47" s="194"/>
      <c r="J47" s="340">
        <v>2021.09</v>
      </c>
      <c r="K47" s="340">
        <v>30</v>
      </c>
      <c r="L47" s="374">
        <v>8104.56</v>
      </c>
      <c r="M47" s="374">
        <v>138317.82908487439</v>
      </c>
      <c r="N47" s="341"/>
    </row>
    <row r="48" spans="2:14">
      <c r="B48" s="194"/>
      <c r="C48" s="340">
        <v>2020.03</v>
      </c>
      <c r="D48" s="340">
        <v>31</v>
      </c>
      <c r="E48" s="374">
        <v>11561.13</v>
      </c>
      <c r="F48" s="374">
        <v>207742.90000000017</v>
      </c>
      <c r="G48" s="341"/>
      <c r="I48" s="194"/>
      <c r="J48" s="340">
        <v>2021.1</v>
      </c>
      <c r="K48" s="340">
        <v>31</v>
      </c>
      <c r="L48" s="374">
        <v>7811.89</v>
      </c>
      <c r="M48" s="374">
        <v>130505.93908487439</v>
      </c>
      <c r="N48" s="341"/>
    </row>
    <row r="49" spans="2:14">
      <c r="B49" s="194"/>
      <c r="C49" s="340">
        <v>2020.04</v>
      </c>
      <c r="D49" s="340">
        <v>30</v>
      </c>
      <c r="E49" s="374">
        <v>10726.83</v>
      </c>
      <c r="F49" s="374">
        <v>197016.07000000018</v>
      </c>
      <c r="G49" s="341"/>
      <c r="I49" s="194"/>
      <c r="J49" s="340">
        <v>2021.11</v>
      </c>
      <c r="K49" s="340">
        <v>30</v>
      </c>
      <c r="L49" s="374">
        <v>7429.18</v>
      </c>
      <c r="M49" s="374">
        <v>123076.75908487439</v>
      </c>
      <c r="N49" s="341"/>
    </row>
    <row r="50" spans="2:14">
      <c r="B50" s="194"/>
      <c r="C50" s="340">
        <v>2020.05</v>
      </c>
      <c r="D50" s="340">
        <v>31</v>
      </c>
      <c r="E50" s="374">
        <v>11084.39</v>
      </c>
      <c r="F50" s="374">
        <v>185931.68000000017</v>
      </c>
      <c r="G50" s="341"/>
      <c r="I50" s="194"/>
      <c r="J50" s="340">
        <v>2021.12</v>
      </c>
      <c r="K50" s="340">
        <v>31</v>
      </c>
      <c r="L50" s="374">
        <v>7676.82</v>
      </c>
      <c r="M50" s="374">
        <v>115399.93908487438</v>
      </c>
      <c r="N50" s="341"/>
    </row>
    <row r="51" spans="2:14">
      <c r="B51" s="194"/>
      <c r="C51" s="340">
        <v>2020.06</v>
      </c>
      <c r="D51" s="340">
        <v>30</v>
      </c>
      <c r="E51" s="374">
        <v>10250.08</v>
      </c>
      <c r="F51" s="374">
        <v>175681.60000000018</v>
      </c>
      <c r="G51" s="341"/>
      <c r="I51" s="194"/>
      <c r="J51" s="340"/>
      <c r="K51" s="340"/>
      <c r="L51" s="374">
        <v>104098.54000000001</v>
      </c>
      <c r="M51" s="374"/>
      <c r="N51" s="341"/>
    </row>
    <row r="52" spans="2:14">
      <c r="B52" s="194"/>
      <c r="C52" s="340">
        <v>2020.07</v>
      </c>
      <c r="D52" s="340">
        <v>31</v>
      </c>
      <c r="E52" s="374">
        <v>10160.69</v>
      </c>
      <c r="F52" s="374">
        <v>165520.91000000018</v>
      </c>
      <c r="G52" s="341"/>
      <c r="I52" s="194"/>
      <c r="J52" s="340">
        <v>2022.01</v>
      </c>
      <c r="K52" s="340">
        <v>31</v>
      </c>
      <c r="L52" s="374">
        <v>7239.07</v>
      </c>
      <c r="M52" s="374">
        <v>108160.86908487437</v>
      </c>
      <c r="N52" s="341"/>
    </row>
    <row r="53" spans="2:14">
      <c r="B53" s="194"/>
      <c r="C53" s="340">
        <v>2020.08</v>
      </c>
      <c r="D53" s="340">
        <v>31</v>
      </c>
      <c r="E53" s="374">
        <v>10160.69</v>
      </c>
      <c r="F53" s="374">
        <v>155360.22000000018</v>
      </c>
      <c r="G53" s="341"/>
      <c r="I53" s="194"/>
      <c r="J53" s="340">
        <v>2022.02</v>
      </c>
      <c r="K53" s="340">
        <v>28</v>
      </c>
      <c r="L53" s="374">
        <v>6443.62</v>
      </c>
      <c r="M53" s="374">
        <v>101717.24908487438</v>
      </c>
      <c r="N53" s="341"/>
    </row>
    <row r="54" spans="2:14">
      <c r="B54" s="194"/>
      <c r="C54" s="340">
        <v>2020.09</v>
      </c>
      <c r="D54" s="340">
        <v>30</v>
      </c>
      <c r="E54" s="374">
        <v>9408.57</v>
      </c>
      <c r="F54" s="374">
        <v>145951.65000000017</v>
      </c>
      <c r="G54" s="341"/>
      <c r="I54" s="194"/>
      <c r="J54" s="340">
        <v>2022.03</v>
      </c>
      <c r="K54" s="340">
        <v>31</v>
      </c>
      <c r="L54" s="374">
        <v>7134.01</v>
      </c>
      <c r="M54" s="374">
        <v>94583.239084874382</v>
      </c>
      <c r="N54" s="341"/>
    </row>
    <row r="55" spans="2:14">
      <c r="B55" s="194"/>
      <c r="C55" s="340">
        <v>2020.1</v>
      </c>
      <c r="D55" s="340">
        <v>31</v>
      </c>
      <c r="E55" s="374">
        <v>9338.49</v>
      </c>
      <c r="F55" s="374">
        <v>136613.16000000018</v>
      </c>
      <c r="G55" s="341"/>
      <c r="I55" s="194"/>
      <c r="J55" s="340">
        <v>2022.04</v>
      </c>
      <c r="K55" s="340">
        <v>30</v>
      </c>
      <c r="L55" s="374">
        <v>6296.95</v>
      </c>
      <c r="M55" s="374">
        <v>88286.289084874385</v>
      </c>
      <c r="N55" s="341"/>
    </row>
    <row r="56" spans="2:14">
      <c r="B56" s="194"/>
      <c r="C56" s="340">
        <v>2020.11</v>
      </c>
      <c r="D56" s="340">
        <v>30</v>
      </c>
      <c r="E56" s="374">
        <v>9037.25</v>
      </c>
      <c r="F56" s="374">
        <v>127575.91000000018</v>
      </c>
      <c r="G56" s="341"/>
      <c r="I56" s="194"/>
      <c r="J56" s="340">
        <v>2022.05</v>
      </c>
      <c r="K56" s="340">
        <v>31</v>
      </c>
      <c r="L56" s="374">
        <v>6350.06</v>
      </c>
      <c r="M56" s="374">
        <v>81936.229084874387</v>
      </c>
      <c r="N56" s="341"/>
    </row>
    <row r="57" spans="2:14">
      <c r="B57" s="194"/>
      <c r="C57" s="340">
        <v>2020.12</v>
      </c>
      <c r="D57" s="340">
        <v>31</v>
      </c>
      <c r="E57" s="374">
        <v>8877.59</v>
      </c>
      <c r="F57" s="374">
        <v>118698.32000000018</v>
      </c>
      <c r="G57" s="341"/>
      <c r="I57" s="194"/>
      <c r="J57" s="340">
        <v>2022.06</v>
      </c>
      <c r="K57" s="340">
        <v>30</v>
      </c>
      <c r="L57" s="374">
        <v>6145.22</v>
      </c>
      <c r="M57" s="374">
        <v>75791.009084874386</v>
      </c>
      <c r="N57" s="341"/>
    </row>
    <row r="58" spans="2:14">
      <c r="B58" s="194"/>
      <c r="C58" s="340"/>
      <c r="D58" s="340"/>
      <c r="E58" s="374">
        <v>124102.56000000001</v>
      </c>
      <c r="F58" s="374"/>
      <c r="G58" s="341"/>
      <c r="I58" s="194"/>
      <c r="J58" s="340">
        <v>2022.07</v>
      </c>
      <c r="K58" s="340">
        <v>31</v>
      </c>
      <c r="L58" s="374">
        <v>5731.58</v>
      </c>
      <c r="M58" s="374">
        <v>70059.429084874384</v>
      </c>
      <c r="N58" s="341"/>
    </row>
    <row r="59" spans="2:14">
      <c r="B59" s="194"/>
      <c r="C59" s="340"/>
      <c r="D59" s="340"/>
      <c r="E59" s="374"/>
      <c r="F59" s="374"/>
      <c r="G59" s="341"/>
      <c r="I59" s="194"/>
      <c r="J59" s="340">
        <v>2022.08</v>
      </c>
      <c r="K59" s="340">
        <v>31</v>
      </c>
      <c r="L59" s="374">
        <v>5583.14</v>
      </c>
      <c r="M59" s="374">
        <v>64476.289084874385</v>
      </c>
      <c r="N59" s="341"/>
    </row>
    <row r="60" spans="2:14">
      <c r="B60" s="194"/>
      <c r="C60" s="340">
        <v>2021.01</v>
      </c>
      <c r="D60" s="340">
        <v>31</v>
      </c>
      <c r="E60" s="374">
        <v>8498.0300000000007</v>
      </c>
      <c r="F60" s="374">
        <v>110200.29000000018</v>
      </c>
      <c r="G60" s="341"/>
      <c r="I60" s="194"/>
      <c r="J60" s="340">
        <v>2022.09</v>
      </c>
      <c r="K60" s="340">
        <v>30</v>
      </c>
      <c r="L60" s="374">
        <v>5403.04</v>
      </c>
      <c r="M60" s="374">
        <v>59073.249084874384</v>
      </c>
      <c r="N60" s="341"/>
    </row>
    <row r="61" spans="2:14">
      <c r="B61" s="194"/>
      <c r="C61" s="340">
        <v>2021.02</v>
      </c>
      <c r="D61" s="340">
        <v>28</v>
      </c>
      <c r="E61" s="374">
        <v>7675.64</v>
      </c>
      <c r="F61" s="374">
        <v>102524.65000000018</v>
      </c>
      <c r="G61" s="341"/>
      <c r="I61" s="194"/>
      <c r="J61" s="340">
        <v>2022.1</v>
      </c>
      <c r="K61" s="340">
        <v>31</v>
      </c>
      <c r="L61" s="374">
        <v>5020.32</v>
      </c>
      <c r="M61" s="374">
        <v>54052.929084874384</v>
      </c>
      <c r="N61" s="341"/>
    </row>
    <row r="62" spans="2:14">
      <c r="B62" s="194"/>
      <c r="C62" s="340">
        <v>2021.03</v>
      </c>
      <c r="D62" s="340">
        <v>31</v>
      </c>
      <c r="E62" s="374">
        <v>7890.18</v>
      </c>
      <c r="F62" s="374">
        <v>94634.470000000176</v>
      </c>
      <c r="G62" s="341"/>
      <c r="I62" s="194"/>
      <c r="J62" s="340">
        <v>2022.11</v>
      </c>
      <c r="K62" s="340">
        <v>30</v>
      </c>
      <c r="L62" s="374">
        <v>4727.66</v>
      </c>
      <c r="M62" s="374">
        <v>49325.26908487438</v>
      </c>
      <c r="N62" s="341"/>
    </row>
    <row r="63" spans="2:14">
      <c r="B63" s="194"/>
      <c r="C63" s="340">
        <v>2021.04</v>
      </c>
      <c r="D63" s="340">
        <v>30</v>
      </c>
      <c r="E63" s="374">
        <v>7151.22</v>
      </c>
      <c r="F63" s="374">
        <v>87483.250000000175</v>
      </c>
      <c r="G63" s="341"/>
      <c r="I63" s="194"/>
      <c r="J63" s="340">
        <v>2022.12</v>
      </c>
      <c r="K63" s="340">
        <v>31</v>
      </c>
      <c r="L63" s="374">
        <v>4885.25</v>
      </c>
      <c r="M63" s="374">
        <v>44440.01908487438</v>
      </c>
      <c r="N63" s="341"/>
    </row>
    <row r="64" spans="2:14">
      <c r="B64" s="194"/>
      <c r="C64" s="340">
        <v>2021.05</v>
      </c>
      <c r="D64" s="340">
        <v>31</v>
      </c>
      <c r="E64" s="374">
        <v>7389.59</v>
      </c>
      <c r="F64" s="374">
        <v>80093.660000000178</v>
      </c>
      <c r="G64" s="341"/>
      <c r="I64" s="194"/>
      <c r="J64" s="340"/>
      <c r="K64" s="340"/>
      <c r="L64" s="374">
        <v>70959.92</v>
      </c>
      <c r="M64" s="374"/>
      <c r="N64" s="341"/>
    </row>
    <row r="65" spans="2:14">
      <c r="B65" s="194"/>
      <c r="C65" s="340">
        <v>2021.06</v>
      </c>
      <c r="D65" s="340">
        <v>30</v>
      </c>
      <c r="E65" s="374">
        <v>6674.47</v>
      </c>
      <c r="F65" s="374">
        <v>73419.190000000177</v>
      </c>
      <c r="G65" s="341"/>
      <c r="I65" s="194"/>
      <c r="J65" s="340">
        <v>2023.01</v>
      </c>
      <c r="K65" s="340">
        <v>31</v>
      </c>
      <c r="L65" s="374">
        <v>4397.47</v>
      </c>
      <c r="M65" s="374">
        <v>40042.549084874379</v>
      </c>
      <c r="N65" s="341"/>
    </row>
    <row r="66" spans="2:14">
      <c r="B66" s="194"/>
      <c r="C66" s="340">
        <v>2021.07</v>
      </c>
      <c r="D66" s="340">
        <v>31</v>
      </c>
      <c r="E66" s="374">
        <v>6465.89</v>
      </c>
      <c r="F66" s="374">
        <v>66953.300000000178</v>
      </c>
      <c r="G66" s="341"/>
      <c r="I66" s="194"/>
      <c r="J66" s="340">
        <v>2023.02</v>
      </c>
      <c r="K66" s="340">
        <v>28</v>
      </c>
      <c r="L66" s="374">
        <v>3866.17</v>
      </c>
      <c r="M66" s="374">
        <v>36176.379084874381</v>
      </c>
      <c r="N66" s="341"/>
    </row>
    <row r="67" spans="2:14">
      <c r="B67" s="194"/>
      <c r="C67" s="340">
        <v>2021.08</v>
      </c>
      <c r="D67" s="340">
        <v>31</v>
      </c>
      <c r="E67" s="374">
        <v>6465.89</v>
      </c>
      <c r="F67" s="374">
        <v>60487.410000000178</v>
      </c>
      <c r="G67" s="341"/>
      <c r="I67" s="194"/>
      <c r="J67" s="340">
        <v>2023.03</v>
      </c>
      <c r="K67" s="340">
        <v>31</v>
      </c>
      <c r="L67" s="374">
        <v>4280.41</v>
      </c>
      <c r="M67" s="374">
        <v>31895.969084874381</v>
      </c>
      <c r="N67" s="341"/>
    </row>
    <row r="68" spans="2:14">
      <c r="B68" s="194"/>
      <c r="C68" s="340">
        <v>2021.09</v>
      </c>
      <c r="D68" s="340">
        <v>30</v>
      </c>
      <c r="E68" s="374">
        <v>5812</v>
      </c>
      <c r="F68" s="374">
        <v>54675.410000000178</v>
      </c>
      <c r="G68" s="341"/>
      <c r="I68" s="194"/>
      <c r="J68" s="340">
        <v>2023.04</v>
      </c>
      <c r="K68" s="340">
        <v>30</v>
      </c>
      <c r="L68" s="374">
        <v>3559.67</v>
      </c>
      <c r="M68" s="374">
        <v>28336.299084874379</v>
      </c>
      <c r="N68" s="341"/>
    </row>
    <row r="69" spans="2:14">
      <c r="B69" s="194"/>
      <c r="C69" s="340">
        <v>2021.1</v>
      </c>
      <c r="D69" s="340">
        <v>31</v>
      </c>
      <c r="E69" s="374">
        <v>5603.1</v>
      </c>
      <c r="F69" s="374">
        <v>49072.31000000018</v>
      </c>
      <c r="G69" s="341"/>
      <c r="I69" s="194"/>
      <c r="J69" s="340">
        <v>2023.05</v>
      </c>
      <c r="K69" s="340">
        <v>31</v>
      </c>
      <c r="L69" s="374">
        <v>3527.81</v>
      </c>
      <c r="M69" s="374">
        <v>24808.489084874378</v>
      </c>
      <c r="N69" s="341"/>
    </row>
    <row r="70" spans="2:14">
      <c r="B70" s="194"/>
      <c r="C70" s="340">
        <v>2021.11</v>
      </c>
      <c r="D70" s="340">
        <v>30</v>
      </c>
      <c r="E70" s="374">
        <v>5422.35</v>
      </c>
      <c r="F70" s="374">
        <v>43649.960000000181</v>
      </c>
      <c r="G70" s="341"/>
      <c r="I70" s="194"/>
      <c r="J70" s="340">
        <v>2023.06</v>
      </c>
      <c r="K70" s="340">
        <v>30</v>
      </c>
      <c r="L70" s="374">
        <v>3414.01</v>
      </c>
      <c r="M70" s="374">
        <v>21394.47908487438</v>
      </c>
      <c r="N70" s="341"/>
    </row>
    <row r="71" spans="2:14">
      <c r="B71" s="194"/>
      <c r="C71" s="340">
        <v>2021.12</v>
      </c>
      <c r="D71" s="340">
        <v>31</v>
      </c>
      <c r="E71" s="374">
        <v>5119.4399999999996</v>
      </c>
      <c r="F71" s="374">
        <v>38530.520000000179</v>
      </c>
      <c r="G71" s="341"/>
      <c r="I71" s="194"/>
      <c r="J71" s="340">
        <v>2023.07</v>
      </c>
      <c r="K71" s="340">
        <v>31</v>
      </c>
      <c r="L71" s="374">
        <v>2934.07</v>
      </c>
      <c r="M71" s="374">
        <v>18460.40908487438</v>
      </c>
      <c r="N71" s="341"/>
    </row>
    <row r="72" spans="2:14">
      <c r="B72" s="194"/>
      <c r="C72" s="340"/>
      <c r="D72" s="340"/>
      <c r="E72" s="374">
        <v>80167.800000000017</v>
      </c>
      <c r="F72" s="374"/>
      <c r="G72" s="341"/>
      <c r="I72" s="194"/>
      <c r="J72" s="340">
        <v>2023.08</v>
      </c>
      <c r="K72" s="340">
        <v>31</v>
      </c>
      <c r="L72" s="374">
        <v>2791.57</v>
      </c>
      <c r="M72" s="374">
        <v>15668.83908487438</v>
      </c>
      <c r="N72" s="341"/>
    </row>
    <row r="73" spans="2:14">
      <c r="B73" s="194"/>
      <c r="C73" s="340"/>
      <c r="D73" s="340"/>
      <c r="E73" s="374"/>
      <c r="F73" s="374"/>
      <c r="G73" s="341"/>
      <c r="I73" s="194"/>
      <c r="J73" s="340">
        <v>2023.09</v>
      </c>
      <c r="K73" s="340">
        <v>30</v>
      </c>
      <c r="L73" s="374">
        <v>2701.52</v>
      </c>
      <c r="M73" s="374">
        <v>12967.31908487438</v>
      </c>
      <c r="N73" s="341"/>
    </row>
    <row r="74" spans="2:14">
      <c r="B74" s="194"/>
      <c r="C74" s="340">
        <v>2022.01</v>
      </c>
      <c r="D74" s="340">
        <v>31</v>
      </c>
      <c r="E74" s="374">
        <v>4721.13</v>
      </c>
      <c r="F74" s="374">
        <v>33809.390000000181</v>
      </c>
      <c r="G74" s="341"/>
      <c r="I74" s="194"/>
      <c r="J74" s="340">
        <v>2023.1</v>
      </c>
      <c r="K74" s="340">
        <v>31</v>
      </c>
      <c r="L74" s="374">
        <v>2228.75</v>
      </c>
      <c r="M74" s="374">
        <v>10738.56908487438</v>
      </c>
      <c r="N74" s="341"/>
    </row>
    <row r="75" spans="2:14">
      <c r="B75" s="194"/>
      <c r="C75" s="340">
        <v>2022.02</v>
      </c>
      <c r="D75" s="340">
        <v>28</v>
      </c>
      <c r="E75" s="374">
        <v>4264.24</v>
      </c>
      <c r="F75" s="374">
        <v>29545.150000000183</v>
      </c>
      <c r="G75" s="341"/>
      <c r="I75" s="194"/>
      <c r="J75" s="340">
        <v>2023.11</v>
      </c>
      <c r="K75" s="340">
        <v>30</v>
      </c>
      <c r="L75" s="374">
        <v>2026.14</v>
      </c>
      <c r="M75" s="374">
        <v>8712.4290848743804</v>
      </c>
      <c r="N75" s="341"/>
    </row>
    <row r="76" spans="2:14">
      <c r="B76" s="194"/>
      <c r="C76" s="340">
        <v>2022.03</v>
      </c>
      <c r="D76" s="340">
        <v>31</v>
      </c>
      <c r="E76" s="374">
        <v>4158.3</v>
      </c>
      <c r="F76" s="374">
        <v>25386.850000000184</v>
      </c>
      <c r="G76" s="341"/>
      <c r="I76" s="194"/>
      <c r="J76" s="340">
        <v>2023.12</v>
      </c>
      <c r="K76" s="340">
        <v>31</v>
      </c>
      <c r="L76" s="374">
        <v>2093.6799999999998</v>
      </c>
      <c r="M76" s="374">
        <v>6618.7490848743801</v>
      </c>
      <c r="N76" s="341"/>
    </row>
    <row r="77" spans="2:14">
      <c r="B77" s="194"/>
      <c r="C77" s="340">
        <v>2022.04</v>
      </c>
      <c r="D77" s="340">
        <v>30</v>
      </c>
      <c r="E77" s="374">
        <v>3575.61</v>
      </c>
      <c r="F77" s="374">
        <v>21811.240000000183</v>
      </c>
      <c r="G77" s="341"/>
      <c r="I77" s="194"/>
      <c r="J77" s="340"/>
      <c r="K77" s="340"/>
      <c r="L77" s="374">
        <v>37821.269999999997</v>
      </c>
      <c r="M77" s="374"/>
      <c r="N77" s="341"/>
    </row>
    <row r="78" spans="2:14">
      <c r="B78" s="194"/>
      <c r="C78" s="340">
        <v>2022.05</v>
      </c>
      <c r="D78" s="340">
        <v>31</v>
      </c>
      <c r="E78" s="374">
        <v>3694.8</v>
      </c>
      <c r="F78" s="374">
        <v>18116.440000000184</v>
      </c>
      <c r="G78" s="341"/>
      <c r="I78" s="194"/>
      <c r="J78" s="340">
        <v>2024.01</v>
      </c>
      <c r="K78" s="340">
        <v>31</v>
      </c>
      <c r="L78" s="374">
        <v>1555.88</v>
      </c>
      <c r="M78" s="374">
        <v>5062.86908487438</v>
      </c>
      <c r="N78" s="341"/>
    </row>
    <row r="79" spans="2:14">
      <c r="B79" s="194"/>
      <c r="C79" s="340">
        <v>2022.06</v>
      </c>
      <c r="D79" s="340">
        <v>30</v>
      </c>
      <c r="E79" s="374">
        <v>3098.86</v>
      </c>
      <c r="F79" s="374">
        <v>15017.580000000184</v>
      </c>
      <c r="G79" s="341"/>
      <c r="I79" s="194"/>
      <c r="J79" s="340">
        <v>2024.02</v>
      </c>
      <c r="K79" s="340">
        <v>28</v>
      </c>
      <c r="L79" s="374">
        <v>1288.72</v>
      </c>
      <c r="M79" s="374">
        <v>3774.1490848743797</v>
      </c>
      <c r="N79" s="341"/>
    </row>
    <row r="80" spans="2:14">
      <c r="B80" s="194"/>
      <c r="C80" s="340">
        <v>2022.07</v>
      </c>
      <c r="D80" s="340">
        <v>31</v>
      </c>
      <c r="E80" s="374">
        <v>2771.1</v>
      </c>
      <c r="F80" s="374">
        <v>12246.480000000183</v>
      </c>
      <c r="G80" s="341"/>
      <c r="I80" s="194"/>
      <c r="J80" s="340">
        <v>2024.03</v>
      </c>
      <c r="K80" s="340">
        <v>31</v>
      </c>
      <c r="L80" s="374">
        <v>1426.8</v>
      </c>
      <c r="M80" s="374">
        <v>2347.3490848743795</v>
      </c>
      <c r="N80" s="341"/>
    </row>
    <row r="81" spans="2:14">
      <c r="B81" s="194"/>
      <c r="C81" s="340">
        <v>2022.08</v>
      </c>
      <c r="D81" s="340">
        <v>31</v>
      </c>
      <c r="E81" s="374">
        <v>2771.1</v>
      </c>
      <c r="F81" s="374">
        <v>9475.3800000001829</v>
      </c>
      <c r="G81" s="341"/>
      <c r="I81" s="194"/>
      <c r="J81" s="340">
        <v>2024.04</v>
      </c>
      <c r="K81" s="340">
        <v>30</v>
      </c>
      <c r="L81" s="374">
        <v>822.4</v>
      </c>
      <c r="M81" s="374">
        <v>1524.9490848743794</v>
      </c>
      <c r="N81" s="341"/>
    </row>
    <row r="82" spans="2:14">
      <c r="B82" s="194"/>
      <c r="C82" s="340">
        <v>2022.09</v>
      </c>
      <c r="D82" s="340">
        <v>30</v>
      </c>
      <c r="E82" s="374">
        <v>2215.44</v>
      </c>
      <c r="F82" s="374">
        <v>7259.9400000001824</v>
      </c>
      <c r="G82" s="341"/>
      <c r="I82" s="194"/>
      <c r="J82" s="340">
        <v>2024.05</v>
      </c>
      <c r="K82" s="340">
        <v>31</v>
      </c>
      <c r="L82" s="374">
        <v>705.56</v>
      </c>
      <c r="M82" s="374">
        <v>819.38908487437948</v>
      </c>
      <c r="N82" s="341"/>
    </row>
    <row r="83" spans="2:14">
      <c r="B83" s="194"/>
      <c r="C83" s="340">
        <v>2022.1</v>
      </c>
      <c r="D83" s="340">
        <v>31</v>
      </c>
      <c r="E83" s="374">
        <v>1867.7</v>
      </c>
      <c r="F83" s="374">
        <v>5392.2400000001826</v>
      </c>
      <c r="G83" s="341"/>
      <c r="I83" s="194"/>
      <c r="J83" s="340">
        <v>2024.06</v>
      </c>
      <c r="K83" s="340">
        <v>30</v>
      </c>
      <c r="L83" s="374">
        <v>682.8</v>
      </c>
      <c r="M83" s="374">
        <v>136.58908487437952</v>
      </c>
      <c r="N83" s="341"/>
    </row>
    <row r="84" spans="2:14">
      <c r="B84" s="194"/>
      <c r="C84" s="340">
        <v>2022.11</v>
      </c>
      <c r="D84" s="340">
        <v>30</v>
      </c>
      <c r="E84" s="374">
        <v>1807.45</v>
      </c>
      <c r="F84" s="374">
        <v>3584.7900000001828</v>
      </c>
      <c r="G84" s="341"/>
      <c r="I84" s="194"/>
      <c r="J84" s="340">
        <v>2024.07</v>
      </c>
      <c r="K84" s="340">
        <v>6</v>
      </c>
      <c r="L84" s="374">
        <v>136.58908487408422</v>
      </c>
      <c r="M84" s="374">
        <v>2.9530156098189764E-10</v>
      </c>
      <c r="N84" s="341"/>
    </row>
    <row r="85" spans="2:14">
      <c r="B85" s="194"/>
      <c r="C85" s="340">
        <v>2022.12</v>
      </c>
      <c r="D85" s="340">
        <v>31</v>
      </c>
      <c r="E85" s="374">
        <v>1361.28</v>
      </c>
      <c r="F85" s="374">
        <v>2223.510000000183</v>
      </c>
      <c r="G85" s="341"/>
      <c r="I85" s="194"/>
      <c r="J85" s="340"/>
      <c r="K85" s="340"/>
      <c r="L85" s="374">
        <v>6618.7490848740854</v>
      </c>
      <c r="M85" s="374"/>
      <c r="N85" s="341"/>
    </row>
    <row r="86" spans="2:14">
      <c r="B86" s="194"/>
      <c r="C86" s="340"/>
      <c r="D86" s="340"/>
      <c r="E86" s="374">
        <v>36307.009999999987</v>
      </c>
      <c r="F86" s="374"/>
      <c r="G86" s="341"/>
      <c r="I86" s="194"/>
      <c r="J86" s="340"/>
      <c r="K86" s="340"/>
      <c r="L86" s="374"/>
      <c r="M86" s="374"/>
      <c r="N86" s="341"/>
    </row>
    <row r="87" spans="2:14">
      <c r="B87" s="194"/>
      <c r="C87" s="340"/>
      <c r="D87" s="340"/>
      <c r="E87" s="374"/>
      <c r="F87" s="374"/>
      <c r="G87" s="341"/>
      <c r="I87" s="194"/>
      <c r="J87" s="340"/>
      <c r="K87" s="340"/>
      <c r="L87" s="374"/>
      <c r="M87" s="374"/>
      <c r="N87" s="341"/>
    </row>
    <row r="88" spans="2:14">
      <c r="B88" s="194"/>
      <c r="C88" s="340">
        <v>2023.01</v>
      </c>
      <c r="D88" s="340">
        <v>31</v>
      </c>
      <c r="E88" s="374">
        <v>944.23</v>
      </c>
      <c r="F88" s="374">
        <v>1279.280000000183</v>
      </c>
      <c r="G88" s="341"/>
      <c r="I88" s="194"/>
      <c r="J88" s="340"/>
      <c r="K88" s="340"/>
      <c r="L88" s="374"/>
      <c r="M88" s="374"/>
      <c r="N88" s="341"/>
    </row>
    <row r="89" spans="2:14">
      <c r="B89" s="194"/>
      <c r="C89" s="340">
        <v>2023.02</v>
      </c>
      <c r="D89" s="340">
        <v>28</v>
      </c>
      <c r="E89" s="374">
        <v>852.85</v>
      </c>
      <c r="F89" s="374">
        <v>426.43000000018299</v>
      </c>
      <c r="G89" s="341"/>
      <c r="I89" s="194"/>
      <c r="J89" s="340"/>
      <c r="K89" s="340"/>
      <c r="L89" s="374"/>
      <c r="M89" s="374"/>
      <c r="N89" s="341"/>
    </row>
    <row r="90" spans="2:14">
      <c r="B90" s="194"/>
      <c r="C90" s="340">
        <v>2023.03</v>
      </c>
      <c r="D90" s="340">
        <v>14</v>
      </c>
      <c r="E90" s="374">
        <v>426.43</v>
      </c>
      <c r="F90" s="374">
        <v>1.82978965312941E-10</v>
      </c>
      <c r="G90" s="341"/>
      <c r="I90" s="194"/>
      <c r="J90" s="340"/>
      <c r="K90" s="340"/>
      <c r="L90" s="374"/>
      <c r="M90" s="374"/>
      <c r="N90" s="341"/>
    </row>
    <row r="91" spans="2:14">
      <c r="B91" s="194"/>
      <c r="C91" s="340"/>
      <c r="D91" s="340"/>
      <c r="E91" s="374">
        <v>2223.5099999999998</v>
      </c>
      <c r="F91" s="374"/>
      <c r="G91" s="341"/>
      <c r="I91" s="194"/>
      <c r="J91" s="340"/>
      <c r="K91" s="340"/>
      <c r="L91" s="374"/>
      <c r="M91" s="374"/>
      <c r="N91" s="341"/>
    </row>
    <row r="92" spans="2:14">
      <c r="B92" s="194"/>
      <c r="C92" s="340"/>
      <c r="D92" s="340"/>
      <c r="E92" s="374">
        <v>794977</v>
      </c>
      <c r="F92" s="374"/>
      <c r="G92" s="341"/>
      <c r="I92" s="194"/>
      <c r="J92" s="340"/>
      <c r="K92" s="340"/>
      <c r="L92" s="374"/>
      <c r="M92" s="374"/>
      <c r="N92" s="341"/>
    </row>
    <row r="93" spans="2:14" ht="15.75" thickBot="1">
      <c r="B93" s="342"/>
      <c r="C93" s="375"/>
      <c r="D93" s="375"/>
      <c r="E93" s="376"/>
      <c r="F93" s="376"/>
      <c r="G93" s="343"/>
      <c r="I93" s="342"/>
      <c r="J93" s="375"/>
      <c r="K93" s="375"/>
      <c r="L93" s="376"/>
      <c r="M93" s="376"/>
      <c r="N93" s="3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67"/>
  <sheetViews>
    <sheetView view="pageBreakPreview" zoomScale="60" zoomScaleNormal="78" workbookViewId="0">
      <selection activeCell="J20" sqref="J20:J30"/>
    </sheetView>
  </sheetViews>
  <sheetFormatPr baseColWidth="10" defaultRowHeight="15"/>
  <cols>
    <col min="1" max="1" width="14.85546875" style="8" customWidth="1"/>
    <col min="2" max="2" width="12.7109375" style="8" customWidth="1"/>
    <col min="3" max="3" width="33.28515625" style="8" bestFit="1" customWidth="1"/>
    <col min="4" max="4" width="47.7109375" customWidth="1"/>
    <col min="5" max="5" width="13.7109375" style="7" bestFit="1" customWidth="1"/>
    <col min="10" max="10" width="36.85546875" customWidth="1"/>
    <col min="11" max="11" width="14.7109375" style="13" customWidth="1"/>
    <col min="12" max="12" width="13.28515625" style="7" bestFit="1" customWidth="1"/>
    <col min="13" max="13" width="13.85546875" customWidth="1"/>
  </cols>
  <sheetData>
    <row r="2" spans="1:15">
      <c r="B2" s="10"/>
      <c r="D2" s="293"/>
      <c r="E2" s="294"/>
      <c r="L2" s="11" t="s">
        <v>135</v>
      </c>
      <c r="M2" s="8"/>
      <c r="N2" s="8" t="s">
        <v>136</v>
      </c>
    </row>
    <row r="3" spans="1:15">
      <c r="D3" s="296" t="s">
        <v>433</v>
      </c>
      <c r="E3" s="295">
        <f>SUM(E8:E1000)</f>
        <v>475796138</v>
      </c>
      <c r="L3" s="7">
        <f>L9+L15+L19+L32+L34</f>
        <v>475796138</v>
      </c>
      <c r="N3" s="7">
        <f>N9+N15+N19+N32</f>
        <v>725346.53643455287</v>
      </c>
    </row>
    <row r="5" spans="1:15">
      <c r="A5" s="97" t="s">
        <v>594</v>
      </c>
      <c r="B5" s="97" t="s">
        <v>1246</v>
      </c>
      <c r="C5" s="97" t="s">
        <v>588</v>
      </c>
      <c r="D5" s="97" t="s">
        <v>1245</v>
      </c>
      <c r="E5" s="292" t="s">
        <v>135</v>
      </c>
    </row>
    <row r="6" spans="1:15" ht="3.75" customHeight="1"/>
    <row r="7" spans="1:15" ht="15.75" thickBot="1"/>
    <row r="8" spans="1:15">
      <c r="A8" s="233">
        <v>60154000</v>
      </c>
      <c r="B8" s="233" t="s">
        <v>99</v>
      </c>
      <c r="C8" s="312" t="s">
        <v>111</v>
      </c>
      <c r="D8" s="239" t="s">
        <v>3</v>
      </c>
      <c r="E8" s="240">
        <v>12350</v>
      </c>
      <c r="I8" s="141"/>
      <c r="J8" s="60"/>
      <c r="K8" s="60"/>
      <c r="L8" s="59"/>
      <c r="M8" s="60"/>
      <c r="N8" s="60"/>
      <c r="O8" s="169"/>
    </row>
    <row r="9" spans="1:15">
      <c r="A9" s="233">
        <v>60151000</v>
      </c>
      <c r="B9" s="233" t="s">
        <v>99</v>
      </c>
      <c r="C9" s="312" t="s">
        <v>115</v>
      </c>
      <c r="D9" s="239" t="s">
        <v>1</v>
      </c>
      <c r="E9" s="240">
        <v>360140</v>
      </c>
      <c r="I9" s="104"/>
      <c r="J9" s="165" t="s">
        <v>132</v>
      </c>
      <c r="K9" s="52"/>
      <c r="L9" s="139">
        <f>SUM(L10:L13)</f>
        <v>239236175</v>
      </c>
      <c r="M9" s="52"/>
      <c r="N9" s="139">
        <f>L9/655.957</f>
        <v>364713.19766387128</v>
      </c>
      <c r="O9" s="40"/>
    </row>
    <row r="10" spans="1:15">
      <c r="A10" s="233">
        <v>60152000</v>
      </c>
      <c r="B10" s="233" t="s">
        <v>99</v>
      </c>
      <c r="C10" s="312" t="s">
        <v>110</v>
      </c>
      <c r="D10" s="239" t="s">
        <v>2</v>
      </c>
      <c r="E10" s="240">
        <v>8188978</v>
      </c>
      <c r="I10" s="104"/>
      <c r="J10" s="168" t="s">
        <v>114</v>
      </c>
      <c r="K10" s="168"/>
      <c r="L10" s="21">
        <f>SUMIF($C$5:$C$1000,J10,$E$5:$E$1000)</f>
        <v>0</v>
      </c>
      <c r="M10" s="52"/>
      <c r="N10" s="21">
        <f t="shared" ref="N10:N30" si="0">L10/655.957</f>
        <v>0</v>
      </c>
      <c r="O10" s="40"/>
    </row>
    <row r="11" spans="1:15">
      <c r="A11" s="233">
        <v>60154000</v>
      </c>
      <c r="B11" s="233" t="s">
        <v>99</v>
      </c>
      <c r="C11" s="312" t="s">
        <v>111</v>
      </c>
      <c r="D11" s="239" t="s">
        <v>3</v>
      </c>
      <c r="E11" s="240">
        <v>2933729</v>
      </c>
      <c r="I11" s="104"/>
      <c r="J11" s="168" t="s">
        <v>130</v>
      </c>
      <c r="K11" s="168"/>
      <c r="L11" s="21">
        <f t="shared" ref="L11:L13" si="1">SUMIF($C$5:$C$1000,J11,$E$5:$E$1000)</f>
        <v>0</v>
      </c>
      <c r="M11" s="52"/>
      <c r="N11" s="21">
        <f t="shared" si="0"/>
        <v>0</v>
      </c>
      <c r="O11" s="40"/>
    </row>
    <row r="12" spans="1:15">
      <c r="A12" s="233">
        <v>60330000</v>
      </c>
      <c r="B12" s="233" t="s">
        <v>99</v>
      </c>
      <c r="C12" s="312" t="s">
        <v>112</v>
      </c>
      <c r="D12" s="239" t="s">
        <v>4</v>
      </c>
      <c r="E12" s="240">
        <v>-69170128</v>
      </c>
      <c r="I12" s="104"/>
      <c r="J12" s="168" t="s">
        <v>112</v>
      </c>
      <c r="K12" s="168"/>
      <c r="L12" s="21">
        <f>SUMIF($C$5:$C$1000,J12,$E$5:$E$1000)</f>
        <v>67747250</v>
      </c>
      <c r="M12" s="52"/>
      <c r="N12" s="21">
        <f t="shared" si="0"/>
        <v>103280.0168303715</v>
      </c>
      <c r="O12" s="40"/>
    </row>
    <row r="13" spans="1:15">
      <c r="A13" s="233">
        <v>60340000</v>
      </c>
      <c r="B13" s="233" t="s">
        <v>99</v>
      </c>
      <c r="C13" s="312" t="s">
        <v>113</v>
      </c>
      <c r="D13" s="239" t="s">
        <v>5</v>
      </c>
      <c r="E13" s="240">
        <v>28899368</v>
      </c>
      <c r="I13" s="104"/>
      <c r="J13" s="168" t="s">
        <v>113</v>
      </c>
      <c r="K13" s="168"/>
      <c r="L13" s="21">
        <f t="shared" si="1"/>
        <v>171488925</v>
      </c>
      <c r="M13" s="52"/>
      <c r="N13" s="21">
        <f t="shared" si="0"/>
        <v>261433.18083349976</v>
      </c>
      <c r="O13" s="40"/>
    </row>
    <row r="14" spans="1:15">
      <c r="A14" s="233">
        <v>60420000</v>
      </c>
      <c r="B14" s="233" t="s">
        <v>99</v>
      </c>
      <c r="C14" s="312" t="s">
        <v>112</v>
      </c>
      <c r="D14" s="239" t="s">
        <v>1773</v>
      </c>
      <c r="E14" s="240">
        <v>214378</v>
      </c>
      <c r="I14" s="104"/>
      <c r="J14" s="52"/>
      <c r="K14" s="52"/>
      <c r="L14" s="21"/>
      <c r="M14" s="52"/>
      <c r="N14" s="21"/>
      <c r="O14" s="40"/>
    </row>
    <row r="15" spans="1:15">
      <c r="A15" s="233">
        <v>60530000</v>
      </c>
      <c r="B15" s="233" t="s">
        <v>99</v>
      </c>
      <c r="C15" s="312" t="s">
        <v>112</v>
      </c>
      <c r="D15" s="239" t="s">
        <v>10</v>
      </c>
      <c r="E15" s="240">
        <v>83000</v>
      </c>
      <c r="I15" s="104"/>
      <c r="J15" s="165" t="s">
        <v>133</v>
      </c>
      <c r="K15" s="52"/>
      <c r="L15" s="139">
        <f>SUM(L16:L17)</f>
        <v>85057467</v>
      </c>
      <c r="M15" s="52"/>
      <c r="N15" s="139">
        <f t="shared" si="0"/>
        <v>129669.27252853465</v>
      </c>
      <c r="O15" s="40"/>
    </row>
    <row r="16" spans="1:15">
      <c r="A16" s="233">
        <v>60531000</v>
      </c>
      <c r="B16" s="233" t="s">
        <v>99</v>
      </c>
      <c r="C16" s="312" t="s">
        <v>112</v>
      </c>
      <c r="D16" s="239" t="s">
        <v>11</v>
      </c>
      <c r="E16" s="240">
        <v>136620000</v>
      </c>
      <c r="I16" s="104"/>
      <c r="J16" s="168" t="s">
        <v>121</v>
      </c>
      <c r="K16" s="168"/>
      <c r="L16" s="21">
        <f>SUMIF($C$5:$C$1000,J16,$E$5:$E$1000)</f>
        <v>68813376</v>
      </c>
      <c r="M16" s="52"/>
      <c r="N16" s="21">
        <f t="shared" si="0"/>
        <v>104905.31543988401</v>
      </c>
      <c r="O16" s="40"/>
    </row>
    <row r="17" spans="1:15">
      <c r="A17" s="233">
        <v>60561000</v>
      </c>
      <c r="B17" s="233" t="s">
        <v>99</v>
      </c>
      <c r="C17" s="312" t="s">
        <v>113</v>
      </c>
      <c r="D17" s="239" t="s">
        <v>14</v>
      </c>
      <c r="E17" s="240">
        <v>12776614</v>
      </c>
      <c r="I17" s="104"/>
      <c r="J17" s="168" t="s">
        <v>122</v>
      </c>
      <c r="K17" s="168"/>
      <c r="L17" s="21">
        <f>SUMIF($C$5:$C$1000,J17,$E$5:$E$1000)</f>
        <v>16244091</v>
      </c>
      <c r="M17" s="52"/>
      <c r="N17" s="21">
        <f t="shared" si="0"/>
        <v>24763.95708865063</v>
      </c>
      <c r="O17" s="40"/>
    </row>
    <row r="18" spans="1:15">
      <c r="A18" s="233">
        <v>60562000</v>
      </c>
      <c r="B18" s="233" t="s">
        <v>99</v>
      </c>
      <c r="C18" s="312" t="s">
        <v>113</v>
      </c>
      <c r="D18" s="239" t="s">
        <v>15</v>
      </c>
      <c r="E18" s="240">
        <v>77073951</v>
      </c>
      <c r="I18" s="104"/>
      <c r="J18" s="52"/>
      <c r="K18" s="52"/>
      <c r="L18" s="21"/>
      <c r="M18" s="52"/>
      <c r="N18" s="21"/>
      <c r="O18" s="40"/>
    </row>
    <row r="19" spans="1:15">
      <c r="A19" s="233">
        <v>60567000</v>
      </c>
      <c r="B19" s="233" t="s">
        <v>99</v>
      </c>
      <c r="C19" s="312" t="s">
        <v>113</v>
      </c>
      <c r="D19" s="239" t="s">
        <v>1782</v>
      </c>
      <c r="E19" s="240">
        <v>2704421</v>
      </c>
      <c r="I19" s="104"/>
      <c r="J19" s="165" t="s">
        <v>134</v>
      </c>
      <c r="K19" s="52"/>
      <c r="L19" s="139">
        <f>SUM(L20:L30)</f>
        <v>151120820</v>
      </c>
      <c r="M19" s="52"/>
      <c r="N19" s="139">
        <f t="shared" si="0"/>
        <v>230382.20493111591</v>
      </c>
      <c r="O19" s="40"/>
    </row>
    <row r="20" spans="1:15">
      <c r="A20" s="233">
        <v>60568000</v>
      </c>
      <c r="B20" s="233" t="s">
        <v>99</v>
      </c>
      <c r="C20" s="312" t="s">
        <v>113</v>
      </c>
      <c r="D20" s="239" t="s">
        <v>18</v>
      </c>
      <c r="E20" s="240">
        <v>31046578</v>
      </c>
      <c r="I20" s="104"/>
      <c r="J20" s="168" t="s">
        <v>110</v>
      </c>
      <c r="K20" s="168"/>
      <c r="L20" s="21">
        <f>SUMIF($C$5:$C$1000,J20,$E$5:$E$1000)</f>
        <v>42309979</v>
      </c>
      <c r="M20" s="52"/>
      <c r="N20" s="21">
        <f t="shared" si="0"/>
        <v>64501.147178854713</v>
      </c>
      <c r="O20" s="40"/>
    </row>
    <row r="21" spans="1:15">
      <c r="A21" s="233">
        <v>60569000</v>
      </c>
      <c r="B21" s="233" t="s">
        <v>99</v>
      </c>
      <c r="C21" s="312" t="s">
        <v>113</v>
      </c>
      <c r="D21" s="239" t="s">
        <v>19</v>
      </c>
      <c r="E21" s="240">
        <v>13692833</v>
      </c>
      <c r="I21" s="104"/>
      <c r="J21" s="168" t="s">
        <v>123</v>
      </c>
      <c r="K21" s="168"/>
      <c r="L21" s="21">
        <f t="shared" ref="L21:L30" si="2">SUMIF($C$5:$C$1000,J21,$E$5:$E$1000)</f>
        <v>368185</v>
      </c>
      <c r="M21" s="52"/>
      <c r="N21" s="21">
        <f t="shared" si="0"/>
        <v>561.29441411555945</v>
      </c>
      <c r="O21" s="40"/>
    </row>
    <row r="22" spans="1:15">
      <c r="A22" s="233">
        <v>61600000</v>
      </c>
      <c r="B22" s="233" t="s">
        <v>99</v>
      </c>
      <c r="C22" s="312" t="s">
        <v>115</v>
      </c>
      <c r="D22" s="239" t="s">
        <v>23</v>
      </c>
      <c r="E22" s="240">
        <v>21536</v>
      </c>
      <c r="I22" s="104"/>
      <c r="J22" s="168" t="s">
        <v>111</v>
      </c>
      <c r="K22" s="168"/>
      <c r="L22" s="21">
        <f t="shared" si="2"/>
        <v>19335326</v>
      </c>
      <c r="M22" s="52"/>
      <c r="N22" s="21">
        <f t="shared" si="0"/>
        <v>29476.514466649493</v>
      </c>
      <c r="O22" s="40"/>
    </row>
    <row r="23" spans="1:15">
      <c r="A23" s="233">
        <v>61810000</v>
      </c>
      <c r="B23" s="233" t="s">
        <v>99</v>
      </c>
      <c r="C23" s="312" t="s">
        <v>110</v>
      </c>
      <c r="D23" s="239" t="s">
        <v>24</v>
      </c>
      <c r="E23" s="240">
        <v>732700</v>
      </c>
      <c r="I23" s="104"/>
      <c r="J23" s="168" t="s">
        <v>118</v>
      </c>
      <c r="K23" s="168"/>
      <c r="L23" s="21">
        <f t="shared" si="2"/>
        <v>4974826</v>
      </c>
      <c r="M23" s="52"/>
      <c r="N23" s="21">
        <f t="shared" si="0"/>
        <v>7584.0733462711732</v>
      </c>
      <c r="O23" s="40"/>
    </row>
    <row r="24" spans="1:15">
      <c r="A24" s="233">
        <v>61820000</v>
      </c>
      <c r="B24" s="233" t="s">
        <v>99</v>
      </c>
      <c r="C24" s="312" t="s">
        <v>110</v>
      </c>
      <c r="D24" s="239" t="s">
        <v>25</v>
      </c>
      <c r="E24" s="240">
        <v>16181880</v>
      </c>
      <c r="I24" s="104"/>
      <c r="J24" s="168" t="s">
        <v>119</v>
      </c>
      <c r="K24" s="168"/>
      <c r="L24" s="21">
        <f t="shared" si="2"/>
        <v>33860210</v>
      </c>
      <c r="M24" s="52"/>
      <c r="N24" s="21">
        <f t="shared" si="0"/>
        <v>51619.55737952335</v>
      </c>
      <c r="O24" s="40"/>
    </row>
    <row r="25" spans="1:15">
      <c r="A25" s="233">
        <v>61821000</v>
      </c>
      <c r="B25" s="233" t="s">
        <v>99</v>
      </c>
      <c r="C25" s="312" t="s">
        <v>110</v>
      </c>
      <c r="D25" s="239" t="s">
        <v>26</v>
      </c>
      <c r="E25" s="240">
        <v>2815736</v>
      </c>
      <c r="I25" s="104"/>
      <c r="J25" s="168" t="s">
        <v>120</v>
      </c>
      <c r="K25" s="168"/>
      <c r="L25" s="21">
        <f t="shared" si="2"/>
        <v>7341259</v>
      </c>
      <c r="M25" s="52"/>
      <c r="N25" s="21">
        <f t="shared" si="0"/>
        <v>11191.677198352942</v>
      </c>
      <c r="O25" s="40"/>
    </row>
    <row r="26" spans="1:15">
      <c r="A26" s="233">
        <v>62230000</v>
      </c>
      <c r="B26" s="233" t="s">
        <v>99</v>
      </c>
      <c r="C26" s="312" t="s">
        <v>111</v>
      </c>
      <c r="D26" s="239" t="s">
        <v>29</v>
      </c>
      <c r="E26" s="240">
        <v>3086985</v>
      </c>
      <c r="I26" s="104"/>
      <c r="J26" s="168" t="s">
        <v>19</v>
      </c>
      <c r="K26" s="168"/>
      <c r="L26" s="21">
        <f t="shared" si="2"/>
        <v>0</v>
      </c>
      <c r="M26" s="52"/>
      <c r="N26" s="21">
        <f t="shared" si="0"/>
        <v>0</v>
      </c>
      <c r="O26" s="40"/>
    </row>
    <row r="27" spans="1:15">
      <c r="A27" s="233">
        <v>62420000</v>
      </c>
      <c r="B27" s="233" t="s">
        <v>99</v>
      </c>
      <c r="C27" s="312" t="s">
        <v>117</v>
      </c>
      <c r="D27" s="239" t="s">
        <v>32</v>
      </c>
      <c r="E27" s="240">
        <v>14426967</v>
      </c>
      <c r="I27" s="104"/>
      <c r="J27" s="168" t="s">
        <v>124</v>
      </c>
      <c r="K27" s="168"/>
      <c r="L27" s="21">
        <f t="shared" si="2"/>
        <v>25484068</v>
      </c>
      <c r="M27" s="52"/>
      <c r="N27" s="21">
        <f t="shared" si="0"/>
        <v>38850.211218113385</v>
      </c>
      <c r="O27" s="40"/>
    </row>
    <row r="28" spans="1:15">
      <c r="A28" s="233">
        <v>62430000</v>
      </c>
      <c r="B28" s="233" t="s">
        <v>99</v>
      </c>
      <c r="C28" s="312" t="s">
        <v>117</v>
      </c>
      <c r="D28" s="239" t="s">
        <v>33</v>
      </c>
      <c r="E28" s="240">
        <v>3020000</v>
      </c>
      <c r="I28" s="104"/>
      <c r="J28" s="168" t="s">
        <v>131</v>
      </c>
      <c r="K28" s="168"/>
      <c r="L28" s="21">
        <f t="shared" si="2"/>
        <v>0</v>
      </c>
      <c r="M28" s="52"/>
      <c r="N28" s="21">
        <f t="shared" si="0"/>
        <v>0</v>
      </c>
      <c r="O28" s="40"/>
    </row>
    <row r="29" spans="1:15">
      <c r="A29" s="233">
        <v>62510000</v>
      </c>
      <c r="B29" s="233" t="s">
        <v>99</v>
      </c>
      <c r="C29" s="312" t="s">
        <v>118</v>
      </c>
      <c r="D29" s="239" t="s">
        <v>560</v>
      </c>
      <c r="E29" s="240">
        <v>54853</v>
      </c>
      <c r="I29" s="104"/>
      <c r="J29" s="168" t="s">
        <v>117</v>
      </c>
      <c r="K29" s="168"/>
      <c r="L29" s="21">
        <f t="shared" si="2"/>
        <v>17446967</v>
      </c>
      <c r="M29" s="52"/>
      <c r="N29" s="21">
        <f t="shared" si="0"/>
        <v>26597.7297292353</v>
      </c>
      <c r="O29" s="40"/>
    </row>
    <row r="30" spans="1:15">
      <c r="A30" s="233">
        <v>62511000</v>
      </c>
      <c r="B30" s="233" t="s">
        <v>99</v>
      </c>
      <c r="C30" s="312" t="s">
        <v>118</v>
      </c>
      <c r="D30" s="239" t="s">
        <v>34</v>
      </c>
      <c r="E30" s="240">
        <v>1005551</v>
      </c>
      <c r="I30" s="104"/>
      <c r="J30" s="168" t="s">
        <v>116</v>
      </c>
      <c r="K30" s="168"/>
      <c r="L30" s="21">
        <f t="shared" si="2"/>
        <v>0</v>
      </c>
      <c r="M30" s="52"/>
      <c r="N30" s="21">
        <f t="shared" si="0"/>
        <v>0</v>
      </c>
      <c r="O30" s="40"/>
    </row>
    <row r="31" spans="1:15">
      <c r="A31" s="233">
        <v>62522000</v>
      </c>
      <c r="B31" s="233" t="s">
        <v>99</v>
      </c>
      <c r="C31" s="312" t="s">
        <v>118</v>
      </c>
      <c r="D31" s="239" t="s">
        <v>36</v>
      </c>
      <c r="E31" s="240">
        <v>3823513</v>
      </c>
      <c r="I31" s="104"/>
      <c r="J31" s="52"/>
      <c r="K31" s="52"/>
      <c r="L31" s="21"/>
      <c r="M31" s="52"/>
      <c r="N31" s="21"/>
      <c r="O31" s="40"/>
    </row>
    <row r="32" spans="1:15">
      <c r="A32" s="233">
        <v>62582000</v>
      </c>
      <c r="B32" s="233" t="s">
        <v>99</v>
      </c>
      <c r="C32" s="312" t="s">
        <v>118</v>
      </c>
      <c r="D32" s="239" t="s">
        <v>37</v>
      </c>
      <c r="E32" s="240">
        <v>90909</v>
      </c>
      <c r="I32" s="104"/>
      <c r="J32" s="52" t="s">
        <v>115</v>
      </c>
      <c r="K32" s="52"/>
      <c r="L32" s="138">
        <f>SUMIF($C$5:$C$1000,J32,$E$5:$E$1000)</f>
        <v>381676</v>
      </c>
      <c r="M32" s="52"/>
      <c r="N32" s="138">
        <f>L32/655.957</f>
        <v>581.86131103105845</v>
      </c>
      <c r="O32" s="40"/>
    </row>
    <row r="33" spans="1:15">
      <c r="A33" s="233">
        <v>62880000</v>
      </c>
      <c r="B33" s="233" t="s">
        <v>99</v>
      </c>
      <c r="C33" s="312" t="s">
        <v>111</v>
      </c>
      <c r="D33" s="239" t="s">
        <v>39</v>
      </c>
      <c r="E33" s="240">
        <v>500004</v>
      </c>
      <c r="I33" s="104"/>
      <c r="J33" s="52"/>
      <c r="K33" s="52"/>
      <c r="L33" s="21"/>
      <c r="M33" s="52"/>
      <c r="N33" s="21"/>
      <c r="O33" s="40"/>
    </row>
    <row r="34" spans="1:15">
      <c r="A34" s="233">
        <v>62883000</v>
      </c>
      <c r="B34" s="233" t="s">
        <v>99</v>
      </c>
      <c r="C34" s="312" t="s">
        <v>113</v>
      </c>
      <c r="D34" s="239" t="s">
        <v>41</v>
      </c>
      <c r="E34" s="240">
        <v>5295160</v>
      </c>
      <c r="I34" s="104"/>
      <c r="J34" s="52" t="s">
        <v>125</v>
      </c>
      <c r="K34" s="52"/>
      <c r="L34" s="138">
        <f>SUMIF($C$1002:$C$1002,J34,$E$8:$E$1002)</f>
        <v>0</v>
      </c>
      <c r="M34" s="52"/>
      <c r="N34" s="138">
        <f>L34/655.957</f>
        <v>0</v>
      </c>
      <c r="O34" s="40"/>
    </row>
    <row r="35" spans="1:15" ht="15.75" thickBot="1">
      <c r="A35" s="233">
        <v>63210000</v>
      </c>
      <c r="B35" s="233" t="s">
        <v>99</v>
      </c>
      <c r="C35" s="312" t="s">
        <v>111</v>
      </c>
      <c r="D35" s="239" t="s">
        <v>43</v>
      </c>
      <c r="E35" s="240">
        <v>4560</v>
      </c>
      <c r="I35" s="147"/>
      <c r="J35" s="65"/>
      <c r="K35" s="65"/>
      <c r="L35" s="108"/>
      <c r="M35" s="65"/>
      <c r="N35" s="65"/>
      <c r="O35" s="170"/>
    </row>
    <row r="36" spans="1:15">
      <c r="A36" s="233">
        <v>63280000</v>
      </c>
      <c r="B36" s="233" t="s">
        <v>99</v>
      </c>
      <c r="C36" s="312" t="s">
        <v>111</v>
      </c>
      <c r="D36" s="239" t="s">
        <v>1795</v>
      </c>
      <c r="E36" s="240">
        <v>70000</v>
      </c>
    </row>
    <row r="37" spans="1:15">
      <c r="A37" s="233">
        <v>63281000</v>
      </c>
      <c r="B37" s="233" t="s">
        <v>99</v>
      </c>
      <c r="C37" s="312" t="s">
        <v>110</v>
      </c>
      <c r="D37" s="239" t="s">
        <v>47</v>
      </c>
      <c r="E37" s="240">
        <v>20702</v>
      </c>
      <c r="K37" s="13" t="s">
        <v>109</v>
      </c>
      <c r="L37" s="235">
        <f>L3-E3</f>
        <v>0</v>
      </c>
      <c r="M37" s="235"/>
      <c r="N37" s="235">
        <f>L37/655.957</f>
        <v>0</v>
      </c>
    </row>
    <row r="38" spans="1:15">
      <c r="A38" s="233">
        <v>63282000</v>
      </c>
      <c r="B38" s="233" t="s">
        <v>99</v>
      </c>
      <c r="C38" s="312" t="s">
        <v>111</v>
      </c>
      <c r="D38" s="239" t="s">
        <v>48</v>
      </c>
      <c r="E38" s="240">
        <v>1285000</v>
      </c>
    </row>
    <row r="39" spans="1:15">
      <c r="A39" s="233">
        <v>63284000</v>
      </c>
      <c r="B39" s="233" t="s">
        <v>99</v>
      </c>
      <c r="C39" s="312" t="s">
        <v>110</v>
      </c>
      <c r="D39" s="239" t="s">
        <v>49</v>
      </c>
      <c r="E39" s="240">
        <v>3793640</v>
      </c>
    </row>
    <row r="40" spans="1:15">
      <c r="A40" s="233">
        <v>63421000</v>
      </c>
      <c r="B40" s="233" t="s">
        <v>99</v>
      </c>
      <c r="C40" s="312" t="s">
        <v>119</v>
      </c>
      <c r="D40" s="239" t="s">
        <v>51</v>
      </c>
      <c r="E40" s="240">
        <v>9029867</v>
      </c>
    </row>
    <row r="41" spans="1:15">
      <c r="A41" s="233">
        <v>63423100</v>
      </c>
      <c r="B41" s="233" t="s">
        <v>99</v>
      </c>
      <c r="C41" s="312" t="s">
        <v>119</v>
      </c>
      <c r="D41" s="239" t="s">
        <v>52</v>
      </c>
      <c r="E41" s="240">
        <v>6434626</v>
      </c>
    </row>
    <row r="42" spans="1:15">
      <c r="A42" s="233">
        <v>63423300</v>
      </c>
      <c r="B42" s="233" t="s">
        <v>99</v>
      </c>
      <c r="C42" s="312" t="s">
        <v>119</v>
      </c>
      <c r="D42" s="239" t="s">
        <v>53</v>
      </c>
      <c r="E42" s="240">
        <v>4570363</v>
      </c>
    </row>
    <row r="43" spans="1:15">
      <c r="A43" s="233">
        <v>63423400</v>
      </c>
      <c r="B43" s="233" t="s">
        <v>99</v>
      </c>
      <c r="C43" s="312" t="s">
        <v>119</v>
      </c>
      <c r="D43" s="239" t="s">
        <v>54</v>
      </c>
      <c r="E43" s="240">
        <v>1239357</v>
      </c>
    </row>
    <row r="44" spans="1:15">
      <c r="A44" s="233">
        <v>63423500</v>
      </c>
      <c r="B44" s="233" t="s">
        <v>99</v>
      </c>
      <c r="C44" s="312" t="s">
        <v>119</v>
      </c>
      <c r="D44" s="239" t="s">
        <v>55</v>
      </c>
      <c r="E44" s="240">
        <v>8656833</v>
      </c>
    </row>
    <row r="45" spans="1:15">
      <c r="A45" s="233">
        <v>63423950</v>
      </c>
      <c r="B45" s="233" t="s">
        <v>99</v>
      </c>
      <c r="C45" s="312" t="s">
        <v>119</v>
      </c>
      <c r="D45" s="239" t="s">
        <v>561</v>
      </c>
      <c r="E45" s="240">
        <v>3929164</v>
      </c>
    </row>
    <row r="46" spans="1:15">
      <c r="A46" s="233">
        <v>63510000</v>
      </c>
      <c r="B46" s="233" t="s">
        <v>99</v>
      </c>
      <c r="C46" s="312" t="s">
        <v>111</v>
      </c>
      <c r="D46" s="239" t="s">
        <v>1796</v>
      </c>
      <c r="E46" s="240">
        <v>1000000</v>
      </c>
    </row>
    <row r="47" spans="1:15">
      <c r="A47" s="233">
        <v>63711000</v>
      </c>
      <c r="B47" s="233" t="s">
        <v>99</v>
      </c>
      <c r="C47" s="312" t="s">
        <v>110</v>
      </c>
      <c r="D47" s="239" t="s">
        <v>562</v>
      </c>
      <c r="E47" s="240">
        <v>7375266</v>
      </c>
    </row>
    <row r="48" spans="1:15">
      <c r="A48" s="233">
        <v>63712000</v>
      </c>
      <c r="B48" s="233" t="s">
        <v>99</v>
      </c>
      <c r="C48" s="312" t="s">
        <v>110</v>
      </c>
      <c r="D48" s="239" t="s">
        <v>57</v>
      </c>
      <c r="E48" s="240">
        <v>3201077</v>
      </c>
    </row>
    <row r="49" spans="1:5">
      <c r="A49" s="233">
        <v>63712001</v>
      </c>
      <c r="B49" s="233" t="s">
        <v>99</v>
      </c>
      <c r="C49" s="312" t="s">
        <v>111</v>
      </c>
      <c r="D49" s="239" t="s">
        <v>58</v>
      </c>
      <c r="E49" s="240">
        <v>9533900</v>
      </c>
    </row>
    <row r="50" spans="1:5">
      <c r="A50" s="233">
        <v>63830060</v>
      </c>
      <c r="B50" s="233" t="s">
        <v>99</v>
      </c>
      <c r="C50" s="312" t="s">
        <v>120</v>
      </c>
      <c r="D50" s="239" t="s">
        <v>61</v>
      </c>
      <c r="E50" s="240">
        <v>91296</v>
      </c>
    </row>
    <row r="51" spans="1:5">
      <c r="A51" s="233">
        <v>63831000</v>
      </c>
      <c r="B51" s="233" t="s">
        <v>99</v>
      </c>
      <c r="C51" s="312" t="s">
        <v>120</v>
      </c>
      <c r="D51" s="239" t="s">
        <v>62</v>
      </c>
      <c r="E51" s="240">
        <v>851320</v>
      </c>
    </row>
    <row r="52" spans="1:5">
      <c r="A52" s="233">
        <v>63832000</v>
      </c>
      <c r="B52" s="233" t="s">
        <v>99</v>
      </c>
      <c r="C52" s="312" t="s">
        <v>120</v>
      </c>
      <c r="D52" s="239" t="s">
        <v>63</v>
      </c>
      <c r="E52" s="240">
        <v>6398643</v>
      </c>
    </row>
    <row r="53" spans="1:5">
      <c r="A53" s="233">
        <v>64110000</v>
      </c>
      <c r="B53" s="233" t="s">
        <v>99</v>
      </c>
      <c r="C53" s="312" t="s">
        <v>122</v>
      </c>
      <c r="D53" s="239" t="s">
        <v>65</v>
      </c>
      <c r="E53" s="240">
        <v>18700</v>
      </c>
    </row>
    <row r="54" spans="1:5">
      <c r="A54" s="233">
        <v>64112000</v>
      </c>
      <c r="B54" s="233" t="s">
        <v>99</v>
      </c>
      <c r="C54" s="312" t="s">
        <v>121</v>
      </c>
      <c r="D54" s="239" t="s">
        <v>66</v>
      </c>
      <c r="E54" s="240">
        <v>26586988</v>
      </c>
    </row>
    <row r="55" spans="1:5">
      <c r="A55" s="233">
        <v>64113000</v>
      </c>
      <c r="B55" s="233" t="s">
        <v>99</v>
      </c>
      <c r="C55" s="312" t="s">
        <v>111</v>
      </c>
      <c r="D55" s="239" t="s">
        <v>1797</v>
      </c>
      <c r="E55" s="240">
        <v>150976</v>
      </c>
    </row>
    <row r="56" spans="1:5">
      <c r="A56" s="233">
        <v>64782000</v>
      </c>
      <c r="B56" s="233" t="s">
        <v>99</v>
      </c>
      <c r="C56" s="312" t="s">
        <v>111</v>
      </c>
      <c r="D56" s="239" t="s">
        <v>1798</v>
      </c>
      <c r="E56" s="240">
        <v>1040000</v>
      </c>
    </row>
    <row r="57" spans="1:5">
      <c r="A57" s="233">
        <v>66110000</v>
      </c>
      <c r="B57" s="233" t="s">
        <v>99</v>
      </c>
      <c r="C57" s="312" t="s">
        <v>122</v>
      </c>
      <c r="D57" s="239" t="s">
        <v>70</v>
      </c>
      <c r="E57" s="240">
        <v>15210852</v>
      </c>
    </row>
    <row r="58" spans="1:5">
      <c r="A58" s="233">
        <v>66121000</v>
      </c>
      <c r="B58" s="233" t="s">
        <v>99</v>
      </c>
      <c r="C58" s="312" t="s">
        <v>122</v>
      </c>
      <c r="D58" s="239" t="s">
        <v>71</v>
      </c>
      <c r="E58" s="240">
        <v>-141</v>
      </c>
    </row>
    <row r="59" spans="1:5">
      <c r="A59" s="233">
        <v>66220019</v>
      </c>
      <c r="B59" s="233" t="s">
        <v>99</v>
      </c>
      <c r="C59" s="312" t="s">
        <v>121</v>
      </c>
      <c r="D59" s="239" t="s">
        <v>73</v>
      </c>
      <c r="E59" s="240">
        <v>41821767</v>
      </c>
    </row>
    <row r="60" spans="1:5">
      <c r="A60" s="233">
        <v>66380000</v>
      </c>
      <c r="B60" s="233" t="s">
        <v>99</v>
      </c>
      <c r="C60" s="312" t="s">
        <v>122</v>
      </c>
      <c r="D60" s="239" t="s">
        <v>75</v>
      </c>
      <c r="E60" s="240">
        <v>386187</v>
      </c>
    </row>
    <row r="61" spans="1:5">
      <c r="A61" s="8">
        <v>66410000</v>
      </c>
      <c r="B61" s="8" t="s">
        <v>99</v>
      </c>
      <c r="C61" s="377" t="s">
        <v>122</v>
      </c>
      <c r="D61" t="s">
        <v>76</v>
      </c>
      <c r="E61" s="7">
        <v>151200</v>
      </c>
    </row>
    <row r="62" spans="1:5">
      <c r="A62" s="8">
        <v>66411000</v>
      </c>
      <c r="B62" s="8" t="s">
        <v>99</v>
      </c>
      <c r="C62" s="377" t="s">
        <v>122</v>
      </c>
      <c r="D62" t="s">
        <v>77</v>
      </c>
      <c r="E62" s="7">
        <v>386573</v>
      </c>
    </row>
    <row r="63" spans="1:5">
      <c r="A63" s="8">
        <v>66420000</v>
      </c>
      <c r="B63" s="8" t="s">
        <v>99</v>
      </c>
      <c r="C63" s="377" t="s">
        <v>122</v>
      </c>
      <c r="D63" t="s">
        <v>78</v>
      </c>
      <c r="E63" s="7">
        <v>90720</v>
      </c>
    </row>
    <row r="64" spans="1:5">
      <c r="A64" s="8">
        <v>66430000</v>
      </c>
      <c r="B64" s="8" t="s">
        <v>99</v>
      </c>
      <c r="C64" s="377" t="s">
        <v>121</v>
      </c>
      <c r="D64" t="s">
        <v>80</v>
      </c>
      <c r="E64" s="7">
        <v>404621</v>
      </c>
    </row>
    <row r="65" spans="1:5">
      <c r="A65" s="8">
        <v>66840001</v>
      </c>
      <c r="B65" s="8" t="s">
        <v>99</v>
      </c>
      <c r="C65" s="377" t="s">
        <v>123</v>
      </c>
      <c r="D65" t="s">
        <v>82</v>
      </c>
      <c r="E65" s="7">
        <v>368185</v>
      </c>
    </row>
    <row r="66" spans="1:5">
      <c r="A66" s="8">
        <v>67600000</v>
      </c>
      <c r="B66" s="8" t="s">
        <v>99</v>
      </c>
      <c r="C66" s="377" t="s">
        <v>111</v>
      </c>
      <c r="D66" t="s">
        <v>1783</v>
      </c>
      <c r="E66" s="7">
        <v>-282178</v>
      </c>
    </row>
    <row r="67" spans="1:5">
      <c r="A67" s="8">
        <v>68130000</v>
      </c>
      <c r="B67" s="8" t="s">
        <v>99</v>
      </c>
      <c r="C67" s="377" t="s">
        <v>124</v>
      </c>
      <c r="D67" t="s">
        <v>85</v>
      </c>
      <c r="E67" s="7">
        <v>25484068</v>
      </c>
    </row>
  </sheetData>
  <sortState ref="A3:D337">
    <sortCondition ref="A3:A337"/>
  </sortState>
  <pageMargins left="0.7" right="0.7" top="0.75" bottom="0.75" header="0.3" footer="0.3"/>
  <pageSetup paperSize="9" scale="31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64"/>
  <sheetViews>
    <sheetView view="pageBreakPreview" zoomScale="60" zoomScaleNormal="69" workbookViewId="0">
      <selection activeCell="K46" sqref="K46"/>
    </sheetView>
  </sheetViews>
  <sheetFormatPr baseColWidth="10" defaultRowHeight="15"/>
  <cols>
    <col min="1" max="1" width="12.140625" style="8" bestFit="1" customWidth="1"/>
    <col min="2" max="2" width="11.5703125" style="8" customWidth="1"/>
    <col min="3" max="3" width="31.28515625" style="10" bestFit="1" customWidth="1"/>
    <col min="4" max="4" width="47.7109375" bestFit="1" customWidth="1"/>
    <col min="5" max="5" width="14.42578125" style="7" bestFit="1" customWidth="1"/>
    <col min="10" max="10" width="28.5703125" bestFit="1" customWidth="1"/>
    <col min="11" max="11" width="28.5703125" customWidth="1"/>
    <col min="12" max="12" width="14" bestFit="1" customWidth="1"/>
    <col min="13" max="13" width="11.85546875" style="13" customWidth="1"/>
  </cols>
  <sheetData>
    <row r="2" spans="1:15">
      <c r="D2" s="293"/>
      <c r="E2" s="297"/>
    </row>
    <row r="3" spans="1:15">
      <c r="B3" s="10"/>
      <c r="D3" s="296" t="s">
        <v>445</v>
      </c>
      <c r="E3" s="295">
        <f>SUM(E8:E1000)</f>
        <v>500690109</v>
      </c>
      <c r="L3" s="11" t="s">
        <v>135</v>
      </c>
      <c r="M3" s="12"/>
      <c r="N3" s="8" t="s">
        <v>136</v>
      </c>
    </row>
    <row r="4" spans="1:15">
      <c r="L4" s="7">
        <f>L9+L15+L19+L32+L34</f>
        <v>500690109</v>
      </c>
      <c r="N4" s="7">
        <f>N9+N15+N19+N32</f>
        <v>763297.15057541884</v>
      </c>
    </row>
    <row r="5" spans="1:15">
      <c r="A5" s="97" t="s">
        <v>594</v>
      </c>
      <c r="B5" s="97" t="s">
        <v>1246</v>
      </c>
      <c r="C5" s="97" t="s">
        <v>588</v>
      </c>
      <c r="D5" s="97" t="s">
        <v>1245</v>
      </c>
      <c r="E5" s="292" t="s">
        <v>135</v>
      </c>
      <c r="L5" s="7"/>
    </row>
    <row r="6" spans="1:15" ht="3.75" customHeight="1">
      <c r="L6" s="7"/>
    </row>
    <row r="7" spans="1:15" ht="15.75" thickBot="1">
      <c r="L7" s="7"/>
    </row>
    <row r="8" spans="1:15">
      <c r="A8" s="239">
        <v>60151000</v>
      </c>
      <c r="B8" s="241" t="s">
        <v>101</v>
      </c>
      <c r="C8" s="241" t="s">
        <v>115</v>
      </c>
      <c r="D8" s="239" t="s">
        <v>1</v>
      </c>
      <c r="E8" s="240">
        <v>2010140</v>
      </c>
      <c r="I8" s="141"/>
      <c r="J8" s="60"/>
      <c r="K8" s="60"/>
      <c r="L8" s="60"/>
      <c r="M8" s="60"/>
      <c r="N8" s="60"/>
      <c r="O8" s="169"/>
    </row>
    <row r="9" spans="1:15">
      <c r="A9" s="239">
        <v>60152000</v>
      </c>
      <c r="B9" s="241" t="s">
        <v>101</v>
      </c>
      <c r="C9" s="241" t="s">
        <v>110</v>
      </c>
      <c r="D9" s="239" t="s">
        <v>2</v>
      </c>
      <c r="E9" s="240">
        <v>2093205</v>
      </c>
      <c r="I9" s="104"/>
      <c r="J9" s="165" t="s">
        <v>132</v>
      </c>
      <c r="K9" s="52"/>
      <c r="L9" s="139">
        <f>SUM(L10:L13)</f>
        <v>183794231</v>
      </c>
      <c r="M9" s="52"/>
      <c r="N9" s="139">
        <f>L9/655.957</f>
        <v>280192.49889855587</v>
      </c>
      <c r="O9" s="40"/>
    </row>
    <row r="10" spans="1:15">
      <c r="A10" s="239">
        <v>60154000</v>
      </c>
      <c r="B10" s="241" t="s">
        <v>101</v>
      </c>
      <c r="C10" s="241" t="s">
        <v>111</v>
      </c>
      <c r="D10" s="239" t="s">
        <v>3</v>
      </c>
      <c r="E10" s="240">
        <v>1029487</v>
      </c>
      <c r="I10" s="104"/>
      <c r="J10" s="168" t="s">
        <v>114</v>
      </c>
      <c r="K10" s="168"/>
      <c r="L10" s="21">
        <f>SUMIF($C$8:$C$1000,J10,$E$8:$E$1000)</f>
        <v>0</v>
      </c>
      <c r="M10" s="52"/>
      <c r="N10" s="21">
        <f t="shared" ref="N10:N30" si="0">L10/655.957</f>
        <v>0</v>
      </c>
      <c r="O10" s="40"/>
    </row>
    <row r="11" spans="1:15">
      <c r="A11" s="239">
        <v>60330000</v>
      </c>
      <c r="B11" s="241" t="s">
        <v>101</v>
      </c>
      <c r="C11" s="241" t="s">
        <v>112</v>
      </c>
      <c r="D11" s="239" t="s">
        <v>4</v>
      </c>
      <c r="E11" s="240">
        <v>21598997</v>
      </c>
      <c r="I11" s="104"/>
      <c r="J11" s="168" t="s">
        <v>130</v>
      </c>
      <c r="K11" s="168"/>
      <c r="L11" s="21">
        <f>SUMIF($C$8:$C$1000,J11,$E$8:$E$1000)</f>
        <v>0</v>
      </c>
      <c r="M11" s="52"/>
      <c r="N11" s="21">
        <f t="shared" si="0"/>
        <v>0</v>
      </c>
      <c r="O11" s="40"/>
    </row>
    <row r="12" spans="1:15">
      <c r="A12" s="239">
        <v>60340000</v>
      </c>
      <c r="B12" s="241" t="s">
        <v>101</v>
      </c>
      <c r="C12" s="241" t="s">
        <v>113</v>
      </c>
      <c r="D12" s="239" t="s">
        <v>5</v>
      </c>
      <c r="E12" s="240">
        <v>33715929</v>
      </c>
      <c r="I12" s="104"/>
      <c r="J12" s="168" t="s">
        <v>112</v>
      </c>
      <c r="K12" s="168"/>
      <c r="L12" s="21">
        <f>SUMIF($C$8:$C$1000,J12,$E$8:$E$1000)</f>
        <v>104550375</v>
      </c>
      <c r="M12" s="52"/>
      <c r="N12" s="21">
        <f t="shared" si="0"/>
        <v>159386.01920552721</v>
      </c>
      <c r="O12" s="40"/>
    </row>
    <row r="13" spans="1:15">
      <c r="A13" s="239">
        <v>60420000</v>
      </c>
      <c r="B13" s="241" t="s">
        <v>101</v>
      </c>
      <c r="C13" s="241" t="s">
        <v>112</v>
      </c>
      <c r="D13" s="239" t="s">
        <v>1773</v>
      </c>
      <c r="E13" s="240">
        <v>214378</v>
      </c>
      <c r="I13" s="104"/>
      <c r="J13" s="168" t="s">
        <v>113</v>
      </c>
      <c r="K13" s="168"/>
      <c r="L13" s="21">
        <f>SUMIF($C$8:$C$1000,J13,$E$8:$E$1000)</f>
        <v>79243856</v>
      </c>
      <c r="M13" s="52"/>
      <c r="N13" s="21">
        <f t="shared" si="0"/>
        <v>120806.47969302865</v>
      </c>
      <c r="O13" s="40"/>
    </row>
    <row r="14" spans="1:15">
      <c r="A14" s="239">
        <v>60530000</v>
      </c>
      <c r="B14" s="241" t="s">
        <v>101</v>
      </c>
      <c r="C14" s="241" t="s">
        <v>112</v>
      </c>
      <c r="D14" s="239" t="s">
        <v>10</v>
      </c>
      <c r="E14" s="240">
        <v>60000</v>
      </c>
      <c r="I14" s="104"/>
      <c r="J14" s="52"/>
      <c r="K14" s="52"/>
      <c r="L14" s="21"/>
      <c r="M14" s="52"/>
      <c r="N14" s="21"/>
      <c r="O14" s="40"/>
    </row>
    <row r="15" spans="1:15">
      <c r="A15" s="239">
        <v>60531000</v>
      </c>
      <c r="B15" s="241" t="s">
        <v>101</v>
      </c>
      <c r="C15" s="241" t="s">
        <v>112</v>
      </c>
      <c r="D15" s="239" t="s">
        <v>11</v>
      </c>
      <c r="E15" s="240">
        <v>82677000</v>
      </c>
      <c r="I15" s="104"/>
      <c r="J15" s="165" t="s">
        <v>133</v>
      </c>
      <c r="K15" s="52"/>
      <c r="L15" s="139">
        <f>SUM(L16:L17)</f>
        <v>179160677</v>
      </c>
      <c r="M15" s="52"/>
      <c r="N15" s="139">
        <f t="shared" si="0"/>
        <v>273128.69136239111</v>
      </c>
      <c r="O15" s="40"/>
    </row>
    <row r="16" spans="1:15">
      <c r="A16" s="239">
        <v>60561000</v>
      </c>
      <c r="B16" s="241" t="s">
        <v>101</v>
      </c>
      <c r="C16" s="241" t="s">
        <v>113</v>
      </c>
      <c r="D16" s="239" t="s">
        <v>14</v>
      </c>
      <c r="E16" s="240">
        <v>12776614</v>
      </c>
      <c r="I16" s="104"/>
      <c r="J16" s="168" t="s">
        <v>121</v>
      </c>
      <c r="K16" s="168"/>
      <c r="L16" s="21">
        <f>SUMIF($C$8:$C$1000,J16,$E$8:$E$1000)</f>
        <v>153732098</v>
      </c>
      <c r="M16" s="52"/>
      <c r="N16" s="21">
        <f t="shared" si="0"/>
        <v>234363.07257945262</v>
      </c>
      <c r="O16" s="40"/>
    </row>
    <row r="17" spans="1:15">
      <c r="A17" s="239">
        <v>60562000</v>
      </c>
      <c r="B17" s="241" t="s">
        <v>101</v>
      </c>
      <c r="C17" s="241" t="s">
        <v>113</v>
      </c>
      <c r="D17" s="239" t="s">
        <v>15</v>
      </c>
      <c r="E17" s="240">
        <v>19200403</v>
      </c>
      <c r="I17" s="104"/>
      <c r="J17" s="168" t="s">
        <v>122</v>
      </c>
      <c r="K17" s="168"/>
      <c r="L17" s="21">
        <f>SUMIF($C$8:$C$1000,J17,$E$8:$E$1000)</f>
        <v>25428579</v>
      </c>
      <c r="M17" s="52"/>
      <c r="N17" s="21">
        <f t="shared" si="0"/>
        <v>38765.618782938516</v>
      </c>
      <c r="O17" s="40"/>
    </row>
    <row r="18" spans="1:15">
      <c r="A18" s="239">
        <v>60567000</v>
      </c>
      <c r="B18" s="241" t="s">
        <v>101</v>
      </c>
      <c r="C18" s="241" t="s">
        <v>113</v>
      </c>
      <c r="D18" s="239" t="s">
        <v>1782</v>
      </c>
      <c r="E18" s="240">
        <v>501567</v>
      </c>
      <c r="I18" s="104"/>
      <c r="J18" s="52"/>
      <c r="K18" s="52"/>
      <c r="L18" s="21"/>
      <c r="M18" s="52"/>
      <c r="N18" s="21"/>
      <c r="O18" s="40"/>
    </row>
    <row r="19" spans="1:15">
      <c r="A19" s="239">
        <v>60568000</v>
      </c>
      <c r="B19" s="241" t="s">
        <v>101</v>
      </c>
      <c r="C19" s="241" t="s">
        <v>113</v>
      </c>
      <c r="D19" s="239" t="s">
        <v>18</v>
      </c>
      <c r="E19" s="240">
        <v>6493532</v>
      </c>
      <c r="I19" s="104"/>
      <c r="J19" s="165" t="s">
        <v>134</v>
      </c>
      <c r="K19" s="52"/>
      <c r="L19" s="139">
        <f>SUM(L20:L30)</f>
        <v>135676136</v>
      </c>
      <c r="M19" s="52"/>
      <c r="N19" s="139">
        <f t="shared" si="0"/>
        <v>206836.93595769236</v>
      </c>
      <c r="O19" s="40"/>
    </row>
    <row r="20" spans="1:15">
      <c r="A20" s="239">
        <v>60569000</v>
      </c>
      <c r="B20" s="241" t="s">
        <v>101</v>
      </c>
      <c r="C20" s="241" t="s">
        <v>113</v>
      </c>
      <c r="D20" s="239" t="s">
        <v>19</v>
      </c>
      <c r="E20" s="240">
        <v>1260651</v>
      </c>
      <c r="I20" s="104"/>
      <c r="J20" s="168" t="s">
        <v>110</v>
      </c>
      <c r="K20" s="168"/>
      <c r="L20" s="21">
        <f>SUMIF($C$8:$C$1000,J20,$E$8:$E$1000)</f>
        <v>29814324</v>
      </c>
      <c r="M20" s="52"/>
      <c r="N20" s="21">
        <f t="shared" si="0"/>
        <v>45451.643933977379</v>
      </c>
      <c r="O20" s="40"/>
    </row>
    <row r="21" spans="1:15">
      <c r="A21" s="239">
        <v>61600000</v>
      </c>
      <c r="B21" s="241" t="s">
        <v>101</v>
      </c>
      <c r="C21" s="241" t="s">
        <v>115</v>
      </c>
      <c r="D21" s="239" t="s">
        <v>23</v>
      </c>
      <c r="E21" s="240">
        <v>48925</v>
      </c>
      <c r="I21" s="104"/>
      <c r="J21" s="168" t="s">
        <v>123</v>
      </c>
      <c r="K21" s="168"/>
      <c r="L21" s="21">
        <f t="shared" ref="L21:L30" si="1">SUMIF($C$8:$C$1000,J21,$E$8:$E$1000)</f>
        <v>403252</v>
      </c>
      <c r="M21" s="52"/>
      <c r="N21" s="21">
        <f t="shared" si="0"/>
        <v>614.75371099020208</v>
      </c>
      <c r="O21" s="40"/>
    </row>
    <row r="22" spans="1:15">
      <c r="A22" s="239">
        <v>61810000</v>
      </c>
      <c r="B22" s="241" t="s">
        <v>101</v>
      </c>
      <c r="C22" s="241" t="s">
        <v>110</v>
      </c>
      <c r="D22" s="239" t="s">
        <v>24</v>
      </c>
      <c r="E22" s="240">
        <v>325500</v>
      </c>
      <c r="I22" s="104"/>
      <c r="J22" s="168" t="s">
        <v>111</v>
      </c>
      <c r="K22" s="168"/>
      <c r="L22" s="21">
        <f t="shared" si="1"/>
        <v>7779426</v>
      </c>
      <c r="M22" s="52"/>
      <c r="N22" s="21">
        <f t="shared" si="0"/>
        <v>11859.658483711584</v>
      </c>
      <c r="O22" s="40"/>
    </row>
    <row r="23" spans="1:15">
      <c r="A23" s="239">
        <v>61820000</v>
      </c>
      <c r="B23" s="241" t="s">
        <v>101</v>
      </c>
      <c r="C23" s="241" t="s">
        <v>110</v>
      </c>
      <c r="D23" s="239" t="s">
        <v>25</v>
      </c>
      <c r="E23" s="240">
        <v>15440288</v>
      </c>
      <c r="I23" s="104"/>
      <c r="J23" s="168" t="s">
        <v>118</v>
      </c>
      <c r="K23" s="168"/>
      <c r="L23" s="21">
        <f t="shared" si="1"/>
        <v>4953592</v>
      </c>
      <c r="M23" s="52"/>
      <c r="N23" s="21">
        <f t="shared" si="0"/>
        <v>7551.702321950982</v>
      </c>
      <c r="O23" s="40"/>
    </row>
    <row r="24" spans="1:15">
      <c r="A24" s="239">
        <v>61821000</v>
      </c>
      <c r="B24" s="241" t="s">
        <v>101</v>
      </c>
      <c r="C24" s="241" t="s">
        <v>110</v>
      </c>
      <c r="D24" s="239" t="s">
        <v>26</v>
      </c>
      <c r="E24" s="240">
        <v>1527316</v>
      </c>
      <c r="I24" s="104"/>
      <c r="J24" s="168" t="s">
        <v>119</v>
      </c>
      <c r="K24" s="168"/>
      <c r="L24" s="21">
        <f t="shared" si="1"/>
        <v>38730282</v>
      </c>
      <c r="M24" s="52"/>
      <c r="N24" s="21">
        <f t="shared" si="0"/>
        <v>59043.934282277653</v>
      </c>
      <c r="O24" s="40"/>
    </row>
    <row r="25" spans="1:15">
      <c r="A25" s="239">
        <v>61830000</v>
      </c>
      <c r="B25" s="241" t="s">
        <v>101</v>
      </c>
      <c r="C25" s="241" t="s">
        <v>116</v>
      </c>
      <c r="D25" s="239" t="s">
        <v>27</v>
      </c>
      <c r="E25" s="240">
        <v>32500</v>
      </c>
      <c r="I25" s="104"/>
      <c r="J25" s="168" t="s">
        <v>120</v>
      </c>
      <c r="K25" s="168"/>
      <c r="L25" s="21">
        <f t="shared" si="1"/>
        <v>4819228</v>
      </c>
      <c r="M25" s="52"/>
      <c r="N25" s="21">
        <f t="shared" si="0"/>
        <v>7346.8657244301075</v>
      </c>
      <c r="O25" s="40"/>
    </row>
    <row r="26" spans="1:15">
      <c r="A26" s="239">
        <v>62230000</v>
      </c>
      <c r="B26" s="241" t="s">
        <v>101</v>
      </c>
      <c r="C26" s="241" t="s">
        <v>116</v>
      </c>
      <c r="D26" s="239" t="s">
        <v>29</v>
      </c>
      <c r="E26" s="240">
        <v>1296985</v>
      </c>
      <c r="I26" s="104"/>
      <c r="J26" s="168" t="s">
        <v>19</v>
      </c>
      <c r="K26" s="168"/>
      <c r="L26" s="21">
        <f t="shared" si="1"/>
        <v>0</v>
      </c>
      <c r="M26" s="52"/>
      <c r="N26" s="21">
        <f t="shared" si="0"/>
        <v>0</v>
      </c>
      <c r="O26" s="40"/>
    </row>
    <row r="27" spans="1:15">
      <c r="A27" s="239">
        <v>62420000</v>
      </c>
      <c r="B27" s="241" t="s">
        <v>101</v>
      </c>
      <c r="C27" s="241" t="s">
        <v>117</v>
      </c>
      <c r="D27" s="239" t="s">
        <v>32</v>
      </c>
      <c r="E27" s="240">
        <v>7104402</v>
      </c>
      <c r="I27" s="104"/>
      <c r="J27" s="168" t="s">
        <v>124</v>
      </c>
      <c r="K27" s="168"/>
      <c r="L27" s="21">
        <f t="shared" si="1"/>
        <v>40162145</v>
      </c>
      <c r="M27" s="52"/>
      <c r="N27" s="21">
        <f t="shared" si="0"/>
        <v>61226.795353963753</v>
      </c>
      <c r="O27" s="40"/>
    </row>
    <row r="28" spans="1:15">
      <c r="A28" s="239">
        <v>62430000</v>
      </c>
      <c r="B28" s="241" t="s">
        <v>101</v>
      </c>
      <c r="C28" s="241" t="s">
        <v>117</v>
      </c>
      <c r="D28" s="239" t="s">
        <v>33</v>
      </c>
      <c r="E28" s="240">
        <v>580000</v>
      </c>
      <c r="I28" s="104"/>
      <c r="J28" s="168" t="s">
        <v>131</v>
      </c>
      <c r="K28" s="168"/>
      <c r="L28" s="21">
        <f t="shared" si="1"/>
        <v>0</v>
      </c>
      <c r="M28" s="52"/>
      <c r="N28" s="21">
        <f t="shared" si="0"/>
        <v>0</v>
      </c>
      <c r="O28" s="40"/>
    </row>
    <row r="29" spans="1:15">
      <c r="A29" s="239">
        <v>62510000</v>
      </c>
      <c r="B29" s="241" t="s">
        <v>101</v>
      </c>
      <c r="C29" s="241" t="s">
        <v>118</v>
      </c>
      <c r="D29" s="239" t="s">
        <v>560</v>
      </c>
      <c r="E29" s="240">
        <v>54853</v>
      </c>
      <c r="I29" s="104"/>
      <c r="J29" s="168" t="s">
        <v>117</v>
      </c>
      <c r="K29" s="168"/>
      <c r="L29" s="21">
        <f t="shared" si="1"/>
        <v>7684402</v>
      </c>
      <c r="M29" s="52"/>
      <c r="N29" s="21">
        <f t="shared" si="0"/>
        <v>11714.795329571907</v>
      </c>
      <c r="O29" s="40"/>
    </row>
    <row r="30" spans="1:15">
      <c r="A30" s="239">
        <v>62511000</v>
      </c>
      <c r="B30" s="241" t="s">
        <v>101</v>
      </c>
      <c r="C30" s="241" t="s">
        <v>118</v>
      </c>
      <c r="D30" s="239" t="s">
        <v>34</v>
      </c>
      <c r="E30" s="240">
        <v>1005551</v>
      </c>
      <c r="I30" s="104"/>
      <c r="J30" s="168" t="s">
        <v>116</v>
      </c>
      <c r="K30" s="168"/>
      <c r="L30" s="21">
        <f t="shared" si="1"/>
        <v>1329485</v>
      </c>
      <c r="M30" s="52"/>
      <c r="N30" s="21">
        <f t="shared" si="0"/>
        <v>2026.7868168187854</v>
      </c>
      <c r="O30" s="40"/>
    </row>
    <row r="31" spans="1:15">
      <c r="A31" s="239">
        <v>62522000</v>
      </c>
      <c r="B31" s="241" t="s">
        <v>101</v>
      </c>
      <c r="C31" s="241" t="s">
        <v>118</v>
      </c>
      <c r="D31" s="239" t="s">
        <v>36</v>
      </c>
      <c r="E31" s="240">
        <v>3802279</v>
      </c>
      <c r="I31" s="104"/>
      <c r="J31" s="52"/>
      <c r="K31" s="52"/>
      <c r="L31" s="21"/>
      <c r="M31" s="52"/>
      <c r="N31" s="21"/>
      <c r="O31" s="40"/>
    </row>
    <row r="32" spans="1:15">
      <c r="A32" s="239">
        <v>62582000</v>
      </c>
      <c r="B32" s="241" t="s">
        <v>101</v>
      </c>
      <c r="C32" s="241" t="s">
        <v>118</v>
      </c>
      <c r="D32" s="239" t="s">
        <v>37</v>
      </c>
      <c r="E32" s="240">
        <v>90909</v>
      </c>
      <c r="I32" s="104"/>
      <c r="J32" s="52" t="s">
        <v>115</v>
      </c>
      <c r="K32" s="52"/>
      <c r="L32" s="138">
        <f>SUMIF($C$8:$C$1000,J32,$E$8:$E$1000)</f>
        <v>2059065</v>
      </c>
      <c r="M32" s="52"/>
      <c r="N32" s="138">
        <f>L32/655.957</f>
        <v>3139.0243567794842</v>
      </c>
      <c r="O32" s="40"/>
    </row>
    <row r="33" spans="1:15">
      <c r="A33" s="239">
        <v>62883000</v>
      </c>
      <c r="B33" s="241" t="s">
        <v>101</v>
      </c>
      <c r="C33" s="241" t="s">
        <v>113</v>
      </c>
      <c r="D33" s="239" t="s">
        <v>41</v>
      </c>
      <c r="E33" s="240">
        <v>5295160</v>
      </c>
      <c r="I33" s="104"/>
      <c r="J33" s="52"/>
      <c r="K33" s="52"/>
      <c r="L33" s="21"/>
      <c r="M33" s="52"/>
      <c r="N33" s="21"/>
      <c r="O33" s="40"/>
    </row>
    <row r="34" spans="1:15">
      <c r="A34" s="239">
        <v>63241000</v>
      </c>
      <c r="B34" s="241" t="s">
        <v>101</v>
      </c>
      <c r="C34" s="241" t="s">
        <v>111</v>
      </c>
      <c r="D34" s="239" t="s">
        <v>45</v>
      </c>
      <c r="E34" s="240">
        <v>750000</v>
      </c>
      <c r="I34" s="104"/>
      <c r="J34" s="52" t="s">
        <v>125</v>
      </c>
      <c r="K34" s="52"/>
      <c r="L34" s="138">
        <f>SUMIF($C$8:$C$1000,J34,$E$8:$E$1000)</f>
        <v>0</v>
      </c>
      <c r="M34" s="52"/>
      <c r="N34" s="138">
        <f>L34/655.957</f>
        <v>0</v>
      </c>
      <c r="O34" s="40"/>
    </row>
    <row r="35" spans="1:15" ht="15.75" thickBot="1">
      <c r="A35" s="239">
        <v>63281000</v>
      </c>
      <c r="B35" s="241" t="s">
        <v>101</v>
      </c>
      <c r="C35" s="241" t="s">
        <v>110</v>
      </c>
      <c r="D35" s="239" t="s">
        <v>47</v>
      </c>
      <c r="E35" s="240">
        <v>3021504</v>
      </c>
      <c r="I35" s="37"/>
      <c r="J35" s="38"/>
      <c r="K35" s="38"/>
      <c r="L35" s="38"/>
      <c r="M35" s="65"/>
      <c r="N35" s="38"/>
      <c r="O35" s="109"/>
    </row>
    <row r="36" spans="1:15">
      <c r="A36" s="239">
        <v>63282000</v>
      </c>
      <c r="B36" s="241" t="s">
        <v>101</v>
      </c>
      <c r="C36" s="241" t="s">
        <v>111</v>
      </c>
      <c r="D36" s="239" t="s">
        <v>48</v>
      </c>
      <c r="E36" s="240">
        <v>2135000</v>
      </c>
    </row>
    <row r="37" spans="1:15">
      <c r="A37" s="239">
        <v>63284000</v>
      </c>
      <c r="B37" s="241" t="s">
        <v>101</v>
      </c>
      <c r="C37" s="241" t="s">
        <v>110</v>
      </c>
      <c r="D37" s="239" t="s">
        <v>49</v>
      </c>
      <c r="E37" s="240">
        <v>3414363</v>
      </c>
      <c r="K37" t="s">
        <v>109</v>
      </c>
      <c r="L37" s="235">
        <f>L4-E3</f>
        <v>0</v>
      </c>
      <c r="M37" s="299"/>
      <c r="N37" s="235">
        <f>L37/655.957</f>
        <v>0</v>
      </c>
    </row>
    <row r="38" spans="1:15">
      <c r="A38" s="239">
        <v>63421000</v>
      </c>
      <c r="B38" s="241" t="s">
        <v>101</v>
      </c>
      <c r="C38" s="241" t="s">
        <v>119</v>
      </c>
      <c r="D38" s="239" t="s">
        <v>51</v>
      </c>
      <c r="E38" s="240">
        <v>10207969</v>
      </c>
    </row>
    <row r="39" spans="1:15">
      <c r="A39" s="239">
        <v>63423100</v>
      </c>
      <c r="B39" s="241" t="s">
        <v>101</v>
      </c>
      <c r="C39" s="241" t="s">
        <v>119</v>
      </c>
      <c r="D39" s="239" t="s">
        <v>52</v>
      </c>
      <c r="E39" s="240">
        <v>6454833</v>
      </c>
    </row>
    <row r="40" spans="1:15">
      <c r="A40" s="239">
        <v>63423400</v>
      </c>
      <c r="B40" s="241" t="s">
        <v>101</v>
      </c>
      <c r="C40" s="241" t="s">
        <v>119</v>
      </c>
      <c r="D40" s="239" t="s">
        <v>54</v>
      </c>
      <c r="E40" s="240">
        <v>1338505</v>
      </c>
    </row>
    <row r="41" spans="1:15">
      <c r="A41" s="239">
        <v>63423500</v>
      </c>
      <c r="B41" s="241" t="s">
        <v>101</v>
      </c>
      <c r="C41" s="241" t="s">
        <v>119</v>
      </c>
      <c r="D41" s="239" t="s">
        <v>55</v>
      </c>
      <c r="E41" s="240">
        <v>8656833</v>
      </c>
    </row>
    <row r="42" spans="1:15">
      <c r="A42" s="239">
        <v>63423950</v>
      </c>
      <c r="B42" s="241" t="s">
        <v>101</v>
      </c>
      <c r="C42" s="241" t="s">
        <v>119</v>
      </c>
      <c r="D42" s="239" t="s">
        <v>561</v>
      </c>
      <c r="E42" s="240">
        <v>3929164</v>
      </c>
    </row>
    <row r="43" spans="1:15">
      <c r="A43" s="239">
        <v>63510000</v>
      </c>
      <c r="B43" s="241" t="s">
        <v>101</v>
      </c>
      <c r="C43" s="241" t="s">
        <v>119</v>
      </c>
      <c r="D43" s="239" t="s">
        <v>1796</v>
      </c>
      <c r="E43" s="240">
        <v>1000000</v>
      </c>
    </row>
    <row r="44" spans="1:15">
      <c r="A44" s="239">
        <v>63711000</v>
      </c>
      <c r="B44" s="241" t="s">
        <v>101</v>
      </c>
      <c r="C44" s="241" t="s">
        <v>119</v>
      </c>
      <c r="D44" s="239" t="s">
        <v>562</v>
      </c>
      <c r="E44" s="240">
        <v>7142978</v>
      </c>
    </row>
    <row r="45" spans="1:15">
      <c r="A45" s="239">
        <v>63712000</v>
      </c>
      <c r="B45" s="241" t="s">
        <v>101</v>
      </c>
      <c r="C45" s="241" t="s">
        <v>110</v>
      </c>
      <c r="D45" s="239" t="s">
        <v>57</v>
      </c>
      <c r="E45" s="240">
        <v>3992148</v>
      </c>
    </row>
    <row r="46" spans="1:15">
      <c r="A46" s="239">
        <v>63712001</v>
      </c>
      <c r="B46" s="241" t="s">
        <v>101</v>
      </c>
      <c r="C46" s="241" t="s">
        <v>111</v>
      </c>
      <c r="D46" s="239" t="s">
        <v>58</v>
      </c>
      <c r="E46" s="240">
        <v>3774600</v>
      </c>
    </row>
    <row r="47" spans="1:15">
      <c r="A47" s="239">
        <v>63830060</v>
      </c>
      <c r="B47" s="241" t="s">
        <v>101</v>
      </c>
      <c r="C47" s="241" t="s">
        <v>120</v>
      </c>
      <c r="D47" s="239" t="s">
        <v>61</v>
      </c>
      <c r="E47" s="240">
        <v>508500</v>
      </c>
    </row>
    <row r="48" spans="1:15">
      <c r="A48" s="239">
        <v>63832000</v>
      </c>
      <c r="B48" s="241" t="s">
        <v>101</v>
      </c>
      <c r="C48" s="241" t="s">
        <v>120</v>
      </c>
      <c r="D48" s="239" t="s">
        <v>63</v>
      </c>
      <c r="E48" s="240">
        <v>4310728</v>
      </c>
    </row>
    <row r="49" spans="1:5">
      <c r="A49" s="239">
        <v>64110000</v>
      </c>
      <c r="B49" s="241" t="s">
        <v>101</v>
      </c>
      <c r="C49" s="241" t="s">
        <v>122</v>
      </c>
      <c r="D49" s="239" t="s">
        <v>65</v>
      </c>
      <c r="E49" s="240">
        <v>29000</v>
      </c>
    </row>
    <row r="50" spans="1:5">
      <c r="A50" s="239">
        <v>64112000</v>
      </c>
      <c r="B50" s="241" t="s">
        <v>101</v>
      </c>
      <c r="C50" s="241" t="s">
        <v>121</v>
      </c>
      <c r="D50" s="239" t="s">
        <v>66</v>
      </c>
      <c r="E50" s="240">
        <v>31428918</v>
      </c>
    </row>
    <row r="51" spans="1:5">
      <c r="A51" s="239">
        <v>64113000</v>
      </c>
      <c r="B51" s="241" t="s">
        <v>101</v>
      </c>
      <c r="C51" s="241" t="s">
        <v>111</v>
      </c>
      <c r="D51" s="239" t="s">
        <v>1797</v>
      </c>
      <c r="E51" s="240">
        <v>150976</v>
      </c>
    </row>
    <row r="52" spans="1:5">
      <c r="A52" s="239">
        <v>64782000</v>
      </c>
      <c r="B52" s="241" t="s">
        <v>101</v>
      </c>
      <c r="C52" s="241" t="s">
        <v>111</v>
      </c>
      <c r="D52" s="239" t="s">
        <v>1798</v>
      </c>
      <c r="E52" s="240">
        <v>40000</v>
      </c>
    </row>
    <row r="53" spans="1:5">
      <c r="A53" s="239">
        <v>65000000</v>
      </c>
      <c r="B53" s="241" t="s">
        <v>101</v>
      </c>
      <c r="C53" s="241" t="s">
        <v>111</v>
      </c>
      <c r="D53" s="239" t="s">
        <v>68</v>
      </c>
      <c r="E53" s="240">
        <v>181541</v>
      </c>
    </row>
    <row r="54" spans="1:5">
      <c r="A54" s="239">
        <v>66110000</v>
      </c>
      <c r="B54" s="241" t="s">
        <v>101</v>
      </c>
      <c r="C54" s="241" t="s">
        <v>122</v>
      </c>
      <c r="D54" s="239" t="s">
        <v>70</v>
      </c>
      <c r="E54" s="240">
        <v>24170131</v>
      </c>
    </row>
    <row r="55" spans="1:5">
      <c r="A55" s="239">
        <v>66121000</v>
      </c>
      <c r="B55" s="241" t="s">
        <v>101</v>
      </c>
      <c r="C55" s="241" t="s">
        <v>122</v>
      </c>
      <c r="D55" s="239" t="s">
        <v>71</v>
      </c>
      <c r="E55" s="240">
        <v>-285</v>
      </c>
    </row>
    <row r="56" spans="1:5">
      <c r="A56" s="239">
        <v>66220029</v>
      </c>
      <c r="B56" s="241" t="s">
        <v>101</v>
      </c>
      <c r="C56" s="241" t="s">
        <v>121</v>
      </c>
      <c r="D56" s="239" t="s">
        <v>74</v>
      </c>
      <c r="E56" s="240">
        <v>121898481</v>
      </c>
    </row>
    <row r="57" spans="1:5">
      <c r="A57" s="239">
        <v>66380000</v>
      </c>
      <c r="B57" s="241" t="s">
        <v>101</v>
      </c>
      <c r="C57" s="241" t="s">
        <v>122</v>
      </c>
      <c r="D57" s="239" t="s">
        <v>75</v>
      </c>
      <c r="E57" s="240">
        <v>364694</v>
      </c>
    </row>
    <row r="58" spans="1:5">
      <c r="A58" s="239">
        <v>66410000</v>
      </c>
      <c r="B58" s="241" t="s">
        <v>101</v>
      </c>
      <c r="C58" s="241" t="s">
        <v>122</v>
      </c>
      <c r="D58" s="239" t="s">
        <v>76</v>
      </c>
      <c r="E58" s="240">
        <v>151200</v>
      </c>
    </row>
    <row r="59" spans="1:5">
      <c r="A59" s="239">
        <v>66411000</v>
      </c>
      <c r="B59" s="241" t="s">
        <v>101</v>
      </c>
      <c r="C59" s="241" t="s">
        <v>122</v>
      </c>
      <c r="D59" s="239" t="s">
        <v>77</v>
      </c>
      <c r="E59" s="240">
        <v>630679</v>
      </c>
    </row>
    <row r="60" spans="1:5">
      <c r="A60" s="8">
        <v>66420000</v>
      </c>
      <c r="B60" s="10" t="s">
        <v>101</v>
      </c>
      <c r="C60" s="10" t="s">
        <v>122</v>
      </c>
      <c r="D60" t="s">
        <v>78</v>
      </c>
      <c r="E60" s="7">
        <v>83160</v>
      </c>
    </row>
    <row r="61" spans="1:5">
      <c r="A61" s="8">
        <v>66430000</v>
      </c>
      <c r="B61" s="10" t="s">
        <v>101</v>
      </c>
      <c r="C61" s="10" t="s">
        <v>121</v>
      </c>
      <c r="D61" t="s">
        <v>80</v>
      </c>
      <c r="E61" s="7">
        <v>404699</v>
      </c>
    </row>
    <row r="62" spans="1:5">
      <c r="A62" s="8">
        <v>66840001</v>
      </c>
      <c r="B62" s="10" t="s">
        <v>101</v>
      </c>
      <c r="C62" s="10" t="s">
        <v>123</v>
      </c>
      <c r="D62" t="s">
        <v>82</v>
      </c>
      <c r="E62" s="7">
        <v>403252</v>
      </c>
    </row>
    <row r="63" spans="1:5">
      <c r="A63" s="8">
        <v>67600000</v>
      </c>
      <c r="B63" s="10" t="s">
        <v>101</v>
      </c>
      <c r="C63" s="10" t="s">
        <v>111</v>
      </c>
      <c r="D63" t="s">
        <v>1783</v>
      </c>
      <c r="E63" s="7">
        <v>-282178</v>
      </c>
    </row>
    <row r="64" spans="1:5">
      <c r="A64" s="8">
        <v>68130000</v>
      </c>
      <c r="B64" s="10" t="s">
        <v>101</v>
      </c>
      <c r="C64" s="10" t="s">
        <v>124</v>
      </c>
      <c r="D64" t="s">
        <v>85</v>
      </c>
      <c r="E64" s="7">
        <v>40162145</v>
      </c>
    </row>
  </sheetData>
  <pageMargins left="0.7" right="0.7" top="0.75" bottom="0.75" header="0.3" footer="0.3"/>
  <pageSetup paperSize="9" scale="3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67"/>
  <sheetViews>
    <sheetView view="pageBreakPreview" zoomScale="60" zoomScaleNormal="59" workbookViewId="0">
      <selection activeCell="A8" sqref="A8:E67"/>
    </sheetView>
  </sheetViews>
  <sheetFormatPr baseColWidth="10" defaultRowHeight="15"/>
  <cols>
    <col min="1" max="1" width="15.140625" style="8" bestFit="1" customWidth="1"/>
    <col min="2" max="2" width="11.42578125" style="8"/>
    <col min="3" max="3" width="34.5703125" style="10" bestFit="1" customWidth="1"/>
    <col min="4" max="4" width="52" bestFit="1" customWidth="1"/>
    <col min="5" max="5" width="14.85546875" style="7" bestFit="1" customWidth="1"/>
    <col min="9" max="9" width="33.140625" bestFit="1" customWidth="1"/>
    <col min="10" max="10" width="18.140625" customWidth="1"/>
    <col min="11" max="11" width="14.28515625" bestFit="1" customWidth="1"/>
    <col min="12" max="12" width="9.7109375" customWidth="1"/>
  </cols>
  <sheetData>
    <row r="2" spans="1:14">
      <c r="D2" s="293"/>
      <c r="E2" s="297"/>
      <c r="K2" s="11" t="s">
        <v>135</v>
      </c>
      <c r="L2" s="12"/>
      <c r="M2" s="8" t="s">
        <v>136</v>
      </c>
    </row>
    <row r="3" spans="1:14">
      <c r="D3" s="298" t="s">
        <v>104</v>
      </c>
      <c r="E3" s="295">
        <f>SUM(E8:E1000)</f>
        <v>625865540</v>
      </c>
      <c r="K3" s="7">
        <f>K9+K15+K19+K32+K34</f>
        <v>625865540</v>
      </c>
      <c r="L3" s="13"/>
      <c r="M3" s="7">
        <f>M9+M15+M19+M32</f>
        <v>953216.84500660864</v>
      </c>
    </row>
    <row r="4" spans="1:14">
      <c r="K4" s="7"/>
      <c r="L4" s="13"/>
      <c r="M4" s="7"/>
    </row>
    <row r="5" spans="1:14">
      <c r="A5" s="97" t="s">
        <v>594</v>
      </c>
      <c r="B5" s="97" t="s">
        <v>1246</v>
      </c>
      <c r="C5" s="97" t="s">
        <v>588</v>
      </c>
      <c r="D5" s="97" t="s">
        <v>1245</v>
      </c>
      <c r="E5" s="292" t="s">
        <v>135</v>
      </c>
      <c r="K5" s="7"/>
      <c r="L5" s="13"/>
    </row>
    <row r="6" spans="1:14" ht="4.5" customHeight="1">
      <c r="K6" s="7"/>
      <c r="L6" s="13"/>
    </row>
    <row r="7" spans="1:14" ht="15.75" thickBot="1">
      <c r="K7" s="7"/>
      <c r="L7" s="13"/>
    </row>
    <row r="8" spans="1:14">
      <c r="A8" s="233">
        <v>60151000</v>
      </c>
      <c r="B8" s="239" t="s">
        <v>103</v>
      </c>
      <c r="C8" s="241" t="s">
        <v>115</v>
      </c>
      <c r="D8" s="239" t="s">
        <v>1</v>
      </c>
      <c r="E8" s="240">
        <v>728552</v>
      </c>
      <c r="H8" s="29"/>
      <c r="I8" s="30"/>
      <c r="J8" s="30"/>
      <c r="K8" s="99"/>
      <c r="L8" s="60"/>
      <c r="M8" s="30"/>
      <c r="N8" s="100"/>
    </row>
    <row r="9" spans="1:14">
      <c r="A9" s="233">
        <v>60152000</v>
      </c>
      <c r="B9" s="239" t="s">
        <v>103</v>
      </c>
      <c r="C9" s="241" t="s">
        <v>110</v>
      </c>
      <c r="D9" s="239" t="s">
        <v>2</v>
      </c>
      <c r="E9" s="240">
        <v>6889114</v>
      </c>
      <c r="H9" s="104"/>
      <c r="I9" s="165" t="s">
        <v>132</v>
      </c>
      <c r="J9" s="52"/>
      <c r="K9" s="139">
        <f>SUM(K10:K13)</f>
        <v>276363415</v>
      </c>
      <c r="L9" s="52"/>
      <c r="M9" s="139">
        <f>K9/655.957</f>
        <v>421313.310171246</v>
      </c>
      <c r="N9" s="40"/>
    </row>
    <row r="10" spans="1:14">
      <c r="A10" s="233">
        <v>60154000</v>
      </c>
      <c r="B10" s="239" t="s">
        <v>103</v>
      </c>
      <c r="C10" s="241" t="s">
        <v>111</v>
      </c>
      <c r="D10" s="239" t="s">
        <v>3</v>
      </c>
      <c r="E10" s="240">
        <v>1416312</v>
      </c>
      <c r="H10" s="104"/>
      <c r="I10" s="168" t="s">
        <v>114</v>
      </c>
      <c r="J10" s="168"/>
      <c r="K10" s="21">
        <f>SUMIF($C$8:$C$1000,I10,$E$8:$E$1000)</f>
        <v>0</v>
      </c>
      <c r="L10" s="52"/>
      <c r="M10" s="21">
        <f t="shared" ref="M10:M30" si="0">K10/655.957</f>
        <v>0</v>
      </c>
      <c r="N10" s="40"/>
    </row>
    <row r="11" spans="1:14">
      <c r="A11" s="233">
        <v>60330000</v>
      </c>
      <c r="B11" s="239" t="s">
        <v>103</v>
      </c>
      <c r="C11" s="241" t="s">
        <v>112</v>
      </c>
      <c r="D11" s="239" t="s">
        <v>4</v>
      </c>
      <c r="E11" s="240">
        <v>-15573557</v>
      </c>
      <c r="H11" s="104"/>
      <c r="I11" s="168" t="s">
        <v>130</v>
      </c>
      <c r="J11" s="168"/>
      <c r="K11" s="21">
        <f>SUMIF($C$8:$C$1000,I11,$E$8:$E$1000)</f>
        <v>0</v>
      </c>
      <c r="L11" s="52"/>
      <c r="M11" s="21">
        <f t="shared" si="0"/>
        <v>0</v>
      </c>
      <c r="N11" s="40"/>
    </row>
    <row r="12" spans="1:14">
      <c r="A12" s="233">
        <v>60340000</v>
      </c>
      <c r="B12" s="239" t="s">
        <v>103</v>
      </c>
      <c r="C12" s="241" t="s">
        <v>113</v>
      </c>
      <c r="D12" s="239" t="s">
        <v>5</v>
      </c>
      <c r="E12" s="240">
        <v>36124210</v>
      </c>
      <c r="H12" s="104"/>
      <c r="I12" s="168" t="s">
        <v>112</v>
      </c>
      <c r="J12" s="168"/>
      <c r="K12" s="21">
        <f>SUMIF($C$8:$C$1000,I12,$E$8:$E$1000)</f>
        <v>171273822</v>
      </c>
      <c r="L12" s="52"/>
      <c r="M12" s="21">
        <f t="shared" si="0"/>
        <v>261105.25842395157</v>
      </c>
      <c r="N12" s="40"/>
    </row>
    <row r="13" spans="1:14">
      <c r="A13" s="233">
        <v>60410000</v>
      </c>
      <c r="B13" s="239" t="s">
        <v>103</v>
      </c>
      <c r="C13" s="241" t="s">
        <v>113</v>
      </c>
      <c r="D13" s="239" t="s">
        <v>6</v>
      </c>
      <c r="E13" s="240">
        <v>975000</v>
      </c>
      <c r="H13" s="104"/>
      <c r="I13" s="168" t="s">
        <v>113</v>
      </c>
      <c r="J13" s="168"/>
      <c r="K13" s="21">
        <f>SUMIF($C$8:$C$1000,I13,$E$8:$E$1000)</f>
        <v>105089593</v>
      </c>
      <c r="L13" s="52"/>
      <c r="M13" s="21">
        <f t="shared" si="0"/>
        <v>160208.0517472944</v>
      </c>
      <c r="N13" s="40"/>
    </row>
    <row r="14" spans="1:14">
      <c r="A14" s="233">
        <v>60420000</v>
      </c>
      <c r="B14" s="239" t="s">
        <v>103</v>
      </c>
      <c r="C14" s="241" t="s">
        <v>112</v>
      </c>
      <c r="D14" s="239" t="s">
        <v>1773</v>
      </c>
      <c r="E14" s="240">
        <v>214379</v>
      </c>
      <c r="H14" s="104"/>
      <c r="I14" s="52"/>
      <c r="J14" s="52"/>
      <c r="K14" s="21"/>
      <c r="L14" s="52"/>
      <c r="M14" s="21"/>
      <c r="N14" s="40"/>
    </row>
    <row r="15" spans="1:14">
      <c r="A15" s="233">
        <v>60530000</v>
      </c>
      <c r="B15" s="239" t="s">
        <v>103</v>
      </c>
      <c r="C15" s="241" t="s">
        <v>112</v>
      </c>
      <c r="D15" s="239" t="s">
        <v>10</v>
      </c>
      <c r="E15" s="240">
        <v>83000</v>
      </c>
      <c r="H15" s="104"/>
      <c r="I15" s="165" t="s">
        <v>133</v>
      </c>
      <c r="J15" s="52"/>
      <c r="K15" s="139">
        <f>SUM(K16:K17)</f>
        <v>170057286</v>
      </c>
      <c r="L15" s="52"/>
      <c r="M15" s="139">
        <f t="shared" si="0"/>
        <v>259250.66124761227</v>
      </c>
      <c r="N15" s="40"/>
    </row>
    <row r="16" spans="1:14">
      <c r="A16" s="233">
        <v>60531000</v>
      </c>
      <c r="B16" s="239" t="s">
        <v>103</v>
      </c>
      <c r="C16" s="241" t="s">
        <v>112</v>
      </c>
      <c r="D16" s="239" t="s">
        <v>11</v>
      </c>
      <c r="E16" s="240">
        <v>186550000</v>
      </c>
      <c r="H16" s="104"/>
      <c r="I16" s="168" t="s">
        <v>121</v>
      </c>
      <c r="J16" s="168"/>
      <c r="K16" s="21">
        <f>SUMIF($C$8:$C$1000,I16,$E$8:$E$1000)</f>
        <v>145002793</v>
      </c>
      <c r="L16" s="52"/>
      <c r="M16" s="21">
        <f t="shared" si="0"/>
        <v>221055.33289529648</v>
      </c>
      <c r="N16" s="40"/>
    </row>
    <row r="17" spans="1:14">
      <c r="A17" s="233">
        <v>60561000</v>
      </c>
      <c r="B17" s="239" t="s">
        <v>103</v>
      </c>
      <c r="C17" s="241" t="s">
        <v>113</v>
      </c>
      <c r="D17" s="239" t="s">
        <v>14</v>
      </c>
      <c r="E17" s="240">
        <v>12776614</v>
      </c>
      <c r="H17" s="104"/>
      <c r="I17" s="168" t="s">
        <v>122</v>
      </c>
      <c r="J17" s="168"/>
      <c r="K17" s="21">
        <f>SUMIF($C$8:$C$1000,I17,$E$8:$E$1000)</f>
        <v>25054493</v>
      </c>
      <c r="L17" s="52"/>
      <c r="M17" s="21">
        <f t="shared" si="0"/>
        <v>38195.328352315781</v>
      </c>
      <c r="N17" s="40"/>
    </row>
    <row r="18" spans="1:14">
      <c r="A18" s="233">
        <v>60562000</v>
      </c>
      <c r="B18" s="239" t="s">
        <v>103</v>
      </c>
      <c r="C18" s="241" t="s">
        <v>113</v>
      </c>
      <c r="D18" s="239" t="s">
        <v>15</v>
      </c>
      <c r="E18" s="240">
        <v>25229435</v>
      </c>
      <c r="H18" s="104"/>
      <c r="I18" s="52"/>
      <c r="J18" s="52"/>
      <c r="K18" s="21"/>
      <c r="L18" s="52"/>
      <c r="M18" s="21"/>
      <c r="N18" s="40"/>
    </row>
    <row r="19" spans="1:14">
      <c r="A19" s="233">
        <v>60567000</v>
      </c>
      <c r="B19" s="239" t="s">
        <v>103</v>
      </c>
      <c r="C19" s="241" t="s">
        <v>113</v>
      </c>
      <c r="D19" s="239" t="s">
        <v>1782</v>
      </c>
      <c r="E19" s="240">
        <v>501567</v>
      </c>
      <c r="H19" s="104"/>
      <c r="I19" s="165" t="s">
        <v>134</v>
      </c>
      <c r="J19" s="52"/>
      <c r="K19" s="139">
        <f>SUM(K20:K30)</f>
        <v>178071084</v>
      </c>
      <c r="L19" s="52"/>
      <c r="M19" s="139">
        <f t="shared" si="0"/>
        <v>271467.61754200351</v>
      </c>
      <c r="N19" s="40"/>
    </row>
    <row r="20" spans="1:14">
      <c r="A20" s="233">
        <v>60568000</v>
      </c>
      <c r="B20" s="239" t="s">
        <v>103</v>
      </c>
      <c r="C20" s="241" t="s">
        <v>113</v>
      </c>
      <c r="D20" s="239" t="s">
        <v>18</v>
      </c>
      <c r="E20" s="240">
        <v>22494360</v>
      </c>
      <c r="H20" s="104"/>
      <c r="I20" s="168" t="s">
        <v>110</v>
      </c>
      <c r="J20" s="168"/>
      <c r="K20" s="21">
        <f>SUMIF($C$8:$C$1000,I20,$E$8:$E$1000)</f>
        <v>30855690</v>
      </c>
      <c r="L20" s="52"/>
      <c r="M20" s="21">
        <f t="shared" si="0"/>
        <v>47039.196166821908</v>
      </c>
      <c r="N20" s="40"/>
    </row>
    <row r="21" spans="1:14">
      <c r="A21" s="233">
        <v>60569000</v>
      </c>
      <c r="B21" s="239" t="s">
        <v>103</v>
      </c>
      <c r="C21" s="241" t="s">
        <v>113</v>
      </c>
      <c r="D21" s="239" t="s">
        <v>19</v>
      </c>
      <c r="E21" s="240">
        <v>1693247</v>
      </c>
      <c r="H21" s="104"/>
      <c r="I21" s="168" t="s">
        <v>123</v>
      </c>
      <c r="J21" s="168"/>
      <c r="K21" s="21">
        <f t="shared" ref="K21:K30" si="1">SUMIF($C$8:$C$1000,I21,$E$8:$E$1000)</f>
        <v>224399</v>
      </c>
      <c r="L21" s="52"/>
      <c r="M21" s="21">
        <f t="shared" si="0"/>
        <v>342.09407019057653</v>
      </c>
      <c r="N21" s="40"/>
    </row>
    <row r="22" spans="1:14">
      <c r="A22" s="233">
        <v>61600000</v>
      </c>
      <c r="B22" s="239" t="s">
        <v>103</v>
      </c>
      <c r="C22" s="241" t="s">
        <v>115</v>
      </c>
      <c r="D22" s="239" t="s">
        <v>23</v>
      </c>
      <c r="E22" s="240">
        <v>48925</v>
      </c>
      <c r="H22" s="104"/>
      <c r="I22" s="168" t="s">
        <v>111</v>
      </c>
      <c r="J22" s="168"/>
      <c r="K22" s="21">
        <f t="shared" si="1"/>
        <v>8425814</v>
      </c>
      <c r="L22" s="52"/>
      <c r="M22" s="21">
        <f t="shared" si="0"/>
        <v>12845.070637252136</v>
      </c>
      <c r="N22" s="40"/>
    </row>
    <row r="23" spans="1:14">
      <c r="A23" s="233">
        <v>61810000</v>
      </c>
      <c r="B23" s="239" t="s">
        <v>103</v>
      </c>
      <c r="C23" s="241" t="s">
        <v>110</v>
      </c>
      <c r="D23" s="239" t="s">
        <v>24</v>
      </c>
      <c r="E23" s="240">
        <v>520500</v>
      </c>
      <c r="H23" s="104"/>
      <c r="I23" s="168" t="s">
        <v>118</v>
      </c>
      <c r="J23" s="168"/>
      <c r="K23" s="21">
        <f t="shared" si="1"/>
        <v>6952899</v>
      </c>
      <c r="L23" s="52"/>
      <c r="M23" s="21">
        <f t="shared" si="0"/>
        <v>10599.626195009734</v>
      </c>
      <c r="N23" s="40"/>
    </row>
    <row r="24" spans="1:14">
      <c r="A24" s="233">
        <v>61820000</v>
      </c>
      <c r="B24" s="239" t="s">
        <v>103</v>
      </c>
      <c r="C24" s="241" t="s">
        <v>110</v>
      </c>
      <c r="D24" s="239" t="s">
        <v>25</v>
      </c>
      <c r="E24" s="240">
        <v>4507800</v>
      </c>
      <c r="H24" s="104"/>
      <c r="I24" s="168" t="s">
        <v>119</v>
      </c>
      <c r="J24" s="168"/>
      <c r="K24" s="21">
        <f t="shared" si="1"/>
        <v>35092073</v>
      </c>
      <c r="L24" s="52"/>
      <c r="M24" s="21">
        <f t="shared" si="0"/>
        <v>53497.520416734631</v>
      </c>
      <c r="N24" s="40"/>
    </row>
    <row r="25" spans="1:14">
      <c r="A25" s="233">
        <v>61821000</v>
      </c>
      <c r="B25" s="239" t="s">
        <v>103</v>
      </c>
      <c r="C25" s="241" t="s">
        <v>110</v>
      </c>
      <c r="D25" s="239" t="s">
        <v>26</v>
      </c>
      <c r="E25" s="240">
        <v>364816</v>
      </c>
      <c r="H25" s="104"/>
      <c r="I25" s="168" t="s">
        <v>120</v>
      </c>
      <c r="J25" s="168"/>
      <c r="K25" s="21">
        <f t="shared" si="1"/>
        <v>7192993</v>
      </c>
      <c r="L25" s="52"/>
      <c r="M25" s="21">
        <f t="shared" si="0"/>
        <v>10965.647138455723</v>
      </c>
      <c r="N25" s="40"/>
    </row>
    <row r="26" spans="1:14">
      <c r="A26" s="233">
        <v>61830000</v>
      </c>
      <c r="B26" s="239" t="s">
        <v>103</v>
      </c>
      <c r="C26" s="241" t="s">
        <v>116</v>
      </c>
      <c r="D26" s="239" t="s">
        <v>27</v>
      </c>
      <c r="E26" s="240">
        <v>52500</v>
      </c>
      <c r="H26" s="104"/>
      <c r="I26" s="168" t="s">
        <v>19</v>
      </c>
      <c r="J26" s="168"/>
      <c r="K26" s="21">
        <f t="shared" si="1"/>
        <v>0</v>
      </c>
      <c r="L26" s="52"/>
      <c r="M26" s="21">
        <f t="shared" si="0"/>
        <v>0</v>
      </c>
      <c r="N26" s="40"/>
    </row>
    <row r="27" spans="1:14">
      <c r="A27" s="233">
        <v>62230000</v>
      </c>
      <c r="B27" s="239" t="s">
        <v>103</v>
      </c>
      <c r="C27" s="241" t="s">
        <v>116</v>
      </c>
      <c r="D27" s="239" t="s">
        <v>29</v>
      </c>
      <c r="E27" s="240">
        <v>2690000</v>
      </c>
      <c r="H27" s="104"/>
      <c r="I27" s="168" t="s">
        <v>124</v>
      </c>
      <c r="J27" s="168"/>
      <c r="K27" s="21">
        <f t="shared" si="1"/>
        <v>64225235</v>
      </c>
      <c r="L27" s="52"/>
      <c r="M27" s="21">
        <f t="shared" si="0"/>
        <v>97910.739575917323</v>
      </c>
      <c r="N27" s="40"/>
    </row>
    <row r="28" spans="1:14">
      <c r="A28" s="233">
        <v>62420000</v>
      </c>
      <c r="B28" s="239" t="s">
        <v>103</v>
      </c>
      <c r="C28" s="241" t="s">
        <v>117</v>
      </c>
      <c r="D28" s="239" t="s">
        <v>32</v>
      </c>
      <c r="E28" s="240">
        <v>16049481</v>
      </c>
      <c r="H28" s="104"/>
      <c r="I28" s="168" t="s">
        <v>131</v>
      </c>
      <c r="J28" s="168"/>
      <c r="K28" s="21">
        <f t="shared" si="1"/>
        <v>0</v>
      </c>
      <c r="L28" s="52"/>
      <c r="M28" s="21">
        <f t="shared" si="0"/>
        <v>0</v>
      </c>
      <c r="N28" s="40"/>
    </row>
    <row r="29" spans="1:14">
      <c r="A29" s="233">
        <v>62430000</v>
      </c>
      <c r="B29" s="239" t="s">
        <v>103</v>
      </c>
      <c r="C29" s="241" t="s">
        <v>117</v>
      </c>
      <c r="D29" s="239" t="s">
        <v>33</v>
      </c>
      <c r="E29" s="240">
        <v>6310000</v>
      </c>
      <c r="H29" s="104"/>
      <c r="I29" s="168" t="s">
        <v>117</v>
      </c>
      <c r="J29" s="168"/>
      <c r="K29" s="21">
        <f t="shared" si="1"/>
        <v>22359481</v>
      </c>
      <c r="L29" s="52"/>
      <c r="M29" s="21">
        <f t="shared" si="0"/>
        <v>34086.8090438855</v>
      </c>
      <c r="N29" s="40"/>
    </row>
    <row r="30" spans="1:14">
      <c r="A30" s="233">
        <v>62510000</v>
      </c>
      <c r="B30" s="239" t="s">
        <v>103</v>
      </c>
      <c r="C30" s="241" t="s">
        <v>118</v>
      </c>
      <c r="D30" s="239" t="s">
        <v>560</v>
      </c>
      <c r="E30" s="240">
        <v>54853</v>
      </c>
      <c r="H30" s="104"/>
      <c r="I30" s="168" t="s">
        <v>116</v>
      </c>
      <c r="J30" s="168"/>
      <c r="K30" s="21">
        <f t="shared" si="1"/>
        <v>2742500</v>
      </c>
      <c r="L30" s="52"/>
      <c r="M30" s="21">
        <f t="shared" si="0"/>
        <v>4180.9142977359797</v>
      </c>
      <c r="N30" s="40"/>
    </row>
    <row r="31" spans="1:14">
      <c r="A31" s="233">
        <v>62511000</v>
      </c>
      <c r="B31" s="239" t="s">
        <v>103</v>
      </c>
      <c r="C31" s="241" t="s">
        <v>118</v>
      </c>
      <c r="D31" s="239" t="s">
        <v>34</v>
      </c>
      <c r="E31" s="240">
        <v>1005551</v>
      </c>
      <c r="H31" s="104"/>
      <c r="I31" s="52"/>
      <c r="J31" s="52"/>
      <c r="K31" s="21"/>
      <c r="L31" s="52"/>
      <c r="M31" s="21"/>
      <c r="N31" s="40"/>
    </row>
    <row r="32" spans="1:14">
      <c r="A32" s="233">
        <v>62522000</v>
      </c>
      <c r="B32" s="239" t="s">
        <v>103</v>
      </c>
      <c r="C32" s="241" t="s">
        <v>118</v>
      </c>
      <c r="D32" s="239" t="s">
        <v>36</v>
      </c>
      <c r="E32" s="240">
        <v>5801586</v>
      </c>
      <c r="H32" s="104"/>
      <c r="I32" s="52" t="s">
        <v>115</v>
      </c>
      <c r="J32" s="52"/>
      <c r="K32" s="138">
        <f>SUMIF($C$8:$C$1000,I32,$E$8:$E$1000)</f>
        <v>777477</v>
      </c>
      <c r="L32" s="52"/>
      <c r="M32" s="138">
        <f>K32/655.957</f>
        <v>1185.256045746901</v>
      </c>
      <c r="N32" s="40"/>
    </row>
    <row r="33" spans="1:14">
      <c r="A33" s="233">
        <v>62582000</v>
      </c>
      <c r="B33" s="239" t="s">
        <v>103</v>
      </c>
      <c r="C33" s="241" t="s">
        <v>118</v>
      </c>
      <c r="D33" s="239" t="s">
        <v>37</v>
      </c>
      <c r="E33" s="240">
        <v>90909</v>
      </c>
      <c r="H33" s="104"/>
      <c r="I33" s="52"/>
      <c r="J33" s="52"/>
      <c r="K33" s="21"/>
      <c r="L33" s="52"/>
      <c r="M33" s="21"/>
      <c r="N33" s="40"/>
    </row>
    <row r="34" spans="1:14">
      <c r="A34" s="233">
        <v>62883000</v>
      </c>
      <c r="B34" s="239" t="s">
        <v>103</v>
      </c>
      <c r="C34" s="241" t="s">
        <v>113</v>
      </c>
      <c r="D34" s="239" t="s">
        <v>41</v>
      </c>
      <c r="E34" s="240">
        <v>5295160</v>
      </c>
      <c r="H34" s="104"/>
      <c r="I34" s="52" t="s">
        <v>125</v>
      </c>
      <c r="J34" s="52"/>
      <c r="K34" s="138">
        <f>SUMIF($C$8:$C$1000,I34,$E$8:$E$1000)</f>
        <v>596278</v>
      </c>
      <c r="L34" s="52"/>
      <c r="M34" s="138">
        <f>K34/655.957</f>
        <v>909.01995100288582</v>
      </c>
      <c r="N34" s="40"/>
    </row>
    <row r="35" spans="1:14" ht="15.75" thickBot="1">
      <c r="A35" s="233">
        <v>63210000</v>
      </c>
      <c r="B35" s="239" t="s">
        <v>103</v>
      </c>
      <c r="C35" s="241" t="s">
        <v>111</v>
      </c>
      <c r="D35" s="239" t="s">
        <v>43</v>
      </c>
      <c r="E35" s="240">
        <v>110864</v>
      </c>
      <c r="H35" s="37"/>
      <c r="I35" s="38"/>
      <c r="J35" s="38"/>
      <c r="K35" s="38"/>
      <c r="L35" s="38"/>
      <c r="M35" s="38"/>
      <c r="N35" s="109"/>
    </row>
    <row r="36" spans="1:14">
      <c r="A36" s="233">
        <v>63241000</v>
      </c>
      <c r="B36" s="239" t="s">
        <v>103</v>
      </c>
      <c r="C36" s="241" t="s">
        <v>111</v>
      </c>
      <c r="D36" s="239" t="s">
        <v>45</v>
      </c>
      <c r="E36" s="240">
        <v>350000</v>
      </c>
    </row>
    <row r="37" spans="1:14">
      <c r="A37" s="233">
        <v>63281000</v>
      </c>
      <c r="B37" s="239" t="s">
        <v>103</v>
      </c>
      <c r="C37" s="241" t="s">
        <v>110</v>
      </c>
      <c r="D37" s="239" t="s">
        <v>47</v>
      </c>
      <c r="E37" s="240">
        <v>356175</v>
      </c>
    </row>
    <row r="38" spans="1:14">
      <c r="A38" s="233">
        <v>63282000</v>
      </c>
      <c r="B38" s="239" t="s">
        <v>103</v>
      </c>
      <c r="C38" s="241" t="s">
        <v>111</v>
      </c>
      <c r="D38" s="239" t="s">
        <v>48</v>
      </c>
      <c r="E38" s="240">
        <v>3535240</v>
      </c>
      <c r="I38" s="14" t="s">
        <v>109</v>
      </c>
      <c r="J38" s="14"/>
      <c r="K38" s="235">
        <f>E3-K3</f>
        <v>0</v>
      </c>
      <c r="L38" s="235"/>
      <c r="M38" s="235">
        <f>K38/655.957</f>
        <v>0</v>
      </c>
    </row>
    <row r="39" spans="1:14">
      <c r="A39" s="233">
        <v>63284000</v>
      </c>
      <c r="B39" s="239" t="s">
        <v>103</v>
      </c>
      <c r="C39" s="241" t="s">
        <v>110</v>
      </c>
      <c r="D39" s="239" t="s">
        <v>49</v>
      </c>
      <c r="E39" s="240">
        <v>3462989</v>
      </c>
    </row>
    <row r="40" spans="1:14">
      <c r="A40" s="233">
        <v>63421000</v>
      </c>
      <c r="B40" s="239" t="s">
        <v>103</v>
      </c>
      <c r="C40" s="241" t="s">
        <v>119</v>
      </c>
      <c r="D40" s="239" t="s">
        <v>51</v>
      </c>
      <c r="E40" s="240">
        <v>14732944</v>
      </c>
    </row>
    <row r="41" spans="1:14">
      <c r="A41" s="233">
        <v>63423100</v>
      </c>
      <c r="B41" s="239" t="s">
        <v>103</v>
      </c>
      <c r="C41" s="241" t="s">
        <v>119</v>
      </c>
      <c r="D41" s="239" t="s">
        <v>52</v>
      </c>
      <c r="E41" s="240">
        <v>6434626</v>
      </c>
    </row>
    <row r="42" spans="1:14">
      <c r="A42" s="233">
        <v>63423400</v>
      </c>
      <c r="B42" s="239" t="s">
        <v>103</v>
      </c>
      <c r="C42" s="241" t="s">
        <v>119</v>
      </c>
      <c r="D42" s="239" t="s">
        <v>54</v>
      </c>
      <c r="E42" s="240">
        <v>1338505</v>
      </c>
    </row>
    <row r="43" spans="1:14">
      <c r="A43" s="233">
        <v>63423500</v>
      </c>
      <c r="B43" s="239" t="s">
        <v>103</v>
      </c>
      <c r="C43" s="241" t="s">
        <v>119</v>
      </c>
      <c r="D43" s="239" t="s">
        <v>55</v>
      </c>
      <c r="E43" s="240">
        <v>8656833</v>
      </c>
    </row>
    <row r="44" spans="1:14">
      <c r="A44" s="233">
        <v>63423950</v>
      </c>
      <c r="B44" s="239" t="s">
        <v>103</v>
      </c>
      <c r="C44" s="241" t="s">
        <v>119</v>
      </c>
      <c r="D44" s="239" t="s">
        <v>561</v>
      </c>
      <c r="E44" s="240">
        <v>3929165</v>
      </c>
    </row>
    <row r="45" spans="1:14">
      <c r="A45" s="233">
        <v>63510000</v>
      </c>
      <c r="B45" s="239" t="s">
        <v>103</v>
      </c>
      <c r="C45" s="241" t="s">
        <v>111</v>
      </c>
      <c r="D45" s="239" t="s">
        <v>1796</v>
      </c>
      <c r="E45" s="240">
        <v>1000000</v>
      </c>
    </row>
    <row r="46" spans="1:14">
      <c r="A46" s="233">
        <v>63711000</v>
      </c>
      <c r="B46" s="239" t="s">
        <v>103</v>
      </c>
      <c r="C46" s="241" t="s">
        <v>110</v>
      </c>
      <c r="D46" s="239" t="s">
        <v>562</v>
      </c>
      <c r="E46" s="240">
        <v>10645631</v>
      </c>
    </row>
    <row r="47" spans="1:14">
      <c r="A47" s="233">
        <v>63712000</v>
      </c>
      <c r="B47" s="239" t="s">
        <v>103</v>
      </c>
      <c r="C47" s="241" t="s">
        <v>110</v>
      </c>
      <c r="D47" s="239" t="s">
        <v>57</v>
      </c>
      <c r="E47" s="240">
        <v>4108665</v>
      </c>
    </row>
    <row r="48" spans="1:14">
      <c r="A48" s="233">
        <v>63712001</v>
      </c>
      <c r="B48" s="239" t="s">
        <v>103</v>
      </c>
      <c r="C48" s="241" t="s">
        <v>111</v>
      </c>
      <c r="D48" s="239" t="s">
        <v>58</v>
      </c>
      <c r="E48" s="240">
        <v>2104600</v>
      </c>
    </row>
    <row r="49" spans="1:5">
      <c r="A49" s="233">
        <v>63830060</v>
      </c>
      <c r="B49" s="239" t="s">
        <v>103</v>
      </c>
      <c r="C49" s="241" t="s">
        <v>120</v>
      </c>
      <c r="D49" s="239" t="s">
        <v>61</v>
      </c>
      <c r="E49" s="240">
        <v>409000</v>
      </c>
    </row>
    <row r="50" spans="1:5">
      <c r="A50" s="233">
        <v>63831000</v>
      </c>
      <c r="B50" s="239" t="s">
        <v>103</v>
      </c>
      <c r="C50" s="241" t="s">
        <v>120</v>
      </c>
      <c r="D50" s="239" t="s">
        <v>62</v>
      </c>
      <c r="E50" s="240">
        <v>2113365</v>
      </c>
    </row>
    <row r="51" spans="1:5">
      <c r="A51" s="233">
        <v>63832000</v>
      </c>
      <c r="B51" s="239" t="s">
        <v>103</v>
      </c>
      <c r="C51" s="241" t="s">
        <v>120</v>
      </c>
      <c r="D51" s="239" t="s">
        <v>63</v>
      </c>
      <c r="E51" s="240">
        <v>4670628</v>
      </c>
    </row>
    <row r="52" spans="1:5">
      <c r="A52" s="233">
        <v>64110000</v>
      </c>
      <c r="B52" s="239" t="s">
        <v>103</v>
      </c>
      <c r="C52" s="241" t="s">
        <v>122</v>
      </c>
      <c r="D52" s="239" t="s">
        <v>65</v>
      </c>
      <c r="E52" s="240">
        <v>33900</v>
      </c>
    </row>
    <row r="53" spans="1:5">
      <c r="A53" s="233">
        <v>64112000</v>
      </c>
      <c r="B53" s="239" t="s">
        <v>103</v>
      </c>
      <c r="C53" s="241" t="s">
        <v>121</v>
      </c>
      <c r="D53" s="239" t="s">
        <v>66</v>
      </c>
      <c r="E53" s="240">
        <v>89046085</v>
      </c>
    </row>
    <row r="54" spans="1:5">
      <c r="A54" s="233">
        <v>64113000</v>
      </c>
      <c r="B54" s="239" t="s">
        <v>103</v>
      </c>
      <c r="C54" s="241" t="s">
        <v>111</v>
      </c>
      <c r="D54" s="239" t="s">
        <v>1797</v>
      </c>
      <c r="E54" s="240">
        <v>150976</v>
      </c>
    </row>
    <row r="55" spans="1:5">
      <c r="A55" s="233">
        <v>64782000</v>
      </c>
      <c r="B55" s="239" t="s">
        <v>103</v>
      </c>
      <c r="C55" s="241" t="s">
        <v>111</v>
      </c>
      <c r="D55" s="239" t="s">
        <v>1798</v>
      </c>
      <c r="E55" s="240">
        <v>40000</v>
      </c>
    </row>
    <row r="56" spans="1:5">
      <c r="A56" s="233">
        <v>66110000</v>
      </c>
      <c r="B56" s="239" t="s">
        <v>103</v>
      </c>
      <c r="C56" s="241" t="s">
        <v>122</v>
      </c>
      <c r="D56" s="239" t="s">
        <v>70</v>
      </c>
      <c r="E56" s="240">
        <v>23744821</v>
      </c>
    </row>
    <row r="57" spans="1:5">
      <c r="A57" s="233">
        <v>66121000</v>
      </c>
      <c r="B57" s="239" t="s">
        <v>103</v>
      </c>
      <c r="C57" s="241" t="s">
        <v>122</v>
      </c>
      <c r="D57" s="239" t="s">
        <v>71</v>
      </c>
      <c r="E57" s="240">
        <v>-3029</v>
      </c>
    </row>
    <row r="58" spans="1:5">
      <c r="A58" s="233">
        <v>66220039</v>
      </c>
      <c r="B58" s="239" t="s">
        <v>103</v>
      </c>
      <c r="C58" s="241" t="s">
        <v>121</v>
      </c>
      <c r="D58" s="239" t="s">
        <v>1799</v>
      </c>
      <c r="E58" s="240">
        <v>55490441</v>
      </c>
    </row>
    <row r="59" spans="1:5">
      <c r="A59" s="233">
        <v>66380000</v>
      </c>
      <c r="B59" s="239" t="s">
        <v>103</v>
      </c>
      <c r="C59" s="241" t="s">
        <v>122</v>
      </c>
      <c r="D59" s="239" t="s">
        <v>75</v>
      </c>
      <c r="E59" s="240">
        <v>383413</v>
      </c>
    </row>
    <row r="60" spans="1:5">
      <c r="A60" s="233">
        <v>66410000</v>
      </c>
      <c r="B60" s="239" t="s">
        <v>103</v>
      </c>
      <c r="C60" s="241" t="s">
        <v>122</v>
      </c>
      <c r="D60" s="239" t="s">
        <v>76</v>
      </c>
      <c r="E60" s="240">
        <v>143640</v>
      </c>
    </row>
    <row r="61" spans="1:5">
      <c r="A61" s="233">
        <v>66411000</v>
      </c>
      <c r="B61" s="239" t="s">
        <v>103</v>
      </c>
      <c r="C61" s="241" t="s">
        <v>122</v>
      </c>
      <c r="D61" s="239" t="s">
        <v>77</v>
      </c>
      <c r="E61" s="240">
        <v>661028</v>
      </c>
    </row>
    <row r="62" spans="1:5">
      <c r="A62" s="233">
        <v>66420000</v>
      </c>
      <c r="B62" s="239" t="s">
        <v>103</v>
      </c>
      <c r="C62" s="241" t="s">
        <v>122</v>
      </c>
      <c r="D62" s="239" t="s">
        <v>78</v>
      </c>
      <c r="E62" s="240">
        <v>90720</v>
      </c>
    </row>
    <row r="63" spans="1:5">
      <c r="A63" s="233">
        <v>66430000</v>
      </c>
      <c r="B63" s="239" t="s">
        <v>103</v>
      </c>
      <c r="C63" s="241" t="s">
        <v>121</v>
      </c>
      <c r="D63" s="239" t="s">
        <v>80</v>
      </c>
      <c r="E63" s="240">
        <v>466267</v>
      </c>
    </row>
    <row r="64" spans="1:5">
      <c r="A64" s="8">
        <v>66840001</v>
      </c>
      <c r="B64" s="8" t="s">
        <v>103</v>
      </c>
      <c r="C64" s="10" t="s">
        <v>123</v>
      </c>
      <c r="D64" t="s">
        <v>82</v>
      </c>
      <c r="E64" s="7">
        <v>224399</v>
      </c>
    </row>
    <row r="65" spans="1:5">
      <c r="A65" s="8">
        <v>67443000</v>
      </c>
      <c r="B65" s="8" t="s">
        <v>103</v>
      </c>
      <c r="C65" s="10" t="s">
        <v>125</v>
      </c>
      <c r="D65" t="s">
        <v>83</v>
      </c>
      <c r="E65" s="7">
        <v>596278</v>
      </c>
    </row>
    <row r="66" spans="1:5">
      <c r="A66" s="8">
        <v>67600000</v>
      </c>
      <c r="B66" s="8" t="s">
        <v>103</v>
      </c>
      <c r="C66" s="10" t="s">
        <v>111</v>
      </c>
      <c r="D66" t="s">
        <v>1783</v>
      </c>
      <c r="E66" s="7">
        <v>-282178</v>
      </c>
    </row>
    <row r="67" spans="1:5">
      <c r="A67" s="8">
        <v>68130000</v>
      </c>
      <c r="B67" s="8" t="s">
        <v>103</v>
      </c>
      <c r="C67" s="10" t="s">
        <v>124</v>
      </c>
      <c r="D67" t="s">
        <v>85</v>
      </c>
      <c r="E67" s="7">
        <v>64225235</v>
      </c>
    </row>
  </sheetData>
  <pageMargins left="0.7" right="0.7" top="0.75" bottom="0.75" header="0.3" footer="0.3"/>
  <pageSetup paperSize="9" scale="32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66"/>
  <sheetViews>
    <sheetView view="pageBreakPreview" zoomScale="60" zoomScaleNormal="60" workbookViewId="0">
      <selection activeCell="A8" sqref="A8:E66"/>
    </sheetView>
  </sheetViews>
  <sheetFormatPr baseColWidth="10" defaultRowHeight="15"/>
  <cols>
    <col min="2" max="2" width="11.42578125" style="8"/>
    <col min="3" max="3" width="34" style="10" bestFit="1" customWidth="1"/>
    <col min="4" max="4" width="51.140625" bestFit="1" customWidth="1"/>
    <col min="5" max="5" width="13.85546875" style="7" bestFit="1" customWidth="1"/>
    <col min="9" max="9" width="38.7109375" customWidth="1"/>
    <col min="10" max="10" width="13.7109375" customWidth="1"/>
    <col min="11" max="11" width="13.85546875" bestFit="1" customWidth="1"/>
    <col min="12" max="12" width="16.28515625" customWidth="1"/>
    <col min="13" max="13" width="15.140625" customWidth="1"/>
  </cols>
  <sheetData>
    <row r="2" spans="1:14">
      <c r="D2" s="293"/>
      <c r="E2" s="297"/>
    </row>
    <row r="3" spans="1:14">
      <c r="B3" s="10"/>
      <c r="D3" s="296" t="s">
        <v>444</v>
      </c>
      <c r="E3" s="295">
        <f>SUM(E8:E1000)</f>
        <v>608120132</v>
      </c>
      <c r="K3" s="11" t="s">
        <v>135</v>
      </c>
      <c r="L3" s="12"/>
      <c r="M3" s="8" t="s">
        <v>136</v>
      </c>
    </row>
    <row r="4" spans="1:14">
      <c r="K4" s="7">
        <f>K9+K15+K19+K32+K34</f>
        <v>608120132</v>
      </c>
      <c r="L4" s="13"/>
      <c r="M4" s="11">
        <f>M9+M15+M19+M32</f>
        <v>918928.57458644395</v>
      </c>
    </row>
    <row r="5" spans="1:14">
      <c r="A5" s="97" t="s">
        <v>594</v>
      </c>
      <c r="B5" s="97" t="s">
        <v>1246</v>
      </c>
      <c r="C5" s="97" t="s">
        <v>588</v>
      </c>
      <c r="D5" s="97" t="s">
        <v>1245</v>
      </c>
      <c r="E5" s="292" t="s">
        <v>135</v>
      </c>
      <c r="K5" s="7"/>
      <c r="L5" s="13"/>
    </row>
    <row r="6" spans="1:14" ht="5.25" customHeight="1">
      <c r="A6" s="53"/>
      <c r="B6" s="53"/>
      <c r="C6" s="53"/>
      <c r="D6" s="53"/>
      <c r="E6" s="291"/>
      <c r="K6" s="7"/>
      <c r="L6" s="13"/>
    </row>
    <row r="7" spans="1:14" ht="15.75" thickBot="1">
      <c r="K7" s="7"/>
      <c r="L7" s="13"/>
    </row>
    <row r="8" spans="1:14">
      <c r="A8" s="233">
        <v>60151000</v>
      </c>
      <c r="B8" s="233" t="s">
        <v>105</v>
      </c>
      <c r="C8" s="241" t="s">
        <v>115</v>
      </c>
      <c r="D8" s="239" t="s">
        <v>1</v>
      </c>
      <c r="E8" s="240">
        <v>960140</v>
      </c>
      <c r="H8" s="29"/>
      <c r="I8" s="30"/>
      <c r="J8" s="30"/>
      <c r="K8" s="99"/>
      <c r="L8" s="60"/>
      <c r="M8" s="30"/>
      <c r="N8" s="100"/>
    </row>
    <row r="9" spans="1:14">
      <c r="A9" s="233">
        <v>60152000</v>
      </c>
      <c r="B9" s="233" t="s">
        <v>105</v>
      </c>
      <c r="C9" s="241" t="s">
        <v>110</v>
      </c>
      <c r="D9" s="239" t="s">
        <v>2</v>
      </c>
      <c r="E9" s="240">
        <v>2133205</v>
      </c>
      <c r="H9" s="104"/>
      <c r="I9" s="165" t="s">
        <v>132</v>
      </c>
      <c r="J9" s="52"/>
      <c r="K9" s="139">
        <f>SUM(K10:K13)</f>
        <v>250608253</v>
      </c>
      <c r="L9" s="52"/>
      <c r="M9" s="139">
        <f>K9/655.957</f>
        <v>382049.81881434302</v>
      </c>
      <c r="N9" s="40"/>
    </row>
    <row r="10" spans="1:14">
      <c r="A10" s="233">
        <v>60154000</v>
      </c>
      <c r="B10" s="233" t="s">
        <v>105</v>
      </c>
      <c r="C10" s="241" t="s">
        <v>111</v>
      </c>
      <c r="D10" s="239" t="s">
        <v>3</v>
      </c>
      <c r="E10" s="240">
        <v>1713934</v>
      </c>
      <c r="H10" s="104"/>
      <c r="I10" s="168" t="s">
        <v>114</v>
      </c>
      <c r="J10" s="168"/>
      <c r="K10" s="21">
        <f>SUMIF($C$8:$C$1000,I10,$E$8:$E$1000)</f>
        <v>0</v>
      </c>
      <c r="L10" s="52"/>
      <c r="M10" s="21">
        <f t="shared" ref="M10:M30" si="0">K10/655.957</f>
        <v>0</v>
      </c>
      <c r="N10" s="40"/>
    </row>
    <row r="11" spans="1:14">
      <c r="A11" s="233">
        <v>60330000</v>
      </c>
      <c r="B11" s="233" t="s">
        <v>105</v>
      </c>
      <c r="C11" s="241" t="s">
        <v>112</v>
      </c>
      <c r="D11" s="239" t="s">
        <v>4</v>
      </c>
      <c r="E11" s="240">
        <v>-17450296</v>
      </c>
      <c r="H11" s="104"/>
      <c r="I11" s="168" t="s">
        <v>130</v>
      </c>
      <c r="J11" s="168"/>
      <c r="K11" s="21">
        <f>SUMIF($C$8:$C$1000,I11,$E$8:$E$1000)</f>
        <v>0</v>
      </c>
      <c r="L11" s="52"/>
      <c r="M11" s="21">
        <f t="shared" si="0"/>
        <v>0</v>
      </c>
      <c r="N11" s="40"/>
    </row>
    <row r="12" spans="1:14">
      <c r="A12" s="233">
        <v>60340000</v>
      </c>
      <c r="B12" s="233" t="s">
        <v>105</v>
      </c>
      <c r="C12" s="241" t="s">
        <v>113</v>
      </c>
      <c r="D12" s="239" t="s">
        <v>5</v>
      </c>
      <c r="E12" s="240">
        <v>28899368</v>
      </c>
      <c r="H12" s="104"/>
      <c r="I12" s="168" t="s">
        <v>112</v>
      </c>
      <c r="J12" s="168"/>
      <c r="K12" s="21">
        <f>SUMIF($C$8:$C$1000,I12,$E$8:$E$1000)</f>
        <v>120018437</v>
      </c>
      <c r="L12" s="52"/>
      <c r="M12" s="21">
        <f t="shared" si="0"/>
        <v>182966.92771020051</v>
      </c>
      <c r="N12" s="40"/>
    </row>
    <row r="13" spans="1:14">
      <c r="A13" s="233">
        <v>60410000</v>
      </c>
      <c r="B13" s="233" t="s">
        <v>105</v>
      </c>
      <c r="C13" s="241" t="s">
        <v>113</v>
      </c>
      <c r="D13" s="239" t="s">
        <v>6</v>
      </c>
      <c r="E13" s="240">
        <v>975000</v>
      </c>
      <c r="H13" s="104"/>
      <c r="I13" s="168" t="s">
        <v>113</v>
      </c>
      <c r="J13" s="168"/>
      <c r="K13" s="21">
        <f>SUMIF($C$8:$C$1000,I13,$E$8:$E$1000)</f>
        <v>130589816</v>
      </c>
      <c r="L13" s="52"/>
      <c r="M13" s="21">
        <f t="shared" si="0"/>
        <v>199082.8911041425</v>
      </c>
      <c r="N13" s="40"/>
    </row>
    <row r="14" spans="1:14">
      <c r="A14" s="233">
        <v>60420000</v>
      </c>
      <c r="B14" s="233" t="s">
        <v>105</v>
      </c>
      <c r="C14" s="241" t="s">
        <v>112</v>
      </c>
      <c r="D14" s="239" t="s">
        <v>1773</v>
      </c>
      <c r="E14" s="240">
        <v>214379</v>
      </c>
      <c r="H14" s="104"/>
      <c r="I14" s="52"/>
      <c r="J14" s="52"/>
      <c r="K14" s="21"/>
      <c r="L14" s="52"/>
      <c r="M14" s="21"/>
      <c r="N14" s="40"/>
    </row>
    <row r="15" spans="1:14">
      <c r="A15" s="233">
        <v>60530000</v>
      </c>
      <c r="B15" s="233" t="s">
        <v>105</v>
      </c>
      <c r="C15" s="241" t="s">
        <v>112</v>
      </c>
      <c r="D15" s="239" t="s">
        <v>10</v>
      </c>
      <c r="E15" s="240">
        <v>106000</v>
      </c>
      <c r="H15" s="104"/>
      <c r="I15" s="165" t="s">
        <v>133</v>
      </c>
      <c r="J15" s="52"/>
      <c r="K15" s="139">
        <f>SUM(K16:K17)</f>
        <v>174651813</v>
      </c>
      <c r="L15" s="52"/>
      <c r="M15" s="139">
        <f t="shared" si="0"/>
        <v>266254.97250581975</v>
      </c>
      <c r="N15" s="40"/>
    </row>
    <row r="16" spans="1:14">
      <c r="A16" s="233">
        <v>60531000</v>
      </c>
      <c r="B16" s="233" t="s">
        <v>105</v>
      </c>
      <c r="C16" s="241" t="s">
        <v>112</v>
      </c>
      <c r="D16" s="239" t="s">
        <v>11</v>
      </c>
      <c r="E16" s="240">
        <v>137148354</v>
      </c>
      <c r="H16" s="104"/>
      <c r="I16" s="168" t="s">
        <v>121</v>
      </c>
      <c r="J16" s="168"/>
      <c r="K16" s="21">
        <f>SUMIF($C$8:$C$1000,I16,$E$8:$E$1000)</f>
        <v>151264438</v>
      </c>
      <c r="L16" s="52"/>
      <c r="M16" s="21">
        <f t="shared" si="0"/>
        <v>230601.14916069194</v>
      </c>
      <c r="N16" s="40"/>
    </row>
    <row r="17" spans="1:14">
      <c r="A17" s="233">
        <v>60561000</v>
      </c>
      <c r="B17" s="233" t="s">
        <v>105</v>
      </c>
      <c r="C17" s="241" t="s">
        <v>113</v>
      </c>
      <c r="D17" s="239" t="s">
        <v>14</v>
      </c>
      <c r="E17" s="240">
        <v>12776614</v>
      </c>
      <c r="H17" s="104"/>
      <c r="I17" s="168" t="s">
        <v>122</v>
      </c>
      <c r="J17" s="168"/>
      <c r="K17" s="21">
        <f>SUMIF($C$8:$C$1000,I17,$E$8:$E$1000)</f>
        <v>23387375</v>
      </c>
      <c r="L17" s="52"/>
      <c r="M17" s="21">
        <f t="shared" si="0"/>
        <v>35653.823345127807</v>
      </c>
      <c r="N17" s="40"/>
    </row>
    <row r="18" spans="1:14">
      <c r="A18" s="233">
        <v>60562000</v>
      </c>
      <c r="B18" s="233" t="s">
        <v>105</v>
      </c>
      <c r="C18" s="241" t="s">
        <v>113</v>
      </c>
      <c r="D18" s="239" t="s">
        <v>15</v>
      </c>
      <c r="E18" s="240">
        <v>65523833</v>
      </c>
      <c r="H18" s="104"/>
      <c r="I18" s="52"/>
      <c r="J18" s="52"/>
      <c r="K18" s="21"/>
      <c r="L18" s="52"/>
      <c r="M18" s="21"/>
      <c r="N18" s="40"/>
    </row>
    <row r="19" spans="1:14">
      <c r="A19" s="233">
        <v>60563000</v>
      </c>
      <c r="B19" s="233" t="s">
        <v>105</v>
      </c>
      <c r="C19" s="241" t="s">
        <v>113</v>
      </c>
      <c r="D19" s="239" t="s">
        <v>16</v>
      </c>
      <c r="E19" s="240">
        <v>40000</v>
      </c>
      <c r="H19" s="104"/>
      <c r="I19" s="165" t="s">
        <v>134</v>
      </c>
      <c r="J19" s="52"/>
      <c r="K19" s="139">
        <f>SUM(K20:K30)</f>
        <v>176494051</v>
      </c>
      <c r="L19" s="52"/>
      <c r="M19" s="139">
        <f t="shared" si="0"/>
        <v>269063.44623199385</v>
      </c>
      <c r="N19" s="40"/>
    </row>
    <row r="20" spans="1:14">
      <c r="A20" s="233">
        <v>60567000</v>
      </c>
      <c r="B20" s="233" t="s">
        <v>105</v>
      </c>
      <c r="C20" s="241" t="s">
        <v>113</v>
      </c>
      <c r="D20" s="239" t="s">
        <v>1782</v>
      </c>
      <c r="E20" s="240">
        <v>501567</v>
      </c>
      <c r="H20" s="104"/>
      <c r="I20" s="168" t="s">
        <v>110</v>
      </c>
      <c r="J20" s="168"/>
      <c r="K20" s="21">
        <f>SUMIF($C$8:$C$1000,I20,$E$8:$E$1000)</f>
        <v>30630371</v>
      </c>
      <c r="L20" s="52"/>
      <c r="M20" s="21">
        <f t="shared" si="0"/>
        <v>46695.699565672752</v>
      </c>
      <c r="N20" s="40"/>
    </row>
    <row r="21" spans="1:14">
      <c r="A21" s="233">
        <v>60568000</v>
      </c>
      <c r="B21" s="233" t="s">
        <v>105</v>
      </c>
      <c r="C21" s="241" t="s">
        <v>113</v>
      </c>
      <c r="D21" s="239" t="s">
        <v>18</v>
      </c>
      <c r="E21" s="240">
        <v>15346826</v>
      </c>
      <c r="H21" s="104"/>
      <c r="I21" s="168" t="s">
        <v>123</v>
      </c>
      <c r="J21" s="168"/>
      <c r="K21" s="21">
        <f t="shared" ref="K21:K30" si="1">SUMIF($C$8:$C$1000,I21,$E$8:$E$1000)</f>
        <v>311054</v>
      </c>
      <c r="L21" s="52"/>
      <c r="M21" s="21">
        <f t="shared" si="0"/>
        <v>474.19876607765451</v>
      </c>
      <c r="N21" s="40"/>
    </row>
    <row r="22" spans="1:14">
      <c r="A22" s="233">
        <v>60569000</v>
      </c>
      <c r="B22" s="233" t="s">
        <v>105</v>
      </c>
      <c r="C22" s="241" t="s">
        <v>113</v>
      </c>
      <c r="D22" s="239" t="s">
        <v>19</v>
      </c>
      <c r="E22" s="240">
        <v>1231448</v>
      </c>
      <c r="H22" s="104"/>
      <c r="I22" s="168" t="s">
        <v>111</v>
      </c>
      <c r="J22" s="168"/>
      <c r="K22" s="21">
        <f t="shared" si="1"/>
        <v>5532191</v>
      </c>
      <c r="L22" s="52"/>
      <c r="M22" s="21">
        <f t="shared" si="0"/>
        <v>8433.7708111964657</v>
      </c>
      <c r="N22" s="40"/>
    </row>
    <row r="23" spans="1:14">
      <c r="A23" s="233">
        <v>61600000</v>
      </c>
      <c r="B23" s="233" t="s">
        <v>105</v>
      </c>
      <c r="C23" s="241" t="s">
        <v>115</v>
      </c>
      <c r="D23" s="239" t="s">
        <v>23</v>
      </c>
      <c r="E23" s="240">
        <v>63374</v>
      </c>
      <c r="H23" s="104"/>
      <c r="I23" s="168" t="s">
        <v>118</v>
      </c>
      <c r="J23" s="168"/>
      <c r="K23" s="21">
        <f t="shared" si="1"/>
        <v>6405910</v>
      </c>
      <c r="L23" s="52"/>
      <c r="M23" s="21">
        <f t="shared" si="0"/>
        <v>9765.7468401129954</v>
      </c>
      <c r="N23" s="40"/>
    </row>
    <row r="24" spans="1:14">
      <c r="A24" s="233">
        <v>61810000</v>
      </c>
      <c r="B24" s="233" t="s">
        <v>105</v>
      </c>
      <c r="C24" s="241" t="s">
        <v>110</v>
      </c>
      <c r="D24" s="239" t="s">
        <v>24</v>
      </c>
      <c r="E24" s="240">
        <v>1856600</v>
      </c>
      <c r="H24" s="104"/>
      <c r="I24" s="168" t="s">
        <v>119</v>
      </c>
      <c r="J24" s="168"/>
      <c r="K24" s="21">
        <f t="shared" si="1"/>
        <v>36499541</v>
      </c>
      <c r="L24" s="52"/>
      <c r="M24" s="21">
        <f t="shared" si="0"/>
        <v>55643.191550665666</v>
      </c>
      <c r="N24" s="40"/>
    </row>
    <row r="25" spans="1:14">
      <c r="A25" s="233">
        <v>61811000</v>
      </c>
      <c r="B25" s="233" t="s">
        <v>105</v>
      </c>
      <c r="C25" s="241" t="s">
        <v>116</v>
      </c>
      <c r="D25" s="239" t="s">
        <v>1800</v>
      </c>
      <c r="E25" s="240">
        <v>227200</v>
      </c>
      <c r="H25" s="104"/>
      <c r="I25" s="168" t="s">
        <v>120</v>
      </c>
      <c r="J25" s="168"/>
      <c r="K25" s="21">
        <f t="shared" si="1"/>
        <v>5339697</v>
      </c>
      <c r="L25" s="52"/>
      <c r="M25" s="21">
        <f t="shared" si="0"/>
        <v>8140.3155999554847</v>
      </c>
      <c r="N25" s="40"/>
    </row>
    <row r="26" spans="1:14">
      <c r="A26" s="233">
        <v>61820000</v>
      </c>
      <c r="B26" s="233" t="s">
        <v>105</v>
      </c>
      <c r="C26" s="241" t="s">
        <v>110</v>
      </c>
      <c r="D26" s="239" t="s">
        <v>25</v>
      </c>
      <c r="E26" s="240">
        <v>6308452</v>
      </c>
      <c r="H26" s="104"/>
      <c r="I26" s="168" t="s">
        <v>19</v>
      </c>
      <c r="J26" s="168"/>
      <c r="K26" s="21">
        <f t="shared" si="1"/>
        <v>0</v>
      </c>
      <c r="L26" s="52"/>
      <c r="M26" s="21">
        <f t="shared" si="0"/>
        <v>0</v>
      </c>
      <c r="N26" s="40"/>
    </row>
    <row r="27" spans="1:14">
      <c r="A27" s="233">
        <v>61821000</v>
      </c>
      <c r="B27" s="233" t="s">
        <v>105</v>
      </c>
      <c r="C27" s="241" t="s">
        <v>110</v>
      </c>
      <c r="D27" s="239" t="s">
        <v>26</v>
      </c>
      <c r="E27" s="240">
        <v>644816</v>
      </c>
      <c r="H27" s="104"/>
      <c r="I27" s="168" t="s">
        <v>124</v>
      </c>
      <c r="J27" s="168"/>
      <c r="K27" s="21">
        <f t="shared" si="1"/>
        <v>80265189</v>
      </c>
      <c r="L27" s="52"/>
      <c r="M27" s="21">
        <f t="shared" si="0"/>
        <v>122363.49181425002</v>
      </c>
      <c r="N27" s="40"/>
    </row>
    <row r="28" spans="1:14">
      <c r="A28" s="233">
        <v>62420000</v>
      </c>
      <c r="B28" s="233" t="s">
        <v>105</v>
      </c>
      <c r="C28" s="241" t="s">
        <v>117</v>
      </c>
      <c r="D28" s="239" t="s">
        <v>32</v>
      </c>
      <c r="E28" s="240">
        <v>10812898</v>
      </c>
      <c r="H28" s="104"/>
      <c r="I28" s="168" t="s">
        <v>131</v>
      </c>
      <c r="J28" s="168"/>
      <c r="K28" s="21">
        <f t="shared" si="1"/>
        <v>0</v>
      </c>
      <c r="L28" s="52"/>
      <c r="M28" s="21">
        <f t="shared" si="0"/>
        <v>0</v>
      </c>
      <c r="N28" s="40"/>
    </row>
    <row r="29" spans="1:14">
      <c r="A29" s="233">
        <v>62430000</v>
      </c>
      <c r="B29" s="233" t="s">
        <v>105</v>
      </c>
      <c r="C29" s="241" t="s">
        <v>117</v>
      </c>
      <c r="D29" s="239" t="s">
        <v>33</v>
      </c>
      <c r="E29" s="240">
        <v>470000</v>
      </c>
      <c r="H29" s="104"/>
      <c r="I29" s="168" t="s">
        <v>117</v>
      </c>
      <c r="J29" s="168"/>
      <c r="K29" s="21">
        <f t="shared" si="1"/>
        <v>11282898</v>
      </c>
      <c r="L29" s="52"/>
      <c r="M29" s="21">
        <f t="shared" si="0"/>
        <v>17200.667116899433</v>
      </c>
      <c r="N29" s="40"/>
    </row>
    <row r="30" spans="1:14">
      <c r="A30" s="233">
        <v>62510000</v>
      </c>
      <c r="B30" s="233" t="s">
        <v>105</v>
      </c>
      <c r="C30" s="241" t="s">
        <v>118</v>
      </c>
      <c r="D30" s="239" t="s">
        <v>560</v>
      </c>
      <c r="E30" s="240">
        <v>54853</v>
      </c>
      <c r="H30" s="104"/>
      <c r="I30" s="168" t="s">
        <v>116</v>
      </c>
      <c r="J30" s="168"/>
      <c r="K30" s="21">
        <f t="shared" si="1"/>
        <v>227200</v>
      </c>
      <c r="L30" s="52"/>
      <c r="M30" s="21">
        <f t="shared" si="0"/>
        <v>346.36416716339636</v>
      </c>
      <c r="N30" s="40"/>
    </row>
    <row r="31" spans="1:14">
      <c r="A31" s="233">
        <v>62511000</v>
      </c>
      <c r="B31" s="233" t="s">
        <v>105</v>
      </c>
      <c r="C31" s="241" t="s">
        <v>118</v>
      </c>
      <c r="D31" s="239" t="s">
        <v>34</v>
      </c>
      <c r="E31" s="240">
        <v>1005551</v>
      </c>
      <c r="H31" s="104"/>
      <c r="I31" s="52"/>
      <c r="J31" s="52"/>
      <c r="K31" s="21"/>
      <c r="L31" s="52"/>
      <c r="M31" s="21"/>
      <c r="N31" s="40"/>
    </row>
    <row r="32" spans="1:14">
      <c r="A32" s="233">
        <v>62522000</v>
      </c>
      <c r="B32" s="233" t="s">
        <v>105</v>
      </c>
      <c r="C32" s="241" t="s">
        <v>118</v>
      </c>
      <c r="D32" s="239" t="s">
        <v>36</v>
      </c>
      <c r="E32" s="240">
        <v>5254597</v>
      </c>
      <c r="H32" s="104"/>
      <c r="I32" s="52" t="s">
        <v>115</v>
      </c>
      <c r="J32" s="52"/>
      <c r="K32" s="138">
        <f>SUMIF($C$8:$C$1000,I32,$E$8:$E$1000)</f>
        <v>1023514</v>
      </c>
      <c r="L32" s="52"/>
      <c r="M32" s="138">
        <f>K32/655.957</f>
        <v>1560.3370342873084</v>
      </c>
      <c r="N32" s="40"/>
    </row>
    <row r="33" spans="1:14">
      <c r="A33" s="233">
        <v>62582000</v>
      </c>
      <c r="B33" s="233" t="s">
        <v>105</v>
      </c>
      <c r="C33" s="241" t="s">
        <v>118</v>
      </c>
      <c r="D33" s="239" t="s">
        <v>37</v>
      </c>
      <c r="E33" s="240">
        <v>90909</v>
      </c>
      <c r="H33" s="104"/>
      <c r="I33" s="52"/>
      <c r="J33" s="52"/>
      <c r="K33" s="21"/>
      <c r="L33" s="52"/>
      <c r="M33" s="21"/>
      <c r="N33" s="40"/>
    </row>
    <row r="34" spans="1:14">
      <c r="A34" s="233">
        <v>62883000</v>
      </c>
      <c r="B34" s="233" t="s">
        <v>105</v>
      </c>
      <c r="C34" s="241" t="s">
        <v>113</v>
      </c>
      <c r="D34" s="239" t="s">
        <v>41</v>
      </c>
      <c r="E34" s="240">
        <v>5295160</v>
      </c>
      <c r="H34" s="104"/>
      <c r="I34" s="52" t="s">
        <v>125</v>
      </c>
      <c r="J34" s="52"/>
      <c r="K34" s="138">
        <f>SUMIF($C$8:$C$1000,I34,$E$8:$E$1000)</f>
        <v>5342501</v>
      </c>
      <c r="L34" s="52"/>
      <c r="M34" s="138">
        <f>K34/655.957</f>
        <v>8144.5902703988222</v>
      </c>
      <c r="N34" s="40"/>
    </row>
    <row r="35" spans="1:14" ht="15.75" thickBot="1">
      <c r="A35" s="233">
        <v>63241000</v>
      </c>
      <c r="B35" s="233" t="s">
        <v>105</v>
      </c>
      <c r="C35" s="241" t="s">
        <v>111</v>
      </c>
      <c r="D35" s="239" t="s">
        <v>45</v>
      </c>
      <c r="E35" s="240">
        <v>375000</v>
      </c>
      <c r="H35" s="147"/>
      <c r="I35" s="65"/>
      <c r="J35" s="65"/>
      <c r="K35" s="65"/>
      <c r="L35" s="65"/>
      <c r="M35" s="65"/>
      <c r="N35" s="170"/>
    </row>
    <row r="36" spans="1:14">
      <c r="A36" s="233">
        <v>63281000</v>
      </c>
      <c r="B36" s="233" t="s">
        <v>105</v>
      </c>
      <c r="C36" s="241" t="s">
        <v>110</v>
      </c>
      <c r="D36" s="239" t="s">
        <v>47</v>
      </c>
      <c r="E36" s="240">
        <v>1646071</v>
      </c>
    </row>
    <row r="37" spans="1:14">
      <c r="A37" s="233">
        <v>63282000</v>
      </c>
      <c r="B37" s="233" t="s">
        <v>105</v>
      </c>
      <c r="C37" s="241" t="s">
        <v>111</v>
      </c>
      <c r="D37" s="239" t="s">
        <v>48</v>
      </c>
      <c r="E37" s="240">
        <v>805000</v>
      </c>
    </row>
    <row r="38" spans="1:14">
      <c r="A38" s="233">
        <v>63284000</v>
      </c>
      <c r="B38" s="233" t="s">
        <v>105</v>
      </c>
      <c r="C38" s="241" t="s">
        <v>110</v>
      </c>
      <c r="D38" s="239" t="s">
        <v>49</v>
      </c>
      <c r="E38" s="240">
        <v>3444196</v>
      </c>
      <c r="I38" s="14" t="s">
        <v>109</v>
      </c>
      <c r="J38" s="14"/>
      <c r="K38" s="235">
        <f>E3-K4</f>
        <v>0</v>
      </c>
      <c r="L38" s="235"/>
      <c r="M38" s="235">
        <f>K38/6553957</f>
        <v>0</v>
      </c>
    </row>
    <row r="39" spans="1:14">
      <c r="A39" s="233">
        <v>63421000</v>
      </c>
      <c r="B39" s="233" t="s">
        <v>105</v>
      </c>
      <c r="C39" s="241" t="s">
        <v>119</v>
      </c>
      <c r="D39" s="239" t="s">
        <v>51</v>
      </c>
      <c r="E39" s="240">
        <v>11546719</v>
      </c>
    </row>
    <row r="40" spans="1:14">
      <c r="A40" s="233">
        <v>63423100</v>
      </c>
      <c r="B40" s="233" t="s">
        <v>105</v>
      </c>
      <c r="C40" s="241" t="s">
        <v>119</v>
      </c>
      <c r="D40" s="239" t="s">
        <v>52</v>
      </c>
      <c r="E40" s="240">
        <v>6457955</v>
      </c>
    </row>
    <row r="41" spans="1:14">
      <c r="A41" s="233">
        <v>63423300</v>
      </c>
      <c r="B41" s="233" t="s">
        <v>105</v>
      </c>
      <c r="C41" s="241" t="s">
        <v>119</v>
      </c>
      <c r="D41" s="239" t="s">
        <v>53</v>
      </c>
      <c r="E41" s="240">
        <v>4570364</v>
      </c>
    </row>
    <row r="42" spans="1:14">
      <c r="A42" s="233">
        <v>63423400</v>
      </c>
      <c r="B42" s="233" t="s">
        <v>105</v>
      </c>
      <c r="C42" s="241" t="s">
        <v>119</v>
      </c>
      <c r="D42" s="239" t="s">
        <v>54</v>
      </c>
      <c r="E42" s="240">
        <v>1338505</v>
      </c>
    </row>
    <row r="43" spans="1:14">
      <c r="A43" s="233">
        <v>63423500</v>
      </c>
      <c r="B43" s="233" t="s">
        <v>105</v>
      </c>
      <c r="C43" s="241" t="s">
        <v>119</v>
      </c>
      <c r="D43" s="239" t="s">
        <v>55</v>
      </c>
      <c r="E43" s="240">
        <v>8656833</v>
      </c>
    </row>
    <row r="44" spans="1:14">
      <c r="A44" s="233">
        <v>63423950</v>
      </c>
      <c r="B44" s="233" t="s">
        <v>105</v>
      </c>
      <c r="C44" s="241" t="s">
        <v>119</v>
      </c>
      <c r="D44" s="239" t="s">
        <v>561</v>
      </c>
      <c r="E44" s="240">
        <v>3929165</v>
      </c>
    </row>
    <row r="45" spans="1:14">
      <c r="A45" s="233">
        <v>63510000</v>
      </c>
      <c r="B45" s="233" t="s">
        <v>105</v>
      </c>
      <c r="C45" s="241" t="s">
        <v>111</v>
      </c>
      <c r="D45" s="239" t="s">
        <v>1796</v>
      </c>
      <c r="E45" s="240">
        <v>1000000</v>
      </c>
    </row>
    <row r="46" spans="1:14">
      <c r="A46" s="233">
        <v>63711000</v>
      </c>
      <c r="B46" s="233" t="s">
        <v>105</v>
      </c>
      <c r="C46" s="241" t="s">
        <v>110</v>
      </c>
      <c r="D46" s="239" t="s">
        <v>562</v>
      </c>
      <c r="E46" s="240">
        <v>7890697</v>
      </c>
    </row>
    <row r="47" spans="1:14">
      <c r="A47" s="233">
        <v>63712000</v>
      </c>
      <c r="B47" s="233" t="s">
        <v>105</v>
      </c>
      <c r="C47" s="241" t="s">
        <v>110</v>
      </c>
      <c r="D47" s="239" t="s">
        <v>57</v>
      </c>
      <c r="E47" s="240">
        <v>6706334</v>
      </c>
    </row>
    <row r="48" spans="1:14">
      <c r="A48" s="233">
        <v>63712001</v>
      </c>
      <c r="B48" s="233" t="s">
        <v>105</v>
      </c>
      <c r="C48" s="241" t="s">
        <v>111</v>
      </c>
      <c r="D48" s="239" t="s">
        <v>58</v>
      </c>
      <c r="E48" s="240">
        <v>789600</v>
      </c>
    </row>
    <row r="49" spans="1:5">
      <c r="A49" s="233">
        <v>63830060</v>
      </c>
      <c r="B49" s="233" t="s">
        <v>105</v>
      </c>
      <c r="C49" s="241" t="s">
        <v>120</v>
      </c>
      <c r="D49" s="239" t="s">
        <v>61</v>
      </c>
      <c r="E49" s="240">
        <v>378425</v>
      </c>
    </row>
    <row r="50" spans="1:5">
      <c r="A50" s="233">
        <v>63832000</v>
      </c>
      <c r="B50" s="233" t="s">
        <v>105</v>
      </c>
      <c r="C50" s="241" t="s">
        <v>120</v>
      </c>
      <c r="D50" s="239" t="s">
        <v>63</v>
      </c>
      <c r="E50" s="240">
        <v>4961272</v>
      </c>
    </row>
    <row r="51" spans="1:5">
      <c r="A51" s="233">
        <v>64110000</v>
      </c>
      <c r="B51" s="233" t="s">
        <v>105</v>
      </c>
      <c r="C51" s="241" t="s">
        <v>122</v>
      </c>
      <c r="D51" s="239" t="s">
        <v>65</v>
      </c>
      <c r="E51" s="240">
        <v>32500</v>
      </c>
    </row>
    <row r="52" spans="1:5">
      <c r="A52" s="233">
        <v>64112000</v>
      </c>
      <c r="B52" s="233" t="s">
        <v>105</v>
      </c>
      <c r="C52" s="241" t="s">
        <v>121</v>
      </c>
      <c r="D52" s="239" t="s">
        <v>66</v>
      </c>
      <c r="E52" s="240">
        <v>32906570</v>
      </c>
    </row>
    <row r="53" spans="1:5">
      <c r="A53" s="233">
        <v>64113000</v>
      </c>
      <c r="B53" s="233" t="s">
        <v>105</v>
      </c>
      <c r="C53" s="241" t="s">
        <v>111</v>
      </c>
      <c r="D53" s="239" t="s">
        <v>1797</v>
      </c>
      <c r="E53" s="240">
        <v>1090835</v>
      </c>
    </row>
    <row r="54" spans="1:5">
      <c r="A54" s="233">
        <v>64782000</v>
      </c>
      <c r="B54" s="233" t="s">
        <v>105</v>
      </c>
      <c r="C54" s="241" t="s">
        <v>111</v>
      </c>
      <c r="D54" s="239" t="s">
        <v>1798</v>
      </c>
      <c r="E54" s="240">
        <v>40000</v>
      </c>
    </row>
    <row r="55" spans="1:5">
      <c r="A55" s="233">
        <v>66110000</v>
      </c>
      <c r="B55" s="233" t="s">
        <v>105</v>
      </c>
      <c r="C55" s="241" t="s">
        <v>122</v>
      </c>
      <c r="D55" s="239" t="s">
        <v>70</v>
      </c>
      <c r="E55" s="240">
        <v>22119919</v>
      </c>
    </row>
    <row r="56" spans="1:5">
      <c r="A56" s="233">
        <v>66121000</v>
      </c>
      <c r="B56" s="233" t="s">
        <v>105</v>
      </c>
      <c r="C56" s="241" t="s">
        <v>122</v>
      </c>
      <c r="D56" s="239" t="s">
        <v>71</v>
      </c>
      <c r="E56" s="240">
        <v>2285</v>
      </c>
    </row>
    <row r="57" spans="1:5">
      <c r="A57" s="233">
        <v>66220049</v>
      </c>
      <c r="B57" s="233" t="s">
        <v>105</v>
      </c>
      <c r="C57" s="241" t="s">
        <v>121</v>
      </c>
      <c r="D57" s="239" t="s">
        <v>1801</v>
      </c>
      <c r="E57" s="240">
        <v>117996114</v>
      </c>
    </row>
    <row r="58" spans="1:5">
      <c r="A58" s="239">
        <v>66380000</v>
      </c>
      <c r="B58" s="239" t="s">
        <v>105</v>
      </c>
      <c r="C58" s="241" t="s">
        <v>122</v>
      </c>
      <c r="D58" s="239" t="s">
        <v>75</v>
      </c>
      <c r="E58" s="240">
        <v>394507</v>
      </c>
    </row>
    <row r="59" spans="1:5">
      <c r="A59" s="239">
        <v>66410000</v>
      </c>
      <c r="B59" s="239" t="s">
        <v>105</v>
      </c>
      <c r="C59" s="241" t="s">
        <v>122</v>
      </c>
      <c r="D59" s="239" t="s">
        <v>76</v>
      </c>
      <c r="E59" s="240">
        <v>158760</v>
      </c>
    </row>
    <row r="60" spans="1:5">
      <c r="A60" s="239">
        <v>66411000</v>
      </c>
      <c r="B60" s="239" t="s">
        <v>105</v>
      </c>
      <c r="C60" s="241" t="s">
        <v>122</v>
      </c>
      <c r="D60" s="239" t="s">
        <v>77</v>
      </c>
      <c r="E60" s="240">
        <v>558444</v>
      </c>
    </row>
    <row r="61" spans="1:5">
      <c r="A61" s="239">
        <v>66420000</v>
      </c>
      <c r="B61" s="239" t="s">
        <v>105</v>
      </c>
      <c r="C61" s="241" t="s">
        <v>122</v>
      </c>
      <c r="D61" s="239" t="s">
        <v>78</v>
      </c>
      <c r="E61" s="240">
        <v>120960</v>
      </c>
    </row>
    <row r="62" spans="1:5">
      <c r="A62">
        <v>66430000</v>
      </c>
      <c r="B62" s="8" t="s">
        <v>105</v>
      </c>
      <c r="C62" s="10" t="s">
        <v>121</v>
      </c>
      <c r="D62" t="s">
        <v>80</v>
      </c>
      <c r="E62" s="7">
        <v>361754</v>
      </c>
    </row>
    <row r="63" spans="1:5">
      <c r="A63">
        <v>66840001</v>
      </c>
      <c r="B63" s="8" t="s">
        <v>105</v>
      </c>
      <c r="C63" s="10" t="s">
        <v>123</v>
      </c>
      <c r="D63" t="s">
        <v>82</v>
      </c>
      <c r="E63" s="7">
        <v>311054</v>
      </c>
    </row>
    <row r="64" spans="1:5">
      <c r="A64">
        <v>67445000</v>
      </c>
      <c r="B64" s="8" t="s">
        <v>105</v>
      </c>
      <c r="C64" s="10" t="s">
        <v>125</v>
      </c>
      <c r="D64" t="s">
        <v>84</v>
      </c>
      <c r="E64" s="7">
        <v>5342501</v>
      </c>
    </row>
    <row r="65" spans="1:5">
      <c r="A65">
        <v>67600000</v>
      </c>
      <c r="B65" s="8" t="s">
        <v>105</v>
      </c>
      <c r="C65" s="10" t="s">
        <v>111</v>
      </c>
      <c r="D65" t="s">
        <v>1783</v>
      </c>
      <c r="E65" s="7">
        <v>-282178</v>
      </c>
    </row>
    <row r="66" spans="1:5">
      <c r="A66">
        <v>68130000</v>
      </c>
      <c r="B66" s="8" t="s">
        <v>105</v>
      </c>
      <c r="C66" s="10" t="s">
        <v>124</v>
      </c>
      <c r="D66" t="s">
        <v>85</v>
      </c>
      <c r="E66" s="7">
        <v>80265189</v>
      </c>
    </row>
  </sheetData>
  <pageMargins left="0.7" right="0.7" top="0.75" bottom="0.75" header="0.3" footer="0.3"/>
  <pageSetup paperSize="9" scale="31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60"/>
  <sheetViews>
    <sheetView view="pageBreakPreview" zoomScale="60" zoomScaleNormal="62" workbookViewId="0">
      <selection activeCell="A8" sqref="A8:E60"/>
    </sheetView>
  </sheetViews>
  <sheetFormatPr baseColWidth="10" defaultRowHeight="15"/>
  <cols>
    <col min="1" max="1" width="11.42578125" style="8"/>
    <col min="3" max="3" width="31.42578125" style="10" bestFit="1" customWidth="1"/>
    <col min="4" max="4" width="39.140625" bestFit="1" customWidth="1"/>
    <col min="5" max="5" width="14.42578125" style="7" bestFit="1" customWidth="1"/>
    <col min="9" max="9" width="28.5703125" bestFit="1" customWidth="1"/>
    <col min="10" max="10" width="14.85546875" customWidth="1"/>
    <col min="11" max="11" width="14.42578125" bestFit="1" customWidth="1"/>
    <col min="12" max="12" width="11.28515625" customWidth="1"/>
  </cols>
  <sheetData>
    <row r="2" spans="1:14">
      <c r="B2" s="10"/>
      <c r="D2" s="293"/>
      <c r="E2" s="297"/>
      <c r="K2" s="11" t="s">
        <v>135</v>
      </c>
      <c r="L2" s="12"/>
      <c r="M2" s="8" t="s">
        <v>136</v>
      </c>
    </row>
    <row r="3" spans="1:14">
      <c r="D3" s="298" t="s">
        <v>186</v>
      </c>
      <c r="E3" s="295">
        <f>SUM(E8:E1000)</f>
        <v>310967385</v>
      </c>
      <c r="K3" s="7">
        <f>K9+K15+K19+K32+K34</f>
        <v>310967385</v>
      </c>
      <c r="L3" s="13"/>
      <c r="M3" s="7">
        <f>M9+M15+M19+M32</f>
        <v>474066.72236137436</v>
      </c>
    </row>
    <row r="4" spans="1:14">
      <c r="K4" s="7"/>
      <c r="L4" s="13"/>
    </row>
    <row r="5" spans="1:14">
      <c r="A5" s="97" t="s">
        <v>594</v>
      </c>
      <c r="B5" s="97" t="s">
        <v>1246</v>
      </c>
      <c r="C5" s="97" t="s">
        <v>588</v>
      </c>
      <c r="D5" s="97" t="s">
        <v>1245</v>
      </c>
      <c r="E5" s="292" t="s">
        <v>135</v>
      </c>
      <c r="K5" s="7"/>
      <c r="L5" s="13"/>
    </row>
    <row r="6" spans="1:14" ht="5.25" customHeight="1">
      <c r="K6" s="7"/>
      <c r="L6" s="13"/>
    </row>
    <row r="7" spans="1:14" ht="15.75" thickBot="1">
      <c r="K7" s="7"/>
      <c r="L7" s="13"/>
    </row>
    <row r="8" spans="1:14">
      <c r="A8" s="239">
        <v>60151000</v>
      </c>
      <c r="B8" s="239" t="s">
        <v>107</v>
      </c>
      <c r="C8" s="241" t="s">
        <v>115</v>
      </c>
      <c r="D8" s="239" t="s">
        <v>1</v>
      </c>
      <c r="E8" s="240">
        <v>365140</v>
      </c>
      <c r="H8" s="141"/>
      <c r="I8" s="60"/>
      <c r="J8" s="60"/>
      <c r="K8" s="59"/>
      <c r="L8" s="60"/>
      <c r="M8" s="60"/>
      <c r="N8" s="169"/>
    </row>
    <row r="9" spans="1:14">
      <c r="A9" s="239">
        <v>60152000</v>
      </c>
      <c r="B9" s="239" t="s">
        <v>107</v>
      </c>
      <c r="C9" s="241" t="s">
        <v>110</v>
      </c>
      <c r="D9" s="239" t="s">
        <v>2</v>
      </c>
      <c r="E9" s="240">
        <v>2105268</v>
      </c>
      <c r="H9" s="104"/>
      <c r="I9" s="165" t="s">
        <v>132</v>
      </c>
      <c r="J9" s="52"/>
      <c r="K9" s="139">
        <f>SUM(K10:K13)</f>
        <v>172662708</v>
      </c>
      <c r="L9" s="52"/>
      <c r="M9" s="139">
        <f>K9/655.957</f>
        <v>263222.60148149956</v>
      </c>
      <c r="N9" s="40"/>
    </row>
    <row r="10" spans="1:14">
      <c r="A10" s="239">
        <v>60154000</v>
      </c>
      <c r="B10" s="239" t="s">
        <v>107</v>
      </c>
      <c r="C10" s="241" t="s">
        <v>111</v>
      </c>
      <c r="D10" s="239" t="s">
        <v>3</v>
      </c>
      <c r="E10" s="240">
        <v>306439</v>
      </c>
      <c r="H10" s="104"/>
      <c r="I10" s="168" t="s">
        <v>114</v>
      </c>
      <c r="J10" s="168"/>
      <c r="K10" s="21">
        <f>SUMIF($C$8:$C$1000,I10,$E$8:$E$1000)</f>
        <v>0</v>
      </c>
      <c r="L10" s="52"/>
      <c r="M10" s="21">
        <f t="shared" ref="M10:M30" si="0">K10/655.957</f>
        <v>0</v>
      </c>
      <c r="N10" s="40"/>
    </row>
    <row r="11" spans="1:14">
      <c r="A11" s="239">
        <v>60330000</v>
      </c>
      <c r="B11" s="239" t="s">
        <v>107</v>
      </c>
      <c r="C11" s="241" t="s">
        <v>112</v>
      </c>
      <c r="D11" s="239" t="s">
        <v>4</v>
      </c>
      <c r="E11" s="240">
        <v>61098811</v>
      </c>
      <c r="H11" s="104"/>
      <c r="I11" s="168" t="s">
        <v>130</v>
      </c>
      <c r="J11" s="168"/>
      <c r="K11" s="21">
        <f>SUMIF($C$8:$C$1000,I11,$E$8:$E$1000)</f>
        <v>842000</v>
      </c>
      <c r="L11" s="52"/>
      <c r="M11" s="21">
        <f t="shared" si="0"/>
        <v>1283.6207251389953</v>
      </c>
      <c r="N11" s="40"/>
    </row>
    <row r="12" spans="1:14">
      <c r="A12" s="239">
        <v>60340000</v>
      </c>
      <c r="B12" s="239" t="s">
        <v>107</v>
      </c>
      <c r="C12" s="241" t="s">
        <v>113</v>
      </c>
      <c r="D12" s="239" t="s">
        <v>5</v>
      </c>
      <c r="E12" s="240">
        <v>37087523</v>
      </c>
      <c r="H12" s="104"/>
      <c r="I12" s="168" t="s">
        <v>112</v>
      </c>
      <c r="J12" s="168"/>
      <c r="K12" s="21">
        <f>SUMIF($C$8:$C$1000,I12,$E$8:$E$1000)</f>
        <v>61396190</v>
      </c>
      <c r="L12" s="52"/>
      <c r="M12" s="21">
        <f t="shared" si="0"/>
        <v>93597.888276213227</v>
      </c>
      <c r="N12" s="40"/>
    </row>
    <row r="13" spans="1:14">
      <c r="A13" s="239">
        <v>60410000</v>
      </c>
      <c r="B13" s="239" t="s">
        <v>107</v>
      </c>
      <c r="C13" s="241" t="s">
        <v>113</v>
      </c>
      <c r="D13" s="239" t="s">
        <v>6</v>
      </c>
      <c r="E13" s="240">
        <v>975000</v>
      </c>
      <c r="H13" s="104"/>
      <c r="I13" s="168" t="s">
        <v>113</v>
      </c>
      <c r="J13" s="168"/>
      <c r="K13" s="21">
        <f>SUMIF($C$8:$C$1000,I13,$E$8:$E$1000)</f>
        <v>110424518</v>
      </c>
      <c r="L13" s="52"/>
      <c r="M13" s="21">
        <f t="shared" si="0"/>
        <v>168341.09248014732</v>
      </c>
      <c r="N13" s="40"/>
    </row>
    <row r="14" spans="1:14">
      <c r="A14" s="239">
        <v>60420000</v>
      </c>
      <c r="B14" s="239" t="s">
        <v>107</v>
      </c>
      <c r="C14" s="241" t="s">
        <v>112</v>
      </c>
      <c r="D14" s="239" t="s">
        <v>1773</v>
      </c>
      <c r="E14" s="240">
        <v>214379</v>
      </c>
      <c r="H14" s="104"/>
      <c r="I14" s="52"/>
      <c r="J14" s="52"/>
      <c r="K14" s="21"/>
      <c r="L14" s="52"/>
      <c r="M14" s="21"/>
      <c r="N14" s="40"/>
    </row>
    <row r="15" spans="1:14">
      <c r="A15" s="239">
        <v>60530000</v>
      </c>
      <c r="B15" s="239" t="s">
        <v>107</v>
      </c>
      <c r="C15" s="241" t="s">
        <v>112</v>
      </c>
      <c r="D15" s="239" t="s">
        <v>10</v>
      </c>
      <c r="E15" s="240">
        <v>83000</v>
      </c>
      <c r="H15" s="104"/>
      <c r="I15" s="165" t="s">
        <v>133</v>
      </c>
      <c r="J15" s="52"/>
      <c r="K15" s="139">
        <f>SUM(K16:K17)</f>
        <v>49210060</v>
      </c>
      <c r="L15" s="52"/>
      <c r="M15" s="139">
        <f t="shared" si="0"/>
        <v>75020.252851939993</v>
      </c>
      <c r="N15" s="40"/>
    </row>
    <row r="16" spans="1:14">
      <c r="A16" s="239">
        <v>60561000</v>
      </c>
      <c r="B16" s="239" t="s">
        <v>107</v>
      </c>
      <c r="C16" s="241" t="s">
        <v>113</v>
      </c>
      <c r="D16" s="239" t="s">
        <v>14</v>
      </c>
      <c r="E16" s="240">
        <v>12776613</v>
      </c>
      <c r="H16" s="104"/>
      <c r="I16" s="168" t="s">
        <v>121</v>
      </c>
      <c r="J16" s="168"/>
      <c r="K16" s="21">
        <f>SUMIF($C$8:$C$1000,I16,$E$8:$E$1000)</f>
        <v>39807986</v>
      </c>
      <c r="L16" s="52"/>
      <c r="M16" s="21">
        <f t="shared" si="0"/>
        <v>60686.883439005913</v>
      </c>
      <c r="N16" s="40"/>
    </row>
    <row r="17" spans="1:14">
      <c r="A17" s="239">
        <v>60562000</v>
      </c>
      <c r="B17" s="239" t="s">
        <v>107</v>
      </c>
      <c r="C17" s="241" t="s">
        <v>113</v>
      </c>
      <c r="D17" s="239" t="s">
        <v>15</v>
      </c>
      <c r="E17" s="240">
        <v>41528328</v>
      </c>
      <c r="H17" s="104"/>
      <c r="I17" s="168" t="s">
        <v>122</v>
      </c>
      <c r="J17" s="168"/>
      <c r="K17" s="21">
        <f>SUMIF($C$8:$C$1000,I17,$E$8:$E$1000)</f>
        <v>9402074</v>
      </c>
      <c r="L17" s="52"/>
      <c r="M17" s="21">
        <f t="shared" si="0"/>
        <v>14333.36941293408</v>
      </c>
      <c r="N17" s="40"/>
    </row>
    <row r="18" spans="1:14">
      <c r="A18" s="239">
        <v>60565000</v>
      </c>
      <c r="B18" s="239" t="s">
        <v>107</v>
      </c>
      <c r="C18" s="241" t="s">
        <v>130</v>
      </c>
      <c r="D18" s="239" t="s">
        <v>17</v>
      </c>
      <c r="E18" s="240">
        <v>842000</v>
      </c>
      <c r="H18" s="104"/>
      <c r="I18" s="52"/>
      <c r="J18" s="52"/>
      <c r="K18" s="21"/>
      <c r="L18" s="52"/>
      <c r="M18" s="21"/>
      <c r="N18" s="40"/>
    </row>
    <row r="19" spans="1:14">
      <c r="A19" s="239">
        <v>60567000</v>
      </c>
      <c r="B19" s="239" t="s">
        <v>107</v>
      </c>
      <c r="C19" s="241" t="s">
        <v>113</v>
      </c>
      <c r="D19" s="239" t="s">
        <v>1782</v>
      </c>
      <c r="E19" s="240">
        <v>1006057</v>
      </c>
      <c r="H19" s="104"/>
      <c r="I19" s="165" t="s">
        <v>134</v>
      </c>
      <c r="J19" s="52"/>
      <c r="K19" s="139">
        <f>SUM(K20:K30)</f>
        <v>88707941</v>
      </c>
      <c r="L19" s="52"/>
      <c r="M19" s="139">
        <f t="shared" si="0"/>
        <v>135234.38426604183</v>
      </c>
      <c r="N19" s="40"/>
    </row>
    <row r="20" spans="1:14">
      <c r="A20" s="239">
        <v>60568000</v>
      </c>
      <c r="B20" s="239" t="s">
        <v>107</v>
      </c>
      <c r="C20" s="241" t="s">
        <v>113</v>
      </c>
      <c r="D20" s="239" t="s">
        <v>18</v>
      </c>
      <c r="E20" s="240">
        <v>10521350</v>
      </c>
      <c r="H20" s="104"/>
      <c r="I20" s="168" t="s">
        <v>110</v>
      </c>
      <c r="J20" s="168"/>
      <c r="K20" s="21">
        <f t="shared" ref="K20:K30" si="1">SUMIF($C$8:$C$1000,I20,$E$8:$E$1000)</f>
        <v>12896595</v>
      </c>
      <c r="L20" s="52"/>
      <c r="M20" s="21">
        <f t="shared" si="0"/>
        <v>19660.732334589004</v>
      </c>
      <c r="N20" s="40"/>
    </row>
    <row r="21" spans="1:14">
      <c r="A21" s="239">
        <v>60569000</v>
      </c>
      <c r="B21" s="239" t="s">
        <v>107</v>
      </c>
      <c r="C21" s="241" t="s">
        <v>113</v>
      </c>
      <c r="D21" s="239" t="s">
        <v>19</v>
      </c>
      <c r="E21" s="240">
        <v>1234485</v>
      </c>
      <c r="H21" s="104"/>
      <c r="I21" s="168" t="s">
        <v>123</v>
      </c>
      <c r="J21" s="168"/>
      <c r="K21" s="21">
        <f t="shared" si="1"/>
        <v>64000</v>
      </c>
      <c r="L21" s="52"/>
      <c r="M21" s="21">
        <f t="shared" si="0"/>
        <v>97.567371031942642</v>
      </c>
      <c r="N21" s="40"/>
    </row>
    <row r="22" spans="1:14">
      <c r="A22" s="239">
        <v>61600000</v>
      </c>
      <c r="B22" s="239" t="s">
        <v>107</v>
      </c>
      <c r="C22" s="241" t="s">
        <v>115</v>
      </c>
      <c r="D22" s="239" t="s">
        <v>23</v>
      </c>
      <c r="E22" s="240">
        <v>21536</v>
      </c>
      <c r="H22" s="104"/>
      <c r="I22" s="168" t="s">
        <v>111</v>
      </c>
      <c r="J22" s="168"/>
      <c r="K22" s="21">
        <f>SUMIF($C$8:$C$1000,I22,$E$8:$E$1000)</f>
        <v>2774573</v>
      </c>
      <c r="L22" s="52"/>
      <c r="M22" s="21">
        <f t="shared" si="0"/>
        <v>4229.8092710345345</v>
      </c>
      <c r="N22" s="40"/>
    </row>
    <row r="23" spans="1:14">
      <c r="A23" s="239">
        <v>61810000</v>
      </c>
      <c r="B23" s="239" t="s">
        <v>107</v>
      </c>
      <c r="C23" s="241" t="s">
        <v>110</v>
      </c>
      <c r="D23" s="239" t="s">
        <v>24</v>
      </c>
      <c r="E23" s="240">
        <v>635400</v>
      </c>
      <c r="H23" s="104"/>
      <c r="I23" s="168" t="s">
        <v>118</v>
      </c>
      <c r="J23" s="168"/>
      <c r="K23" s="21">
        <f t="shared" si="1"/>
        <v>2203465</v>
      </c>
      <c r="L23" s="52"/>
      <c r="M23" s="21">
        <f t="shared" si="0"/>
        <v>3359.1607376703046</v>
      </c>
      <c r="N23" s="40"/>
    </row>
    <row r="24" spans="1:14">
      <c r="A24" s="239">
        <v>61820000</v>
      </c>
      <c r="B24" s="239" t="s">
        <v>107</v>
      </c>
      <c r="C24" s="241" t="s">
        <v>110</v>
      </c>
      <c r="D24" s="239" t="s">
        <v>25</v>
      </c>
      <c r="E24" s="240">
        <v>4226560</v>
      </c>
      <c r="H24" s="104"/>
      <c r="I24" s="168" t="s">
        <v>119</v>
      </c>
      <c r="J24" s="168"/>
      <c r="K24" s="21">
        <f t="shared" si="1"/>
        <v>17202192</v>
      </c>
      <c r="L24" s="52"/>
      <c r="M24" s="21">
        <f t="shared" si="0"/>
        <v>26224.572647292429</v>
      </c>
      <c r="N24" s="40"/>
    </row>
    <row r="25" spans="1:14">
      <c r="A25" s="239">
        <v>61821000</v>
      </c>
      <c r="B25" s="239" t="s">
        <v>107</v>
      </c>
      <c r="C25" s="241" t="s">
        <v>110</v>
      </c>
      <c r="D25" s="239" t="s">
        <v>26</v>
      </c>
      <c r="E25" s="240">
        <v>364816</v>
      </c>
      <c r="H25" s="104"/>
      <c r="I25" s="168" t="s">
        <v>120</v>
      </c>
      <c r="J25" s="168"/>
      <c r="K25" s="21">
        <f t="shared" si="1"/>
        <v>894430</v>
      </c>
      <c r="L25" s="52"/>
      <c r="M25" s="21">
        <f t="shared" si="0"/>
        <v>1363.5497448765698</v>
      </c>
      <c r="N25" s="40"/>
    </row>
    <row r="26" spans="1:14">
      <c r="A26" s="239">
        <v>62230000</v>
      </c>
      <c r="B26" s="239" t="s">
        <v>107</v>
      </c>
      <c r="C26" s="241" t="s">
        <v>116</v>
      </c>
      <c r="D26" s="239" t="s">
        <v>29</v>
      </c>
      <c r="E26" s="240">
        <v>1010000</v>
      </c>
      <c r="H26" s="104"/>
      <c r="I26" s="168" t="s">
        <v>19</v>
      </c>
      <c r="J26" s="168"/>
      <c r="K26" s="21">
        <f t="shared" si="1"/>
        <v>0</v>
      </c>
      <c r="L26" s="52"/>
      <c r="M26" s="21">
        <f t="shared" si="0"/>
        <v>0</v>
      </c>
      <c r="N26" s="40"/>
    </row>
    <row r="27" spans="1:14">
      <c r="A27" s="239">
        <v>62420000</v>
      </c>
      <c r="B27" s="239" t="s">
        <v>107</v>
      </c>
      <c r="C27" s="241" t="s">
        <v>117</v>
      </c>
      <c r="D27" s="239" t="s">
        <v>32</v>
      </c>
      <c r="E27" s="240">
        <v>5181755</v>
      </c>
      <c r="H27" s="104"/>
      <c r="I27" s="168" t="s">
        <v>124</v>
      </c>
      <c r="J27" s="168"/>
      <c r="K27" s="21">
        <f t="shared" si="1"/>
        <v>46480931</v>
      </c>
      <c r="L27" s="52"/>
      <c r="M27" s="21">
        <f t="shared" si="0"/>
        <v>70859.722512298831</v>
      </c>
      <c r="N27" s="40"/>
    </row>
    <row r="28" spans="1:14">
      <c r="A28" s="239">
        <v>62510000</v>
      </c>
      <c r="B28" s="239" t="s">
        <v>107</v>
      </c>
      <c r="C28" s="241" t="s">
        <v>118</v>
      </c>
      <c r="D28" s="239" t="s">
        <v>560</v>
      </c>
      <c r="E28" s="240">
        <v>54851</v>
      </c>
      <c r="H28" s="104"/>
      <c r="I28" s="168" t="s">
        <v>131</v>
      </c>
      <c r="J28" s="168"/>
      <c r="K28" s="21">
        <f t="shared" si="1"/>
        <v>0</v>
      </c>
      <c r="L28" s="52"/>
      <c r="M28" s="21">
        <f t="shared" si="0"/>
        <v>0</v>
      </c>
      <c r="N28" s="40"/>
    </row>
    <row r="29" spans="1:14">
      <c r="A29" s="239">
        <v>62511000</v>
      </c>
      <c r="B29" s="239" t="s">
        <v>107</v>
      </c>
      <c r="C29" s="241" t="s">
        <v>118</v>
      </c>
      <c r="D29" s="239" t="s">
        <v>34</v>
      </c>
      <c r="E29" s="240">
        <v>924506</v>
      </c>
      <c r="H29" s="104"/>
      <c r="I29" s="168" t="s">
        <v>117</v>
      </c>
      <c r="J29" s="168"/>
      <c r="K29" s="21">
        <f t="shared" si="1"/>
        <v>5181755</v>
      </c>
      <c r="L29" s="52"/>
      <c r="M29" s="21">
        <f t="shared" si="0"/>
        <v>7899.5345731503739</v>
      </c>
      <c r="N29" s="40"/>
    </row>
    <row r="30" spans="1:14">
      <c r="A30" s="239">
        <v>62522000</v>
      </c>
      <c r="B30" s="239" t="s">
        <v>107</v>
      </c>
      <c r="C30" s="241" t="s">
        <v>118</v>
      </c>
      <c r="D30" s="239" t="s">
        <v>36</v>
      </c>
      <c r="E30" s="240">
        <v>1214554</v>
      </c>
      <c r="H30" s="104"/>
      <c r="I30" s="168" t="s">
        <v>116</v>
      </c>
      <c r="J30" s="168"/>
      <c r="K30" s="21">
        <f t="shared" si="1"/>
        <v>1010000</v>
      </c>
      <c r="L30" s="52"/>
      <c r="M30" s="21">
        <f t="shared" si="0"/>
        <v>1539.7350740978447</v>
      </c>
      <c r="N30" s="40"/>
    </row>
    <row r="31" spans="1:14">
      <c r="A31" s="239">
        <v>62582000</v>
      </c>
      <c r="B31" s="239" t="s">
        <v>107</v>
      </c>
      <c r="C31" s="241" t="s">
        <v>118</v>
      </c>
      <c r="D31" s="239" t="s">
        <v>37</v>
      </c>
      <c r="E31" s="240">
        <v>9554</v>
      </c>
      <c r="H31" s="104"/>
      <c r="I31" s="52"/>
      <c r="J31" s="52"/>
      <c r="K31" s="21"/>
      <c r="L31" s="52"/>
      <c r="M31" s="21"/>
      <c r="N31" s="40"/>
    </row>
    <row r="32" spans="1:14">
      <c r="A32" s="239">
        <v>62883000</v>
      </c>
      <c r="B32" s="239" t="s">
        <v>107</v>
      </c>
      <c r="C32" s="241" t="s">
        <v>113</v>
      </c>
      <c r="D32" s="239" t="s">
        <v>41</v>
      </c>
      <c r="E32" s="240">
        <v>5295162</v>
      </c>
      <c r="H32" s="104"/>
      <c r="I32" s="52" t="s">
        <v>115</v>
      </c>
      <c r="J32" s="52"/>
      <c r="K32" s="138">
        <f>SUMIF($C$8:$C$1000,I32,$E$8:$E$1000)</f>
        <v>386676</v>
      </c>
      <c r="L32" s="52"/>
      <c r="M32" s="138">
        <f>K32/655.957</f>
        <v>589.48376189292901</v>
      </c>
      <c r="N32" s="40"/>
    </row>
    <row r="33" spans="1:14">
      <c r="A33" s="239">
        <v>63210000</v>
      </c>
      <c r="B33" s="239" t="s">
        <v>107</v>
      </c>
      <c r="C33" s="241" t="s">
        <v>111</v>
      </c>
      <c r="D33" s="239" t="s">
        <v>43</v>
      </c>
      <c r="E33" s="240">
        <v>34322</v>
      </c>
      <c r="H33" s="104"/>
      <c r="I33" s="52"/>
      <c r="J33" s="52"/>
      <c r="K33" s="21"/>
      <c r="L33" s="52"/>
      <c r="M33" s="21"/>
      <c r="N33" s="40"/>
    </row>
    <row r="34" spans="1:14">
      <c r="A34" s="239">
        <v>63241000</v>
      </c>
      <c r="B34" s="239" t="s">
        <v>107</v>
      </c>
      <c r="C34" s="241" t="s">
        <v>111</v>
      </c>
      <c r="D34" s="239" t="s">
        <v>45</v>
      </c>
      <c r="E34" s="240">
        <v>350000</v>
      </c>
      <c r="H34" s="104"/>
      <c r="I34" s="52" t="s">
        <v>125</v>
      </c>
      <c r="J34" s="52"/>
      <c r="K34" s="138">
        <f>SUMIF($C$8:$C$1000,I34,$E$8:$E$1000)</f>
        <v>0</v>
      </c>
      <c r="L34" s="52"/>
      <c r="M34" s="138">
        <f>K34/655.957</f>
        <v>0</v>
      </c>
      <c r="N34" s="40"/>
    </row>
    <row r="35" spans="1:14" ht="15.75" thickBot="1">
      <c r="A35" s="239">
        <v>63281000</v>
      </c>
      <c r="B35" s="239" t="s">
        <v>107</v>
      </c>
      <c r="C35" s="241" t="s">
        <v>110</v>
      </c>
      <c r="D35" s="239" t="s">
        <v>47</v>
      </c>
      <c r="E35" s="240">
        <v>739846</v>
      </c>
      <c r="H35" s="147"/>
      <c r="I35" s="65"/>
      <c r="J35" s="65"/>
      <c r="K35" s="65"/>
      <c r="L35" s="65"/>
      <c r="M35" s="65"/>
      <c r="N35" s="170"/>
    </row>
    <row r="36" spans="1:14">
      <c r="A36" s="239">
        <v>63282000</v>
      </c>
      <c r="B36" s="239" t="s">
        <v>107</v>
      </c>
      <c r="C36" s="241" t="s">
        <v>111</v>
      </c>
      <c r="D36" s="239" t="s">
        <v>48</v>
      </c>
      <c r="E36" s="240">
        <v>545417</v>
      </c>
    </row>
    <row r="37" spans="1:14">
      <c r="A37" s="239">
        <v>63284000</v>
      </c>
      <c r="B37" s="239" t="s">
        <v>107</v>
      </c>
      <c r="C37" s="241" t="s">
        <v>110</v>
      </c>
      <c r="D37" s="239" t="s">
        <v>49</v>
      </c>
      <c r="E37" s="240">
        <v>1433092</v>
      </c>
    </row>
    <row r="38" spans="1:14">
      <c r="A38" s="239">
        <v>63421000</v>
      </c>
      <c r="B38" s="239" t="s">
        <v>107</v>
      </c>
      <c r="C38" s="241" t="s">
        <v>119</v>
      </c>
      <c r="D38" s="239" t="s">
        <v>51</v>
      </c>
      <c r="E38" s="240">
        <v>4569601</v>
      </c>
      <c r="I38" s="14" t="s">
        <v>109</v>
      </c>
      <c r="J38" s="14"/>
      <c r="K38" s="235">
        <f>E3-K3</f>
        <v>0</v>
      </c>
      <c r="L38" s="235"/>
      <c r="M38" s="235">
        <f>K38/655.957</f>
        <v>0</v>
      </c>
    </row>
    <row r="39" spans="1:14">
      <c r="A39" s="239">
        <v>63423100</v>
      </c>
      <c r="B39" s="239" t="s">
        <v>107</v>
      </c>
      <c r="C39" s="241" t="s">
        <v>119</v>
      </c>
      <c r="D39" s="239" t="s">
        <v>52</v>
      </c>
      <c r="E39" s="240">
        <v>5185964</v>
      </c>
    </row>
    <row r="40" spans="1:14">
      <c r="A40" s="239">
        <v>63423400</v>
      </c>
      <c r="B40" s="239" t="s">
        <v>107</v>
      </c>
      <c r="C40" s="241" t="s">
        <v>119</v>
      </c>
      <c r="D40" s="239" t="s">
        <v>54</v>
      </c>
      <c r="E40" s="240">
        <v>1140209</v>
      </c>
    </row>
    <row r="41" spans="1:14">
      <c r="A41" s="239">
        <v>63423500</v>
      </c>
      <c r="B41" s="239" t="s">
        <v>107</v>
      </c>
      <c r="C41" s="241" t="s">
        <v>119</v>
      </c>
      <c r="D41" s="239" t="s">
        <v>55</v>
      </c>
      <c r="E41" s="240">
        <v>6306418</v>
      </c>
    </row>
    <row r="42" spans="1:14">
      <c r="A42" s="239">
        <v>63510000</v>
      </c>
      <c r="B42" s="239" t="s">
        <v>107</v>
      </c>
      <c r="C42" s="241" t="s">
        <v>111</v>
      </c>
      <c r="D42" s="239" t="s">
        <v>1796</v>
      </c>
      <c r="E42" s="240">
        <v>1000000</v>
      </c>
    </row>
    <row r="43" spans="1:14">
      <c r="A43" s="239">
        <v>63711000</v>
      </c>
      <c r="B43" s="239" t="s">
        <v>107</v>
      </c>
      <c r="C43" s="241" t="s">
        <v>110</v>
      </c>
      <c r="D43" s="239" t="s">
        <v>562</v>
      </c>
      <c r="E43" s="240">
        <v>3391613</v>
      </c>
    </row>
    <row r="44" spans="1:14">
      <c r="A44" s="239">
        <v>63712001</v>
      </c>
      <c r="B44" s="239" t="s">
        <v>107</v>
      </c>
      <c r="C44" s="241" t="s">
        <v>111</v>
      </c>
      <c r="D44" s="239" t="s">
        <v>58</v>
      </c>
      <c r="E44" s="240">
        <v>629600</v>
      </c>
    </row>
    <row r="45" spans="1:14">
      <c r="A45" s="239">
        <v>63832000</v>
      </c>
      <c r="B45" s="239" t="s">
        <v>107</v>
      </c>
      <c r="C45" s="241" t="s">
        <v>120</v>
      </c>
      <c r="D45" s="239" t="s">
        <v>63</v>
      </c>
      <c r="E45" s="240">
        <v>894430</v>
      </c>
    </row>
    <row r="46" spans="1:14">
      <c r="A46" s="239">
        <v>64110000</v>
      </c>
      <c r="B46" s="239" t="s">
        <v>107</v>
      </c>
      <c r="C46" s="241" t="s">
        <v>122</v>
      </c>
      <c r="D46" s="239" t="s">
        <v>65</v>
      </c>
      <c r="E46" s="240">
        <v>33400</v>
      </c>
    </row>
    <row r="47" spans="1:14">
      <c r="A47" s="239">
        <v>64112000</v>
      </c>
      <c r="B47" s="239" t="s">
        <v>107</v>
      </c>
      <c r="C47" s="241" t="s">
        <v>121</v>
      </c>
      <c r="D47" s="239" t="s">
        <v>66</v>
      </c>
      <c r="E47" s="240">
        <v>21835162</v>
      </c>
    </row>
    <row r="48" spans="1:14">
      <c r="A48" s="239">
        <v>64113000</v>
      </c>
      <c r="B48" s="239" t="s">
        <v>107</v>
      </c>
      <c r="C48" s="241" t="s">
        <v>111</v>
      </c>
      <c r="D48" s="239" t="s">
        <v>1797</v>
      </c>
      <c r="E48" s="240">
        <v>150975</v>
      </c>
    </row>
    <row r="49" spans="1:5">
      <c r="A49" s="239">
        <v>64782000</v>
      </c>
      <c r="B49" s="239" t="s">
        <v>107</v>
      </c>
      <c r="C49" s="241" t="s">
        <v>111</v>
      </c>
      <c r="D49" s="239" t="s">
        <v>1798</v>
      </c>
      <c r="E49" s="240">
        <v>40000</v>
      </c>
    </row>
    <row r="50" spans="1:5">
      <c r="A50" s="239">
        <v>66110000</v>
      </c>
      <c r="B50" s="239" t="s">
        <v>107</v>
      </c>
      <c r="C50" s="241" t="s">
        <v>122</v>
      </c>
      <c r="D50" s="239" t="s">
        <v>70</v>
      </c>
      <c r="E50" s="240">
        <v>6297100</v>
      </c>
    </row>
    <row r="51" spans="1:5">
      <c r="A51" s="239">
        <v>66121000</v>
      </c>
      <c r="B51" s="239" t="s">
        <v>107</v>
      </c>
      <c r="C51" s="241" t="s">
        <v>122</v>
      </c>
      <c r="D51" s="239" t="s">
        <v>71</v>
      </c>
      <c r="E51" s="240">
        <v>-610</v>
      </c>
    </row>
    <row r="52" spans="1:5">
      <c r="A52" s="239">
        <v>66220059</v>
      </c>
      <c r="B52" s="239" t="s">
        <v>107</v>
      </c>
      <c r="C52" s="241" t="s">
        <v>121</v>
      </c>
      <c r="D52" s="239" t="s">
        <v>1802</v>
      </c>
      <c r="E52" s="240">
        <v>17972824</v>
      </c>
    </row>
    <row r="53" spans="1:5">
      <c r="A53" s="239">
        <v>66380000</v>
      </c>
      <c r="B53" s="239" t="s">
        <v>107</v>
      </c>
      <c r="C53" s="241" t="s">
        <v>122</v>
      </c>
      <c r="D53" s="239" t="s">
        <v>75</v>
      </c>
      <c r="E53" s="240">
        <v>603200</v>
      </c>
    </row>
    <row r="54" spans="1:5">
      <c r="A54" s="239">
        <v>66410000</v>
      </c>
      <c r="B54" s="239" t="s">
        <v>107</v>
      </c>
      <c r="C54" s="241" t="s">
        <v>122</v>
      </c>
      <c r="D54" s="239" t="s">
        <v>76</v>
      </c>
      <c r="E54" s="240">
        <v>219240</v>
      </c>
    </row>
    <row r="55" spans="1:5">
      <c r="A55" s="239">
        <v>66411000</v>
      </c>
      <c r="B55" s="239" t="s">
        <v>107</v>
      </c>
      <c r="C55" s="241" t="s">
        <v>122</v>
      </c>
      <c r="D55" s="239" t="s">
        <v>77</v>
      </c>
      <c r="E55" s="240">
        <v>354144</v>
      </c>
    </row>
    <row r="56" spans="1:5">
      <c r="A56" s="239">
        <v>66420000</v>
      </c>
      <c r="B56" s="239" t="s">
        <v>107</v>
      </c>
      <c r="C56" s="241" t="s">
        <v>122</v>
      </c>
      <c r="D56" s="239" t="s">
        <v>78</v>
      </c>
      <c r="E56" s="240">
        <v>75600</v>
      </c>
    </row>
    <row r="57" spans="1:5">
      <c r="A57" s="239">
        <v>66424000</v>
      </c>
      <c r="B57" s="239" t="s">
        <v>107</v>
      </c>
      <c r="C57" s="241" t="s">
        <v>122</v>
      </c>
      <c r="D57" s="239" t="s">
        <v>564</v>
      </c>
      <c r="E57" s="240">
        <v>1820000</v>
      </c>
    </row>
    <row r="58" spans="1:5">
      <c r="A58" s="239">
        <v>66840001</v>
      </c>
      <c r="B58" s="239" t="s">
        <v>107</v>
      </c>
      <c r="C58" s="241" t="s">
        <v>123</v>
      </c>
      <c r="D58" s="239" t="s">
        <v>82</v>
      </c>
      <c r="E58" s="240">
        <v>64000</v>
      </c>
    </row>
    <row r="59" spans="1:5">
      <c r="A59" s="8">
        <v>67600000</v>
      </c>
      <c r="B59" t="s">
        <v>107</v>
      </c>
      <c r="C59" s="10" t="s">
        <v>111</v>
      </c>
      <c r="D59" t="s">
        <v>1783</v>
      </c>
      <c r="E59" s="7">
        <v>-282180</v>
      </c>
    </row>
    <row r="60" spans="1:5">
      <c r="A60" s="8">
        <v>68130000</v>
      </c>
      <c r="B60" t="s">
        <v>107</v>
      </c>
      <c r="C60" s="10" t="s">
        <v>124</v>
      </c>
      <c r="D60" t="s">
        <v>85</v>
      </c>
      <c r="E60" s="7">
        <v>46480931</v>
      </c>
    </row>
  </sheetData>
  <pageMargins left="0.7" right="0.7" top="0.75" bottom="0.75" header="0.3" footer="0.3"/>
  <pageSetup paperSize="9" scale="35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U50"/>
  <sheetViews>
    <sheetView view="pageBreakPreview" zoomScale="75" zoomScaleNormal="62" zoomScaleSheetLayoutView="75" workbookViewId="0">
      <selection activeCell="D7" sqref="D7:F50"/>
    </sheetView>
  </sheetViews>
  <sheetFormatPr baseColWidth="10" defaultRowHeight="15"/>
  <cols>
    <col min="3" max="3" width="11.42578125" style="8"/>
    <col min="4" max="4" width="22" style="10" bestFit="1" customWidth="1"/>
    <col min="5" max="5" width="39.140625" bestFit="1" customWidth="1"/>
    <col min="6" max="6" width="13.28515625" style="7" bestFit="1" customWidth="1"/>
    <col min="10" max="10" width="42" bestFit="1" customWidth="1"/>
    <col min="11" max="11" width="3.28515625" customWidth="1"/>
    <col min="12" max="12" width="16.5703125" bestFit="1" customWidth="1"/>
    <col min="13" max="13" width="10.140625" customWidth="1"/>
    <col min="14" max="14" width="14.140625" customWidth="1"/>
    <col min="17" max="17" width="13.5703125" style="8" customWidth="1"/>
    <col min="18" max="18" width="35.140625" bestFit="1" customWidth="1"/>
    <col min="19" max="19" width="22" bestFit="1" customWidth="1"/>
    <col min="20" max="20" width="19.85546875" style="7" customWidth="1"/>
  </cols>
  <sheetData>
    <row r="2" spans="2:21">
      <c r="B2" t="s">
        <v>1790</v>
      </c>
      <c r="E2" s="303" t="s">
        <v>157</v>
      </c>
      <c r="F2" s="297">
        <f>SUM(F7:F986)</f>
        <v>212887009</v>
      </c>
      <c r="L2" s="8" t="s">
        <v>135</v>
      </c>
      <c r="M2" s="8"/>
      <c r="N2" s="8" t="s">
        <v>136</v>
      </c>
      <c r="O2" s="8"/>
      <c r="T2" s="7">
        <f>SUM(T6:T15)</f>
        <v>-2215211</v>
      </c>
    </row>
    <row r="3" spans="2:21">
      <c r="E3" s="229" t="s">
        <v>593</v>
      </c>
      <c r="F3" s="304">
        <f>SUM(T6:T15)*-1</f>
        <v>2215211</v>
      </c>
      <c r="L3" s="7">
        <f ca="1">L9+L17+L23</f>
        <v>215102220</v>
      </c>
      <c r="N3" s="174">
        <f ca="1">L3/655.957</f>
        <v>327921.22044585238</v>
      </c>
    </row>
    <row r="4" spans="2:21">
      <c r="E4" s="305" t="s">
        <v>544</v>
      </c>
      <c r="F4" s="295">
        <f>SUM(F2:F3)</f>
        <v>215102220</v>
      </c>
    </row>
    <row r="5" spans="2:21">
      <c r="U5" s="7"/>
    </row>
    <row r="6" spans="2:21">
      <c r="Q6" s="12">
        <v>70781000</v>
      </c>
      <c r="R6" s="13" t="s">
        <v>91</v>
      </c>
      <c r="S6" s="13" t="s">
        <v>138</v>
      </c>
      <c r="T6" s="16">
        <v>-62000</v>
      </c>
      <c r="U6" s="7"/>
    </row>
    <row r="7" spans="2:21" ht="15.75" thickBot="1">
      <c r="B7" t="s">
        <v>108</v>
      </c>
      <c r="C7" s="378">
        <v>60150096</v>
      </c>
      <c r="D7" s="10" t="s">
        <v>126</v>
      </c>
      <c r="E7" s="236" t="s">
        <v>0</v>
      </c>
      <c r="F7" s="237">
        <v>127691837</v>
      </c>
      <c r="Q7" s="12">
        <v>70781000</v>
      </c>
      <c r="R7" s="13" t="s">
        <v>91</v>
      </c>
      <c r="S7" s="13" t="s">
        <v>138</v>
      </c>
      <c r="T7" s="16">
        <v>-62000</v>
      </c>
      <c r="U7" s="7"/>
    </row>
    <row r="8" spans="2:21">
      <c r="B8" t="s">
        <v>108</v>
      </c>
      <c r="C8" s="378">
        <v>60151000</v>
      </c>
      <c r="D8" s="10" t="s">
        <v>127</v>
      </c>
      <c r="E8" s="236" t="s">
        <v>1</v>
      </c>
      <c r="F8" s="237">
        <v>6000000</v>
      </c>
      <c r="I8" s="141"/>
      <c r="J8" s="60"/>
      <c r="K8" s="60"/>
      <c r="L8" s="60"/>
      <c r="M8" s="60"/>
      <c r="N8" s="60"/>
      <c r="O8" s="169"/>
      <c r="Q8" s="12">
        <v>70781000</v>
      </c>
      <c r="R8" s="13" t="s">
        <v>91</v>
      </c>
      <c r="S8" s="13" t="s">
        <v>138</v>
      </c>
      <c r="T8" s="16">
        <v>-62000</v>
      </c>
      <c r="U8" s="7"/>
    </row>
    <row r="9" spans="2:21">
      <c r="B9" t="s">
        <v>108</v>
      </c>
      <c r="C9" s="378">
        <v>60430000</v>
      </c>
      <c r="D9" s="10" t="s">
        <v>127</v>
      </c>
      <c r="E9" s="236" t="s">
        <v>7</v>
      </c>
      <c r="F9" s="237">
        <v>30150</v>
      </c>
      <c r="I9" s="104"/>
      <c r="J9" s="165" t="s">
        <v>144</v>
      </c>
      <c r="K9" s="52"/>
      <c r="L9" s="139">
        <f ca="1">SUM(L10:L14)</f>
        <v>211171314</v>
      </c>
      <c r="M9" s="52"/>
      <c r="N9" s="329">
        <f ca="1">SUM(N10:N14)</f>
        <v>321928.59288032597</v>
      </c>
      <c r="O9" s="41"/>
      <c r="Q9" s="12">
        <v>70781000</v>
      </c>
      <c r="R9" s="13" t="s">
        <v>91</v>
      </c>
      <c r="S9" s="13" t="s">
        <v>138</v>
      </c>
      <c r="T9" s="16">
        <v>-62000</v>
      </c>
      <c r="U9" s="7"/>
    </row>
    <row r="10" spans="2:21">
      <c r="B10" t="s">
        <v>108</v>
      </c>
      <c r="C10" s="378">
        <v>60510000</v>
      </c>
      <c r="D10" s="10" t="s">
        <v>127</v>
      </c>
      <c r="E10" s="236" t="s">
        <v>8</v>
      </c>
      <c r="F10" s="237">
        <v>46546</v>
      </c>
      <c r="I10" s="104"/>
      <c r="J10" s="168" t="s">
        <v>129</v>
      </c>
      <c r="K10" s="168"/>
      <c r="L10" s="21">
        <f ca="1">SUMIF($D$7:$D$987,J10,$F$7:$F$986)</f>
        <v>17540050</v>
      </c>
      <c r="M10" s="21"/>
      <c r="N10" s="322">
        <f ca="1">L10/655.957</f>
        <v>26739.633847950401</v>
      </c>
      <c r="O10" s="41"/>
      <c r="Q10" s="12">
        <v>70781000</v>
      </c>
      <c r="R10" s="13" t="s">
        <v>91</v>
      </c>
      <c r="S10" s="13" t="s">
        <v>138</v>
      </c>
      <c r="T10" s="16">
        <v>-62000</v>
      </c>
      <c r="U10" s="7"/>
    </row>
    <row r="11" spans="2:21">
      <c r="B11" t="s">
        <v>108</v>
      </c>
      <c r="C11" s="378">
        <v>60520000</v>
      </c>
      <c r="D11" s="10" t="s">
        <v>127</v>
      </c>
      <c r="E11" s="236" t="s">
        <v>9</v>
      </c>
      <c r="F11" s="237">
        <v>240476</v>
      </c>
      <c r="I11" s="104"/>
      <c r="J11" s="168" t="s">
        <v>115</v>
      </c>
      <c r="K11" s="168"/>
      <c r="L11" s="21">
        <f ca="1">SUMIF($D$7:$D$987,J11,$F$7:$F$986)</f>
        <v>0</v>
      </c>
      <c r="M11" s="21"/>
      <c r="N11" s="322">
        <f ca="1">L11/655.957</f>
        <v>0</v>
      </c>
      <c r="O11" s="41"/>
      <c r="Q11" s="12">
        <v>75800000</v>
      </c>
      <c r="R11" s="13" t="s">
        <v>94</v>
      </c>
      <c r="S11" s="13" t="s">
        <v>138</v>
      </c>
      <c r="T11" s="16">
        <v>-6821</v>
      </c>
      <c r="U11" s="7"/>
    </row>
    <row r="12" spans="2:21">
      <c r="B12" t="s">
        <v>108</v>
      </c>
      <c r="C12" s="378">
        <v>60530000</v>
      </c>
      <c r="D12" s="10" t="s">
        <v>127</v>
      </c>
      <c r="E12" s="236" t="s">
        <v>10</v>
      </c>
      <c r="F12" s="237">
        <v>777000</v>
      </c>
      <c r="I12" s="104"/>
      <c r="J12" s="168" t="s">
        <v>137</v>
      </c>
      <c r="K12" s="168"/>
      <c r="L12" s="21">
        <f ca="1">SUMIF($D$7:$D$987,J12,$F$7:$F$986)</f>
        <v>0</v>
      </c>
      <c r="M12" s="21"/>
      <c r="N12" s="322">
        <f ca="1">L12/655.957</f>
        <v>0</v>
      </c>
      <c r="O12" s="41"/>
      <c r="Q12" s="12">
        <v>77210000</v>
      </c>
      <c r="R12" s="13" t="s">
        <v>96</v>
      </c>
      <c r="S12" s="13" t="s">
        <v>140</v>
      </c>
      <c r="T12" s="16">
        <v>-435801</v>
      </c>
      <c r="U12" s="7"/>
    </row>
    <row r="13" spans="2:21">
      <c r="B13" t="s">
        <v>108</v>
      </c>
      <c r="C13" s="378">
        <v>60550000</v>
      </c>
      <c r="D13" s="10" t="s">
        <v>127</v>
      </c>
      <c r="E13" s="236" t="s">
        <v>12</v>
      </c>
      <c r="F13" s="237">
        <v>235573</v>
      </c>
      <c r="I13" s="104"/>
      <c r="J13" s="168" t="s">
        <v>126</v>
      </c>
      <c r="K13" s="168"/>
      <c r="L13" s="21">
        <f ca="1">SUMIF($D$7:$D$987,J13,$F$7:$F$986)</f>
        <v>127691837</v>
      </c>
      <c r="M13" s="21"/>
      <c r="N13" s="322">
        <f ca="1">L13/655.957</f>
        <v>194664.95059889596</v>
      </c>
      <c r="O13" s="41"/>
      <c r="Q13" s="12">
        <v>77600000</v>
      </c>
      <c r="R13" s="13" t="s">
        <v>97</v>
      </c>
      <c r="S13" s="13" t="s">
        <v>139</v>
      </c>
      <c r="T13" s="16">
        <v>-1462589</v>
      </c>
      <c r="U13" s="7"/>
    </row>
    <row r="14" spans="2:21">
      <c r="B14" t="s">
        <v>108</v>
      </c>
      <c r="C14" s="378">
        <v>60551000</v>
      </c>
      <c r="D14" s="10" t="s">
        <v>127</v>
      </c>
      <c r="E14" s="236" t="s">
        <v>13</v>
      </c>
      <c r="F14" s="237">
        <v>82900</v>
      </c>
      <c r="I14" s="104"/>
      <c r="J14" s="168" t="s">
        <v>127</v>
      </c>
      <c r="K14" s="168"/>
      <c r="L14" s="21">
        <f ca="1">SUMIF($D$7:$D$987,J14,$F$7:$F$986)</f>
        <v>65939427</v>
      </c>
      <c r="M14" s="21"/>
      <c r="N14" s="322">
        <f ca="1">L14/655.957</f>
        <v>100524.00843347964</v>
      </c>
      <c r="O14" s="41"/>
      <c r="U14" s="7"/>
    </row>
    <row r="15" spans="2:21">
      <c r="B15" t="s">
        <v>108</v>
      </c>
      <c r="C15" s="378">
        <v>60568000</v>
      </c>
      <c r="D15" s="10" t="s">
        <v>127</v>
      </c>
      <c r="E15" s="236" t="s">
        <v>18</v>
      </c>
      <c r="F15" s="237">
        <v>297000</v>
      </c>
      <c r="I15" s="104"/>
      <c r="J15" s="52"/>
      <c r="K15" s="52"/>
      <c r="L15" s="21"/>
      <c r="M15" s="21"/>
      <c r="N15" s="322"/>
      <c r="O15" s="41"/>
      <c r="U15" s="7"/>
    </row>
    <row r="16" spans="2:21">
      <c r="B16" t="s">
        <v>108</v>
      </c>
      <c r="C16" s="378">
        <v>60569000</v>
      </c>
      <c r="D16" s="10" t="s">
        <v>127</v>
      </c>
      <c r="E16" s="236" t="s">
        <v>19</v>
      </c>
      <c r="F16" s="237">
        <v>11774</v>
      </c>
      <c r="I16" s="104"/>
      <c r="J16" s="52"/>
      <c r="K16" s="52"/>
      <c r="L16" s="21"/>
      <c r="M16" s="21"/>
      <c r="N16" s="322"/>
      <c r="O16" s="41"/>
      <c r="U16" s="7"/>
    </row>
    <row r="17" spans="2:21">
      <c r="B17" t="s">
        <v>108</v>
      </c>
      <c r="C17" s="378">
        <v>61600000</v>
      </c>
      <c r="D17" s="10" t="s">
        <v>127</v>
      </c>
      <c r="E17" s="236" t="s">
        <v>23</v>
      </c>
      <c r="F17" s="237">
        <v>34790</v>
      </c>
      <c r="I17" s="104"/>
      <c r="J17" s="165" t="s">
        <v>153</v>
      </c>
      <c r="K17" s="52"/>
      <c r="L17" s="139">
        <f>SUM(L18:L21)</f>
        <v>2215211</v>
      </c>
      <c r="M17" s="52"/>
      <c r="N17" s="329">
        <f>SUM(N18:N21)</f>
        <v>3377.0673992350107</v>
      </c>
      <c r="O17" s="41"/>
      <c r="U17" s="7"/>
    </row>
    <row r="18" spans="2:21">
      <c r="B18" t="s">
        <v>108</v>
      </c>
      <c r="C18" s="378">
        <v>61810000</v>
      </c>
      <c r="D18" s="10" t="s">
        <v>127</v>
      </c>
      <c r="E18" s="236" t="s">
        <v>24</v>
      </c>
      <c r="F18" s="237">
        <v>104300</v>
      </c>
      <c r="I18" s="104"/>
      <c r="J18" s="300" t="s">
        <v>138</v>
      </c>
      <c r="K18" s="301"/>
      <c r="L18" s="322">
        <f>SUMIF(S6:S15,J18,T6:T15)*-1</f>
        <v>316821</v>
      </c>
      <c r="M18" s="302"/>
      <c r="N18" s="322">
        <f>L18/655.957</f>
        <v>482.99050090173591</v>
      </c>
      <c r="O18" s="41"/>
      <c r="U18" s="7"/>
    </row>
    <row r="19" spans="2:21">
      <c r="B19" t="s">
        <v>108</v>
      </c>
      <c r="C19" s="378">
        <v>61830000</v>
      </c>
      <c r="D19" s="10" t="s">
        <v>127</v>
      </c>
      <c r="E19" s="236" t="s">
        <v>27</v>
      </c>
      <c r="F19" s="237">
        <v>329500</v>
      </c>
      <c r="I19" s="104"/>
      <c r="J19" s="168" t="s">
        <v>139</v>
      </c>
      <c r="K19" s="168"/>
      <c r="L19" s="322">
        <f t="shared" ref="L19:L21" si="0">SUMIF(S7:S16,J19,T7:T16)*-1</f>
        <v>1462589</v>
      </c>
      <c r="M19" s="21"/>
      <c r="N19" s="322">
        <f>L19/655.957</f>
        <v>2229.7025567224682</v>
      </c>
      <c r="O19" s="41"/>
      <c r="U19" s="7"/>
    </row>
    <row r="20" spans="2:21">
      <c r="B20" t="s">
        <v>108</v>
      </c>
      <c r="C20" s="378">
        <v>62220000</v>
      </c>
      <c r="D20" s="10" t="s">
        <v>127</v>
      </c>
      <c r="E20" s="236" t="s">
        <v>28</v>
      </c>
      <c r="F20" s="237">
        <v>6419912</v>
      </c>
      <c r="I20" s="104"/>
      <c r="J20" s="168" t="s">
        <v>140</v>
      </c>
      <c r="K20" s="168"/>
      <c r="L20" s="322">
        <f t="shared" si="0"/>
        <v>435801</v>
      </c>
      <c r="M20" s="21"/>
      <c r="N20" s="322">
        <f>L20/655.957</f>
        <v>664.37434161080682</v>
      </c>
      <c r="O20" s="41"/>
      <c r="U20" s="7"/>
    </row>
    <row r="21" spans="2:21">
      <c r="B21" t="s">
        <v>108</v>
      </c>
      <c r="C21" s="378">
        <v>62230000</v>
      </c>
      <c r="D21" s="10" t="s">
        <v>127</v>
      </c>
      <c r="E21" s="236" t="s">
        <v>29</v>
      </c>
      <c r="F21" s="237">
        <v>80000</v>
      </c>
      <c r="I21" s="104"/>
      <c r="J21" s="168" t="s">
        <v>141</v>
      </c>
      <c r="K21" s="168"/>
      <c r="L21" s="322">
        <f t="shared" si="0"/>
        <v>0</v>
      </c>
      <c r="M21" s="21"/>
      <c r="N21" s="322">
        <f>L21/655.957</f>
        <v>0</v>
      </c>
      <c r="O21" s="41"/>
      <c r="U21" s="7"/>
    </row>
    <row r="22" spans="2:21">
      <c r="B22" t="s">
        <v>108</v>
      </c>
      <c r="C22" s="378">
        <v>62281000</v>
      </c>
      <c r="D22" s="10" t="s">
        <v>127</v>
      </c>
      <c r="E22" s="236" t="s">
        <v>30</v>
      </c>
      <c r="F22" s="237">
        <v>-453246</v>
      </c>
      <c r="I22" s="104"/>
      <c r="J22" s="52"/>
      <c r="K22" s="52"/>
      <c r="L22" s="21"/>
      <c r="M22" s="21"/>
      <c r="N22" s="322"/>
      <c r="O22" s="41"/>
      <c r="U22" s="7"/>
    </row>
    <row r="23" spans="2:21">
      <c r="B23" t="s">
        <v>108</v>
      </c>
      <c r="C23" s="378">
        <v>62285000</v>
      </c>
      <c r="D23" s="10" t="s">
        <v>127</v>
      </c>
      <c r="E23" s="236" t="s">
        <v>31</v>
      </c>
      <c r="F23" s="237">
        <v>600919</v>
      </c>
      <c r="I23" s="104"/>
      <c r="J23" s="165" t="s">
        <v>154</v>
      </c>
      <c r="K23" s="52"/>
      <c r="L23" s="139">
        <f ca="1">SUM(L24:L27)</f>
        <v>1715695</v>
      </c>
      <c r="M23" s="52"/>
      <c r="N23" s="329">
        <f ca="1">SUM(N24:N27)</f>
        <v>2615.5601662913882</v>
      </c>
      <c r="O23" s="41"/>
      <c r="U23" s="7"/>
    </row>
    <row r="24" spans="2:21">
      <c r="B24" t="s">
        <v>108</v>
      </c>
      <c r="C24" s="378">
        <v>62420000</v>
      </c>
      <c r="D24" s="10" t="s">
        <v>127</v>
      </c>
      <c r="E24" s="236" t="s">
        <v>32</v>
      </c>
      <c r="F24" s="237">
        <v>500000</v>
      </c>
      <c r="I24" s="104"/>
      <c r="J24" s="168" t="s">
        <v>142</v>
      </c>
      <c r="K24" s="168"/>
      <c r="L24" s="21">
        <f ca="1">SUMIF($D$7:$D$987,J24,$F$7:$F$986)</f>
        <v>0</v>
      </c>
      <c r="M24" s="21"/>
      <c r="N24" s="322">
        <f ca="1">L24/655.957</f>
        <v>0</v>
      </c>
      <c r="O24" s="41"/>
    </row>
    <row r="25" spans="2:21">
      <c r="B25" t="s">
        <v>108</v>
      </c>
      <c r="C25" s="378">
        <v>62430000</v>
      </c>
      <c r="D25" s="10" t="s">
        <v>127</v>
      </c>
      <c r="E25" s="236" t="s">
        <v>33</v>
      </c>
      <c r="F25" s="237">
        <v>35000</v>
      </c>
      <c r="I25" s="104"/>
      <c r="J25" s="168" t="s">
        <v>128</v>
      </c>
      <c r="K25" s="168"/>
      <c r="L25" s="21">
        <f ca="1">SUMIF($D$7:$D$987,J25,$F$7:$F$986)</f>
        <v>1715695</v>
      </c>
      <c r="M25" s="21"/>
      <c r="N25" s="322">
        <f ca="1">L25/655.957</f>
        <v>2615.5601662913882</v>
      </c>
      <c r="O25" s="41"/>
      <c r="Q25" s="11"/>
      <c r="T25"/>
    </row>
    <row r="26" spans="2:21">
      <c r="B26" t="s">
        <v>108</v>
      </c>
      <c r="C26" s="378">
        <v>62523000</v>
      </c>
      <c r="D26" s="10" t="s">
        <v>127</v>
      </c>
      <c r="E26" s="236" t="s">
        <v>1803</v>
      </c>
      <c r="F26" s="237">
        <v>277520</v>
      </c>
      <c r="I26" s="104"/>
      <c r="J26" s="300" t="s">
        <v>1247</v>
      </c>
      <c r="K26" s="172"/>
      <c r="L26" s="21">
        <f ca="1">SUMIF($D$7:$D$987,J26,$F$7:$F$986)</f>
        <v>0</v>
      </c>
      <c r="M26" s="21"/>
      <c r="N26" s="322">
        <f ca="1">L26/655.957</f>
        <v>0</v>
      </c>
      <c r="O26" s="41"/>
      <c r="Q26" s="11"/>
      <c r="T26"/>
    </row>
    <row r="27" spans="2:21">
      <c r="B27" t="s">
        <v>108</v>
      </c>
      <c r="C27" s="378">
        <v>62760000</v>
      </c>
      <c r="D27" s="10" t="s">
        <v>127</v>
      </c>
      <c r="E27" s="236" t="s">
        <v>38</v>
      </c>
      <c r="F27" s="237">
        <v>6050084</v>
      </c>
      <c r="I27" s="104"/>
      <c r="J27" s="168" t="s">
        <v>143</v>
      </c>
      <c r="K27" s="168"/>
      <c r="L27" s="21">
        <f ca="1">SUMIF($D$7:$D$987,J27,$F$7:$F$986)</f>
        <v>0</v>
      </c>
      <c r="M27" s="21"/>
      <c r="N27" s="322">
        <f ca="1">L27/655.957</f>
        <v>0</v>
      </c>
      <c r="O27" s="41"/>
      <c r="Q27" s="11"/>
      <c r="T27"/>
    </row>
    <row r="28" spans="2:21" ht="15.75" thickBot="1">
      <c r="B28" t="s">
        <v>108</v>
      </c>
      <c r="C28" s="378">
        <v>62880000</v>
      </c>
      <c r="D28" s="10" t="s">
        <v>127</v>
      </c>
      <c r="E28" s="236" t="s">
        <v>39</v>
      </c>
      <c r="F28" s="237">
        <v>317790</v>
      </c>
      <c r="I28" s="147"/>
      <c r="J28" s="65"/>
      <c r="K28" s="65"/>
      <c r="L28" s="108"/>
      <c r="M28" s="108"/>
      <c r="N28" s="108"/>
      <c r="O28" s="173"/>
      <c r="Q28" s="11"/>
      <c r="T28"/>
    </row>
    <row r="29" spans="2:21">
      <c r="B29" t="s">
        <v>108</v>
      </c>
      <c r="C29" s="378">
        <v>63180000</v>
      </c>
      <c r="D29" s="10" t="s">
        <v>127</v>
      </c>
      <c r="E29" s="236" t="s">
        <v>42</v>
      </c>
      <c r="F29" s="237">
        <v>10139216</v>
      </c>
      <c r="Q29" s="11"/>
      <c r="T29"/>
    </row>
    <row r="30" spans="2:21">
      <c r="B30" t="s">
        <v>108</v>
      </c>
      <c r="C30" s="378">
        <v>63240000</v>
      </c>
      <c r="D30" s="10" t="s">
        <v>127</v>
      </c>
      <c r="E30" s="236" t="s">
        <v>44</v>
      </c>
      <c r="F30" s="237">
        <v>10221160</v>
      </c>
      <c r="Q30" s="11"/>
      <c r="T30"/>
    </row>
    <row r="31" spans="2:21">
      <c r="B31" t="s">
        <v>108</v>
      </c>
      <c r="C31" s="378">
        <v>63282000</v>
      </c>
      <c r="D31" s="10" t="s">
        <v>127</v>
      </c>
      <c r="E31" s="236" t="s">
        <v>48</v>
      </c>
      <c r="F31" s="237">
        <v>232568</v>
      </c>
      <c r="J31" s="14" t="s">
        <v>109</v>
      </c>
      <c r="L31" s="235">
        <f ca="1">F4-L3</f>
        <v>0</v>
      </c>
      <c r="M31" s="235"/>
      <c r="N31" s="235">
        <f ca="1">L31/655.957</f>
        <v>0</v>
      </c>
      <c r="Q31" s="11"/>
      <c r="T31"/>
    </row>
    <row r="32" spans="2:21">
      <c r="B32" t="s">
        <v>108</v>
      </c>
      <c r="C32" s="378">
        <v>63284000</v>
      </c>
      <c r="D32" s="10" t="s">
        <v>128</v>
      </c>
      <c r="E32" s="236" t="s">
        <v>49</v>
      </c>
      <c r="F32" s="237">
        <v>1683540</v>
      </c>
      <c r="Q32" s="11"/>
      <c r="T32"/>
    </row>
    <row r="33" spans="2:20">
      <c r="B33" t="s">
        <v>108</v>
      </c>
      <c r="C33" s="378">
        <v>63720000</v>
      </c>
      <c r="D33" s="10" t="s">
        <v>127</v>
      </c>
      <c r="E33" s="236" t="s">
        <v>59</v>
      </c>
      <c r="F33" s="237">
        <v>3188154</v>
      </c>
      <c r="Q33" s="11"/>
      <c r="T33"/>
    </row>
    <row r="34" spans="2:20">
      <c r="B34" t="s">
        <v>108</v>
      </c>
      <c r="C34" s="378">
        <v>63830000</v>
      </c>
      <c r="D34" s="10" t="s">
        <v>127</v>
      </c>
      <c r="E34" s="236" t="s">
        <v>60</v>
      </c>
      <c r="F34" s="237">
        <v>889000</v>
      </c>
      <c r="Q34" s="11"/>
      <c r="T34"/>
    </row>
    <row r="35" spans="2:20">
      <c r="B35" t="s">
        <v>108</v>
      </c>
      <c r="C35" s="378">
        <v>63830060</v>
      </c>
      <c r="D35" s="10" t="s">
        <v>127</v>
      </c>
      <c r="E35" s="236" t="s">
        <v>61</v>
      </c>
      <c r="F35" s="237">
        <v>15598892</v>
      </c>
    </row>
    <row r="36" spans="2:20">
      <c r="B36" t="s">
        <v>108</v>
      </c>
      <c r="C36" s="378">
        <v>64110000</v>
      </c>
      <c r="D36" s="10" t="s">
        <v>127</v>
      </c>
      <c r="E36" s="236" t="s">
        <v>65</v>
      </c>
      <c r="F36" s="237">
        <v>23500</v>
      </c>
    </row>
    <row r="37" spans="2:20">
      <c r="B37" t="s">
        <v>108</v>
      </c>
      <c r="C37" s="378">
        <v>64112000</v>
      </c>
      <c r="D37" s="10" t="s">
        <v>129</v>
      </c>
      <c r="E37" s="236" t="s">
        <v>66</v>
      </c>
      <c r="F37" s="237">
        <v>4637224</v>
      </c>
    </row>
    <row r="38" spans="2:20">
      <c r="B38" t="s">
        <v>108</v>
      </c>
      <c r="C38" s="378">
        <v>64620000</v>
      </c>
      <c r="D38" s="10" t="s">
        <v>127</v>
      </c>
      <c r="E38" s="236" t="s">
        <v>67</v>
      </c>
      <c r="F38" s="237">
        <v>36305</v>
      </c>
    </row>
    <row r="39" spans="2:20">
      <c r="B39" t="s">
        <v>108</v>
      </c>
      <c r="C39" s="378">
        <v>65000000</v>
      </c>
      <c r="D39" s="10" t="s">
        <v>128</v>
      </c>
      <c r="E39" s="236" t="s">
        <v>68</v>
      </c>
      <c r="F39" s="237">
        <v>32155</v>
      </c>
    </row>
    <row r="40" spans="2:20">
      <c r="B40" t="s">
        <v>108</v>
      </c>
      <c r="C40" s="378">
        <v>66110000</v>
      </c>
      <c r="D40" s="10" t="s">
        <v>129</v>
      </c>
      <c r="E40" s="236" t="s">
        <v>70</v>
      </c>
      <c r="F40" s="237">
        <v>11159590</v>
      </c>
    </row>
    <row r="41" spans="2:20">
      <c r="B41" t="s">
        <v>108</v>
      </c>
      <c r="C41" s="378">
        <v>66121000</v>
      </c>
      <c r="D41" s="10" t="s">
        <v>129</v>
      </c>
      <c r="E41" s="236" t="s">
        <v>71</v>
      </c>
      <c r="F41" s="237">
        <v>-436</v>
      </c>
    </row>
    <row r="42" spans="2:20">
      <c r="B42" t="s">
        <v>108</v>
      </c>
      <c r="C42" s="378">
        <v>66380000</v>
      </c>
      <c r="D42" s="10" t="s">
        <v>129</v>
      </c>
      <c r="E42" s="236" t="s">
        <v>75</v>
      </c>
      <c r="F42" s="237">
        <v>574600</v>
      </c>
    </row>
    <row r="43" spans="2:20">
      <c r="B43" t="s">
        <v>108</v>
      </c>
      <c r="C43" s="378">
        <v>66410000</v>
      </c>
      <c r="D43" s="10" t="s">
        <v>129</v>
      </c>
      <c r="E43" t="s">
        <v>76</v>
      </c>
      <c r="F43" s="7">
        <v>83160</v>
      </c>
    </row>
    <row r="44" spans="2:20">
      <c r="B44" t="s">
        <v>108</v>
      </c>
      <c r="C44" s="8">
        <v>66411000</v>
      </c>
      <c r="D44" s="10" t="s">
        <v>129</v>
      </c>
      <c r="E44" t="s">
        <v>77</v>
      </c>
      <c r="F44" s="7">
        <v>338640</v>
      </c>
    </row>
    <row r="45" spans="2:20">
      <c r="B45" t="s">
        <v>108</v>
      </c>
      <c r="C45" s="8">
        <v>66420000</v>
      </c>
      <c r="D45" t="s">
        <v>129</v>
      </c>
      <c r="E45" t="s">
        <v>78</v>
      </c>
      <c r="F45" s="7">
        <v>30240</v>
      </c>
      <c r="N45" s="7"/>
      <c r="T45"/>
    </row>
    <row r="46" spans="2:20">
      <c r="B46" t="s">
        <v>108</v>
      </c>
      <c r="C46" s="8">
        <v>66421000</v>
      </c>
      <c r="D46" t="s">
        <v>129</v>
      </c>
      <c r="E46" t="s">
        <v>79</v>
      </c>
      <c r="F46" s="7">
        <v>67032</v>
      </c>
      <c r="N46" s="7"/>
      <c r="T46"/>
    </row>
    <row r="47" spans="2:20">
      <c r="B47" t="s">
        <v>108</v>
      </c>
      <c r="C47" s="8">
        <v>66831000</v>
      </c>
      <c r="D47" s="10" t="s">
        <v>129</v>
      </c>
      <c r="E47" t="s">
        <v>81</v>
      </c>
      <c r="F47" s="7">
        <v>650000</v>
      </c>
    </row>
    <row r="48" spans="2:20">
      <c r="B48" t="s">
        <v>108</v>
      </c>
      <c r="C48" s="8">
        <v>66840001</v>
      </c>
      <c r="D48" s="10" t="s">
        <v>127</v>
      </c>
      <c r="E48" t="s">
        <v>82</v>
      </c>
      <c r="F48" s="7">
        <v>8613</v>
      </c>
    </row>
    <row r="49" spans="2:6">
      <c r="B49" t="s">
        <v>108</v>
      </c>
      <c r="C49" s="8">
        <v>67600000</v>
      </c>
      <c r="D49" s="10" t="s">
        <v>127</v>
      </c>
      <c r="E49" t="s">
        <v>1783</v>
      </c>
      <c r="F49" s="7">
        <v>1582037</v>
      </c>
    </row>
    <row r="50" spans="2:6">
      <c r="B50" t="s">
        <v>108</v>
      </c>
      <c r="C50" s="8">
        <v>68130000</v>
      </c>
      <c r="D50" s="10" t="s">
        <v>127</v>
      </c>
      <c r="E50" t="s">
        <v>85</v>
      </c>
      <c r="F50" s="7">
        <v>2001994</v>
      </c>
    </row>
  </sheetData>
  <sortState ref="F1:H52">
    <sortCondition ref="F1:F52"/>
  </sortState>
  <pageMargins left="0.7" right="0.7" top="0.75" bottom="0.75" header="0.3" footer="0.3"/>
  <pageSetup paperSize="9" scale="39" orientation="portrait" verticalDpi="0" r:id="rId1"/>
  <colBreaks count="1" manualBreakCount="1">
    <brk id="7" max="5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C1:AB60"/>
  <sheetViews>
    <sheetView topLeftCell="B4" zoomScale="68" zoomScaleNormal="68" zoomScaleSheetLayoutView="68" workbookViewId="0">
      <pane xSplit="8" topLeftCell="J1" activePane="topRight" state="frozen"/>
      <selection activeCell="B1" sqref="B1"/>
      <selection pane="topRight" activeCell="AE37" sqref="AE37"/>
    </sheetView>
  </sheetViews>
  <sheetFormatPr baseColWidth="10" defaultRowHeight="15"/>
  <cols>
    <col min="2" max="2" width="13.140625" customWidth="1"/>
    <col min="3" max="3" width="1.140625" customWidth="1"/>
    <col min="4" max="4" width="44" customWidth="1"/>
    <col min="5" max="5" width="18.140625" style="7" customWidth="1"/>
    <col min="6" max="6" width="0.5703125" style="21" customWidth="1"/>
    <col min="7" max="7" width="16" bestFit="1" customWidth="1"/>
    <col min="8" max="8" width="13.28515625" customWidth="1"/>
    <col min="10" max="10" width="1.140625" customWidth="1"/>
    <col min="11" max="11" width="15.140625" customWidth="1"/>
    <col min="14" max="14" width="14.42578125" bestFit="1" customWidth="1"/>
    <col min="15" max="15" width="9.85546875" bestFit="1" customWidth="1"/>
    <col min="16" max="16" width="12.7109375" customWidth="1"/>
    <col min="17" max="17" width="15.140625" customWidth="1"/>
    <col min="18" max="18" width="12.85546875" customWidth="1"/>
    <col min="20" max="20" width="14.42578125" bestFit="1" customWidth="1"/>
    <col min="23" max="23" width="16" customWidth="1"/>
    <col min="24" max="24" width="11.140625" customWidth="1"/>
    <col min="26" max="26" width="13.42578125" bestFit="1" customWidth="1"/>
    <col min="28" max="28" width="1" customWidth="1"/>
  </cols>
  <sheetData>
    <row r="1" spans="3:28" ht="15.75" thickBot="1"/>
    <row r="2" spans="3:28">
      <c r="D2" s="141"/>
      <c r="E2" s="142" t="s">
        <v>135</v>
      </c>
      <c r="F2" s="142"/>
      <c r="G2" s="143" t="s">
        <v>136</v>
      </c>
      <c r="H2" s="144" t="s">
        <v>158</v>
      </c>
      <c r="I2" s="8"/>
      <c r="J2" s="8"/>
      <c r="K2" s="5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3:28">
      <c r="D3" s="104"/>
      <c r="E3" s="139">
        <f>SUM(E5:E9)</f>
        <v>-1816996182</v>
      </c>
      <c r="F3" s="24"/>
      <c r="G3" s="139">
        <f>SUM(G5:G9)</f>
        <v>-2769992.8227002686</v>
      </c>
      <c r="H3" s="145">
        <f>SUM(H5:H9)</f>
        <v>1</v>
      </c>
      <c r="I3" s="15"/>
      <c r="J3" s="15"/>
      <c r="K3" s="12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3:28" s="13" customFormat="1" ht="3" customHeight="1">
      <c r="D4" s="104"/>
      <c r="E4" s="21"/>
      <c r="F4" s="21"/>
      <c r="G4" s="21"/>
      <c r="H4" s="146"/>
      <c r="I4" s="12"/>
      <c r="J4" s="1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3:28">
      <c r="D5" s="104" t="s">
        <v>100</v>
      </c>
      <c r="E5" s="21">
        <v>44306918</v>
      </c>
      <c r="G5" s="21">
        <f>E5/655.957</f>
        <v>67545.461059185283</v>
      </c>
      <c r="H5" s="145">
        <f>G5/$G$3</f>
        <v>-2.4384706164451368E-2</v>
      </c>
      <c r="I5" s="15"/>
      <c r="J5" s="15"/>
      <c r="K5" s="125"/>
      <c r="L5" s="211"/>
      <c r="M5" s="54"/>
      <c r="N5" s="125"/>
      <c r="O5" s="211"/>
      <c r="P5" s="54"/>
      <c r="Q5" s="125"/>
      <c r="R5" s="211"/>
      <c r="S5" s="54"/>
      <c r="T5" s="125"/>
      <c r="U5" s="211"/>
      <c r="V5" s="54"/>
      <c r="W5" s="125"/>
      <c r="X5" s="211"/>
      <c r="Y5" s="1"/>
      <c r="Z5" s="1"/>
    </row>
    <row r="6" spans="3:28">
      <c r="D6" s="104" t="s">
        <v>106</v>
      </c>
      <c r="E6" s="21">
        <v>-602489197</v>
      </c>
      <c r="G6" s="21">
        <f>E6/655.957</f>
        <v>-918488.85978806543</v>
      </c>
      <c r="H6" s="145">
        <f>G6/$G$3</f>
        <v>0.33158528508124296</v>
      </c>
      <c r="I6" s="15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3:28">
      <c r="D7" s="104" t="s">
        <v>186</v>
      </c>
      <c r="E7" s="21">
        <v>0</v>
      </c>
      <c r="G7" s="21">
        <f>E7/655.957</f>
        <v>0</v>
      </c>
      <c r="H7" s="145">
        <f>G7/$G$3</f>
        <v>0</v>
      </c>
      <c r="I7" s="15"/>
      <c r="J7" s="1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3:28">
      <c r="D8" s="104" t="s">
        <v>102</v>
      </c>
      <c r="E8" s="21">
        <v>-661211872</v>
      </c>
      <c r="G8" s="21">
        <f>E8/655.957</f>
        <v>-1008011.0007210838</v>
      </c>
      <c r="H8" s="145">
        <f>G8/$G$3</f>
        <v>0.36390383125196901</v>
      </c>
      <c r="I8" s="15"/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3:28" ht="15.75" thickBot="1">
      <c r="D9" s="147" t="s">
        <v>104</v>
      </c>
      <c r="E9" s="108">
        <v>-597602031</v>
      </c>
      <c r="F9" s="108"/>
      <c r="G9" s="108">
        <f>E9/655.957</f>
        <v>-911038.42325030454</v>
      </c>
      <c r="H9" s="148">
        <f>G9/$G$3</f>
        <v>0.3288955898312394</v>
      </c>
      <c r="I9" s="15"/>
      <c r="J9" s="1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3:28" ht="15.75" thickBot="1"/>
    <row r="11" spans="3:28" ht="15.75" thickBot="1">
      <c r="C11" s="29"/>
      <c r="D11" s="30"/>
      <c r="E11" s="99"/>
      <c r="F11" s="5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100"/>
    </row>
    <row r="12" spans="3:28">
      <c r="C12" s="32"/>
      <c r="D12" s="1"/>
      <c r="E12" s="20"/>
      <c r="G12" s="1"/>
      <c r="H12" s="1"/>
      <c r="I12" s="1"/>
      <c r="J12" s="1"/>
      <c r="K12" s="222" t="s">
        <v>591</v>
      </c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4"/>
      <c r="X12" s="1"/>
      <c r="Y12" s="1"/>
      <c r="Z12" s="1"/>
      <c r="AA12" s="1"/>
      <c r="AB12" s="102"/>
    </row>
    <row r="13" spans="3:28" ht="15.75" thickBot="1">
      <c r="C13" s="32"/>
      <c r="D13" s="1"/>
      <c r="E13" s="20"/>
      <c r="G13" s="1"/>
      <c r="H13" s="1"/>
      <c r="I13" s="1"/>
      <c r="J13" s="1"/>
      <c r="K13" s="225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7"/>
      <c r="X13" s="1"/>
      <c r="Y13" s="1"/>
      <c r="Z13" s="1"/>
      <c r="AA13" s="1"/>
      <c r="AB13" s="102"/>
    </row>
    <row r="14" spans="3:28">
      <c r="C14" s="32"/>
      <c r="D14" s="1"/>
      <c r="E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02"/>
    </row>
    <row r="15" spans="3:28">
      <c r="C15" s="32"/>
      <c r="D15" s="1"/>
      <c r="E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02"/>
    </row>
    <row r="16" spans="3:28">
      <c r="C16" s="32"/>
      <c r="D16" s="1"/>
      <c r="E16" s="20"/>
      <c r="G16" s="101" t="s">
        <v>187</v>
      </c>
      <c r="H16" s="101"/>
      <c r="I16" s="1"/>
      <c r="J16" s="1"/>
      <c r="K16" s="19" t="s">
        <v>159</v>
      </c>
      <c r="L16" s="19"/>
      <c r="M16" s="1"/>
      <c r="N16" s="19" t="s">
        <v>160</v>
      </c>
      <c r="O16" s="19"/>
      <c r="P16" s="1"/>
      <c r="Q16" s="19" t="s">
        <v>161</v>
      </c>
      <c r="R16" s="19"/>
      <c r="S16" s="1"/>
      <c r="T16" s="19" t="s">
        <v>162</v>
      </c>
      <c r="U16" s="19"/>
      <c r="V16" s="1"/>
      <c r="W16" s="19" t="s">
        <v>163</v>
      </c>
      <c r="X16" s="19"/>
      <c r="Y16" s="1"/>
      <c r="Z16" s="19" t="s">
        <v>192</v>
      </c>
      <c r="AA16" s="19"/>
      <c r="AB16" s="102"/>
    </row>
    <row r="17" spans="3:28">
      <c r="C17" s="32"/>
      <c r="D17" s="1"/>
      <c r="E17" s="20"/>
      <c r="G17" s="18" t="s">
        <v>135</v>
      </c>
      <c r="H17" s="18" t="s">
        <v>136</v>
      </c>
      <c r="I17" s="1"/>
      <c r="J17" s="1"/>
      <c r="K17" s="53" t="s">
        <v>135</v>
      </c>
      <c r="L17" s="53" t="s">
        <v>136</v>
      </c>
      <c r="M17" s="1"/>
      <c r="N17" s="53" t="s">
        <v>135</v>
      </c>
      <c r="O17" s="53" t="s">
        <v>136</v>
      </c>
      <c r="P17" s="1"/>
      <c r="Q17" s="53" t="s">
        <v>135</v>
      </c>
      <c r="R17" s="53" t="s">
        <v>136</v>
      </c>
      <c r="S17" s="1"/>
      <c r="T17" s="53" t="s">
        <v>135</v>
      </c>
      <c r="U17" s="53" t="s">
        <v>136</v>
      </c>
      <c r="V17" s="1"/>
      <c r="W17" s="53" t="s">
        <v>135</v>
      </c>
      <c r="X17" s="53" t="s">
        <v>136</v>
      </c>
      <c r="Y17" s="1"/>
      <c r="Z17" s="53" t="s">
        <v>135</v>
      </c>
      <c r="AA17" s="53" t="s">
        <v>136</v>
      </c>
      <c r="AB17" s="102"/>
    </row>
    <row r="18" spans="3:28">
      <c r="C18" s="32"/>
      <c r="D18" s="1"/>
      <c r="E18" s="20"/>
      <c r="G18" s="103"/>
      <c r="H18" s="103"/>
      <c r="I18" s="1"/>
      <c r="J18" s="1"/>
      <c r="K18" s="103"/>
      <c r="L18" s="103"/>
      <c r="M18" s="1"/>
      <c r="N18" s="103"/>
      <c r="O18" s="103"/>
      <c r="P18" s="1"/>
      <c r="Q18" s="103"/>
      <c r="R18" s="103"/>
      <c r="S18" s="1"/>
      <c r="T18" s="103"/>
      <c r="U18" s="103"/>
      <c r="V18" s="1"/>
      <c r="W18" s="103"/>
      <c r="X18" s="103"/>
      <c r="Y18" s="1"/>
      <c r="Z18" s="1"/>
      <c r="AA18" s="1"/>
      <c r="AB18" s="102"/>
    </row>
    <row r="19" spans="3:28">
      <c r="C19" s="32"/>
      <c r="D19" s="1"/>
      <c r="E19" s="2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02"/>
    </row>
    <row r="20" spans="3:28">
      <c r="C20" s="32"/>
      <c r="D20" s="119" t="s">
        <v>164</v>
      </c>
      <c r="E20" s="20"/>
      <c r="G20" s="138">
        <f>SUM(G21:G25)</f>
        <v>1816996182</v>
      </c>
      <c r="H20" s="138">
        <f t="shared" ref="H20:X20" si="0">SUM(H21:H25)</f>
        <v>2769992.8227002686</v>
      </c>
      <c r="I20" s="21"/>
      <c r="J20" s="21"/>
      <c r="K20" s="138">
        <f t="shared" si="0"/>
        <v>-44306918</v>
      </c>
      <c r="L20" s="138">
        <f>SUM(L21:L25)</f>
        <v>-67545.461059185283</v>
      </c>
      <c r="M20" s="21"/>
      <c r="N20" s="138">
        <f t="shared" si="0"/>
        <v>661211872</v>
      </c>
      <c r="O20" s="138">
        <f t="shared" si="0"/>
        <v>1008011.0007210838</v>
      </c>
      <c r="P20" s="21"/>
      <c r="Q20" s="138">
        <f t="shared" si="0"/>
        <v>597602031</v>
      </c>
      <c r="R20" s="138">
        <f t="shared" si="0"/>
        <v>911038.42325030454</v>
      </c>
      <c r="S20" s="21"/>
      <c r="T20" s="138">
        <f t="shared" si="0"/>
        <v>602489197</v>
      </c>
      <c r="U20" s="138">
        <f t="shared" si="0"/>
        <v>918488.85978806543</v>
      </c>
      <c r="V20" s="21"/>
      <c r="W20" s="138">
        <f t="shared" si="0"/>
        <v>0</v>
      </c>
      <c r="X20" s="138">
        <f t="shared" si="0"/>
        <v>0</v>
      </c>
      <c r="Y20" s="1"/>
      <c r="Z20" s="389"/>
      <c r="AA20" s="389"/>
      <c r="AB20" s="102"/>
    </row>
    <row r="21" spans="3:28">
      <c r="C21" s="32"/>
      <c r="D21" s="34" t="s">
        <v>165</v>
      </c>
      <c r="E21" s="20"/>
      <c r="G21" s="20">
        <f>K21+N21+Q21+T21+W21</f>
        <v>1816996182</v>
      </c>
      <c r="H21" s="20">
        <f>G21/655.957</f>
        <v>2769992.8227002686</v>
      </c>
      <c r="I21" s="1"/>
      <c r="J21" s="1"/>
      <c r="K21" s="20">
        <f>E5*-1</f>
        <v>-44306918</v>
      </c>
      <c r="L21" s="20">
        <f>K21/655.957</f>
        <v>-67545.461059185283</v>
      </c>
      <c r="M21" s="20"/>
      <c r="N21" s="20">
        <f>E8*-1</f>
        <v>661211872</v>
      </c>
      <c r="O21" s="20">
        <f>N21/655.957</f>
        <v>1008011.0007210838</v>
      </c>
      <c r="P21" s="20"/>
      <c r="Q21" s="20">
        <f>E9*-1</f>
        <v>597602031</v>
      </c>
      <c r="R21" s="20">
        <f>Q21/655.957</f>
        <v>911038.42325030454</v>
      </c>
      <c r="S21" s="20"/>
      <c r="T21" s="20">
        <f>E6*-1</f>
        <v>602489197</v>
      </c>
      <c r="U21" s="20">
        <f>T21/655.957</f>
        <v>918488.85978806543</v>
      </c>
      <c r="V21" s="20"/>
      <c r="W21" s="20">
        <f>E7*-1</f>
        <v>0</v>
      </c>
      <c r="X21" s="20">
        <f>W21/655.957</f>
        <v>0</v>
      </c>
      <c r="Y21" s="1"/>
      <c r="Z21" s="389"/>
      <c r="AA21" s="389"/>
      <c r="AB21" s="102"/>
    </row>
    <row r="22" spans="3:28">
      <c r="C22" s="32"/>
      <c r="D22" s="34" t="s">
        <v>166</v>
      </c>
      <c r="E22" s="20"/>
      <c r="G22" s="20">
        <f>K22+N22+Q22+T22+W22</f>
        <v>0</v>
      </c>
      <c r="H22" s="20">
        <f t="shared" ref="H22:H54" si="1">G22/655.957</f>
        <v>0</v>
      </c>
      <c r="I22" s="1"/>
      <c r="J22" s="1"/>
      <c r="K22" s="20"/>
      <c r="L22" s="20">
        <f>K22/655.957</f>
        <v>0</v>
      </c>
      <c r="M22" s="20"/>
      <c r="N22" s="20"/>
      <c r="O22" s="20">
        <f>N22/655.957</f>
        <v>0</v>
      </c>
      <c r="P22" s="20"/>
      <c r="Q22" s="20"/>
      <c r="R22" s="20">
        <f>Q22/655.957</f>
        <v>0</v>
      </c>
      <c r="S22" s="20"/>
      <c r="T22" s="20"/>
      <c r="U22" s="20">
        <f>T22/655.957</f>
        <v>0</v>
      </c>
      <c r="V22" s="20"/>
      <c r="W22" s="20"/>
      <c r="X22" s="20">
        <f>W22/655.957</f>
        <v>0</v>
      </c>
      <c r="Y22" s="1"/>
      <c r="Z22" s="389"/>
      <c r="AA22" s="389"/>
      <c r="AB22" s="102"/>
    </row>
    <row r="23" spans="3:28">
      <c r="C23" s="32"/>
      <c r="D23" s="34" t="s">
        <v>167</v>
      </c>
      <c r="E23" s="20"/>
      <c r="G23" s="20">
        <f>K23+N23+Q23+T23+W23</f>
        <v>0</v>
      </c>
      <c r="H23" s="20">
        <f t="shared" si="1"/>
        <v>0</v>
      </c>
      <c r="I23" s="1"/>
      <c r="J23" s="1"/>
      <c r="K23" s="20"/>
      <c r="L23" s="20">
        <f>K23/655.957</f>
        <v>0</v>
      </c>
      <c r="M23" s="20"/>
      <c r="N23" s="20"/>
      <c r="O23" s="20">
        <f>N23/655.957</f>
        <v>0</v>
      </c>
      <c r="P23" s="20"/>
      <c r="Q23" s="20"/>
      <c r="R23" s="20">
        <f>Q23/655.957</f>
        <v>0</v>
      </c>
      <c r="S23" s="20"/>
      <c r="T23" s="20"/>
      <c r="U23" s="20">
        <f>T23/655.957</f>
        <v>0</v>
      </c>
      <c r="V23" s="20"/>
      <c r="W23" s="20"/>
      <c r="X23" s="20">
        <f>W23/655.957</f>
        <v>0</v>
      </c>
      <c r="Y23" s="1"/>
      <c r="Z23" s="389"/>
      <c r="AA23" s="389"/>
      <c r="AB23" s="102"/>
    </row>
    <row r="24" spans="3:28">
      <c r="C24" s="32"/>
      <c r="D24" s="34" t="s">
        <v>168</v>
      </c>
      <c r="E24" s="20"/>
      <c r="G24" s="20">
        <f>K24+N24+Q24+T24+W24</f>
        <v>0</v>
      </c>
      <c r="H24" s="20">
        <f t="shared" si="1"/>
        <v>0</v>
      </c>
      <c r="I24" s="1"/>
      <c r="J24" s="1"/>
      <c r="K24" s="20"/>
      <c r="L24" s="20">
        <f>K24/655.957</f>
        <v>0</v>
      </c>
      <c r="M24" s="20"/>
      <c r="N24" s="20"/>
      <c r="O24" s="20">
        <f>N24/655.957</f>
        <v>0</v>
      </c>
      <c r="P24" s="20"/>
      <c r="Q24" s="20"/>
      <c r="R24" s="20">
        <f>Q24/655.957</f>
        <v>0</v>
      </c>
      <c r="S24" s="20"/>
      <c r="T24" s="20"/>
      <c r="U24" s="20">
        <f>T24/655.957</f>
        <v>0</v>
      </c>
      <c r="V24" s="20"/>
      <c r="W24" s="20"/>
      <c r="X24" s="20">
        <f>W24/655.957</f>
        <v>0</v>
      </c>
      <c r="Y24" s="1"/>
      <c r="Z24" s="389"/>
      <c r="AA24" s="389"/>
      <c r="AB24" s="102"/>
    </row>
    <row r="25" spans="3:28">
      <c r="C25" s="32"/>
      <c r="D25" s="34" t="s">
        <v>169</v>
      </c>
      <c r="E25" s="20"/>
      <c r="G25" s="20">
        <f>K25+N25+Q25+T25+W25</f>
        <v>0</v>
      </c>
      <c r="H25" s="20">
        <f t="shared" si="1"/>
        <v>0</v>
      </c>
      <c r="I25" s="1"/>
      <c r="J25" s="1"/>
      <c r="K25" s="20"/>
      <c r="L25" s="20">
        <f>K25/655.957</f>
        <v>0</v>
      </c>
      <c r="M25" s="20"/>
      <c r="N25" s="20"/>
      <c r="O25" s="20">
        <f>N25/655.957</f>
        <v>0</v>
      </c>
      <c r="P25" s="20"/>
      <c r="Q25" s="20"/>
      <c r="R25" s="20">
        <f>Q25/655.957</f>
        <v>0</v>
      </c>
      <c r="S25" s="20"/>
      <c r="T25" s="20"/>
      <c r="U25" s="20">
        <f>T25/655.957</f>
        <v>0</v>
      </c>
      <c r="V25" s="20"/>
      <c r="W25" s="20"/>
      <c r="X25" s="20">
        <f>W25/655.957</f>
        <v>0</v>
      </c>
      <c r="Y25" s="1"/>
      <c r="Z25" s="389"/>
      <c r="AA25" s="389"/>
      <c r="AB25" s="102"/>
    </row>
    <row r="26" spans="3:28">
      <c r="C26" s="32"/>
      <c r="D26" s="34"/>
      <c r="E26" s="20"/>
      <c r="G26" s="20"/>
      <c r="H26" s="20"/>
      <c r="I26" s="1"/>
      <c r="J26" s="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"/>
      <c r="Z26" s="389"/>
      <c r="AA26" s="389"/>
      <c r="AB26" s="102"/>
    </row>
    <row r="27" spans="3:28">
      <c r="C27" s="32"/>
      <c r="D27" s="119" t="s">
        <v>170</v>
      </c>
      <c r="E27" s="20"/>
      <c r="G27" s="138">
        <f>K27+N27+Q27+T27+W27</f>
        <v>2081614753</v>
      </c>
      <c r="H27" s="138">
        <f>G27/655.957</f>
        <v>3173401.2336174473</v>
      </c>
      <c r="I27" s="21"/>
      <c r="J27" s="21"/>
      <c r="K27" s="138">
        <f>K28+SUM(K33:K37)</f>
        <v>38259928</v>
      </c>
      <c r="L27" s="138">
        <f t="shared" ref="L27:L54" si="2">K27/655.957</f>
        <v>58326.884231740798</v>
      </c>
      <c r="M27" s="21"/>
      <c r="N27" s="138">
        <f>N28+SUM(N33:N37)</f>
        <v>587644669</v>
      </c>
      <c r="O27" s="138">
        <f t="shared" ref="O27:O54" si="3">N27/655.957</f>
        <v>895858.52273853321</v>
      </c>
      <c r="P27" s="21"/>
      <c r="Q27" s="138">
        <f>Q28+SUM(Q33:Q37)</f>
        <v>801462390</v>
      </c>
      <c r="R27" s="138">
        <f t="shared" ref="R27:R54" si="4">Q27/655.957</f>
        <v>1221821.5370824612</v>
      </c>
      <c r="S27" s="21"/>
      <c r="T27" s="138">
        <f>T28+SUM(T33:T37)</f>
        <v>643763909</v>
      </c>
      <c r="U27" s="138">
        <f t="shared" ref="U27:U54" si="5">T27/655.957</f>
        <v>981411.75259963691</v>
      </c>
      <c r="V27" s="21"/>
      <c r="W27" s="138">
        <f>W28+SUM(W33:W37)</f>
        <v>10483857</v>
      </c>
      <c r="X27" s="138">
        <f t="shared" ref="X27:X54" si="6">W27/655.957</f>
        <v>15982.536965075455</v>
      </c>
      <c r="Y27" s="1"/>
      <c r="Z27" s="389"/>
      <c r="AA27" s="389"/>
      <c r="AB27" s="102"/>
    </row>
    <row r="28" spans="3:28">
      <c r="C28" s="32"/>
      <c r="D28" s="1" t="s">
        <v>165</v>
      </c>
      <c r="E28" s="20"/>
      <c r="G28" s="21">
        <f>K28+N28+Q28+T28+W28</f>
        <v>2076986345</v>
      </c>
      <c r="H28" s="21">
        <f>G28/655.957</f>
        <v>3166345.27110771</v>
      </c>
      <c r="I28" s="21"/>
      <c r="J28" s="21"/>
      <c r="K28" s="21">
        <f>K29+K30-K31</f>
        <v>37878252</v>
      </c>
      <c r="L28" s="21">
        <f t="shared" si="2"/>
        <v>57745.022920709744</v>
      </c>
      <c r="M28" s="21"/>
      <c r="N28" s="21">
        <f>N29+N30-N31</f>
        <v>585585604</v>
      </c>
      <c r="O28" s="21">
        <f t="shared" si="3"/>
        <v>892719.49838175368</v>
      </c>
      <c r="P28" s="21"/>
      <c r="Q28" s="21">
        <f>Q29+Q30-Q31</f>
        <v>800684913</v>
      </c>
      <c r="R28" s="21">
        <f t="shared" si="4"/>
        <v>1220636.2810367143</v>
      </c>
      <c r="S28" s="21"/>
      <c r="T28" s="21">
        <f>T29+T30-T31</f>
        <v>642740395</v>
      </c>
      <c r="U28" s="21">
        <f t="shared" si="5"/>
        <v>979851.41556534951</v>
      </c>
      <c r="V28" s="21"/>
      <c r="W28" s="21">
        <f>W29+W30-W31</f>
        <v>10097181</v>
      </c>
      <c r="X28" s="21">
        <f>W28/655.957</f>
        <v>15393.053203182526</v>
      </c>
      <c r="Y28" s="1"/>
      <c r="Z28" s="389"/>
      <c r="AA28" s="389"/>
      <c r="AB28" s="102"/>
    </row>
    <row r="29" spans="3:28">
      <c r="C29" s="32"/>
      <c r="D29" s="64" t="s">
        <v>171</v>
      </c>
      <c r="E29" s="20"/>
      <c r="G29" s="20">
        <f>K29+N29+Q29+T29+W29</f>
        <v>603951581</v>
      </c>
      <c r="H29" s="20">
        <f t="shared" si="1"/>
        <v>920718.2498243025</v>
      </c>
      <c r="I29" s="1"/>
      <c r="J29" s="1"/>
      <c r="K29" s="20">
        <v>226346</v>
      </c>
      <c r="L29" s="20">
        <f>K29/655.957</f>
        <v>345.06225255618892</v>
      </c>
      <c r="M29" s="20"/>
      <c r="N29" s="20">
        <v>199012036</v>
      </c>
      <c r="O29" s="20">
        <f t="shared" si="3"/>
        <v>303391.89306616137</v>
      </c>
      <c r="P29" s="20"/>
      <c r="Q29" s="20">
        <v>303527439</v>
      </c>
      <c r="R29" s="20">
        <f t="shared" si="4"/>
        <v>462724.59780138027</v>
      </c>
      <c r="S29" s="20"/>
      <c r="T29" s="20">
        <v>40986278</v>
      </c>
      <c r="U29" s="20">
        <f>T29/655.957</f>
        <v>62483.178013192941</v>
      </c>
      <c r="V29" s="20"/>
      <c r="W29" s="20">
        <v>60199482</v>
      </c>
      <c r="X29" s="20">
        <f>W29/655.957</f>
        <v>91773.518691011763</v>
      </c>
      <c r="Y29" s="1"/>
      <c r="Z29" s="389"/>
      <c r="AA29" s="389"/>
      <c r="AB29" s="102"/>
    </row>
    <row r="30" spans="3:28" s="13" customFormat="1">
      <c r="C30" s="104"/>
      <c r="D30" s="335" t="s">
        <v>172</v>
      </c>
      <c r="E30" s="21"/>
      <c r="F30" s="21"/>
      <c r="G30" s="21">
        <f>K30+N30+Q30+T30+W30</f>
        <v>2510872117</v>
      </c>
      <c r="H30" s="21">
        <f t="shared" si="1"/>
        <v>3827799.8664546609</v>
      </c>
      <c r="I30" s="52"/>
      <c r="J30" s="52"/>
      <c r="K30" s="21">
        <f>'FC02'!L9+'FC02'!L15+'FC02'!L19</f>
        <v>475414462</v>
      </c>
      <c r="L30" s="21">
        <f t="shared" si="2"/>
        <v>724764.67512352183</v>
      </c>
      <c r="M30" s="21"/>
      <c r="N30" s="21">
        <f>'FC03'!L4-'FC03'!L32-'FC03'!L34</f>
        <v>498631044</v>
      </c>
      <c r="O30" s="21">
        <f t="shared" si="3"/>
        <v>760158.12621863931</v>
      </c>
      <c r="P30" s="21"/>
      <c r="Q30" s="21">
        <f>'FC04'!K3-'FC04'!K32-'FC04'!K34</f>
        <v>624491785</v>
      </c>
      <c r="R30" s="21">
        <f t="shared" si="4"/>
        <v>952031.58896086179</v>
      </c>
      <c r="S30" s="21"/>
      <c r="T30" s="21">
        <f>'FC05'!K4-'FC05'!K32-'FC05'!K34</f>
        <v>601754117</v>
      </c>
      <c r="U30" s="21">
        <f>T30/655.957</f>
        <v>917368.23755215667</v>
      </c>
      <c r="V30" s="21"/>
      <c r="W30" s="21">
        <f>'FC06'!K3-'FC06'!K32-'FC06'!K34</f>
        <v>310580709</v>
      </c>
      <c r="X30" s="21">
        <f>W30/655.957</f>
        <v>473477.23859948135</v>
      </c>
      <c r="Y30" s="52"/>
      <c r="Z30" s="389"/>
      <c r="AA30" s="389"/>
      <c r="AB30" s="40"/>
    </row>
    <row r="31" spans="3:28">
      <c r="C31" s="32"/>
      <c r="D31" s="64" t="s">
        <v>173</v>
      </c>
      <c r="E31" s="20"/>
      <c r="G31" s="20">
        <f>K31+N31+Q31+T31+W31</f>
        <v>1037837353</v>
      </c>
      <c r="H31" s="20">
        <f t="shared" si="1"/>
        <v>1582172.8451712537</v>
      </c>
      <c r="I31" s="1"/>
      <c r="J31" s="1"/>
      <c r="K31" s="20">
        <v>437762556</v>
      </c>
      <c r="L31" s="20">
        <f>K31/655.957</f>
        <v>667364.71445536823</v>
      </c>
      <c r="M31" s="20"/>
      <c r="N31" s="20">
        <v>112057476</v>
      </c>
      <c r="O31" s="20">
        <f t="shared" si="3"/>
        <v>170830.520903047</v>
      </c>
      <c r="P31" s="20"/>
      <c r="Q31" s="20">
        <v>127334311</v>
      </c>
      <c r="R31" s="20">
        <f t="shared" si="4"/>
        <v>194119.90572552773</v>
      </c>
      <c r="S31" s="20"/>
      <c r="T31" s="20">
        <v>0</v>
      </c>
      <c r="U31" s="20">
        <f t="shared" si="5"/>
        <v>0</v>
      </c>
      <c r="V31" s="20"/>
      <c r="W31" s="20">
        <v>360683010</v>
      </c>
      <c r="X31" s="20">
        <f>W31/655.957</f>
        <v>549857.70408731059</v>
      </c>
      <c r="Y31" s="1"/>
      <c r="Z31" s="389"/>
      <c r="AA31" s="389"/>
      <c r="AB31" s="102"/>
    </row>
    <row r="32" spans="3:28">
      <c r="C32" s="32"/>
      <c r="D32" s="1"/>
      <c r="E32" s="20"/>
      <c r="G32" s="20"/>
      <c r="H32" s="20"/>
      <c r="I32" s="1"/>
      <c r="J32" s="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1"/>
      <c r="Z32" s="389"/>
      <c r="AA32" s="389"/>
      <c r="AB32" s="102"/>
    </row>
    <row r="33" spans="3:28">
      <c r="C33" s="32"/>
      <c r="D33" s="62" t="s">
        <v>174</v>
      </c>
      <c r="E33" s="20"/>
      <c r="G33" s="20">
        <f>K33+N33+Q33+T33+W33</f>
        <v>4628408</v>
      </c>
      <c r="H33" s="20">
        <f t="shared" si="1"/>
        <v>7055.9625097376811</v>
      </c>
      <c r="I33" s="1"/>
      <c r="J33" s="1"/>
      <c r="K33" s="20">
        <f>'FC02'!L32</f>
        <v>381676</v>
      </c>
      <c r="L33" s="20">
        <f t="shared" si="2"/>
        <v>581.86131103105845</v>
      </c>
      <c r="M33" s="20"/>
      <c r="N33" s="20">
        <f>'FC03'!L32</f>
        <v>2059065</v>
      </c>
      <c r="O33" s="20">
        <f t="shared" si="3"/>
        <v>3139.0243567794842</v>
      </c>
      <c r="P33" s="20"/>
      <c r="Q33" s="20">
        <f>'FC04'!K32</f>
        <v>777477</v>
      </c>
      <c r="R33" s="20">
        <f t="shared" si="4"/>
        <v>1185.256045746901</v>
      </c>
      <c r="S33" s="20"/>
      <c r="T33" s="20">
        <f>'FC05'!K32</f>
        <v>1023514</v>
      </c>
      <c r="U33" s="20">
        <f t="shared" si="5"/>
        <v>1560.3370342873084</v>
      </c>
      <c r="V33" s="20"/>
      <c r="W33" s="20">
        <f>'FC06'!K32</f>
        <v>386676</v>
      </c>
      <c r="X33" s="20">
        <f t="shared" si="6"/>
        <v>589.48376189292901</v>
      </c>
      <c r="Y33" s="1"/>
      <c r="Z33" s="389"/>
      <c r="AA33" s="389"/>
      <c r="AB33" s="102"/>
    </row>
    <row r="34" spans="3:28">
      <c r="C34" s="32"/>
      <c r="D34" s="62" t="s">
        <v>175</v>
      </c>
      <c r="E34" s="20"/>
      <c r="G34" s="20">
        <f>K34+N34+Q34+T34+W34</f>
        <v>0</v>
      </c>
      <c r="H34" s="20">
        <f t="shared" si="1"/>
        <v>0</v>
      </c>
      <c r="I34" s="1"/>
      <c r="J34" s="1"/>
      <c r="K34" s="20"/>
      <c r="L34" s="20">
        <f t="shared" si="2"/>
        <v>0</v>
      </c>
      <c r="M34" s="20"/>
      <c r="N34" s="20"/>
      <c r="O34" s="20">
        <f t="shared" si="3"/>
        <v>0</v>
      </c>
      <c r="P34" s="20"/>
      <c r="Q34" s="20"/>
      <c r="R34" s="20">
        <f t="shared" si="4"/>
        <v>0</v>
      </c>
      <c r="S34" s="20"/>
      <c r="T34" s="20"/>
      <c r="U34" s="20">
        <f t="shared" si="5"/>
        <v>0</v>
      </c>
      <c r="V34" s="20"/>
      <c r="W34" s="20"/>
      <c r="X34" s="20">
        <f t="shared" si="6"/>
        <v>0</v>
      </c>
      <c r="Y34" s="1"/>
      <c r="Z34" s="389"/>
      <c r="AA34" s="389"/>
      <c r="AB34" s="102"/>
    </row>
    <row r="35" spans="3:28">
      <c r="C35" s="32"/>
      <c r="D35" s="62" t="s">
        <v>176</v>
      </c>
      <c r="E35" s="20"/>
      <c r="G35" s="20">
        <f>K35+N35+Q35+T35+W35</f>
        <v>0</v>
      </c>
      <c r="H35" s="20">
        <f t="shared" si="1"/>
        <v>0</v>
      </c>
      <c r="I35" s="1"/>
      <c r="J35" s="1"/>
      <c r="K35" s="20"/>
      <c r="L35" s="20">
        <f t="shared" si="2"/>
        <v>0</v>
      </c>
      <c r="M35" s="20"/>
      <c r="N35" s="20"/>
      <c r="O35" s="20">
        <f t="shared" si="3"/>
        <v>0</v>
      </c>
      <c r="P35" s="20"/>
      <c r="Q35" s="20"/>
      <c r="R35" s="20">
        <f t="shared" si="4"/>
        <v>0</v>
      </c>
      <c r="S35" s="20"/>
      <c r="T35" s="20"/>
      <c r="U35" s="20">
        <f t="shared" si="5"/>
        <v>0</v>
      </c>
      <c r="V35" s="20"/>
      <c r="W35" s="20"/>
      <c r="X35" s="20">
        <f t="shared" si="6"/>
        <v>0</v>
      </c>
      <c r="Y35" s="1"/>
      <c r="Z35" s="389"/>
      <c r="AA35" s="389"/>
      <c r="AB35" s="102"/>
    </row>
    <row r="36" spans="3:28">
      <c r="C36" s="32"/>
      <c r="D36" s="62" t="s">
        <v>177</v>
      </c>
      <c r="E36" s="20"/>
      <c r="G36" s="20">
        <f>K36+N36+Q36+T36+W36</f>
        <v>0</v>
      </c>
      <c r="H36" s="20">
        <f t="shared" si="1"/>
        <v>0</v>
      </c>
      <c r="I36" s="1"/>
      <c r="J36" s="1"/>
      <c r="K36" s="20"/>
      <c r="L36" s="20">
        <f t="shared" si="2"/>
        <v>0</v>
      </c>
      <c r="M36" s="20"/>
      <c r="N36" s="20"/>
      <c r="O36" s="20">
        <f t="shared" si="3"/>
        <v>0</v>
      </c>
      <c r="P36" s="20"/>
      <c r="Q36" s="20"/>
      <c r="R36" s="20">
        <f t="shared" si="4"/>
        <v>0</v>
      </c>
      <c r="S36" s="20"/>
      <c r="T36" s="20"/>
      <c r="U36" s="20">
        <f t="shared" si="5"/>
        <v>0</v>
      </c>
      <c r="V36" s="20"/>
      <c r="W36" s="20"/>
      <c r="X36" s="20">
        <f t="shared" si="6"/>
        <v>0</v>
      </c>
      <c r="Y36" s="1"/>
      <c r="Z36" s="389"/>
      <c r="AA36" s="389"/>
      <c r="AB36" s="102"/>
    </row>
    <row r="37" spans="3:28">
      <c r="C37" s="32"/>
      <c r="D37" s="62" t="s">
        <v>178</v>
      </c>
      <c r="E37" s="20"/>
      <c r="G37" s="20">
        <f>K37+N37+Q37+T37+W37</f>
        <v>0</v>
      </c>
      <c r="H37" s="20">
        <f t="shared" si="1"/>
        <v>0</v>
      </c>
      <c r="I37" s="1"/>
      <c r="J37" s="1"/>
      <c r="K37" s="20"/>
      <c r="L37" s="20">
        <f t="shared" si="2"/>
        <v>0</v>
      </c>
      <c r="M37" s="20"/>
      <c r="N37" s="20"/>
      <c r="O37" s="20">
        <f t="shared" si="3"/>
        <v>0</v>
      </c>
      <c r="P37" s="20"/>
      <c r="Q37" s="20"/>
      <c r="R37" s="20">
        <f t="shared" si="4"/>
        <v>0</v>
      </c>
      <c r="S37" s="20"/>
      <c r="T37" s="20"/>
      <c r="U37" s="20">
        <f t="shared" si="5"/>
        <v>0</v>
      </c>
      <c r="V37" s="20"/>
      <c r="W37" s="20"/>
      <c r="X37" s="20">
        <f t="shared" si="6"/>
        <v>0</v>
      </c>
      <c r="Y37" s="1"/>
      <c r="Z37" s="389"/>
      <c r="AA37" s="389"/>
      <c r="AB37" s="102"/>
    </row>
    <row r="38" spans="3:28">
      <c r="C38" s="32"/>
      <c r="D38" s="62"/>
      <c r="E38" s="20"/>
      <c r="G38" s="20"/>
      <c r="H38" s="20"/>
      <c r="I38" s="1"/>
      <c r="J38" s="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1"/>
      <c r="Z38" s="389"/>
      <c r="AA38" s="389"/>
      <c r="AB38" s="102"/>
    </row>
    <row r="39" spans="3:28">
      <c r="C39" s="32"/>
      <c r="D39" s="167" t="s">
        <v>179</v>
      </c>
      <c r="E39" s="20"/>
      <c r="G39" s="149">
        <f>K39+N39+Q39+T39+W39</f>
        <v>-264618571</v>
      </c>
      <c r="H39" s="149">
        <f t="shared" si="1"/>
        <v>-403408.41091717902</v>
      </c>
      <c r="I39" s="20"/>
      <c r="J39" s="20"/>
      <c r="K39" s="149">
        <f>K20-K27</f>
        <v>-82566846</v>
      </c>
      <c r="L39" s="149">
        <f>K39/655.957</f>
        <v>-125872.34529092608</v>
      </c>
      <c r="M39" s="20"/>
      <c r="N39" s="149">
        <f>N20-N27</f>
        <v>73567203</v>
      </c>
      <c r="O39" s="149">
        <f t="shared" si="3"/>
        <v>112152.47798255068</v>
      </c>
      <c r="P39" s="20"/>
      <c r="Q39" s="149">
        <f>Q20-Q27</f>
        <v>-203860359</v>
      </c>
      <c r="R39" s="149">
        <f t="shared" si="4"/>
        <v>-310783.1138321567</v>
      </c>
      <c r="S39" s="20"/>
      <c r="T39" s="149">
        <f>T20-T27</f>
        <v>-41274712</v>
      </c>
      <c r="U39" s="149">
        <f t="shared" si="5"/>
        <v>-62922.892811571488</v>
      </c>
      <c r="V39" s="20"/>
      <c r="W39" s="149">
        <f>W20-W27</f>
        <v>-10483857</v>
      </c>
      <c r="X39" s="149">
        <f t="shared" si="6"/>
        <v>-15982.536965075455</v>
      </c>
      <c r="Y39" s="1"/>
      <c r="Z39" s="389"/>
      <c r="AA39" s="389"/>
      <c r="AB39" s="102"/>
    </row>
    <row r="40" spans="3:28">
      <c r="C40" s="32"/>
      <c r="D40" s="62"/>
      <c r="E40" s="20"/>
      <c r="G40" s="20"/>
      <c r="H40" s="20"/>
      <c r="I40" s="1"/>
      <c r="J40" s="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"/>
      <c r="Z40" s="389"/>
      <c r="AA40" s="389"/>
      <c r="AB40" s="102"/>
    </row>
    <row r="41" spans="3:28">
      <c r="C41" s="32"/>
      <c r="D41" s="54" t="s">
        <v>180</v>
      </c>
      <c r="E41" s="20"/>
      <c r="G41" s="138">
        <f ca="1">K41+N41+Q41+T41+W41</f>
        <v>211171314</v>
      </c>
      <c r="H41" s="138">
        <f ca="1">G41/655.957</f>
        <v>321928.59288032597</v>
      </c>
      <c r="I41" s="20"/>
      <c r="J41" s="20"/>
      <c r="K41" s="138">
        <f ca="1">SUM(K42:K46)</f>
        <v>-5149350.4422510955</v>
      </c>
      <c r="L41" s="138">
        <f t="shared" ca="1" si="2"/>
        <v>-7850.1341433220405</v>
      </c>
      <c r="M41" s="20"/>
      <c r="N41" s="138">
        <f ca="1">SUM(N42:N46)</f>
        <v>76846050.215112567</v>
      </c>
      <c r="O41" s="138">
        <f t="shared" ca="1" si="3"/>
        <v>117151.04833870599</v>
      </c>
      <c r="P41" s="20"/>
      <c r="Q41" s="138">
        <f ca="1">SUM(Q42:Q46)</f>
        <v>69453313.873467863</v>
      </c>
      <c r="R41" s="138">
        <f t="shared" ca="1" si="4"/>
        <v>105880.89443891576</v>
      </c>
      <c r="S41" s="20"/>
      <c r="T41" s="138">
        <f ca="1">SUM(T42:T46)</f>
        <v>70021300.353670672</v>
      </c>
      <c r="U41" s="138">
        <f t="shared" ca="1" si="5"/>
        <v>106746.78424602629</v>
      </c>
      <c r="V41" s="20"/>
      <c r="W41" s="138">
        <f ca="1">SUM(W42:W46)</f>
        <v>0</v>
      </c>
      <c r="X41" s="138">
        <f t="shared" ca="1" si="6"/>
        <v>0</v>
      </c>
      <c r="Y41" s="1"/>
      <c r="Z41" s="389"/>
      <c r="AA41" s="389"/>
      <c r="AB41" s="102"/>
    </row>
    <row r="42" spans="3:28">
      <c r="C42" s="32"/>
      <c r="D42" s="62" t="s">
        <v>181</v>
      </c>
      <c r="E42" s="20"/>
      <c r="G42" s="20">
        <f ca="1">'SA10'!L10</f>
        <v>17540050</v>
      </c>
      <c r="H42" s="20">
        <f t="shared" ca="1" si="1"/>
        <v>26739.633847950401</v>
      </c>
      <c r="I42" s="1"/>
      <c r="J42" s="1"/>
      <c r="K42" s="20">
        <f ca="1">G42*$H$5</f>
        <v>-427708.96535978524</v>
      </c>
      <c r="L42" s="20">
        <f t="shared" ca="1" si="2"/>
        <v>-652.03811432728855</v>
      </c>
      <c r="M42" s="20"/>
      <c r="N42" s="20">
        <f ca="1">G42*$H$8</f>
        <v>6382891.3953510989</v>
      </c>
      <c r="O42" s="20">
        <f t="shared" ca="1" si="3"/>
        <v>9730.65520354398</v>
      </c>
      <c r="P42" s="20"/>
      <c r="Q42" s="20">
        <f ca="1">G42*$H$9</f>
        <v>5768845.0904194303</v>
      </c>
      <c r="R42" s="20">
        <f t="shared" ca="1" si="4"/>
        <v>8794.5476462930201</v>
      </c>
      <c r="S42" s="20"/>
      <c r="T42" s="20">
        <f ca="1">G42*$H$6</f>
        <v>5816022.4795892555</v>
      </c>
      <c r="U42" s="20">
        <f t="shared" ca="1" si="5"/>
        <v>8866.4691124406872</v>
      </c>
      <c r="V42" s="20"/>
      <c r="W42" s="20">
        <f ca="1">G42*$H$7</f>
        <v>0</v>
      </c>
      <c r="X42" s="20">
        <f t="shared" ca="1" si="6"/>
        <v>0</v>
      </c>
      <c r="Y42" s="1"/>
      <c r="Z42" s="389"/>
      <c r="AA42" s="389"/>
      <c r="AB42" s="102"/>
    </row>
    <row r="43" spans="3:28">
      <c r="C43" s="32"/>
      <c r="D43" s="62" t="s">
        <v>174</v>
      </c>
      <c r="E43" s="20"/>
      <c r="G43" s="20">
        <f ca="1">'SA10'!L11</f>
        <v>0</v>
      </c>
      <c r="H43" s="20">
        <f t="shared" ca="1" si="1"/>
        <v>0</v>
      </c>
      <c r="I43" s="1"/>
      <c r="J43" s="1"/>
      <c r="K43" s="20">
        <v>0</v>
      </c>
      <c r="L43" s="20">
        <f t="shared" si="2"/>
        <v>0</v>
      </c>
      <c r="M43" s="20"/>
      <c r="N43" s="20"/>
      <c r="O43" s="20">
        <f t="shared" si="3"/>
        <v>0</v>
      </c>
      <c r="P43" s="20"/>
      <c r="Q43" s="20"/>
      <c r="R43" s="20">
        <f t="shared" si="4"/>
        <v>0</v>
      </c>
      <c r="S43" s="20"/>
      <c r="T43" s="20"/>
      <c r="U43" s="20">
        <f t="shared" si="5"/>
        <v>0</v>
      </c>
      <c r="V43" s="20"/>
      <c r="W43" s="20"/>
      <c r="X43" s="20">
        <f t="shared" si="6"/>
        <v>0</v>
      </c>
      <c r="Y43" s="1"/>
      <c r="Z43" s="389"/>
      <c r="AA43" s="389"/>
      <c r="AB43" s="102"/>
    </row>
    <row r="44" spans="3:28">
      <c r="C44" s="32"/>
      <c r="D44" s="62" t="s">
        <v>182</v>
      </c>
      <c r="E44" s="20"/>
      <c r="G44" s="20">
        <f ca="1">'SA10'!L12</f>
        <v>0</v>
      </c>
      <c r="H44" s="20">
        <f t="shared" ca="1" si="1"/>
        <v>0</v>
      </c>
      <c r="I44" s="1"/>
      <c r="J44" s="1"/>
      <c r="K44" s="20">
        <v>0</v>
      </c>
      <c r="L44" s="20">
        <f t="shared" si="2"/>
        <v>0</v>
      </c>
      <c r="M44" s="20"/>
      <c r="N44" s="20"/>
      <c r="O44" s="20">
        <f t="shared" si="3"/>
        <v>0</v>
      </c>
      <c r="P44" s="20"/>
      <c r="Q44" s="20"/>
      <c r="R44" s="20">
        <f t="shared" si="4"/>
        <v>0</v>
      </c>
      <c r="S44" s="20"/>
      <c r="T44" s="20"/>
      <c r="U44" s="20">
        <f t="shared" si="5"/>
        <v>0</v>
      </c>
      <c r="V44" s="20"/>
      <c r="W44" s="20"/>
      <c r="X44" s="20">
        <f t="shared" si="6"/>
        <v>0</v>
      </c>
      <c r="Y44" s="1"/>
      <c r="Z44" s="389"/>
      <c r="AA44" s="389"/>
      <c r="AB44" s="102"/>
    </row>
    <row r="45" spans="3:28">
      <c r="C45" s="32"/>
      <c r="D45" s="62" t="s">
        <v>188</v>
      </c>
      <c r="E45" s="20"/>
      <c r="G45" s="20">
        <f ca="1">'SA10'!L13</f>
        <v>127691837</v>
      </c>
      <c r="H45" s="20">
        <f ca="1">G45/655.957</f>
        <v>194664.95059889596</v>
      </c>
      <c r="I45" s="1"/>
      <c r="J45" s="1"/>
      <c r="K45" s="20">
        <f ca="1">G45*H5</f>
        <v>-3113727.9248440191</v>
      </c>
      <c r="L45" s="20">
        <f ca="1">K45/655.957</f>
        <v>-4746.8476208715192</v>
      </c>
      <c r="M45" s="20"/>
      <c r="N45" s="20">
        <f ca="1">G45*H8</f>
        <v>46467548.703901932</v>
      </c>
      <c r="O45" s="20">
        <f ca="1">N45/655.957</f>
        <v>70839.321333413522</v>
      </c>
      <c r="P45" s="20"/>
      <c r="Q45" s="20">
        <f ca="1">G45*H9</f>
        <v>41997282.04674948</v>
      </c>
      <c r="R45" s="20">
        <f ca="1">Q45/655.957</f>
        <v>64024.443746692967</v>
      </c>
      <c r="S45" s="20"/>
      <c r="T45" s="20">
        <f ca="1">G45*H6</f>
        <v>42340734.174192607</v>
      </c>
      <c r="U45" s="20">
        <f ca="1">T45/655.957</f>
        <v>64548.033139660998</v>
      </c>
      <c r="V45" s="20"/>
      <c r="W45" s="20">
        <f ca="1">G45*H7</f>
        <v>0</v>
      </c>
      <c r="X45" s="20">
        <f ca="1">W45/657</f>
        <v>0</v>
      </c>
      <c r="Y45" s="1"/>
      <c r="Z45" s="389"/>
      <c r="AA45" s="389"/>
      <c r="AB45" s="102"/>
    </row>
    <row r="46" spans="3:28">
      <c r="C46" s="32"/>
      <c r="D46" s="62" t="s">
        <v>183</v>
      </c>
      <c r="E46" s="20"/>
      <c r="G46" s="20">
        <f ca="1">'SA10'!L14</f>
        <v>65939427</v>
      </c>
      <c r="H46" s="20">
        <f ca="1">G46/655.957</f>
        <v>100524.00843347964</v>
      </c>
      <c r="I46" s="1"/>
      <c r="J46" s="1"/>
      <c r="K46" s="20">
        <f ca="1">G46*H5</f>
        <v>-1607913.5520472911</v>
      </c>
      <c r="L46" s="20">
        <f ca="1">K46/655.957</f>
        <v>-2451.2484081232324</v>
      </c>
      <c r="M46" s="20"/>
      <c r="N46" s="20">
        <f ca="1">G46*H8</f>
        <v>23995610.115859531</v>
      </c>
      <c r="O46" s="20">
        <f ca="1">N46/655.957</f>
        <v>36581.071801748483</v>
      </c>
      <c r="P46" s="20"/>
      <c r="Q46" s="20">
        <f ca="1">G46*H9</f>
        <v>21687186.736298952</v>
      </c>
      <c r="R46" s="20">
        <f t="shared" ca="1" si="4"/>
        <v>33061.903045929765</v>
      </c>
      <c r="S46" s="20"/>
      <c r="T46" s="20">
        <f ca="1">G46*H6</f>
        <v>21864543.699888811</v>
      </c>
      <c r="U46" s="20">
        <f t="shared" ca="1" si="5"/>
        <v>33332.281993924618</v>
      </c>
      <c r="V46" s="20"/>
      <c r="W46" s="20">
        <f ca="1">G46*H7</f>
        <v>0</v>
      </c>
      <c r="X46" s="20">
        <f t="shared" ca="1" si="6"/>
        <v>0</v>
      </c>
      <c r="Y46" s="1"/>
      <c r="Z46" s="389"/>
      <c r="AA46" s="389"/>
      <c r="AB46" s="102"/>
    </row>
    <row r="47" spans="3:28">
      <c r="C47" s="32"/>
      <c r="D47" s="1"/>
      <c r="E47" s="20"/>
      <c r="G47" s="20"/>
      <c r="H47" s="20"/>
      <c r="I47" s="1"/>
      <c r="J47" s="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"/>
      <c r="Z47" s="389"/>
      <c r="AA47" s="389"/>
      <c r="AB47" s="102"/>
    </row>
    <row r="48" spans="3:28">
      <c r="C48" s="32"/>
      <c r="D48" s="167" t="s">
        <v>184</v>
      </c>
      <c r="E48" s="20"/>
      <c r="G48" s="149">
        <f ca="1">K48+N48+Q48+T48+W48</f>
        <v>-475789885</v>
      </c>
      <c r="H48" s="149">
        <f ca="1">G48/655.957</f>
        <v>-725337.00379750505</v>
      </c>
      <c r="I48" s="20"/>
      <c r="J48" s="20"/>
      <c r="K48" s="149">
        <f ca="1">K39-K41</f>
        <v>-77417495.557748899</v>
      </c>
      <c r="L48" s="149">
        <f t="shared" ca="1" si="2"/>
        <v>-118022.21114760403</v>
      </c>
      <c r="M48" s="20"/>
      <c r="N48" s="149">
        <f ca="1">N39-N41</f>
        <v>-3278847.2151125669</v>
      </c>
      <c r="O48" s="149">
        <f t="shared" ca="1" si="3"/>
        <v>-4998.5703561553073</v>
      </c>
      <c r="P48" s="20"/>
      <c r="Q48" s="149">
        <f ca="1">Q39-Q41</f>
        <v>-273313672.87346786</v>
      </c>
      <c r="R48" s="149">
        <f t="shared" ca="1" si="4"/>
        <v>-416664.00827107247</v>
      </c>
      <c r="S48" s="20"/>
      <c r="T48" s="149">
        <f ca="1">T39-T41</f>
        <v>-111296012.35367067</v>
      </c>
      <c r="U48" s="149">
        <f t="shared" ca="1" si="5"/>
        <v>-169669.67705759779</v>
      </c>
      <c r="V48" s="20"/>
      <c r="W48" s="149">
        <f ca="1">W39-W41</f>
        <v>-10483857</v>
      </c>
      <c r="X48" s="149">
        <f t="shared" ca="1" si="6"/>
        <v>-15982.536965075455</v>
      </c>
      <c r="Y48" s="1"/>
      <c r="Z48" s="389"/>
      <c r="AA48" s="389"/>
      <c r="AB48" s="102"/>
    </row>
    <row r="49" spans="3:28" s="13" customFormat="1">
      <c r="C49" s="104"/>
      <c r="D49" s="66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52"/>
      <c r="Z49" s="21"/>
      <c r="AA49" s="21"/>
      <c r="AB49" s="40"/>
    </row>
    <row r="50" spans="3:28">
      <c r="C50" s="32"/>
      <c r="D50" s="54" t="s">
        <v>185</v>
      </c>
      <c r="E50" s="20"/>
      <c r="G50" s="138">
        <f>N50+Q50+T50+W50+Z50</f>
        <v>2215211</v>
      </c>
      <c r="H50" s="138">
        <f t="shared" si="1"/>
        <v>3377.0673992350107</v>
      </c>
      <c r="I50" s="20"/>
      <c r="J50" s="20"/>
      <c r="K50" s="138">
        <v>0</v>
      </c>
      <c r="L50" s="138">
        <f t="shared" si="2"/>
        <v>0</v>
      </c>
      <c r="M50" s="20"/>
      <c r="N50" s="138">
        <v>0</v>
      </c>
      <c r="O50" s="138">
        <f t="shared" si="3"/>
        <v>0</v>
      </c>
      <c r="P50" s="20"/>
      <c r="Q50" s="138">
        <v>0</v>
      </c>
      <c r="R50" s="138">
        <f t="shared" si="4"/>
        <v>0</v>
      </c>
      <c r="S50" s="20"/>
      <c r="T50" s="138">
        <v>0</v>
      </c>
      <c r="U50" s="138">
        <f t="shared" si="5"/>
        <v>0</v>
      </c>
      <c r="V50" s="20"/>
      <c r="W50" s="138">
        <v>0</v>
      </c>
      <c r="X50" s="138">
        <f t="shared" si="6"/>
        <v>0</v>
      </c>
      <c r="Y50" s="1"/>
      <c r="Z50" s="138">
        <f>'SA10'!L17</f>
        <v>2215211</v>
      </c>
      <c r="AA50" s="138">
        <f>Z50/655.957</f>
        <v>3377.0673992350107</v>
      </c>
      <c r="AB50" s="102"/>
    </row>
    <row r="51" spans="3:28">
      <c r="C51" s="32"/>
      <c r="D51" s="105"/>
      <c r="E51" s="20"/>
      <c r="G51" s="150"/>
      <c r="H51" s="150"/>
      <c r="I51" s="20"/>
      <c r="J51" s="20"/>
      <c r="K51" s="150"/>
      <c r="L51" s="150"/>
      <c r="M51" s="20"/>
      <c r="N51" s="150"/>
      <c r="O51" s="150"/>
      <c r="P51" s="20"/>
      <c r="Q51" s="150"/>
      <c r="R51" s="150"/>
      <c r="S51" s="20"/>
      <c r="T51" s="150"/>
      <c r="U51" s="150"/>
      <c r="V51" s="20"/>
      <c r="W51" s="150"/>
      <c r="X51" s="150"/>
      <c r="Y51" s="1"/>
      <c r="Z51" s="1"/>
      <c r="AA51" s="20"/>
      <c r="AB51" s="102"/>
    </row>
    <row r="52" spans="3:28">
      <c r="C52" s="32"/>
      <c r="D52" s="54" t="s">
        <v>191</v>
      </c>
      <c r="E52" s="20"/>
      <c r="G52" s="138">
        <f ca="1">K52+N52+Q52+T52+W52+Z52</f>
        <v>7654474</v>
      </c>
      <c r="H52" s="138">
        <f t="shared" ca="1" si="1"/>
        <v>11669.170387693095</v>
      </c>
      <c r="I52" s="20"/>
      <c r="J52" s="20"/>
      <c r="K52" s="138">
        <f>SUM(K53:K54)</f>
        <v>0</v>
      </c>
      <c r="L52" s="138">
        <f t="shared" si="2"/>
        <v>0</v>
      </c>
      <c r="M52" s="20"/>
      <c r="N52" s="138">
        <f>SUM(N53:N54)</f>
        <v>0</v>
      </c>
      <c r="O52" s="138">
        <f t="shared" si="3"/>
        <v>0</v>
      </c>
      <c r="P52" s="20"/>
      <c r="Q52" s="138">
        <f>SUM(Q53:Q54)</f>
        <v>596278</v>
      </c>
      <c r="R52" s="138">
        <f t="shared" si="4"/>
        <v>909.01995100288582</v>
      </c>
      <c r="S52" s="20"/>
      <c r="T52" s="138">
        <f>SUM(T53:T54)</f>
        <v>5342501</v>
      </c>
      <c r="U52" s="138">
        <f t="shared" si="5"/>
        <v>8144.5902703988222</v>
      </c>
      <c r="V52" s="20"/>
      <c r="W52" s="138">
        <f>SUM(W53:W54)</f>
        <v>0</v>
      </c>
      <c r="X52" s="138">
        <f>W52/655.957</f>
        <v>0</v>
      </c>
      <c r="Y52" s="1"/>
      <c r="Z52" s="138">
        <f ca="1">SUM(Z53:Z54)</f>
        <v>1715695</v>
      </c>
      <c r="AA52" s="138">
        <f ca="1">Z52/655.957</f>
        <v>2615.5601662913882</v>
      </c>
      <c r="AB52" s="102"/>
    </row>
    <row r="53" spans="3:28">
      <c r="C53" s="32"/>
      <c r="D53" s="106" t="s">
        <v>189</v>
      </c>
      <c r="E53" s="20"/>
      <c r="G53" s="20">
        <f>K53+N53+Q53+T53+W53+Z53</f>
        <v>0</v>
      </c>
      <c r="H53" s="20">
        <f t="shared" si="1"/>
        <v>0</v>
      </c>
      <c r="I53" s="1"/>
      <c r="J53" s="1"/>
      <c r="K53" s="20">
        <f>'FC02'!L34</f>
        <v>0</v>
      </c>
      <c r="L53" s="20">
        <f t="shared" si="2"/>
        <v>0</v>
      </c>
      <c r="M53" s="1"/>
      <c r="N53" s="1">
        <f>'FC03'!L34</f>
        <v>0</v>
      </c>
      <c r="O53" s="20">
        <f t="shared" si="3"/>
        <v>0</v>
      </c>
      <c r="P53" s="1"/>
      <c r="Q53" s="20">
        <v>0</v>
      </c>
      <c r="R53" s="20">
        <f>Q53/655.957</f>
        <v>0</v>
      </c>
      <c r="S53" s="1"/>
      <c r="T53" s="20">
        <v>0</v>
      </c>
      <c r="U53" s="20">
        <f t="shared" si="5"/>
        <v>0</v>
      </c>
      <c r="V53" s="1"/>
      <c r="W53" s="1">
        <f>'FC06'!K34</f>
        <v>0</v>
      </c>
      <c r="X53" s="20">
        <f t="shared" si="6"/>
        <v>0</v>
      </c>
      <c r="Y53" s="1"/>
      <c r="Z53" s="20">
        <v>0</v>
      </c>
      <c r="AA53" s="20">
        <f>Z53/655.957</f>
        <v>0</v>
      </c>
      <c r="AB53" s="102"/>
    </row>
    <row r="54" spans="3:28">
      <c r="C54" s="32"/>
      <c r="D54" s="106" t="s">
        <v>190</v>
      </c>
      <c r="E54" s="20"/>
      <c r="G54" s="20">
        <f ca="1">K54+N54+Q54+T54+W54+Z54</f>
        <v>7654474</v>
      </c>
      <c r="H54" s="20">
        <f t="shared" ca="1" si="1"/>
        <v>11669.170387693095</v>
      </c>
      <c r="I54" s="1"/>
      <c r="J54" s="1"/>
      <c r="K54" s="20">
        <f>'FC02'!L34</f>
        <v>0</v>
      </c>
      <c r="L54" s="20">
        <f t="shared" si="2"/>
        <v>0</v>
      </c>
      <c r="M54" s="1"/>
      <c r="N54" s="1">
        <f>'FC03'!L34</f>
        <v>0</v>
      </c>
      <c r="O54" s="20">
        <f t="shared" si="3"/>
        <v>0</v>
      </c>
      <c r="P54" s="1"/>
      <c r="Q54" s="20">
        <f>'FC04'!K34</f>
        <v>596278</v>
      </c>
      <c r="R54" s="20">
        <f t="shared" si="4"/>
        <v>909.01995100288582</v>
      </c>
      <c r="S54" s="1"/>
      <c r="T54" s="1">
        <f>'FC05'!K34</f>
        <v>5342501</v>
      </c>
      <c r="U54" s="20">
        <f t="shared" si="5"/>
        <v>8144.5902703988222</v>
      </c>
      <c r="V54" s="1"/>
      <c r="W54" s="1">
        <f>'FC06'!K34</f>
        <v>0</v>
      </c>
      <c r="X54" s="20">
        <f t="shared" si="6"/>
        <v>0</v>
      </c>
      <c r="Y54" s="1"/>
      <c r="Z54" s="20">
        <f ca="1">'SA10'!L23</f>
        <v>1715695</v>
      </c>
      <c r="AA54" s="20">
        <f ca="1">Z54/655.957</f>
        <v>2615.5601662913882</v>
      </c>
      <c r="AB54" s="102"/>
    </row>
    <row r="55" spans="3:28">
      <c r="C55" s="32"/>
      <c r="D55" s="106"/>
      <c r="E55" s="20"/>
      <c r="G55" s="20"/>
      <c r="H55" s="20"/>
      <c r="I55" s="1"/>
      <c r="J55" s="1"/>
      <c r="K55" s="20"/>
      <c r="L55" s="20"/>
      <c r="M55" s="1"/>
      <c r="N55" s="1"/>
      <c r="O55" s="20"/>
      <c r="P55" s="1"/>
      <c r="Q55" s="20"/>
      <c r="R55" s="20"/>
      <c r="S55" s="1"/>
      <c r="T55" s="1"/>
      <c r="U55" s="20"/>
      <c r="V55" s="1"/>
      <c r="W55" s="1"/>
      <c r="X55" s="20"/>
      <c r="Y55" s="1"/>
      <c r="Z55" s="1"/>
      <c r="AA55" s="20"/>
      <c r="AB55" s="102"/>
    </row>
    <row r="56" spans="3:28">
      <c r="C56" s="32"/>
      <c r="D56" s="167" t="s">
        <v>1248</v>
      </c>
      <c r="E56" s="20"/>
      <c r="G56" s="22">
        <f ca="1">K56+N56+Q56+T56+W56+Z56</f>
        <v>-481229148</v>
      </c>
      <c r="H56" s="23">
        <f ca="1">G56/655.957</f>
        <v>-733629.10678596306</v>
      </c>
      <c r="I56" s="1"/>
      <c r="J56" s="1"/>
      <c r="K56" s="22">
        <f ca="1">K48+K50-K52</f>
        <v>-77417495.557748899</v>
      </c>
      <c r="L56" s="23">
        <f ca="1">K56/655.957</f>
        <v>-118022.21114760403</v>
      </c>
      <c r="M56" s="1"/>
      <c r="N56" s="22">
        <f ca="1">N48+N50-N52</f>
        <v>-3278847.2151125669</v>
      </c>
      <c r="O56" s="23">
        <f ca="1">N56/655.957</f>
        <v>-4998.5703561553073</v>
      </c>
      <c r="P56" s="1"/>
      <c r="Q56" s="22">
        <f ca="1">Q48+Q50-Q52</f>
        <v>-273909950.87346786</v>
      </c>
      <c r="R56" s="23">
        <f ca="1">Q56/655.957</f>
        <v>-417573.02822207531</v>
      </c>
      <c r="S56" s="1"/>
      <c r="T56" s="22">
        <f ca="1">T48+T50-T52</f>
        <v>-116638513.35367067</v>
      </c>
      <c r="U56" s="23">
        <f ca="1">T56/655.957</f>
        <v>-177814.26732799661</v>
      </c>
      <c r="V56" s="1"/>
      <c r="W56" s="22">
        <f ca="1">W48+W50-W52</f>
        <v>-10483857</v>
      </c>
      <c r="X56" s="23">
        <f ca="1">W56/655.957</f>
        <v>-15982.536965075455</v>
      </c>
      <c r="Y56" s="1"/>
      <c r="Z56" s="22">
        <f ca="1">Z48+Z50-Z52</f>
        <v>499516</v>
      </c>
      <c r="AA56" s="23">
        <f ca="1">Z56/655.957</f>
        <v>761.50723294362285</v>
      </c>
      <c r="AB56" s="102"/>
    </row>
    <row r="57" spans="3:28" ht="2.25" customHeight="1">
      <c r="C57" s="32"/>
      <c r="D57" s="2"/>
      <c r="E57" s="20"/>
      <c r="G57" s="2"/>
      <c r="H57" s="2"/>
      <c r="I57" s="1"/>
      <c r="J57" s="1"/>
      <c r="K57" s="2"/>
      <c r="L57" s="2"/>
      <c r="M57" s="1"/>
      <c r="N57" s="2"/>
      <c r="O57" s="2"/>
      <c r="P57" s="1"/>
      <c r="Q57" s="2"/>
      <c r="R57" s="2"/>
      <c r="S57" s="1"/>
      <c r="T57" s="2"/>
      <c r="U57" s="2"/>
      <c r="V57" s="1"/>
      <c r="W57" s="2"/>
      <c r="X57" s="2"/>
      <c r="Y57" s="1"/>
      <c r="Z57" s="2"/>
      <c r="AA57" s="2"/>
      <c r="AB57" s="102"/>
    </row>
    <row r="58" spans="3:28" ht="15.75" thickBot="1">
      <c r="C58" s="37"/>
      <c r="D58" s="38"/>
      <c r="E58" s="107"/>
      <c r="F58" s="10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109"/>
    </row>
    <row r="60" spans="3:28">
      <c r="H60" s="7"/>
    </row>
  </sheetData>
  <sortState ref="B2:Q39">
    <sortCondition ref="D2:D39"/>
  </sortState>
  <mergeCells count="1">
    <mergeCell ref="Z20:AA48"/>
  </mergeCells>
  <pageMargins left="0.70866141732283472" right="0.70866141732283472" top="0.74803149606299213" bottom="0.74803149606299213" header="0.31496062992125984" footer="0.31496062992125984"/>
  <pageSetup paperSize="9" scale="37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6"/>
  <sheetViews>
    <sheetView zoomScale="78" zoomScaleNormal="78" workbookViewId="0">
      <selection activeCell="B2" sqref="B2:F221"/>
    </sheetView>
  </sheetViews>
  <sheetFormatPr baseColWidth="10" defaultRowHeight="15"/>
  <cols>
    <col min="4" max="4" width="18.5703125" bestFit="1" customWidth="1"/>
    <col min="5" max="5" width="26.5703125" bestFit="1" customWidth="1"/>
    <col min="6" max="6" width="40.5703125" bestFit="1" customWidth="1"/>
  </cols>
  <sheetData>
    <row r="2" spans="2:6">
      <c r="B2" s="233">
        <v>10130000</v>
      </c>
      <c r="C2" s="271" t="s">
        <v>648</v>
      </c>
      <c r="D2" s="271" t="s">
        <v>649</v>
      </c>
      <c r="E2" s="241" t="s">
        <v>402</v>
      </c>
      <c r="F2" s="239" t="s">
        <v>394</v>
      </c>
    </row>
    <row r="3" spans="2:6">
      <c r="B3" s="233">
        <v>11100000</v>
      </c>
      <c r="C3" s="233" t="s">
        <v>648</v>
      </c>
      <c r="D3" s="271" t="s">
        <v>650</v>
      </c>
      <c r="E3" s="241" t="s">
        <v>403</v>
      </c>
      <c r="F3" s="239" t="s">
        <v>194</v>
      </c>
    </row>
    <row r="4" spans="2:6">
      <c r="B4" s="233">
        <v>12100000</v>
      </c>
      <c r="C4" s="233" t="s">
        <v>648</v>
      </c>
      <c r="D4" s="271" t="s">
        <v>651</v>
      </c>
      <c r="E4" s="241" t="s">
        <v>403</v>
      </c>
      <c r="F4" s="239" t="s">
        <v>195</v>
      </c>
    </row>
    <row r="5" spans="2:6">
      <c r="B5" s="233">
        <v>12900000</v>
      </c>
      <c r="C5" s="233" t="s">
        <v>648</v>
      </c>
      <c r="D5" s="271" t="s">
        <v>652</v>
      </c>
      <c r="E5" s="241" t="s">
        <v>403</v>
      </c>
      <c r="F5" s="239" t="s">
        <v>196</v>
      </c>
    </row>
    <row r="6" spans="2:6">
      <c r="B6" s="233">
        <v>13010000</v>
      </c>
      <c r="C6" s="233" t="s">
        <v>648</v>
      </c>
      <c r="D6" s="271" t="s">
        <v>653</v>
      </c>
      <c r="E6" s="241" t="s">
        <v>403</v>
      </c>
      <c r="F6" s="239" t="s">
        <v>565</v>
      </c>
    </row>
    <row r="7" spans="2:6">
      <c r="B7" s="233">
        <v>13090000</v>
      </c>
      <c r="C7" s="233" t="s">
        <v>648</v>
      </c>
      <c r="D7" s="271" t="s">
        <v>654</v>
      </c>
      <c r="E7" s="241" t="s">
        <v>403</v>
      </c>
      <c r="F7" s="239" t="s">
        <v>197</v>
      </c>
    </row>
    <row r="8" spans="2:6">
      <c r="B8" s="233">
        <v>16684000</v>
      </c>
      <c r="C8" s="233" t="s">
        <v>648</v>
      </c>
      <c r="D8" s="271" t="s">
        <v>655</v>
      </c>
      <c r="E8" s="241" t="s">
        <v>404</v>
      </c>
      <c r="F8" s="239" t="s">
        <v>198</v>
      </c>
    </row>
    <row r="9" spans="2:6">
      <c r="B9" s="233">
        <v>16863000</v>
      </c>
      <c r="C9" s="233" t="s">
        <v>648</v>
      </c>
      <c r="D9" s="271" t="s">
        <v>656</v>
      </c>
      <c r="E9" s="241" t="s">
        <v>569</v>
      </c>
      <c r="F9" s="239" t="s">
        <v>199</v>
      </c>
    </row>
    <row r="10" spans="2:6">
      <c r="B10" s="233">
        <v>16864000</v>
      </c>
      <c r="C10" s="233" t="s">
        <v>648</v>
      </c>
      <c r="D10" s="271" t="s">
        <v>657</v>
      </c>
      <c r="E10" s="241" t="s">
        <v>569</v>
      </c>
      <c r="F10" s="239" t="s">
        <v>200</v>
      </c>
    </row>
    <row r="11" spans="2:6">
      <c r="B11" s="233">
        <v>19100000</v>
      </c>
      <c r="C11" s="233" t="s">
        <v>648</v>
      </c>
      <c r="D11" s="271" t="s">
        <v>658</v>
      </c>
      <c r="E11" s="241" t="s">
        <v>405</v>
      </c>
      <c r="F11" s="239" t="s">
        <v>201</v>
      </c>
    </row>
    <row r="12" spans="2:6">
      <c r="B12" s="233">
        <v>19610000</v>
      </c>
      <c r="C12" s="233" t="s">
        <v>648</v>
      </c>
      <c r="D12" s="271" t="s">
        <v>659</v>
      </c>
      <c r="E12" s="241" t="s">
        <v>405</v>
      </c>
      <c r="F12" s="239" t="s">
        <v>202</v>
      </c>
    </row>
    <row r="13" spans="2:6">
      <c r="B13" s="233">
        <v>23210000</v>
      </c>
      <c r="C13" s="233" t="s">
        <v>648</v>
      </c>
      <c r="D13" s="271" t="s">
        <v>660</v>
      </c>
      <c r="E13" s="241" t="s">
        <v>420</v>
      </c>
      <c r="F13" s="239" t="s">
        <v>203</v>
      </c>
    </row>
    <row r="14" spans="2:6">
      <c r="B14" s="233">
        <v>24111002</v>
      </c>
      <c r="C14" s="233" t="s">
        <v>648</v>
      </c>
      <c r="D14" s="271" t="s">
        <v>661</v>
      </c>
      <c r="E14" s="241" t="s">
        <v>433</v>
      </c>
      <c r="F14" s="239" t="s">
        <v>204</v>
      </c>
    </row>
    <row r="15" spans="2:6">
      <c r="B15" s="233">
        <v>24111003</v>
      </c>
      <c r="C15" s="233" t="s">
        <v>648</v>
      </c>
      <c r="D15" s="271" t="s">
        <v>662</v>
      </c>
      <c r="E15" s="241" t="s">
        <v>433</v>
      </c>
      <c r="F15" s="239" t="s">
        <v>205</v>
      </c>
    </row>
    <row r="16" spans="2:6">
      <c r="B16" s="233">
        <v>24111004</v>
      </c>
      <c r="C16" s="233" t="s">
        <v>648</v>
      </c>
      <c r="D16" s="271" t="s">
        <v>663</v>
      </c>
      <c r="E16" s="241" t="s">
        <v>433</v>
      </c>
      <c r="F16" s="239" t="s">
        <v>206</v>
      </c>
    </row>
    <row r="17" spans="2:6">
      <c r="B17" s="233">
        <v>24111005</v>
      </c>
      <c r="C17" s="233" t="s">
        <v>648</v>
      </c>
      <c r="D17" s="271" t="s">
        <v>664</v>
      </c>
      <c r="E17" s="241" t="s">
        <v>433</v>
      </c>
      <c r="F17" s="239" t="s">
        <v>207</v>
      </c>
    </row>
    <row r="18" spans="2:6">
      <c r="B18" s="233">
        <v>24111006</v>
      </c>
      <c r="C18" s="233" t="s">
        <v>648</v>
      </c>
      <c r="D18" s="271" t="s">
        <v>665</v>
      </c>
      <c r="E18" s="241" t="s">
        <v>433</v>
      </c>
      <c r="F18" s="239" t="s">
        <v>208</v>
      </c>
    </row>
    <row r="19" spans="2:6">
      <c r="B19" s="233">
        <v>24111011</v>
      </c>
      <c r="C19" s="233" t="s">
        <v>648</v>
      </c>
      <c r="D19" s="271" t="s">
        <v>666</v>
      </c>
      <c r="E19" s="241" t="s">
        <v>433</v>
      </c>
      <c r="F19" s="239" t="s">
        <v>209</v>
      </c>
    </row>
    <row r="20" spans="2:6">
      <c r="B20" s="233">
        <v>24111012</v>
      </c>
      <c r="C20" s="233" t="s">
        <v>648</v>
      </c>
      <c r="D20" s="271" t="s">
        <v>667</v>
      </c>
      <c r="E20" s="241" t="s">
        <v>433</v>
      </c>
      <c r="F20" s="239" t="s">
        <v>210</v>
      </c>
    </row>
    <row r="21" spans="2:6">
      <c r="B21" s="233">
        <v>24111013</v>
      </c>
      <c r="C21" s="233" t="s">
        <v>648</v>
      </c>
      <c r="D21" s="271" t="s">
        <v>668</v>
      </c>
      <c r="E21" s="241" t="s">
        <v>433</v>
      </c>
      <c r="F21" s="239" t="s">
        <v>211</v>
      </c>
    </row>
    <row r="22" spans="2:6">
      <c r="B22" s="233">
        <v>24112002</v>
      </c>
      <c r="C22" s="233" t="s">
        <v>648</v>
      </c>
      <c r="D22" s="271" t="s">
        <v>669</v>
      </c>
      <c r="E22" s="241" t="s">
        <v>445</v>
      </c>
      <c r="F22" s="239" t="s">
        <v>212</v>
      </c>
    </row>
    <row r="23" spans="2:6">
      <c r="B23" s="233">
        <v>24112003</v>
      </c>
      <c r="C23" s="233" t="s">
        <v>648</v>
      </c>
      <c r="D23" s="271" t="s">
        <v>670</v>
      </c>
      <c r="E23" s="241" t="s">
        <v>445</v>
      </c>
      <c r="F23" s="239" t="s">
        <v>213</v>
      </c>
    </row>
    <row r="24" spans="2:6">
      <c r="B24" s="233">
        <v>24112004</v>
      </c>
      <c r="C24" s="233" t="s">
        <v>648</v>
      </c>
      <c r="D24" s="271" t="s">
        <v>671</v>
      </c>
      <c r="E24" s="241" t="s">
        <v>445</v>
      </c>
      <c r="F24" s="239" t="s">
        <v>214</v>
      </c>
    </row>
    <row r="25" spans="2:6">
      <c r="B25" s="233">
        <v>24112011</v>
      </c>
      <c r="C25" s="233" t="s">
        <v>648</v>
      </c>
      <c r="D25" s="271" t="s">
        <v>672</v>
      </c>
      <c r="E25" s="241" t="s">
        <v>445</v>
      </c>
      <c r="F25" s="239" t="s">
        <v>215</v>
      </c>
    </row>
    <row r="26" spans="2:6">
      <c r="B26" s="233">
        <v>24112012</v>
      </c>
      <c r="C26" s="233" t="s">
        <v>648</v>
      </c>
      <c r="D26" s="271" t="s">
        <v>673</v>
      </c>
      <c r="E26" s="241" t="s">
        <v>445</v>
      </c>
      <c r="F26" s="239" t="s">
        <v>215</v>
      </c>
    </row>
    <row r="27" spans="2:6">
      <c r="B27" s="233">
        <v>24112013</v>
      </c>
      <c r="C27" s="233" t="s">
        <v>648</v>
      </c>
      <c r="D27" s="271" t="s">
        <v>674</v>
      </c>
      <c r="E27" s="241" t="s">
        <v>445</v>
      </c>
      <c r="F27" s="239" t="s">
        <v>216</v>
      </c>
    </row>
    <row r="28" spans="2:6">
      <c r="B28" s="233">
        <v>24112014</v>
      </c>
      <c r="C28" s="233" t="s">
        <v>648</v>
      </c>
      <c r="D28" s="271" t="s">
        <v>675</v>
      </c>
      <c r="E28" s="241" t="s">
        <v>446</v>
      </c>
      <c r="F28" s="239" t="s">
        <v>217</v>
      </c>
    </row>
    <row r="29" spans="2:6">
      <c r="B29" s="233">
        <v>24113002</v>
      </c>
      <c r="C29" s="233" t="s">
        <v>648</v>
      </c>
      <c r="D29" s="271" t="s">
        <v>676</v>
      </c>
      <c r="E29" s="241" t="s">
        <v>446</v>
      </c>
      <c r="F29" s="239" t="s">
        <v>218</v>
      </c>
    </row>
    <row r="30" spans="2:6">
      <c r="B30" s="233">
        <v>24113003</v>
      </c>
      <c r="C30" s="233" t="s">
        <v>648</v>
      </c>
      <c r="D30" s="271" t="s">
        <v>677</v>
      </c>
      <c r="E30" s="241" t="s">
        <v>446</v>
      </c>
      <c r="F30" s="239" t="s">
        <v>219</v>
      </c>
    </row>
    <row r="31" spans="2:6">
      <c r="B31" s="233">
        <v>24113004</v>
      </c>
      <c r="C31" s="233" t="s">
        <v>648</v>
      </c>
      <c r="D31" s="271" t="s">
        <v>678</v>
      </c>
      <c r="E31" s="241" t="s">
        <v>446</v>
      </c>
      <c r="F31" s="239" t="s">
        <v>220</v>
      </c>
    </row>
    <row r="32" spans="2:6">
      <c r="B32" s="233">
        <v>24113005</v>
      </c>
      <c r="C32" s="233" t="s">
        <v>648</v>
      </c>
      <c r="D32" s="271" t="s">
        <v>679</v>
      </c>
      <c r="E32" s="241" t="s">
        <v>446</v>
      </c>
      <c r="F32" s="239" t="s">
        <v>220</v>
      </c>
    </row>
    <row r="33" spans="2:6">
      <c r="B33" s="233">
        <v>24113006</v>
      </c>
      <c r="C33" s="233" t="s">
        <v>648</v>
      </c>
      <c r="D33" s="271" t="s">
        <v>680</v>
      </c>
      <c r="E33" s="241" t="s">
        <v>446</v>
      </c>
      <c r="F33" s="239" t="s">
        <v>221</v>
      </c>
    </row>
    <row r="34" spans="2:6">
      <c r="B34" s="233">
        <v>24113011</v>
      </c>
      <c r="C34" s="233" t="s">
        <v>648</v>
      </c>
      <c r="D34" s="271" t="s">
        <v>681</v>
      </c>
      <c r="E34" s="241" t="s">
        <v>446</v>
      </c>
      <c r="F34" s="239" t="s">
        <v>222</v>
      </c>
    </row>
    <row r="35" spans="2:6">
      <c r="B35" s="233">
        <v>24113012</v>
      </c>
      <c r="C35" s="233" t="s">
        <v>648</v>
      </c>
      <c r="D35" s="271" t="s">
        <v>682</v>
      </c>
      <c r="E35" s="241" t="s">
        <v>446</v>
      </c>
      <c r="F35" s="239" t="s">
        <v>223</v>
      </c>
    </row>
    <row r="36" spans="2:6">
      <c r="B36" s="233">
        <v>24113013</v>
      </c>
      <c r="C36" s="233" t="s">
        <v>648</v>
      </c>
      <c r="D36" s="271" t="s">
        <v>683</v>
      </c>
      <c r="E36" s="241" t="s">
        <v>444</v>
      </c>
      <c r="F36" s="239" t="s">
        <v>224</v>
      </c>
    </row>
    <row r="37" spans="2:6">
      <c r="B37" s="233">
        <v>24114002</v>
      </c>
      <c r="C37" s="233" t="s">
        <v>648</v>
      </c>
      <c r="D37" s="271" t="s">
        <v>684</v>
      </c>
      <c r="E37" s="241" t="s">
        <v>444</v>
      </c>
      <c r="F37" s="239" t="s">
        <v>225</v>
      </c>
    </row>
    <row r="38" spans="2:6">
      <c r="B38" s="233">
        <v>24114003</v>
      </c>
      <c r="C38" s="233" t="s">
        <v>648</v>
      </c>
      <c r="D38" s="271" t="s">
        <v>685</v>
      </c>
      <c r="E38" s="241" t="s">
        <v>444</v>
      </c>
      <c r="F38" s="239" t="s">
        <v>226</v>
      </c>
    </row>
    <row r="39" spans="2:6">
      <c r="B39" s="233">
        <v>24114004</v>
      </c>
      <c r="C39" s="233" t="s">
        <v>648</v>
      </c>
      <c r="D39" s="271" t="s">
        <v>686</v>
      </c>
      <c r="E39" s="241" t="s">
        <v>444</v>
      </c>
      <c r="F39" s="239" t="s">
        <v>227</v>
      </c>
    </row>
    <row r="40" spans="2:6">
      <c r="B40" s="233">
        <v>24114005</v>
      </c>
      <c r="C40" s="233" t="s">
        <v>648</v>
      </c>
      <c r="D40" s="271" t="s">
        <v>687</v>
      </c>
      <c r="E40" s="241" t="s">
        <v>444</v>
      </c>
      <c r="F40" s="239" t="s">
        <v>228</v>
      </c>
    </row>
    <row r="41" spans="2:6">
      <c r="B41" s="233">
        <v>24114011</v>
      </c>
      <c r="C41" s="233" t="s">
        <v>648</v>
      </c>
      <c r="D41" s="271" t="s">
        <v>688</v>
      </c>
      <c r="E41" s="241" t="s">
        <v>444</v>
      </c>
      <c r="F41" s="239" t="s">
        <v>229</v>
      </c>
    </row>
    <row r="42" spans="2:6">
      <c r="B42" s="233">
        <v>24114012</v>
      </c>
      <c r="C42" s="233" t="s">
        <v>648</v>
      </c>
      <c r="D42" s="271" t="s">
        <v>689</v>
      </c>
      <c r="E42" s="241" t="s">
        <v>186</v>
      </c>
      <c r="F42" s="239" t="s">
        <v>230</v>
      </c>
    </row>
    <row r="43" spans="2:6">
      <c r="B43" s="233">
        <v>24115002</v>
      </c>
      <c r="C43" s="233" t="s">
        <v>648</v>
      </c>
      <c r="D43" s="271" t="s">
        <v>690</v>
      </c>
      <c r="E43" s="241" t="s">
        <v>186</v>
      </c>
      <c r="F43" s="239" t="s">
        <v>231</v>
      </c>
    </row>
    <row r="44" spans="2:6">
      <c r="B44" s="233">
        <v>24115003</v>
      </c>
      <c r="C44" s="233" t="s">
        <v>648</v>
      </c>
      <c r="D44" s="271" t="s">
        <v>691</v>
      </c>
      <c r="E44" s="241" t="s">
        <v>186</v>
      </c>
      <c r="F44" s="239" t="s">
        <v>232</v>
      </c>
    </row>
    <row r="45" spans="2:6">
      <c r="B45" s="233">
        <v>24115004</v>
      </c>
      <c r="C45" s="233" t="s">
        <v>648</v>
      </c>
      <c r="D45" s="271" t="s">
        <v>692</v>
      </c>
      <c r="E45" s="241" t="s">
        <v>186</v>
      </c>
      <c r="F45" s="239" t="s">
        <v>233</v>
      </c>
    </row>
    <row r="46" spans="2:6">
      <c r="B46" s="233">
        <v>24115007</v>
      </c>
      <c r="C46" s="233" t="s">
        <v>648</v>
      </c>
      <c r="D46" s="271" t="s">
        <v>693</v>
      </c>
      <c r="E46" s="241" t="s">
        <v>186</v>
      </c>
      <c r="F46" s="239" t="s">
        <v>566</v>
      </c>
    </row>
    <row r="47" spans="2:6">
      <c r="B47" s="233">
        <v>24115011</v>
      </c>
      <c r="C47" s="233" t="s">
        <v>648</v>
      </c>
      <c r="D47" s="271" t="s">
        <v>694</v>
      </c>
      <c r="E47" s="241" t="s">
        <v>186</v>
      </c>
      <c r="F47" s="239" t="s">
        <v>234</v>
      </c>
    </row>
    <row r="48" spans="2:6">
      <c r="B48" s="233">
        <v>24115012</v>
      </c>
      <c r="C48" s="233" t="s">
        <v>648</v>
      </c>
      <c r="D48" s="271" t="s">
        <v>695</v>
      </c>
      <c r="E48" s="241" t="s">
        <v>186</v>
      </c>
      <c r="F48" s="239" t="s">
        <v>235</v>
      </c>
    </row>
    <row r="49" spans="2:6">
      <c r="B49" s="233">
        <v>24116000</v>
      </c>
      <c r="C49" s="233" t="s">
        <v>648</v>
      </c>
      <c r="D49" s="271" t="s">
        <v>696</v>
      </c>
      <c r="E49" s="241" t="s">
        <v>186</v>
      </c>
      <c r="F49" s="239" t="s">
        <v>236</v>
      </c>
    </row>
    <row r="50" spans="2:6">
      <c r="B50" s="233">
        <v>24120000</v>
      </c>
      <c r="C50" s="233" t="s">
        <v>648</v>
      </c>
      <c r="D50" s="271" t="s">
        <v>697</v>
      </c>
      <c r="E50" s="241" t="s">
        <v>406</v>
      </c>
      <c r="F50" s="239" t="s">
        <v>395</v>
      </c>
    </row>
    <row r="51" spans="2:6">
      <c r="B51" s="233">
        <v>24300000</v>
      </c>
      <c r="C51" s="233" t="s">
        <v>648</v>
      </c>
      <c r="D51" s="271" t="s">
        <v>698</v>
      </c>
      <c r="E51" s="241" t="s">
        <v>406</v>
      </c>
      <c r="F51" s="239" t="s">
        <v>237</v>
      </c>
    </row>
    <row r="52" spans="2:6">
      <c r="B52" s="233">
        <v>24410000</v>
      </c>
      <c r="C52" s="233" t="s">
        <v>648</v>
      </c>
      <c r="D52" s="271" t="s">
        <v>699</v>
      </c>
      <c r="E52" s="241" t="s">
        <v>406</v>
      </c>
      <c r="F52" s="239" t="s">
        <v>238</v>
      </c>
    </row>
    <row r="53" spans="2:6">
      <c r="B53" s="233">
        <v>24420000</v>
      </c>
      <c r="C53" s="233" t="s">
        <v>648</v>
      </c>
      <c r="D53" s="271" t="s">
        <v>700</v>
      </c>
      <c r="E53" s="241" t="s">
        <v>406</v>
      </c>
      <c r="F53" s="239" t="s">
        <v>239</v>
      </c>
    </row>
    <row r="54" spans="2:6">
      <c r="B54" s="233">
        <v>24440000</v>
      </c>
      <c r="C54" s="233" t="s">
        <v>648</v>
      </c>
      <c r="D54" s="271" t="s">
        <v>701</v>
      </c>
      <c r="E54" s="241" t="s">
        <v>406</v>
      </c>
      <c r="F54" s="239" t="s">
        <v>240</v>
      </c>
    </row>
    <row r="55" spans="2:6">
      <c r="B55" s="233">
        <v>24510000</v>
      </c>
      <c r="C55" s="233" t="s">
        <v>648</v>
      </c>
      <c r="D55" s="271" t="s">
        <v>702</v>
      </c>
      <c r="E55" s="241" t="s">
        <v>450</v>
      </c>
      <c r="F55" s="239" t="s">
        <v>241</v>
      </c>
    </row>
    <row r="56" spans="2:6">
      <c r="B56" s="233">
        <v>24510001</v>
      </c>
      <c r="C56" s="233" t="s">
        <v>648</v>
      </c>
      <c r="D56" s="271" t="s">
        <v>703</v>
      </c>
      <c r="E56" s="241" t="s">
        <v>450</v>
      </c>
      <c r="F56" s="239" t="s">
        <v>242</v>
      </c>
    </row>
    <row r="57" spans="2:6">
      <c r="B57" s="233">
        <v>24510002</v>
      </c>
      <c r="C57" s="233" t="s">
        <v>648</v>
      </c>
      <c r="D57" s="271" t="s">
        <v>704</v>
      </c>
      <c r="E57" s="241" t="s">
        <v>450</v>
      </c>
      <c r="F57" s="239" t="s">
        <v>243</v>
      </c>
    </row>
    <row r="58" spans="2:6">
      <c r="B58" s="233">
        <v>24540000</v>
      </c>
      <c r="C58" s="233" t="s">
        <v>648</v>
      </c>
      <c r="D58" s="271" t="s">
        <v>705</v>
      </c>
      <c r="E58" s="241" t="s">
        <v>406</v>
      </c>
      <c r="F58" s="239" t="s">
        <v>244</v>
      </c>
    </row>
    <row r="59" spans="2:6">
      <c r="B59" s="233">
        <v>24800000</v>
      </c>
      <c r="C59" s="233" t="s">
        <v>648</v>
      </c>
      <c r="D59" s="271" t="s">
        <v>706</v>
      </c>
      <c r="E59" s="241" t="s">
        <v>406</v>
      </c>
      <c r="F59" s="239" t="s">
        <v>245</v>
      </c>
    </row>
    <row r="60" spans="2:6">
      <c r="B60" s="233">
        <v>24910000</v>
      </c>
      <c r="C60" s="233" t="s">
        <v>648</v>
      </c>
      <c r="D60" s="271" t="s">
        <v>707</v>
      </c>
      <c r="E60" s="241" t="s">
        <v>407</v>
      </c>
      <c r="F60" s="239" t="s">
        <v>246</v>
      </c>
    </row>
    <row r="61" spans="2:6">
      <c r="B61" s="233">
        <v>27510000</v>
      </c>
      <c r="C61" s="233" t="s">
        <v>648</v>
      </c>
      <c r="D61" s="271" t="s">
        <v>708</v>
      </c>
      <c r="E61" s="241" t="s">
        <v>568</v>
      </c>
      <c r="F61" s="239" t="s">
        <v>396</v>
      </c>
    </row>
    <row r="62" spans="2:6">
      <c r="B62" s="233">
        <v>27520000</v>
      </c>
      <c r="C62" s="233" t="s">
        <v>648</v>
      </c>
      <c r="D62" s="271" t="s">
        <v>709</v>
      </c>
      <c r="E62" s="241" t="s">
        <v>568</v>
      </c>
      <c r="F62" s="239" t="s">
        <v>397</v>
      </c>
    </row>
    <row r="63" spans="2:6">
      <c r="B63" s="233">
        <v>27580000</v>
      </c>
      <c r="C63" s="233" t="s">
        <v>648</v>
      </c>
      <c r="D63" s="271" t="s">
        <v>710</v>
      </c>
      <c r="E63" s="241" t="s">
        <v>568</v>
      </c>
      <c r="F63" s="239" t="s">
        <v>247</v>
      </c>
    </row>
    <row r="64" spans="2:6">
      <c r="B64" s="233">
        <v>28320000</v>
      </c>
      <c r="C64" s="233" t="s">
        <v>648</v>
      </c>
      <c r="D64" s="271" t="s">
        <v>711</v>
      </c>
      <c r="E64" s="241" t="s">
        <v>420</v>
      </c>
      <c r="F64" s="239" t="s">
        <v>248</v>
      </c>
    </row>
    <row r="65" spans="2:6">
      <c r="B65" s="233">
        <v>28411012</v>
      </c>
      <c r="C65" s="233" t="s">
        <v>648</v>
      </c>
      <c r="D65" s="271" t="s">
        <v>712</v>
      </c>
      <c r="E65" s="241" t="s">
        <v>433</v>
      </c>
      <c r="F65" s="239" t="s">
        <v>249</v>
      </c>
    </row>
    <row r="66" spans="2:6">
      <c r="B66" s="233">
        <v>28411013</v>
      </c>
      <c r="C66" s="233" t="s">
        <v>648</v>
      </c>
      <c r="D66" s="271" t="s">
        <v>713</v>
      </c>
      <c r="E66" s="241" t="s">
        <v>433</v>
      </c>
      <c r="F66" s="239" t="s">
        <v>249</v>
      </c>
    </row>
    <row r="67" spans="2:6">
      <c r="B67" s="233">
        <v>28411014</v>
      </c>
      <c r="C67" s="233" t="s">
        <v>648</v>
      </c>
      <c r="D67" s="271" t="s">
        <v>714</v>
      </c>
      <c r="E67" s="241" t="s">
        <v>433</v>
      </c>
      <c r="F67" s="239" t="s">
        <v>250</v>
      </c>
    </row>
    <row r="68" spans="2:6">
      <c r="B68" s="233">
        <v>28411015</v>
      </c>
      <c r="C68" s="233" t="s">
        <v>648</v>
      </c>
      <c r="D68" s="271" t="s">
        <v>715</v>
      </c>
      <c r="E68" s="241" t="s">
        <v>433</v>
      </c>
      <c r="F68" s="239" t="s">
        <v>251</v>
      </c>
    </row>
    <row r="69" spans="2:6">
      <c r="B69" s="233">
        <v>28411016</v>
      </c>
      <c r="C69" s="233" t="s">
        <v>648</v>
      </c>
      <c r="D69" s="271" t="s">
        <v>716</v>
      </c>
      <c r="E69" s="241" t="s">
        <v>433</v>
      </c>
      <c r="F69" s="239" t="s">
        <v>252</v>
      </c>
    </row>
    <row r="70" spans="2:6">
      <c r="B70" s="233">
        <v>28411022</v>
      </c>
      <c r="C70" s="233" t="s">
        <v>648</v>
      </c>
      <c r="D70" s="271" t="s">
        <v>717</v>
      </c>
      <c r="E70" s="241" t="s">
        <v>445</v>
      </c>
      <c r="F70" s="239" t="s">
        <v>253</v>
      </c>
    </row>
    <row r="71" spans="2:6">
      <c r="B71" s="233">
        <v>28411023</v>
      </c>
      <c r="C71" s="233" t="s">
        <v>648</v>
      </c>
      <c r="D71" s="271" t="s">
        <v>718</v>
      </c>
      <c r="E71" s="241" t="s">
        <v>445</v>
      </c>
      <c r="F71" s="239" t="s">
        <v>254</v>
      </c>
    </row>
    <row r="72" spans="2:6">
      <c r="B72" s="233">
        <v>28411024</v>
      </c>
      <c r="C72" s="233" t="s">
        <v>648</v>
      </c>
      <c r="D72" s="271" t="s">
        <v>719</v>
      </c>
      <c r="E72" s="241" t="s">
        <v>445</v>
      </c>
      <c r="F72" s="239" t="s">
        <v>255</v>
      </c>
    </row>
    <row r="73" spans="2:6">
      <c r="B73" s="233">
        <v>28411025</v>
      </c>
      <c r="C73" s="233" t="s">
        <v>648</v>
      </c>
      <c r="D73" s="271" t="s">
        <v>720</v>
      </c>
      <c r="E73" s="241" t="s">
        <v>445</v>
      </c>
      <c r="F73" s="239" t="s">
        <v>256</v>
      </c>
    </row>
    <row r="74" spans="2:6">
      <c r="B74" s="233">
        <v>28411026</v>
      </c>
      <c r="C74" s="233" t="s">
        <v>648</v>
      </c>
      <c r="D74" s="271" t="s">
        <v>721</v>
      </c>
      <c r="E74" s="241" t="s">
        <v>445</v>
      </c>
      <c r="F74" s="239" t="s">
        <v>257</v>
      </c>
    </row>
    <row r="75" spans="2:6">
      <c r="B75" s="233">
        <v>28411032</v>
      </c>
      <c r="C75" s="233" t="s">
        <v>648</v>
      </c>
      <c r="D75" s="271" t="s">
        <v>722</v>
      </c>
      <c r="E75" s="241" t="s">
        <v>446</v>
      </c>
      <c r="F75" s="239" t="s">
        <v>258</v>
      </c>
    </row>
    <row r="76" spans="2:6">
      <c r="B76" s="233">
        <v>28411033</v>
      </c>
      <c r="C76" s="233" t="s">
        <v>648</v>
      </c>
      <c r="D76" s="271" t="s">
        <v>723</v>
      </c>
      <c r="E76" s="241" t="s">
        <v>446</v>
      </c>
      <c r="F76" s="239" t="s">
        <v>259</v>
      </c>
    </row>
    <row r="77" spans="2:6">
      <c r="B77" s="233">
        <v>28411034</v>
      </c>
      <c r="C77" s="233" t="s">
        <v>648</v>
      </c>
      <c r="D77" s="271" t="s">
        <v>724</v>
      </c>
      <c r="E77" s="241" t="s">
        <v>446</v>
      </c>
      <c r="F77" s="239" t="s">
        <v>260</v>
      </c>
    </row>
    <row r="78" spans="2:6">
      <c r="B78" s="233">
        <v>28411035</v>
      </c>
      <c r="C78" s="233" t="s">
        <v>648</v>
      </c>
      <c r="D78" s="271" t="s">
        <v>725</v>
      </c>
      <c r="E78" s="241" t="s">
        <v>446</v>
      </c>
      <c r="F78" s="239" t="s">
        <v>261</v>
      </c>
    </row>
    <row r="79" spans="2:6">
      <c r="B79" s="233">
        <v>28411036</v>
      </c>
      <c r="C79" s="233" t="s">
        <v>648</v>
      </c>
      <c r="D79" s="271" t="s">
        <v>726</v>
      </c>
      <c r="E79" s="241" t="s">
        <v>446</v>
      </c>
      <c r="F79" s="239" t="s">
        <v>262</v>
      </c>
    </row>
    <row r="80" spans="2:6">
      <c r="B80" s="233">
        <v>28411042</v>
      </c>
      <c r="C80" s="233" t="s">
        <v>648</v>
      </c>
      <c r="D80" s="271" t="s">
        <v>727</v>
      </c>
      <c r="E80" s="241" t="s">
        <v>444</v>
      </c>
      <c r="F80" s="239" t="s">
        <v>263</v>
      </c>
    </row>
    <row r="81" spans="2:6">
      <c r="B81" s="233">
        <v>28411052</v>
      </c>
      <c r="C81" s="233" t="s">
        <v>648</v>
      </c>
      <c r="D81" s="271" t="s">
        <v>728</v>
      </c>
      <c r="E81" s="241" t="s">
        <v>186</v>
      </c>
      <c r="F81" s="239" t="s">
        <v>264</v>
      </c>
    </row>
    <row r="82" spans="2:6">
      <c r="B82" s="233">
        <v>28411101</v>
      </c>
      <c r="C82" s="233" t="s">
        <v>648</v>
      </c>
      <c r="D82" s="271" t="s">
        <v>729</v>
      </c>
      <c r="E82" s="241" t="s">
        <v>433</v>
      </c>
      <c r="F82" s="239" t="s">
        <v>265</v>
      </c>
    </row>
    <row r="83" spans="2:6">
      <c r="B83" s="233">
        <v>28411102</v>
      </c>
      <c r="C83" s="233" t="s">
        <v>648</v>
      </c>
      <c r="D83" s="271" t="s">
        <v>730</v>
      </c>
      <c r="E83" s="241" t="s">
        <v>433</v>
      </c>
      <c r="F83" s="239" t="s">
        <v>266</v>
      </c>
    </row>
    <row r="84" spans="2:6">
      <c r="B84" s="233">
        <v>28411103</v>
      </c>
      <c r="C84" s="233" t="s">
        <v>648</v>
      </c>
      <c r="D84" s="271" t="s">
        <v>731</v>
      </c>
      <c r="E84" s="241" t="s">
        <v>433</v>
      </c>
      <c r="F84" s="239" t="s">
        <v>267</v>
      </c>
    </row>
    <row r="85" spans="2:6">
      <c r="B85" s="233">
        <v>28411201</v>
      </c>
      <c r="C85" s="233" t="s">
        <v>648</v>
      </c>
      <c r="D85" s="271" t="s">
        <v>732</v>
      </c>
      <c r="E85" s="241" t="s">
        <v>445</v>
      </c>
      <c r="F85" s="239" t="s">
        <v>268</v>
      </c>
    </row>
    <row r="86" spans="2:6">
      <c r="B86" s="233">
        <v>28411202</v>
      </c>
      <c r="C86" s="233" t="s">
        <v>648</v>
      </c>
      <c r="D86" s="271" t="s">
        <v>733</v>
      </c>
      <c r="E86" s="241" t="s">
        <v>445</v>
      </c>
      <c r="F86" s="239" t="s">
        <v>269</v>
      </c>
    </row>
    <row r="87" spans="2:6">
      <c r="B87" s="233">
        <v>28411203</v>
      </c>
      <c r="C87" s="233" t="s">
        <v>648</v>
      </c>
      <c r="D87" s="271" t="s">
        <v>734</v>
      </c>
      <c r="E87" s="241" t="s">
        <v>445</v>
      </c>
      <c r="F87" s="239" t="s">
        <v>270</v>
      </c>
    </row>
    <row r="88" spans="2:6">
      <c r="B88" s="233">
        <v>28411204</v>
      </c>
      <c r="C88" s="233" t="s">
        <v>648</v>
      </c>
      <c r="D88" s="271" t="s">
        <v>735</v>
      </c>
      <c r="E88" s="241" t="s">
        <v>445</v>
      </c>
      <c r="F88" s="239" t="s">
        <v>271</v>
      </c>
    </row>
    <row r="89" spans="2:6">
      <c r="B89" s="233">
        <v>28411301</v>
      </c>
      <c r="C89" s="233" t="s">
        <v>648</v>
      </c>
      <c r="D89" s="271" t="s">
        <v>736</v>
      </c>
      <c r="E89" s="241" t="s">
        <v>446</v>
      </c>
      <c r="F89" s="239" t="s">
        <v>272</v>
      </c>
    </row>
    <row r="90" spans="2:6">
      <c r="B90" s="233">
        <v>28411302</v>
      </c>
      <c r="C90" s="233" t="s">
        <v>648</v>
      </c>
      <c r="D90" s="271" t="s">
        <v>737</v>
      </c>
      <c r="E90" s="241" t="s">
        <v>446</v>
      </c>
      <c r="F90" s="239" t="s">
        <v>273</v>
      </c>
    </row>
    <row r="91" spans="2:6">
      <c r="B91" s="233">
        <v>28411303</v>
      </c>
      <c r="C91" s="233" t="s">
        <v>648</v>
      </c>
      <c r="D91" s="271" t="s">
        <v>738</v>
      </c>
      <c r="E91" s="241" t="s">
        <v>446</v>
      </c>
      <c r="F91" s="239" t="s">
        <v>274</v>
      </c>
    </row>
    <row r="92" spans="2:6">
      <c r="B92" s="233">
        <v>28411401</v>
      </c>
      <c r="C92" s="233" t="s">
        <v>648</v>
      </c>
      <c r="D92" s="271" t="s">
        <v>739</v>
      </c>
      <c r="E92" s="241" t="s">
        <v>444</v>
      </c>
      <c r="F92" s="239" t="s">
        <v>275</v>
      </c>
    </row>
    <row r="93" spans="2:6">
      <c r="B93" s="233">
        <v>28411402</v>
      </c>
      <c r="C93" s="233" t="s">
        <v>648</v>
      </c>
      <c r="D93" s="271" t="s">
        <v>740</v>
      </c>
      <c r="E93" s="241" t="s">
        <v>444</v>
      </c>
      <c r="F93" s="239" t="s">
        <v>276</v>
      </c>
    </row>
    <row r="94" spans="2:6">
      <c r="B94" s="233">
        <v>28411403</v>
      </c>
      <c r="C94" s="233" t="s">
        <v>648</v>
      </c>
      <c r="D94" s="271" t="s">
        <v>741</v>
      </c>
      <c r="E94" s="241" t="s">
        <v>444</v>
      </c>
      <c r="F94" s="239" t="s">
        <v>277</v>
      </c>
    </row>
    <row r="95" spans="2:6">
      <c r="B95" s="233">
        <v>28411404</v>
      </c>
      <c r="C95" s="233" t="s">
        <v>648</v>
      </c>
      <c r="D95" s="271" t="s">
        <v>742</v>
      </c>
      <c r="E95" s="241" t="s">
        <v>444</v>
      </c>
      <c r="F95" s="239" t="s">
        <v>278</v>
      </c>
    </row>
    <row r="96" spans="2:6">
      <c r="B96" s="233">
        <v>28411405</v>
      </c>
      <c r="C96" s="233" t="s">
        <v>648</v>
      </c>
      <c r="D96" s="271" t="s">
        <v>743</v>
      </c>
      <c r="E96" s="241" t="s">
        <v>444</v>
      </c>
      <c r="F96" s="239" t="s">
        <v>279</v>
      </c>
    </row>
    <row r="97" spans="2:6">
      <c r="B97" s="233">
        <v>28411406</v>
      </c>
      <c r="C97" s="233" t="s">
        <v>648</v>
      </c>
      <c r="D97" s="271" t="s">
        <v>744</v>
      </c>
      <c r="E97" s="241" t="s">
        <v>444</v>
      </c>
      <c r="F97" s="239" t="s">
        <v>280</v>
      </c>
    </row>
    <row r="98" spans="2:6">
      <c r="B98" s="233">
        <v>28411501</v>
      </c>
      <c r="C98" s="233" t="s">
        <v>648</v>
      </c>
      <c r="D98" s="271" t="s">
        <v>745</v>
      </c>
      <c r="E98" s="241" t="s">
        <v>186</v>
      </c>
      <c r="F98" s="239" t="s">
        <v>281</v>
      </c>
    </row>
    <row r="99" spans="2:6">
      <c r="B99" s="233">
        <v>28411502</v>
      </c>
      <c r="C99" s="233" t="s">
        <v>648</v>
      </c>
      <c r="D99" s="271" t="s">
        <v>746</v>
      </c>
      <c r="E99" s="241" t="s">
        <v>186</v>
      </c>
      <c r="F99" s="239" t="s">
        <v>282</v>
      </c>
    </row>
    <row r="100" spans="2:6">
      <c r="B100" s="233">
        <v>28411503</v>
      </c>
      <c r="C100" s="233" t="s">
        <v>648</v>
      </c>
      <c r="D100" s="271" t="s">
        <v>747</v>
      </c>
      <c r="E100" s="241" t="s">
        <v>186</v>
      </c>
      <c r="F100" s="239" t="s">
        <v>283</v>
      </c>
    </row>
    <row r="101" spans="2:6">
      <c r="B101" s="233">
        <v>28411504</v>
      </c>
      <c r="C101" s="233" t="s">
        <v>648</v>
      </c>
      <c r="D101" s="271" t="s">
        <v>748</v>
      </c>
      <c r="E101" s="241" t="s">
        <v>186</v>
      </c>
      <c r="F101" s="239" t="s">
        <v>284</v>
      </c>
    </row>
    <row r="102" spans="2:6">
      <c r="B102" s="233">
        <v>28411600</v>
      </c>
      <c r="C102" s="233" t="s">
        <v>648</v>
      </c>
      <c r="D102" s="271" t="s">
        <v>749</v>
      </c>
      <c r="E102" s="241" t="s">
        <v>186</v>
      </c>
      <c r="F102" s="239" t="s">
        <v>285</v>
      </c>
    </row>
    <row r="103" spans="2:6">
      <c r="B103" s="233">
        <v>28412000</v>
      </c>
      <c r="C103" s="233" t="s">
        <v>648</v>
      </c>
      <c r="D103" s="271" t="s">
        <v>750</v>
      </c>
      <c r="E103" s="241" t="s">
        <v>445</v>
      </c>
      <c r="F103" s="239" t="s">
        <v>286</v>
      </c>
    </row>
    <row r="104" spans="2:6">
      <c r="B104" s="233">
        <v>28430000</v>
      </c>
      <c r="C104" s="233" t="s">
        <v>648</v>
      </c>
      <c r="D104" s="271" t="s">
        <v>751</v>
      </c>
      <c r="E104" s="241" t="s">
        <v>406</v>
      </c>
      <c r="F104" s="239" t="s">
        <v>287</v>
      </c>
    </row>
    <row r="105" spans="2:6">
      <c r="B105" s="233">
        <v>28441000</v>
      </c>
      <c r="C105" s="233" t="s">
        <v>648</v>
      </c>
      <c r="D105" s="271" t="s">
        <v>752</v>
      </c>
      <c r="E105" s="241" t="s">
        <v>406</v>
      </c>
      <c r="F105" s="239" t="s">
        <v>288</v>
      </c>
    </row>
    <row r="106" spans="2:6">
      <c r="B106" s="233">
        <v>28442000</v>
      </c>
      <c r="C106" s="233" t="s">
        <v>648</v>
      </c>
      <c r="D106" s="271" t="s">
        <v>753</v>
      </c>
      <c r="E106" s="241" t="s">
        <v>406</v>
      </c>
      <c r="F106" s="239" t="s">
        <v>289</v>
      </c>
    </row>
    <row r="107" spans="2:6">
      <c r="B107" s="233">
        <v>28444000</v>
      </c>
      <c r="C107" s="233" t="s">
        <v>648</v>
      </c>
      <c r="D107" s="271" t="s">
        <v>754</v>
      </c>
      <c r="E107" s="241" t="s">
        <v>406</v>
      </c>
      <c r="F107" s="239" t="s">
        <v>290</v>
      </c>
    </row>
    <row r="108" spans="2:6">
      <c r="B108" s="233">
        <v>28451000</v>
      </c>
      <c r="C108" s="233" t="s">
        <v>648</v>
      </c>
      <c r="D108" s="271" t="s">
        <v>755</v>
      </c>
      <c r="E108" s="241" t="s">
        <v>450</v>
      </c>
      <c r="F108" s="239" t="s">
        <v>291</v>
      </c>
    </row>
    <row r="109" spans="2:6">
      <c r="B109" s="233">
        <v>28451001</v>
      </c>
      <c r="C109" s="233" t="s">
        <v>648</v>
      </c>
      <c r="D109" s="271" t="s">
        <v>756</v>
      </c>
      <c r="E109" s="241" t="s">
        <v>450</v>
      </c>
      <c r="F109" s="239" t="s">
        <v>292</v>
      </c>
    </row>
    <row r="110" spans="2:6">
      <c r="B110" s="233">
        <v>28451002</v>
      </c>
      <c r="C110" s="233" t="s">
        <v>648</v>
      </c>
      <c r="D110" s="271" t="s">
        <v>757</v>
      </c>
      <c r="E110" s="241" t="s">
        <v>450</v>
      </c>
      <c r="F110" s="239" t="s">
        <v>293</v>
      </c>
    </row>
    <row r="111" spans="2:6">
      <c r="B111" s="233">
        <v>28454000</v>
      </c>
      <c r="C111" s="233" t="s">
        <v>648</v>
      </c>
      <c r="D111" s="271" t="s">
        <v>758</v>
      </c>
      <c r="E111" s="241" t="s">
        <v>406</v>
      </c>
      <c r="F111" s="239" t="s">
        <v>294</v>
      </c>
    </row>
    <row r="112" spans="2:6">
      <c r="B112" s="233">
        <v>28480000</v>
      </c>
      <c r="C112" s="233" t="s">
        <v>648</v>
      </c>
      <c r="D112" s="271" t="s">
        <v>759</v>
      </c>
      <c r="E112" s="241" t="s">
        <v>406</v>
      </c>
      <c r="F112" s="239" t="s">
        <v>295</v>
      </c>
    </row>
    <row r="113" spans="2:6">
      <c r="B113" s="233">
        <v>33120000</v>
      </c>
      <c r="C113" s="233" t="s">
        <v>648</v>
      </c>
      <c r="D113" s="271" t="s">
        <v>760</v>
      </c>
      <c r="E113" s="241" t="s">
        <v>408</v>
      </c>
      <c r="F113" s="239" t="s">
        <v>296</v>
      </c>
    </row>
    <row r="114" spans="2:6">
      <c r="B114" s="233">
        <v>33130000</v>
      </c>
      <c r="C114" s="233" t="s">
        <v>648</v>
      </c>
      <c r="D114" s="271" t="s">
        <v>761</v>
      </c>
      <c r="E114" s="241" t="s">
        <v>408</v>
      </c>
      <c r="F114" s="239" t="s">
        <v>297</v>
      </c>
    </row>
    <row r="115" spans="2:6">
      <c r="B115" s="233">
        <v>33140000</v>
      </c>
      <c r="C115" s="233" t="s">
        <v>648</v>
      </c>
      <c r="D115" s="271" t="s">
        <v>762</v>
      </c>
      <c r="E115" s="241" t="s">
        <v>408</v>
      </c>
      <c r="F115" s="239" t="s">
        <v>298</v>
      </c>
    </row>
    <row r="116" spans="2:6">
      <c r="B116" s="233">
        <v>33150000</v>
      </c>
      <c r="C116" s="233" t="s">
        <v>648</v>
      </c>
      <c r="D116" s="271" t="s">
        <v>763</v>
      </c>
      <c r="E116" s="241" t="s">
        <v>408</v>
      </c>
      <c r="F116" s="239" t="s">
        <v>299</v>
      </c>
    </row>
    <row r="117" spans="2:6">
      <c r="B117" s="233">
        <v>33160000</v>
      </c>
      <c r="C117" s="233" t="s">
        <v>648</v>
      </c>
      <c r="D117" s="271" t="s">
        <v>764</v>
      </c>
      <c r="E117" s="241" t="s">
        <v>408</v>
      </c>
      <c r="F117" s="239" t="s">
        <v>300</v>
      </c>
    </row>
    <row r="118" spans="2:6">
      <c r="B118" s="233">
        <v>33210000</v>
      </c>
      <c r="C118" s="233" t="s">
        <v>648</v>
      </c>
      <c r="D118" s="271" t="s">
        <v>765</v>
      </c>
      <c r="E118" s="241" t="s">
        <v>409</v>
      </c>
      <c r="F118" s="239" t="s">
        <v>301</v>
      </c>
    </row>
    <row r="119" spans="2:6">
      <c r="B119" s="233">
        <v>36110000</v>
      </c>
      <c r="C119" s="233" t="s">
        <v>648</v>
      </c>
      <c r="D119" s="271" t="s">
        <v>766</v>
      </c>
      <c r="E119" s="241" t="s">
        <v>410</v>
      </c>
      <c r="F119" s="239" t="s">
        <v>302</v>
      </c>
    </row>
    <row r="120" spans="2:6">
      <c r="B120" s="233">
        <v>36120000</v>
      </c>
      <c r="C120" s="233" t="s">
        <v>648</v>
      </c>
      <c r="D120" s="271" t="s">
        <v>767</v>
      </c>
      <c r="E120" s="241" t="s">
        <v>410</v>
      </c>
      <c r="F120" s="239" t="s">
        <v>303</v>
      </c>
    </row>
    <row r="121" spans="2:6">
      <c r="B121" s="233">
        <v>36140000</v>
      </c>
      <c r="C121" s="233" t="s">
        <v>648</v>
      </c>
      <c r="D121" s="271" t="s">
        <v>768</v>
      </c>
      <c r="E121" s="241" t="s">
        <v>410</v>
      </c>
      <c r="F121" s="239" t="s">
        <v>304</v>
      </c>
    </row>
    <row r="122" spans="2:6">
      <c r="B122" s="233">
        <v>36150000</v>
      </c>
      <c r="C122" s="233" t="s">
        <v>648</v>
      </c>
      <c r="D122" s="271" t="s">
        <v>769</v>
      </c>
      <c r="E122" s="241" t="s">
        <v>410</v>
      </c>
      <c r="F122" s="239" t="s">
        <v>305</v>
      </c>
    </row>
    <row r="123" spans="2:6">
      <c r="B123" s="233">
        <v>36210000</v>
      </c>
      <c r="C123" s="233" t="s">
        <v>648</v>
      </c>
      <c r="D123" s="271" t="s">
        <v>770</v>
      </c>
      <c r="E123" s="241" t="s">
        <v>410</v>
      </c>
      <c r="F123" s="239" t="s">
        <v>306</v>
      </c>
    </row>
    <row r="124" spans="2:6">
      <c r="B124" s="233">
        <v>36220000</v>
      </c>
      <c r="C124" s="233" t="s">
        <v>648</v>
      </c>
      <c r="D124" s="271" t="s">
        <v>771</v>
      </c>
      <c r="E124" s="241" t="s">
        <v>410</v>
      </c>
      <c r="F124" s="239" t="s">
        <v>307</v>
      </c>
    </row>
    <row r="125" spans="2:6">
      <c r="B125" s="233">
        <v>36240000</v>
      </c>
      <c r="C125" s="233" t="s">
        <v>648</v>
      </c>
      <c r="D125" s="271" t="s">
        <v>772</v>
      </c>
      <c r="E125" s="241" t="s">
        <v>410</v>
      </c>
      <c r="F125" s="239" t="s">
        <v>308</v>
      </c>
    </row>
    <row r="126" spans="2:6">
      <c r="B126" s="233">
        <v>36250000</v>
      </c>
      <c r="C126" s="233" t="s">
        <v>648</v>
      </c>
      <c r="D126" s="271" t="s">
        <v>773</v>
      </c>
      <c r="E126" s="241" t="s">
        <v>410</v>
      </c>
      <c r="F126" s="239" t="s">
        <v>309</v>
      </c>
    </row>
    <row r="127" spans="2:6">
      <c r="B127" s="233">
        <v>36410000</v>
      </c>
      <c r="C127" s="233" t="s">
        <v>648</v>
      </c>
      <c r="D127" s="271" t="s">
        <v>774</v>
      </c>
      <c r="E127" s="241" t="s">
        <v>410</v>
      </c>
      <c r="F127" s="239" t="s">
        <v>311</v>
      </c>
    </row>
    <row r="128" spans="2:6">
      <c r="B128" s="233">
        <v>36420000</v>
      </c>
      <c r="C128" s="233" t="s">
        <v>648</v>
      </c>
      <c r="D128" s="271" t="s">
        <v>775</v>
      </c>
      <c r="E128" s="241" t="s">
        <v>410</v>
      </c>
      <c r="F128" s="239" t="s">
        <v>312</v>
      </c>
    </row>
    <row r="129" spans="2:6">
      <c r="B129" s="233">
        <v>36440000</v>
      </c>
      <c r="C129" s="233" t="s">
        <v>648</v>
      </c>
      <c r="D129" s="271" t="s">
        <v>776</v>
      </c>
      <c r="E129" s="241" t="s">
        <v>410</v>
      </c>
      <c r="F129" s="239" t="s">
        <v>313</v>
      </c>
    </row>
    <row r="130" spans="2:6">
      <c r="B130" s="233">
        <v>36450000</v>
      </c>
      <c r="C130" s="233" t="s">
        <v>648</v>
      </c>
      <c r="D130" s="271" t="s">
        <v>777</v>
      </c>
      <c r="E130" s="241" t="s">
        <v>410</v>
      </c>
      <c r="F130" s="239" t="s">
        <v>314</v>
      </c>
    </row>
    <row r="131" spans="2:6">
      <c r="B131" s="233">
        <v>36510000</v>
      </c>
      <c r="C131" s="233" t="s">
        <v>648</v>
      </c>
      <c r="D131" s="271" t="s">
        <v>778</v>
      </c>
      <c r="E131" s="241" t="s">
        <v>410</v>
      </c>
      <c r="F131" s="239" t="s">
        <v>315</v>
      </c>
    </row>
    <row r="132" spans="2:6">
      <c r="B132" s="233">
        <v>36520000</v>
      </c>
      <c r="C132" s="233" t="s">
        <v>648</v>
      </c>
      <c r="D132" s="271" t="s">
        <v>779</v>
      </c>
      <c r="E132" s="241" t="s">
        <v>410</v>
      </c>
      <c r="F132" s="239" t="s">
        <v>316</v>
      </c>
    </row>
    <row r="133" spans="2:6">
      <c r="B133" s="233">
        <v>36530000</v>
      </c>
      <c r="C133" s="233" t="s">
        <v>648</v>
      </c>
      <c r="D133" s="271" t="s">
        <v>780</v>
      </c>
      <c r="E133" s="241" t="s">
        <v>410</v>
      </c>
      <c r="F133" s="239" t="s">
        <v>317</v>
      </c>
    </row>
    <row r="134" spans="2:6">
      <c r="B134" s="233">
        <v>36540000</v>
      </c>
      <c r="C134" s="233" t="s">
        <v>648</v>
      </c>
      <c r="D134" s="271" t="s">
        <v>781</v>
      </c>
      <c r="E134" s="241" t="s">
        <v>410</v>
      </c>
      <c r="F134" s="239" t="s">
        <v>592</v>
      </c>
    </row>
    <row r="135" spans="2:6">
      <c r="B135" s="233">
        <v>40100000</v>
      </c>
      <c r="C135" s="233" t="s">
        <v>648</v>
      </c>
      <c r="D135" s="271" t="s">
        <v>782</v>
      </c>
      <c r="E135" s="241" t="s">
        <v>411</v>
      </c>
      <c r="F135" s="239" t="s">
        <v>318</v>
      </c>
    </row>
    <row r="136" spans="2:6">
      <c r="B136" s="233">
        <v>40111000</v>
      </c>
      <c r="C136" s="233" t="s">
        <v>648</v>
      </c>
      <c r="D136" s="271" t="s">
        <v>783</v>
      </c>
      <c r="E136" s="241" t="s">
        <v>411</v>
      </c>
      <c r="F136" s="239" t="s">
        <v>318</v>
      </c>
    </row>
    <row r="137" spans="2:6">
      <c r="B137" s="233">
        <v>40112000</v>
      </c>
      <c r="C137" s="233" t="s">
        <v>648</v>
      </c>
      <c r="D137" s="271" t="s">
        <v>784</v>
      </c>
      <c r="E137" s="241" t="s">
        <v>412</v>
      </c>
      <c r="F137" s="239" t="s">
        <v>319</v>
      </c>
    </row>
    <row r="138" spans="2:6">
      <c r="B138" s="233">
        <v>41100000</v>
      </c>
      <c r="C138" s="233" t="s">
        <v>648</v>
      </c>
      <c r="D138" s="271" t="s">
        <v>785</v>
      </c>
      <c r="E138" s="241" t="s">
        <v>414</v>
      </c>
      <c r="F138" s="239" t="s">
        <v>320</v>
      </c>
    </row>
    <row r="139" spans="2:6">
      <c r="B139" s="233">
        <v>42100000</v>
      </c>
      <c r="C139" s="233" t="s">
        <v>648</v>
      </c>
      <c r="D139" s="271" t="s">
        <v>786</v>
      </c>
      <c r="E139" s="241" t="s">
        <v>415</v>
      </c>
      <c r="F139" s="239" t="s">
        <v>321</v>
      </c>
    </row>
    <row r="140" spans="2:6">
      <c r="B140" s="233">
        <v>42110000</v>
      </c>
      <c r="C140" s="233" t="s">
        <v>648</v>
      </c>
      <c r="D140" s="271" t="s">
        <v>787</v>
      </c>
      <c r="E140" s="241" t="s">
        <v>415</v>
      </c>
      <c r="F140" s="239" t="s">
        <v>322</v>
      </c>
    </row>
    <row r="141" spans="2:6">
      <c r="B141" s="233">
        <v>42200001</v>
      </c>
      <c r="C141" s="233" t="s">
        <v>648</v>
      </c>
      <c r="D141" s="271" t="s">
        <v>788</v>
      </c>
      <c r="E141" s="241" t="s">
        <v>416</v>
      </c>
      <c r="F141" s="239" t="s">
        <v>323</v>
      </c>
    </row>
    <row r="142" spans="2:6">
      <c r="B142" s="233">
        <v>42200002</v>
      </c>
      <c r="C142" s="233" t="s">
        <v>648</v>
      </c>
      <c r="D142" s="271" t="s">
        <v>789</v>
      </c>
      <c r="E142" s="241" t="s">
        <v>416</v>
      </c>
      <c r="F142" s="239" t="s">
        <v>324</v>
      </c>
    </row>
    <row r="143" spans="2:6">
      <c r="B143" s="233">
        <v>42200003</v>
      </c>
      <c r="C143" s="233" t="s">
        <v>648</v>
      </c>
      <c r="D143" s="271" t="s">
        <v>790</v>
      </c>
      <c r="E143" s="241" t="s">
        <v>416</v>
      </c>
      <c r="F143" s="239" t="s">
        <v>325</v>
      </c>
    </row>
    <row r="144" spans="2:6">
      <c r="B144" s="233">
        <v>42200004</v>
      </c>
      <c r="C144" s="233" t="s">
        <v>648</v>
      </c>
      <c r="D144" s="271" t="s">
        <v>791</v>
      </c>
      <c r="E144" s="241" t="s">
        <v>416</v>
      </c>
      <c r="F144" s="239" t="s">
        <v>326</v>
      </c>
    </row>
    <row r="145" spans="2:6">
      <c r="B145" s="233">
        <v>42200005</v>
      </c>
      <c r="C145" s="233" t="s">
        <v>648</v>
      </c>
      <c r="D145" s="271" t="s">
        <v>792</v>
      </c>
      <c r="E145" s="241" t="s">
        <v>416</v>
      </c>
      <c r="F145" s="239" t="s">
        <v>327</v>
      </c>
    </row>
    <row r="146" spans="2:6">
      <c r="B146" s="233">
        <v>42200006</v>
      </c>
      <c r="C146" s="233" t="s">
        <v>648</v>
      </c>
      <c r="D146" s="271" t="s">
        <v>793</v>
      </c>
      <c r="E146" s="241" t="s">
        <v>416</v>
      </c>
      <c r="F146" s="239" t="s">
        <v>328</v>
      </c>
    </row>
    <row r="147" spans="2:6">
      <c r="B147" s="233">
        <v>42200009</v>
      </c>
      <c r="C147" s="233" t="s">
        <v>648</v>
      </c>
      <c r="D147" s="271" t="s">
        <v>794</v>
      </c>
      <c r="E147" s="241" t="s">
        <v>416</v>
      </c>
      <c r="F147" s="239" t="s">
        <v>329</v>
      </c>
    </row>
    <row r="148" spans="2:6">
      <c r="B148" s="233">
        <v>42200010</v>
      </c>
      <c r="C148" s="233" t="s">
        <v>648</v>
      </c>
      <c r="D148" s="271" t="s">
        <v>795</v>
      </c>
      <c r="E148" s="241" t="s">
        <v>416</v>
      </c>
      <c r="F148" s="239" t="s">
        <v>330</v>
      </c>
    </row>
    <row r="149" spans="2:6">
      <c r="B149" s="233">
        <v>42200011</v>
      </c>
      <c r="C149" s="233" t="s">
        <v>648</v>
      </c>
      <c r="D149" s="271" t="s">
        <v>796</v>
      </c>
      <c r="E149" s="241" t="s">
        <v>416</v>
      </c>
      <c r="F149" s="239" t="s">
        <v>331</v>
      </c>
    </row>
    <row r="150" spans="2:6">
      <c r="B150" s="233">
        <v>42200012</v>
      </c>
      <c r="C150" s="233" t="s">
        <v>648</v>
      </c>
      <c r="D150" s="271" t="s">
        <v>797</v>
      </c>
      <c r="E150" s="241" t="s">
        <v>416</v>
      </c>
      <c r="F150" s="239" t="s">
        <v>332</v>
      </c>
    </row>
    <row r="151" spans="2:6">
      <c r="B151" s="233">
        <v>42200013</v>
      </c>
      <c r="C151" s="233" t="s">
        <v>648</v>
      </c>
      <c r="D151" s="271" t="s">
        <v>798</v>
      </c>
      <c r="E151" s="241" t="s">
        <v>416</v>
      </c>
      <c r="F151" s="239" t="s">
        <v>333</v>
      </c>
    </row>
    <row r="152" spans="2:6">
      <c r="B152" s="233">
        <v>42200019</v>
      </c>
      <c r="C152" s="233" t="s">
        <v>648</v>
      </c>
      <c r="D152" s="271" t="s">
        <v>799</v>
      </c>
      <c r="E152" s="241" t="s">
        <v>416</v>
      </c>
      <c r="F152" s="239" t="s">
        <v>73</v>
      </c>
    </row>
    <row r="153" spans="2:6">
      <c r="B153" s="233">
        <v>42200029</v>
      </c>
      <c r="C153" s="233" t="s">
        <v>648</v>
      </c>
      <c r="D153" s="271" t="s">
        <v>800</v>
      </c>
      <c r="E153" s="241" t="s">
        <v>416</v>
      </c>
      <c r="F153" s="239" t="s">
        <v>74</v>
      </c>
    </row>
    <row r="154" spans="2:6">
      <c r="B154" s="233">
        <v>42200039</v>
      </c>
      <c r="C154" s="233" t="s">
        <v>648</v>
      </c>
      <c r="D154" s="271" t="s">
        <v>801</v>
      </c>
      <c r="E154" s="241" t="s">
        <v>416</v>
      </c>
      <c r="F154" s="239" t="s">
        <v>334</v>
      </c>
    </row>
    <row r="155" spans="2:6">
      <c r="B155" s="233">
        <v>42200049</v>
      </c>
      <c r="C155" s="233" t="s">
        <v>648</v>
      </c>
      <c r="D155" s="271" t="s">
        <v>802</v>
      </c>
      <c r="E155" s="241" t="s">
        <v>416</v>
      </c>
      <c r="F155" s="239" t="s">
        <v>335</v>
      </c>
    </row>
    <row r="156" spans="2:6">
      <c r="B156" s="233">
        <v>42200059</v>
      </c>
      <c r="C156" s="233" t="s">
        <v>648</v>
      </c>
      <c r="D156" s="271" t="s">
        <v>803</v>
      </c>
      <c r="E156" s="241" t="s">
        <v>416</v>
      </c>
      <c r="F156" s="239" t="s">
        <v>336</v>
      </c>
    </row>
    <row r="157" spans="2:6">
      <c r="B157" s="233">
        <v>42520000</v>
      </c>
      <c r="C157" s="233" t="s">
        <v>648</v>
      </c>
      <c r="D157" s="271" t="s">
        <v>804</v>
      </c>
      <c r="E157" s="241" t="s">
        <v>405</v>
      </c>
      <c r="F157" s="239" t="s">
        <v>337</v>
      </c>
    </row>
    <row r="158" spans="2:6">
      <c r="B158" s="233">
        <v>42530000</v>
      </c>
      <c r="C158" s="233" t="s">
        <v>648</v>
      </c>
      <c r="D158" s="271" t="s">
        <v>805</v>
      </c>
      <c r="E158" s="241" t="s">
        <v>405</v>
      </c>
      <c r="F158" s="239" t="s">
        <v>338</v>
      </c>
    </row>
    <row r="159" spans="2:6">
      <c r="B159" s="233">
        <v>42810000</v>
      </c>
      <c r="C159" s="233" t="s">
        <v>648</v>
      </c>
      <c r="D159" s="271" t="s">
        <v>806</v>
      </c>
      <c r="E159" s="241" t="s">
        <v>405</v>
      </c>
      <c r="F159" s="239" t="s">
        <v>339</v>
      </c>
    </row>
    <row r="160" spans="2:6">
      <c r="B160" s="233">
        <v>43110000</v>
      </c>
      <c r="C160" s="233" t="s">
        <v>648</v>
      </c>
      <c r="D160" s="271" t="s">
        <v>807</v>
      </c>
      <c r="E160" s="241" t="s">
        <v>417</v>
      </c>
      <c r="F160" s="239" t="s">
        <v>398</v>
      </c>
    </row>
    <row r="161" spans="2:6">
      <c r="B161" s="233">
        <v>43120000</v>
      </c>
      <c r="C161" s="233" t="s">
        <v>648</v>
      </c>
      <c r="D161" s="271" t="s">
        <v>808</v>
      </c>
      <c r="E161" s="241" t="s">
        <v>417</v>
      </c>
      <c r="F161" s="239" t="s">
        <v>399</v>
      </c>
    </row>
    <row r="162" spans="2:6">
      <c r="B162" s="233">
        <v>43130000</v>
      </c>
      <c r="C162" s="233" t="s">
        <v>648</v>
      </c>
      <c r="D162" s="271" t="s">
        <v>809</v>
      </c>
      <c r="E162" s="241" t="s">
        <v>417</v>
      </c>
      <c r="F162" s="239" t="s">
        <v>340</v>
      </c>
    </row>
    <row r="163" spans="2:6">
      <c r="B163" s="233">
        <v>43132000</v>
      </c>
      <c r="C163" s="233" t="s">
        <v>648</v>
      </c>
      <c r="D163" s="271" t="s">
        <v>810</v>
      </c>
      <c r="E163" s="241" t="s">
        <v>417</v>
      </c>
      <c r="F163" s="239" t="s">
        <v>341</v>
      </c>
    </row>
    <row r="164" spans="2:6">
      <c r="B164" s="233">
        <v>43133000</v>
      </c>
      <c r="C164" s="233" t="s">
        <v>648</v>
      </c>
      <c r="D164" s="271" t="s">
        <v>811</v>
      </c>
      <c r="E164" s="241" t="s">
        <v>417</v>
      </c>
      <c r="F164" s="239" t="s">
        <v>342</v>
      </c>
    </row>
    <row r="165" spans="2:6">
      <c r="B165" s="233">
        <v>43300000</v>
      </c>
      <c r="C165" s="233" t="s">
        <v>648</v>
      </c>
      <c r="D165" s="271" t="s">
        <v>812</v>
      </c>
      <c r="E165" s="241" t="s">
        <v>417</v>
      </c>
      <c r="F165" s="239" t="s">
        <v>343</v>
      </c>
    </row>
    <row r="166" spans="2:6">
      <c r="B166" s="233">
        <v>44320000</v>
      </c>
      <c r="C166" s="233" t="s">
        <v>648</v>
      </c>
      <c r="D166" s="271" t="s">
        <v>813</v>
      </c>
      <c r="E166" s="241" t="s">
        <v>568</v>
      </c>
      <c r="F166" s="239" t="s">
        <v>344</v>
      </c>
    </row>
    <row r="167" spans="2:6">
      <c r="B167" s="233">
        <v>44490000</v>
      </c>
      <c r="C167" s="233" t="s">
        <v>648</v>
      </c>
      <c r="D167" s="271" t="s">
        <v>814</v>
      </c>
      <c r="E167" s="241" t="s">
        <v>568</v>
      </c>
      <c r="F167" s="239" t="s">
        <v>345</v>
      </c>
    </row>
    <row r="168" spans="2:6">
      <c r="B168" s="233">
        <v>44520000</v>
      </c>
      <c r="C168" s="233" t="s">
        <v>648</v>
      </c>
      <c r="D168" s="271" t="s">
        <v>815</v>
      </c>
      <c r="E168" s="241" t="s">
        <v>568</v>
      </c>
      <c r="F168" s="239" t="s">
        <v>346</v>
      </c>
    </row>
    <row r="169" spans="2:6">
      <c r="B169" s="233">
        <v>44540000</v>
      </c>
      <c r="C169" s="233" t="s">
        <v>648</v>
      </c>
      <c r="D169" s="271" t="s">
        <v>816</v>
      </c>
      <c r="E169" s="241" t="s">
        <v>568</v>
      </c>
      <c r="F169" s="239" t="s">
        <v>400</v>
      </c>
    </row>
    <row r="170" spans="2:6">
      <c r="B170" s="233">
        <v>44710000</v>
      </c>
      <c r="C170" s="233" t="s">
        <v>648</v>
      </c>
      <c r="D170" s="271" t="s">
        <v>817</v>
      </c>
      <c r="E170" s="241" t="s">
        <v>417</v>
      </c>
      <c r="F170" s="239" t="s">
        <v>401</v>
      </c>
    </row>
    <row r="171" spans="2:6">
      <c r="B171" s="233">
        <v>44721000</v>
      </c>
      <c r="C171" s="233" t="s">
        <v>648</v>
      </c>
      <c r="D171" s="271" t="s">
        <v>818</v>
      </c>
      <c r="E171" s="241" t="s">
        <v>417</v>
      </c>
      <c r="F171" s="239" t="s">
        <v>347</v>
      </c>
    </row>
    <row r="172" spans="2:6">
      <c r="B172" s="233">
        <v>44722000</v>
      </c>
      <c r="C172" s="233" t="s">
        <v>648</v>
      </c>
      <c r="D172" s="271" t="s">
        <v>819</v>
      </c>
      <c r="E172" s="241" t="s">
        <v>417</v>
      </c>
      <c r="F172" s="239" t="s">
        <v>348</v>
      </c>
    </row>
    <row r="173" spans="2:6">
      <c r="B173" s="233">
        <v>44781000</v>
      </c>
      <c r="C173" s="233" t="s">
        <v>648</v>
      </c>
      <c r="D173" s="271" t="s">
        <v>820</v>
      </c>
      <c r="E173" s="241" t="s">
        <v>417</v>
      </c>
      <c r="F173" s="239" t="s">
        <v>349</v>
      </c>
    </row>
    <row r="174" spans="2:6">
      <c r="B174" s="233">
        <v>47110000</v>
      </c>
      <c r="C174" s="233" t="s">
        <v>648</v>
      </c>
      <c r="D174" s="271" t="s">
        <v>821</v>
      </c>
      <c r="E174" s="241" t="s">
        <v>405</v>
      </c>
      <c r="F174" s="238" t="s">
        <v>350</v>
      </c>
    </row>
    <row r="175" spans="2:6">
      <c r="B175" s="233">
        <v>47111111</v>
      </c>
      <c r="C175" s="233" t="s">
        <v>648</v>
      </c>
      <c r="D175" s="271" t="s">
        <v>822</v>
      </c>
      <c r="E175" s="241" t="s">
        <v>405</v>
      </c>
      <c r="F175" s="239" t="s">
        <v>350</v>
      </c>
    </row>
    <row r="176" spans="2:6">
      <c r="B176" s="233">
        <v>47111200</v>
      </c>
      <c r="C176" s="233" t="s">
        <v>648</v>
      </c>
      <c r="D176" s="271" t="s">
        <v>823</v>
      </c>
      <c r="E176" s="241" t="s">
        <v>413</v>
      </c>
      <c r="F176" s="239" t="s">
        <v>351</v>
      </c>
    </row>
    <row r="177" spans="2:6">
      <c r="B177" s="233">
        <v>47111210</v>
      </c>
      <c r="C177" s="233" t="s">
        <v>648</v>
      </c>
      <c r="D177" s="271" t="s">
        <v>824</v>
      </c>
      <c r="E177" s="241" t="s">
        <v>413</v>
      </c>
      <c r="F177" s="239" t="s">
        <v>352</v>
      </c>
    </row>
    <row r="178" spans="2:6">
      <c r="B178" s="233">
        <v>47111900</v>
      </c>
      <c r="C178" s="233" t="s">
        <v>648</v>
      </c>
      <c r="D178" s="271" t="s">
        <v>825</v>
      </c>
      <c r="E178" s="241" t="s">
        <v>413</v>
      </c>
      <c r="F178" s="239" t="s">
        <v>186</v>
      </c>
    </row>
    <row r="179" spans="2:6">
      <c r="B179" s="233">
        <v>47114600</v>
      </c>
      <c r="C179" s="233" t="s">
        <v>648</v>
      </c>
      <c r="D179" s="271" t="s">
        <v>826</v>
      </c>
      <c r="E179" s="241" t="s">
        <v>413</v>
      </c>
      <c r="F179" s="239" t="s">
        <v>353</v>
      </c>
    </row>
    <row r="180" spans="2:6">
      <c r="B180" s="233">
        <v>47116000</v>
      </c>
      <c r="C180" s="233" t="s">
        <v>648</v>
      </c>
      <c r="D180" s="271" t="s">
        <v>827</v>
      </c>
      <c r="E180" s="241" t="s">
        <v>413</v>
      </c>
      <c r="F180" s="239" t="s">
        <v>567</v>
      </c>
    </row>
    <row r="181" spans="2:6">
      <c r="B181" s="233">
        <v>47118000</v>
      </c>
      <c r="C181" s="233" t="s">
        <v>648</v>
      </c>
      <c r="D181" s="271" t="s">
        <v>828</v>
      </c>
      <c r="E181" s="241" t="s">
        <v>413</v>
      </c>
      <c r="F181" s="239" t="s">
        <v>354</v>
      </c>
    </row>
    <row r="182" spans="2:6">
      <c r="B182" s="233">
        <v>47140000</v>
      </c>
      <c r="C182" s="233" t="s">
        <v>648</v>
      </c>
      <c r="D182" s="271" t="s">
        <v>829</v>
      </c>
      <c r="E182" s="241" t="s">
        <v>413</v>
      </c>
      <c r="F182" s="239" t="s">
        <v>355</v>
      </c>
    </row>
    <row r="183" spans="2:6">
      <c r="B183" s="233">
        <v>47461000</v>
      </c>
      <c r="C183" s="233" t="s">
        <v>648</v>
      </c>
      <c r="D183" s="271" t="s">
        <v>830</v>
      </c>
      <c r="E183" s="241" t="s">
        <v>418</v>
      </c>
      <c r="F183" s="239" t="s">
        <v>356</v>
      </c>
    </row>
    <row r="184" spans="2:6">
      <c r="B184" s="233">
        <v>47462000</v>
      </c>
      <c r="C184" s="233" t="s">
        <v>648</v>
      </c>
      <c r="D184" s="271" t="s">
        <v>831</v>
      </c>
      <c r="E184" s="241" t="s">
        <v>418</v>
      </c>
      <c r="F184" s="239" t="s">
        <v>357</v>
      </c>
    </row>
    <row r="185" spans="2:6">
      <c r="B185" s="233">
        <v>47463000</v>
      </c>
      <c r="C185" s="233" t="s">
        <v>648</v>
      </c>
      <c r="D185" s="271" t="s">
        <v>832</v>
      </c>
      <c r="E185" s="241" t="s">
        <v>418</v>
      </c>
      <c r="F185" s="239" t="s">
        <v>358</v>
      </c>
    </row>
    <row r="186" spans="2:6">
      <c r="B186" s="233">
        <v>47464000</v>
      </c>
      <c r="C186" s="233" t="s">
        <v>648</v>
      </c>
      <c r="D186" s="271" t="s">
        <v>833</v>
      </c>
      <c r="E186" s="241" t="s">
        <v>418</v>
      </c>
      <c r="F186" s="239" t="s">
        <v>359</v>
      </c>
    </row>
    <row r="187" spans="2:6">
      <c r="B187" s="233">
        <v>47465000</v>
      </c>
      <c r="C187" s="233" t="s">
        <v>648</v>
      </c>
      <c r="D187" s="271" t="s">
        <v>834</v>
      </c>
      <c r="E187" s="241" t="s">
        <v>418</v>
      </c>
      <c r="F187" s="239" t="s">
        <v>360</v>
      </c>
    </row>
    <row r="188" spans="2:6">
      <c r="B188" s="233">
        <v>47466000</v>
      </c>
      <c r="C188" s="233" t="s">
        <v>648</v>
      </c>
      <c r="D188" s="271" t="s">
        <v>835</v>
      </c>
      <c r="E188" s="241" t="s">
        <v>418</v>
      </c>
      <c r="F188" s="239" t="s">
        <v>361</v>
      </c>
    </row>
    <row r="189" spans="2:6">
      <c r="B189" s="233">
        <v>47471110</v>
      </c>
      <c r="C189" s="233" t="s">
        <v>648</v>
      </c>
      <c r="D189" s="271" t="s">
        <v>836</v>
      </c>
      <c r="E189" s="241" t="s">
        <v>418</v>
      </c>
      <c r="F189" s="239" t="s">
        <v>362</v>
      </c>
    </row>
    <row r="190" spans="2:6">
      <c r="B190" s="233">
        <v>47471120</v>
      </c>
      <c r="C190" s="233" t="s">
        <v>648</v>
      </c>
      <c r="D190" s="271" t="s">
        <v>837</v>
      </c>
      <c r="E190" s="241" t="s">
        <v>418</v>
      </c>
      <c r="F190" s="239" t="s">
        <v>363</v>
      </c>
    </row>
    <row r="191" spans="2:6">
      <c r="B191" s="233">
        <v>47471130</v>
      </c>
      <c r="C191" s="233" t="s">
        <v>648</v>
      </c>
      <c r="D191" s="271" t="s">
        <v>838</v>
      </c>
      <c r="E191" s="241" t="s">
        <v>418</v>
      </c>
      <c r="F191" s="239" t="s">
        <v>364</v>
      </c>
    </row>
    <row r="192" spans="2:6">
      <c r="B192" s="233">
        <v>47471140</v>
      </c>
      <c r="C192" s="233" t="s">
        <v>648</v>
      </c>
      <c r="D192" s="271" t="s">
        <v>839</v>
      </c>
      <c r="E192" s="241" t="s">
        <v>418</v>
      </c>
      <c r="F192" s="239" t="s">
        <v>365</v>
      </c>
    </row>
    <row r="193" spans="2:6">
      <c r="B193" s="233">
        <v>47471150</v>
      </c>
      <c r="C193" s="233" t="s">
        <v>648</v>
      </c>
      <c r="D193" s="271" t="s">
        <v>840</v>
      </c>
      <c r="E193" s="241" t="s">
        <v>418</v>
      </c>
      <c r="F193" s="239" t="s">
        <v>366</v>
      </c>
    </row>
    <row r="194" spans="2:6">
      <c r="B194" s="233">
        <v>47471210</v>
      </c>
      <c r="C194" s="233" t="s">
        <v>648</v>
      </c>
      <c r="D194" s="271" t="s">
        <v>841</v>
      </c>
      <c r="E194" s="241" t="s">
        <v>418</v>
      </c>
      <c r="F194" s="239" t="s">
        <v>367</v>
      </c>
    </row>
    <row r="195" spans="2:6">
      <c r="B195" s="233">
        <v>47471220</v>
      </c>
      <c r="C195" s="233" t="s">
        <v>648</v>
      </c>
      <c r="D195" s="271" t="s">
        <v>842</v>
      </c>
      <c r="E195" s="241" t="s">
        <v>418</v>
      </c>
      <c r="F195" s="239" t="s">
        <v>368</v>
      </c>
    </row>
    <row r="196" spans="2:6">
      <c r="B196" s="233">
        <v>47471230</v>
      </c>
      <c r="C196" s="233" t="s">
        <v>648</v>
      </c>
      <c r="D196" s="271" t="s">
        <v>843</v>
      </c>
      <c r="E196" s="241" t="s">
        <v>418</v>
      </c>
      <c r="F196" s="239" t="s">
        <v>369</v>
      </c>
    </row>
    <row r="197" spans="2:6">
      <c r="B197" s="233">
        <v>47471240</v>
      </c>
      <c r="C197" s="233" t="s">
        <v>648</v>
      </c>
      <c r="D197" s="271" t="s">
        <v>844</v>
      </c>
      <c r="E197" s="241" t="s">
        <v>418</v>
      </c>
      <c r="F197" s="239" t="s">
        <v>370</v>
      </c>
    </row>
    <row r="198" spans="2:6">
      <c r="B198" s="233">
        <v>47471250</v>
      </c>
      <c r="C198" s="233" t="s">
        <v>648</v>
      </c>
      <c r="D198" s="271" t="s">
        <v>845</v>
      </c>
      <c r="E198" s="241" t="s">
        <v>418</v>
      </c>
      <c r="F198" s="239" t="s">
        <v>371</v>
      </c>
    </row>
    <row r="199" spans="2:6">
      <c r="B199" s="233">
        <v>47471310</v>
      </c>
      <c r="C199" s="233" t="s">
        <v>648</v>
      </c>
      <c r="D199" s="271" t="s">
        <v>846</v>
      </c>
      <c r="E199" s="241" t="s">
        <v>418</v>
      </c>
      <c r="F199" s="239" t="s">
        <v>372</v>
      </c>
    </row>
    <row r="200" spans="2:6">
      <c r="B200" s="233">
        <v>47471320</v>
      </c>
      <c r="C200" s="233" t="s">
        <v>648</v>
      </c>
      <c r="D200" s="271" t="s">
        <v>847</v>
      </c>
      <c r="E200" s="241" t="s">
        <v>418</v>
      </c>
      <c r="F200" s="239" t="s">
        <v>373</v>
      </c>
    </row>
    <row r="201" spans="2:6">
      <c r="B201" s="233">
        <v>47471330</v>
      </c>
      <c r="C201" s="233" t="s">
        <v>648</v>
      </c>
      <c r="D201" s="271" t="s">
        <v>848</v>
      </c>
      <c r="E201" s="241" t="s">
        <v>418</v>
      </c>
      <c r="F201" s="239" t="s">
        <v>374</v>
      </c>
    </row>
    <row r="202" spans="2:6">
      <c r="B202" s="233">
        <v>47471340</v>
      </c>
      <c r="C202" s="233" t="s">
        <v>648</v>
      </c>
      <c r="D202" s="271" t="s">
        <v>849</v>
      </c>
      <c r="E202" s="241" t="s">
        <v>418</v>
      </c>
      <c r="F202" s="239" t="s">
        <v>375</v>
      </c>
    </row>
    <row r="203" spans="2:6">
      <c r="B203" s="233">
        <v>47471410</v>
      </c>
      <c r="C203" s="233" t="s">
        <v>648</v>
      </c>
      <c r="D203" s="271" t="s">
        <v>850</v>
      </c>
      <c r="E203" s="241" t="s">
        <v>418</v>
      </c>
      <c r="F203" s="239" t="s">
        <v>376</v>
      </c>
    </row>
    <row r="204" spans="2:6">
      <c r="B204" s="233">
        <v>47471420</v>
      </c>
      <c r="C204" s="233" t="s">
        <v>648</v>
      </c>
      <c r="D204" s="271" t="s">
        <v>851</v>
      </c>
      <c r="E204" s="241" t="s">
        <v>418</v>
      </c>
      <c r="F204" s="239" t="s">
        <v>377</v>
      </c>
    </row>
    <row r="205" spans="2:6">
      <c r="B205" s="233">
        <v>47471430</v>
      </c>
      <c r="C205" s="233" t="s">
        <v>648</v>
      </c>
      <c r="D205" s="271" t="s">
        <v>852</v>
      </c>
      <c r="E205" s="241" t="s">
        <v>418</v>
      </c>
      <c r="F205" s="239" t="s">
        <v>378</v>
      </c>
    </row>
    <row r="206" spans="2:6">
      <c r="B206" s="233">
        <v>47471440</v>
      </c>
      <c r="C206" s="233" t="s">
        <v>648</v>
      </c>
      <c r="D206" s="271" t="s">
        <v>853</v>
      </c>
      <c r="E206" s="241" t="s">
        <v>418</v>
      </c>
      <c r="F206" s="239" t="s">
        <v>379</v>
      </c>
    </row>
    <row r="207" spans="2:6">
      <c r="B207" s="233">
        <v>47471450</v>
      </c>
      <c r="C207" s="233" t="s">
        <v>648</v>
      </c>
      <c r="D207" s="271" t="s">
        <v>854</v>
      </c>
      <c r="E207" s="241" t="s">
        <v>418</v>
      </c>
      <c r="F207" s="239" t="s">
        <v>380</v>
      </c>
    </row>
    <row r="208" spans="2:6">
      <c r="B208" s="233">
        <v>47471510</v>
      </c>
      <c r="C208" s="233" t="s">
        <v>648</v>
      </c>
      <c r="D208" s="271" t="s">
        <v>855</v>
      </c>
      <c r="E208" s="241" t="s">
        <v>418</v>
      </c>
      <c r="F208" s="239" t="s">
        <v>381</v>
      </c>
    </row>
    <row r="209" spans="2:6">
      <c r="B209" s="233">
        <v>47471520</v>
      </c>
      <c r="C209" s="233" t="s">
        <v>648</v>
      </c>
      <c r="D209" s="271" t="s">
        <v>856</v>
      </c>
      <c r="E209" s="241" t="s">
        <v>418</v>
      </c>
      <c r="F209" s="239" t="s">
        <v>382</v>
      </c>
    </row>
    <row r="210" spans="2:6">
      <c r="B210" s="233">
        <v>47471530</v>
      </c>
      <c r="C210" s="233" t="s">
        <v>648</v>
      </c>
      <c r="D210" s="271" t="s">
        <v>857</v>
      </c>
      <c r="E210" s="241" t="s">
        <v>418</v>
      </c>
      <c r="F210" s="239" t="s">
        <v>383</v>
      </c>
    </row>
    <row r="211" spans="2:6">
      <c r="B211" s="233">
        <v>47471540</v>
      </c>
      <c r="C211" s="233" t="s">
        <v>648</v>
      </c>
      <c r="D211" s="271" t="s">
        <v>858</v>
      </c>
      <c r="E211" s="241" t="s">
        <v>418</v>
      </c>
      <c r="F211" s="239" t="s">
        <v>384</v>
      </c>
    </row>
    <row r="212" spans="2:6">
      <c r="B212" s="233">
        <v>47471550</v>
      </c>
      <c r="C212" s="233" t="s">
        <v>648</v>
      </c>
      <c r="D212" s="271" t="s">
        <v>859</v>
      </c>
      <c r="E212" s="241" t="s">
        <v>418</v>
      </c>
      <c r="F212" s="239" t="s">
        <v>385</v>
      </c>
    </row>
    <row r="213" spans="2:6">
      <c r="B213" s="233">
        <v>47471900</v>
      </c>
      <c r="C213" s="233" t="s">
        <v>648</v>
      </c>
      <c r="D213" s="271" t="s">
        <v>860</v>
      </c>
      <c r="E213" s="241" t="s">
        <v>418</v>
      </c>
      <c r="F213" s="239" t="s">
        <v>386</v>
      </c>
    </row>
    <row r="214" spans="2:6">
      <c r="B214" s="233">
        <v>47472000</v>
      </c>
      <c r="C214" s="233" t="s">
        <v>648</v>
      </c>
      <c r="D214" s="271" t="s">
        <v>861</v>
      </c>
      <c r="E214" s="241" t="s">
        <v>418</v>
      </c>
      <c r="F214" s="239" t="s">
        <v>387</v>
      </c>
    </row>
    <row r="215" spans="2:6">
      <c r="B215" s="233">
        <v>48121000</v>
      </c>
      <c r="C215" s="233" t="s">
        <v>648</v>
      </c>
      <c r="D215" s="271" t="s">
        <v>862</v>
      </c>
      <c r="E215" s="241" t="s">
        <v>404</v>
      </c>
      <c r="F215" s="239" t="s">
        <v>351</v>
      </c>
    </row>
    <row r="216" spans="2:6">
      <c r="B216" s="233">
        <v>52112000</v>
      </c>
      <c r="C216" s="233" t="s">
        <v>648</v>
      </c>
      <c r="D216" s="271" t="s">
        <v>863</v>
      </c>
      <c r="E216" s="241" t="s">
        <v>419</v>
      </c>
      <c r="F216" s="239" t="s">
        <v>388</v>
      </c>
    </row>
    <row r="217" spans="2:6">
      <c r="B217" s="233">
        <v>52113000</v>
      </c>
      <c r="C217" s="233" t="s">
        <v>648</v>
      </c>
      <c r="D217" s="271" t="s">
        <v>864</v>
      </c>
      <c r="E217" s="241" t="s">
        <v>419</v>
      </c>
      <c r="F217" s="239" t="s">
        <v>389</v>
      </c>
    </row>
    <row r="218" spans="2:6">
      <c r="B218" s="233">
        <v>52115000</v>
      </c>
      <c r="C218" s="233" t="s">
        <v>648</v>
      </c>
      <c r="D218" s="271" t="s">
        <v>865</v>
      </c>
      <c r="E218" s="241" t="s">
        <v>419</v>
      </c>
      <c r="F218" s="239" t="s">
        <v>390</v>
      </c>
    </row>
    <row r="219" spans="2:6">
      <c r="B219" s="233">
        <v>52119000</v>
      </c>
      <c r="C219" s="233" t="s">
        <v>648</v>
      </c>
      <c r="D219" s="271" t="s">
        <v>866</v>
      </c>
      <c r="E219" s="241" t="s">
        <v>419</v>
      </c>
      <c r="F219" s="239" t="s">
        <v>391</v>
      </c>
    </row>
    <row r="220" spans="2:6">
      <c r="B220" s="233">
        <v>55400000</v>
      </c>
      <c r="C220" s="233" t="s">
        <v>648</v>
      </c>
      <c r="D220" s="271" t="s">
        <v>867</v>
      </c>
      <c r="E220" s="241" t="s">
        <v>419</v>
      </c>
      <c r="F220" s="239" t="s">
        <v>392</v>
      </c>
    </row>
    <row r="221" spans="2:6">
      <c r="B221" s="233">
        <v>57110000</v>
      </c>
      <c r="C221" s="233" t="s">
        <v>648</v>
      </c>
      <c r="D221" s="271" t="s">
        <v>868</v>
      </c>
      <c r="E221" s="241" t="s">
        <v>419</v>
      </c>
      <c r="F221" s="239" t="s">
        <v>393</v>
      </c>
    </row>
    <row r="222" spans="2:6">
      <c r="B222" s="233">
        <v>60151000</v>
      </c>
      <c r="C222" s="233" t="s">
        <v>99</v>
      </c>
      <c r="D222" s="271" t="s">
        <v>869</v>
      </c>
      <c r="E222" s="241" t="s">
        <v>115</v>
      </c>
      <c r="F222" s="239" t="s">
        <v>1</v>
      </c>
    </row>
    <row r="223" spans="2:6">
      <c r="B223" s="233">
        <v>60151000</v>
      </c>
      <c r="C223" s="233" t="s">
        <v>101</v>
      </c>
      <c r="D223" s="271" t="s">
        <v>870</v>
      </c>
      <c r="E223" s="241" t="s">
        <v>115</v>
      </c>
      <c r="F223" s="239" t="s">
        <v>1</v>
      </c>
    </row>
    <row r="224" spans="2:6">
      <c r="B224" s="233">
        <v>60151000</v>
      </c>
      <c r="C224" s="233" t="s">
        <v>103</v>
      </c>
      <c r="D224" s="271" t="s">
        <v>871</v>
      </c>
      <c r="E224" s="241" t="s">
        <v>115</v>
      </c>
      <c r="F224" s="239" t="s">
        <v>1</v>
      </c>
    </row>
    <row r="225" spans="2:6">
      <c r="B225" s="233">
        <v>60151000</v>
      </c>
      <c r="C225" s="233" t="s">
        <v>105</v>
      </c>
      <c r="D225" s="271" t="s">
        <v>872</v>
      </c>
      <c r="E225" s="241" t="s">
        <v>115</v>
      </c>
      <c r="F225" s="239" t="s">
        <v>1</v>
      </c>
    </row>
    <row r="226" spans="2:6">
      <c r="B226" s="233">
        <v>60151000</v>
      </c>
      <c r="C226" s="233" t="s">
        <v>107</v>
      </c>
      <c r="D226" s="271" t="s">
        <v>873</v>
      </c>
      <c r="E226" s="241" t="s">
        <v>115</v>
      </c>
      <c r="F226" s="239" t="s">
        <v>1</v>
      </c>
    </row>
    <row r="227" spans="2:6">
      <c r="B227" s="233">
        <v>60152000</v>
      </c>
      <c r="C227" s="233" t="s">
        <v>99</v>
      </c>
      <c r="D227" s="271" t="s">
        <v>874</v>
      </c>
      <c r="E227" s="241" t="s">
        <v>110</v>
      </c>
      <c r="F227" s="239" t="s">
        <v>2</v>
      </c>
    </row>
    <row r="228" spans="2:6">
      <c r="B228" s="233">
        <v>60152000</v>
      </c>
      <c r="C228" s="233" t="s">
        <v>101</v>
      </c>
      <c r="D228" s="271" t="s">
        <v>875</v>
      </c>
      <c r="E228" s="241" t="s">
        <v>110</v>
      </c>
      <c r="F228" s="239" t="s">
        <v>2</v>
      </c>
    </row>
    <row r="229" spans="2:6">
      <c r="B229" s="233">
        <v>60152000</v>
      </c>
      <c r="C229" s="233" t="s">
        <v>103</v>
      </c>
      <c r="D229" s="271" t="s">
        <v>876</v>
      </c>
      <c r="E229" s="241" t="s">
        <v>110</v>
      </c>
      <c r="F229" s="239" t="s">
        <v>2</v>
      </c>
    </row>
    <row r="230" spans="2:6">
      <c r="B230" s="233">
        <v>60152000</v>
      </c>
      <c r="C230" s="233" t="s">
        <v>105</v>
      </c>
      <c r="D230" s="271" t="s">
        <v>877</v>
      </c>
      <c r="E230" s="241" t="s">
        <v>110</v>
      </c>
      <c r="F230" s="239" t="s">
        <v>2</v>
      </c>
    </row>
    <row r="231" spans="2:6">
      <c r="B231" s="233">
        <v>60152000</v>
      </c>
      <c r="C231" s="233" t="s">
        <v>107</v>
      </c>
      <c r="D231" s="271" t="s">
        <v>878</v>
      </c>
      <c r="E231" s="241" t="s">
        <v>110</v>
      </c>
      <c r="F231" s="239" t="s">
        <v>2</v>
      </c>
    </row>
    <row r="232" spans="2:6">
      <c r="B232" s="233">
        <v>60154000</v>
      </c>
      <c r="C232" s="233" t="s">
        <v>99</v>
      </c>
      <c r="D232" s="271" t="s">
        <v>879</v>
      </c>
      <c r="E232" s="241" t="s">
        <v>111</v>
      </c>
      <c r="F232" s="239" t="s">
        <v>3</v>
      </c>
    </row>
    <row r="233" spans="2:6">
      <c r="B233" s="233">
        <v>60154000</v>
      </c>
      <c r="C233" s="233" t="s">
        <v>101</v>
      </c>
      <c r="D233" s="271" t="s">
        <v>880</v>
      </c>
      <c r="E233" s="241" t="s">
        <v>111</v>
      </c>
      <c r="F233" s="239" t="s">
        <v>3</v>
      </c>
    </row>
    <row r="234" spans="2:6">
      <c r="B234" s="233">
        <v>60154000</v>
      </c>
      <c r="C234" s="233" t="s">
        <v>103</v>
      </c>
      <c r="D234" s="271" t="s">
        <v>881</v>
      </c>
      <c r="E234" s="241" t="s">
        <v>111</v>
      </c>
      <c r="F234" s="239" t="s">
        <v>3</v>
      </c>
    </row>
    <row r="235" spans="2:6">
      <c r="B235" s="233">
        <v>60154000</v>
      </c>
      <c r="C235" s="233" t="s">
        <v>105</v>
      </c>
      <c r="D235" s="271" t="s">
        <v>882</v>
      </c>
      <c r="E235" s="241" t="s">
        <v>111</v>
      </c>
      <c r="F235" s="239" t="s">
        <v>3</v>
      </c>
    </row>
    <row r="236" spans="2:6">
      <c r="B236" s="233">
        <v>60154000</v>
      </c>
      <c r="C236" s="233" t="s">
        <v>107</v>
      </c>
      <c r="D236" s="271" t="s">
        <v>883</v>
      </c>
      <c r="E236" s="241" t="s">
        <v>111</v>
      </c>
      <c r="F236" s="239" t="s">
        <v>3</v>
      </c>
    </row>
    <row r="237" spans="2:6">
      <c r="B237" s="233">
        <v>60330000</v>
      </c>
      <c r="C237" s="233" t="s">
        <v>99</v>
      </c>
      <c r="D237" s="271" t="s">
        <v>884</v>
      </c>
      <c r="E237" s="241" t="s">
        <v>422</v>
      </c>
      <c r="F237" s="239" t="s">
        <v>4</v>
      </c>
    </row>
    <row r="238" spans="2:6">
      <c r="B238" s="233">
        <v>60330000</v>
      </c>
      <c r="C238" s="233" t="s">
        <v>101</v>
      </c>
      <c r="D238" s="271" t="s">
        <v>885</v>
      </c>
      <c r="E238" s="241" t="s">
        <v>422</v>
      </c>
      <c r="F238" s="239" t="s">
        <v>4</v>
      </c>
    </row>
    <row r="239" spans="2:6">
      <c r="B239" s="233">
        <v>60330000</v>
      </c>
      <c r="C239" s="233" t="s">
        <v>103</v>
      </c>
      <c r="D239" s="271" t="s">
        <v>886</v>
      </c>
      <c r="E239" s="241" t="s">
        <v>422</v>
      </c>
      <c r="F239" s="239" t="s">
        <v>4</v>
      </c>
    </row>
    <row r="240" spans="2:6">
      <c r="B240" s="233">
        <v>60330000</v>
      </c>
      <c r="C240" s="233" t="s">
        <v>105</v>
      </c>
      <c r="D240" s="271" t="s">
        <v>887</v>
      </c>
      <c r="E240" s="241" t="s">
        <v>422</v>
      </c>
      <c r="F240" s="239" t="s">
        <v>4</v>
      </c>
    </row>
    <row r="241" spans="2:6">
      <c r="B241" s="233">
        <v>60330000</v>
      </c>
      <c r="C241" s="233" t="s">
        <v>107</v>
      </c>
      <c r="D241" s="271" t="s">
        <v>888</v>
      </c>
      <c r="E241" s="241" t="s">
        <v>422</v>
      </c>
      <c r="F241" s="239" t="s">
        <v>4</v>
      </c>
    </row>
    <row r="242" spans="2:6">
      <c r="B242" s="233">
        <v>60340000</v>
      </c>
      <c r="C242" s="233" t="s">
        <v>99</v>
      </c>
      <c r="D242" s="271" t="s">
        <v>889</v>
      </c>
      <c r="E242" s="241" t="s">
        <v>422</v>
      </c>
      <c r="F242" s="239" t="s">
        <v>5</v>
      </c>
    </row>
    <row r="243" spans="2:6">
      <c r="B243" s="233">
        <v>60340000</v>
      </c>
      <c r="C243" s="233" t="s">
        <v>101</v>
      </c>
      <c r="D243" s="271" t="s">
        <v>890</v>
      </c>
      <c r="E243" s="241" t="s">
        <v>422</v>
      </c>
      <c r="F243" s="239" t="s">
        <v>5</v>
      </c>
    </row>
    <row r="244" spans="2:6">
      <c r="B244" s="233">
        <v>60340000</v>
      </c>
      <c r="C244" s="233" t="s">
        <v>103</v>
      </c>
      <c r="D244" s="271" t="s">
        <v>891</v>
      </c>
      <c r="E244" s="241" t="s">
        <v>422</v>
      </c>
      <c r="F244" s="239" t="s">
        <v>5</v>
      </c>
    </row>
    <row r="245" spans="2:6">
      <c r="B245" s="233">
        <v>60340000</v>
      </c>
      <c r="C245" s="233" t="s">
        <v>105</v>
      </c>
      <c r="D245" s="271" t="s">
        <v>892</v>
      </c>
      <c r="E245" s="241" t="s">
        <v>422</v>
      </c>
      <c r="F245" s="239" t="s">
        <v>5</v>
      </c>
    </row>
    <row r="246" spans="2:6">
      <c r="B246" s="233">
        <v>60340000</v>
      </c>
      <c r="C246" s="233" t="s">
        <v>107</v>
      </c>
      <c r="D246" s="271" t="s">
        <v>893</v>
      </c>
      <c r="E246" s="241" t="s">
        <v>422</v>
      </c>
      <c r="F246" s="239" t="s">
        <v>5</v>
      </c>
    </row>
    <row r="247" spans="2:6">
      <c r="B247" s="233">
        <v>60410000</v>
      </c>
      <c r="C247" s="233" t="s">
        <v>99</v>
      </c>
      <c r="D247" s="271" t="s">
        <v>894</v>
      </c>
      <c r="E247" s="241" t="s">
        <v>113</v>
      </c>
      <c r="F247" s="239" t="s">
        <v>6</v>
      </c>
    </row>
    <row r="248" spans="2:6">
      <c r="B248" s="233">
        <v>60410000</v>
      </c>
      <c r="C248" s="233" t="s">
        <v>101</v>
      </c>
      <c r="D248" s="271" t="s">
        <v>895</v>
      </c>
      <c r="E248" s="241" t="s">
        <v>113</v>
      </c>
      <c r="F248" s="239" t="s">
        <v>6</v>
      </c>
    </row>
    <row r="249" spans="2:6">
      <c r="B249" s="233">
        <v>60410000</v>
      </c>
      <c r="C249" s="233" t="s">
        <v>103</v>
      </c>
      <c r="D249" s="271" t="s">
        <v>896</v>
      </c>
      <c r="E249" s="241" t="s">
        <v>113</v>
      </c>
      <c r="F249" s="239" t="s">
        <v>6</v>
      </c>
    </row>
    <row r="250" spans="2:6">
      <c r="B250" s="233">
        <v>60410000</v>
      </c>
      <c r="C250" s="233" t="s">
        <v>105</v>
      </c>
      <c r="D250" s="271" t="s">
        <v>897</v>
      </c>
      <c r="E250" s="241" t="s">
        <v>113</v>
      </c>
      <c r="F250" s="239" t="s">
        <v>6</v>
      </c>
    </row>
    <row r="251" spans="2:6">
      <c r="B251" s="233">
        <v>60410000</v>
      </c>
      <c r="C251" s="233" t="s">
        <v>107</v>
      </c>
      <c r="D251" s="271" t="s">
        <v>898</v>
      </c>
      <c r="E251" s="241" t="s">
        <v>113</v>
      </c>
      <c r="F251" s="239" t="s">
        <v>6</v>
      </c>
    </row>
    <row r="252" spans="2:6">
      <c r="B252" s="233">
        <v>60520000</v>
      </c>
      <c r="C252" s="233" t="s">
        <v>108</v>
      </c>
      <c r="D252" s="271" t="s">
        <v>899</v>
      </c>
      <c r="E252" s="241" t="s">
        <v>127</v>
      </c>
      <c r="F252" s="239" t="s">
        <v>9</v>
      </c>
    </row>
    <row r="253" spans="2:6">
      <c r="B253" s="233">
        <v>60530000</v>
      </c>
      <c r="C253" s="233" t="s">
        <v>108</v>
      </c>
      <c r="D253" s="271" t="s">
        <v>900</v>
      </c>
      <c r="E253" s="241" t="s">
        <v>127</v>
      </c>
      <c r="F253" s="239" t="s">
        <v>10</v>
      </c>
    </row>
    <row r="254" spans="2:6">
      <c r="B254" s="233">
        <v>60531000</v>
      </c>
      <c r="C254" s="233" t="s">
        <v>99</v>
      </c>
      <c r="D254" s="271" t="s">
        <v>901</v>
      </c>
      <c r="E254" s="241" t="s">
        <v>112</v>
      </c>
      <c r="F254" s="239" t="s">
        <v>11</v>
      </c>
    </row>
    <row r="255" spans="2:6">
      <c r="B255" s="233">
        <v>60531000</v>
      </c>
      <c r="C255" s="233" t="s">
        <v>101</v>
      </c>
      <c r="D255" s="271" t="s">
        <v>902</v>
      </c>
      <c r="E255" s="241" t="s">
        <v>112</v>
      </c>
      <c r="F255" s="239" t="s">
        <v>11</v>
      </c>
    </row>
    <row r="256" spans="2:6">
      <c r="B256" s="233">
        <v>60531000</v>
      </c>
      <c r="C256" s="233" t="s">
        <v>105</v>
      </c>
      <c r="D256" s="271" t="s">
        <v>903</v>
      </c>
      <c r="E256" s="241" t="s">
        <v>112</v>
      </c>
      <c r="F256" s="239" t="s">
        <v>11</v>
      </c>
    </row>
    <row r="257" spans="2:6">
      <c r="B257" s="233">
        <v>60531000</v>
      </c>
      <c r="C257" s="233" t="s">
        <v>107</v>
      </c>
      <c r="D257" s="271" t="s">
        <v>904</v>
      </c>
      <c r="E257" s="241" t="s">
        <v>112</v>
      </c>
      <c r="F257" s="239" t="s">
        <v>11</v>
      </c>
    </row>
    <row r="258" spans="2:6">
      <c r="B258" s="233">
        <v>60561000</v>
      </c>
      <c r="C258" s="233" t="s">
        <v>99</v>
      </c>
      <c r="D258" s="271" t="s">
        <v>905</v>
      </c>
      <c r="E258" s="241" t="s">
        <v>113</v>
      </c>
      <c r="F258" s="239" t="s">
        <v>14</v>
      </c>
    </row>
    <row r="259" spans="2:6">
      <c r="B259" s="233">
        <v>60561000</v>
      </c>
      <c r="C259" s="233" t="s">
        <v>103</v>
      </c>
      <c r="D259" s="271" t="s">
        <v>906</v>
      </c>
      <c r="E259" s="241" t="s">
        <v>113</v>
      </c>
      <c r="F259" s="239" t="s">
        <v>14</v>
      </c>
    </row>
    <row r="260" spans="2:6">
      <c r="B260" s="233">
        <v>60561000</v>
      </c>
      <c r="C260" s="233" t="s">
        <v>107</v>
      </c>
      <c r="D260" s="271" t="s">
        <v>907</v>
      </c>
      <c r="E260" s="241" t="s">
        <v>113</v>
      </c>
      <c r="F260" s="239" t="s">
        <v>14</v>
      </c>
    </row>
    <row r="261" spans="2:6">
      <c r="B261" s="233">
        <v>60562000</v>
      </c>
      <c r="C261" s="233" t="s">
        <v>99</v>
      </c>
      <c r="D261" s="271" t="s">
        <v>908</v>
      </c>
      <c r="E261" s="241" t="s">
        <v>113</v>
      </c>
      <c r="F261" s="239" t="s">
        <v>15</v>
      </c>
    </row>
    <row r="262" spans="2:6">
      <c r="B262" s="233">
        <v>60562000</v>
      </c>
      <c r="C262" s="233" t="s">
        <v>105</v>
      </c>
      <c r="D262" s="271" t="s">
        <v>909</v>
      </c>
      <c r="E262" s="241" t="s">
        <v>113</v>
      </c>
      <c r="F262" s="239" t="s">
        <v>15</v>
      </c>
    </row>
    <row r="263" spans="2:6">
      <c r="B263" s="233">
        <v>60562000</v>
      </c>
      <c r="C263" s="233" t="s">
        <v>107</v>
      </c>
      <c r="D263" s="271" t="s">
        <v>910</v>
      </c>
      <c r="E263" s="241" t="s">
        <v>113</v>
      </c>
      <c r="F263" s="239" t="s">
        <v>15</v>
      </c>
    </row>
    <row r="264" spans="2:6">
      <c r="B264" s="233">
        <v>60563000</v>
      </c>
      <c r="C264" s="233" t="s">
        <v>99</v>
      </c>
      <c r="D264" s="271" t="s">
        <v>911</v>
      </c>
      <c r="E264" s="241" t="s">
        <v>113</v>
      </c>
      <c r="F264" s="239" t="s">
        <v>16</v>
      </c>
    </row>
    <row r="265" spans="2:6">
      <c r="B265" s="233">
        <v>60563000</v>
      </c>
      <c r="C265" s="233" t="s">
        <v>103</v>
      </c>
      <c r="D265" s="271" t="s">
        <v>912</v>
      </c>
      <c r="E265" s="241" t="s">
        <v>113</v>
      </c>
      <c r="F265" s="239" t="s">
        <v>16</v>
      </c>
    </row>
    <row r="266" spans="2:6">
      <c r="B266" s="233">
        <v>60563000</v>
      </c>
      <c r="C266" s="233" t="s">
        <v>105</v>
      </c>
      <c r="D266" s="271" t="s">
        <v>913</v>
      </c>
      <c r="E266" s="241" t="s">
        <v>113</v>
      </c>
      <c r="F266" s="239" t="s">
        <v>16</v>
      </c>
    </row>
    <row r="267" spans="2:6">
      <c r="B267" s="233">
        <v>60565000</v>
      </c>
      <c r="C267" s="233" t="s">
        <v>107</v>
      </c>
      <c r="D267" s="271" t="s">
        <v>914</v>
      </c>
      <c r="E267" s="241" t="s">
        <v>130</v>
      </c>
      <c r="F267" s="239" t="s">
        <v>17</v>
      </c>
    </row>
    <row r="268" spans="2:6">
      <c r="B268" s="233">
        <v>60568000</v>
      </c>
      <c r="C268" s="233" t="s">
        <v>99</v>
      </c>
      <c r="D268" s="271" t="s">
        <v>915</v>
      </c>
      <c r="E268" s="241" t="s">
        <v>113</v>
      </c>
      <c r="F268" s="239" t="s">
        <v>18</v>
      </c>
    </row>
    <row r="269" spans="2:6">
      <c r="B269" s="233">
        <v>60568000</v>
      </c>
      <c r="C269" s="233" t="s">
        <v>101</v>
      </c>
      <c r="D269" s="271" t="s">
        <v>916</v>
      </c>
      <c r="E269" s="241" t="s">
        <v>113</v>
      </c>
      <c r="F269" s="239" t="s">
        <v>18</v>
      </c>
    </row>
    <row r="270" spans="2:6">
      <c r="B270" s="233">
        <v>60568000</v>
      </c>
      <c r="C270" s="233" t="s">
        <v>103</v>
      </c>
      <c r="D270" s="271" t="s">
        <v>917</v>
      </c>
      <c r="E270" s="241" t="s">
        <v>113</v>
      </c>
      <c r="F270" s="239" t="s">
        <v>18</v>
      </c>
    </row>
    <row r="271" spans="2:6">
      <c r="B271" s="233">
        <v>60568000</v>
      </c>
      <c r="C271" s="233" t="s">
        <v>105</v>
      </c>
      <c r="D271" s="271" t="s">
        <v>918</v>
      </c>
      <c r="E271" s="241" t="s">
        <v>113</v>
      </c>
      <c r="F271" s="239" t="s">
        <v>18</v>
      </c>
    </row>
    <row r="272" spans="2:6">
      <c r="B272" s="233">
        <v>60568000</v>
      </c>
      <c r="C272" s="233" t="s">
        <v>107</v>
      </c>
      <c r="D272" s="271" t="s">
        <v>919</v>
      </c>
      <c r="E272" s="241" t="s">
        <v>113</v>
      </c>
      <c r="F272" s="239" t="s">
        <v>18</v>
      </c>
    </row>
    <row r="273" spans="2:6">
      <c r="B273" s="233">
        <v>60568000</v>
      </c>
      <c r="C273" s="233" t="s">
        <v>108</v>
      </c>
      <c r="D273" s="271" t="s">
        <v>920</v>
      </c>
      <c r="E273" s="241" t="s">
        <v>127</v>
      </c>
      <c r="F273" s="239" t="s">
        <v>18</v>
      </c>
    </row>
    <row r="274" spans="2:6">
      <c r="B274" s="233">
        <v>60569000</v>
      </c>
      <c r="C274" s="233" t="s">
        <v>99</v>
      </c>
      <c r="D274" s="271" t="s">
        <v>921</v>
      </c>
      <c r="E274" s="241" t="s">
        <v>113</v>
      </c>
      <c r="F274" s="239" t="s">
        <v>19</v>
      </c>
    </row>
    <row r="275" spans="2:6">
      <c r="B275" s="233">
        <v>60569000</v>
      </c>
      <c r="C275" s="233" t="s">
        <v>101</v>
      </c>
      <c r="D275" s="271" t="s">
        <v>922</v>
      </c>
      <c r="E275" s="241" t="s">
        <v>113</v>
      </c>
      <c r="F275" s="239" t="s">
        <v>19</v>
      </c>
    </row>
    <row r="276" spans="2:6">
      <c r="B276" s="233">
        <v>60569000</v>
      </c>
      <c r="C276" s="233" t="s">
        <v>103</v>
      </c>
      <c r="D276" s="271" t="s">
        <v>923</v>
      </c>
      <c r="E276" s="241" t="s">
        <v>113</v>
      </c>
      <c r="F276" s="239" t="s">
        <v>19</v>
      </c>
    </row>
    <row r="277" spans="2:6">
      <c r="B277" s="233">
        <v>60569000</v>
      </c>
      <c r="C277" s="233" t="s">
        <v>105</v>
      </c>
      <c r="D277" s="271" t="s">
        <v>924</v>
      </c>
      <c r="E277" s="241" t="s">
        <v>113</v>
      </c>
      <c r="F277" s="239" t="s">
        <v>19</v>
      </c>
    </row>
    <row r="278" spans="2:6">
      <c r="B278" s="233">
        <v>60569000</v>
      </c>
      <c r="C278" s="233" t="s">
        <v>107</v>
      </c>
      <c r="D278" s="271" t="s">
        <v>925</v>
      </c>
      <c r="E278" s="241" t="s">
        <v>113</v>
      </c>
      <c r="F278" s="239" t="s">
        <v>19</v>
      </c>
    </row>
    <row r="279" spans="2:6">
      <c r="B279" s="233">
        <v>60569000</v>
      </c>
      <c r="C279" s="233" t="s">
        <v>108</v>
      </c>
      <c r="D279" s="271" t="s">
        <v>926</v>
      </c>
      <c r="E279" s="241" t="s">
        <v>127</v>
      </c>
      <c r="F279" s="239" t="s">
        <v>19</v>
      </c>
    </row>
    <row r="280" spans="2:6">
      <c r="B280" s="233">
        <v>60572000</v>
      </c>
      <c r="C280" s="233" t="s">
        <v>99</v>
      </c>
      <c r="D280" s="271" t="s">
        <v>927</v>
      </c>
      <c r="E280" s="241" t="s">
        <v>110</v>
      </c>
      <c r="F280" s="239" t="s">
        <v>20</v>
      </c>
    </row>
    <row r="281" spans="2:6">
      <c r="B281" s="233">
        <v>60572000</v>
      </c>
      <c r="C281" s="233" t="s">
        <v>101</v>
      </c>
      <c r="D281" s="271" t="s">
        <v>928</v>
      </c>
      <c r="E281" s="241" t="s">
        <v>110</v>
      </c>
      <c r="F281" s="239" t="s">
        <v>20</v>
      </c>
    </row>
    <row r="282" spans="2:6">
      <c r="B282" s="233">
        <v>60572000</v>
      </c>
      <c r="C282" s="233" t="s">
        <v>103</v>
      </c>
      <c r="D282" s="271" t="s">
        <v>929</v>
      </c>
      <c r="E282" s="241" t="s">
        <v>110</v>
      </c>
      <c r="F282" s="239" t="s">
        <v>20</v>
      </c>
    </row>
    <row r="283" spans="2:6">
      <c r="B283" s="233">
        <v>60572000</v>
      </c>
      <c r="C283" s="233" t="s">
        <v>105</v>
      </c>
      <c r="D283" s="271" t="s">
        <v>930</v>
      </c>
      <c r="E283" s="241" t="s">
        <v>110</v>
      </c>
      <c r="F283" s="239" t="s">
        <v>20</v>
      </c>
    </row>
    <row r="284" spans="2:6">
      <c r="B284" s="233">
        <v>60572000</v>
      </c>
      <c r="C284" s="233" t="s">
        <v>107</v>
      </c>
      <c r="D284" s="271" t="s">
        <v>931</v>
      </c>
      <c r="E284" s="241" t="s">
        <v>110</v>
      </c>
      <c r="F284" s="239" t="s">
        <v>20</v>
      </c>
    </row>
    <row r="285" spans="2:6">
      <c r="B285" s="233">
        <v>61200000</v>
      </c>
      <c r="C285" s="233" t="s">
        <v>99</v>
      </c>
      <c r="D285" s="271" t="s">
        <v>932</v>
      </c>
      <c r="E285" s="241" t="s">
        <v>115</v>
      </c>
      <c r="F285" s="239" t="s">
        <v>22</v>
      </c>
    </row>
    <row r="286" spans="2:6">
      <c r="B286" s="233">
        <v>61200000</v>
      </c>
      <c r="C286" s="233" t="s">
        <v>105</v>
      </c>
      <c r="D286" s="271" t="s">
        <v>933</v>
      </c>
      <c r="E286" s="241" t="s">
        <v>115</v>
      </c>
      <c r="F286" s="239" t="s">
        <v>22</v>
      </c>
    </row>
    <row r="287" spans="2:6">
      <c r="B287" s="233">
        <v>61200000</v>
      </c>
      <c r="C287" s="233" t="s">
        <v>108</v>
      </c>
      <c r="D287" s="271" t="s">
        <v>934</v>
      </c>
      <c r="E287" s="241" t="s">
        <v>127</v>
      </c>
      <c r="F287" s="239" t="s">
        <v>22</v>
      </c>
    </row>
    <row r="288" spans="2:6">
      <c r="B288" s="233">
        <v>61600000</v>
      </c>
      <c r="C288" s="233" t="s">
        <v>99</v>
      </c>
      <c r="D288" s="271" t="s">
        <v>935</v>
      </c>
      <c r="E288" s="241" t="s">
        <v>115</v>
      </c>
      <c r="F288" s="239" t="s">
        <v>23</v>
      </c>
    </row>
    <row r="289" spans="2:6">
      <c r="B289" s="233">
        <v>61600000</v>
      </c>
      <c r="C289" s="233" t="s">
        <v>101</v>
      </c>
      <c r="D289" s="271" t="s">
        <v>936</v>
      </c>
      <c r="E289" s="241" t="s">
        <v>115</v>
      </c>
      <c r="F289" s="239" t="s">
        <v>23</v>
      </c>
    </row>
    <row r="290" spans="2:6">
      <c r="B290" s="233">
        <v>61600000</v>
      </c>
      <c r="C290" s="233" t="s">
        <v>103</v>
      </c>
      <c r="D290" s="271" t="s">
        <v>937</v>
      </c>
      <c r="E290" s="241" t="s">
        <v>115</v>
      </c>
      <c r="F290" s="239" t="s">
        <v>23</v>
      </c>
    </row>
    <row r="291" spans="2:6">
      <c r="B291" s="233">
        <v>61600000</v>
      </c>
      <c r="C291" s="233" t="s">
        <v>105</v>
      </c>
      <c r="D291" s="271" t="s">
        <v>938</v>
      </c>
      <c r="E291" s="241" t="s">
        <v>115</v>
      </c>
      <c r="F291" s="239" t="s">
        <v>23</v>
      </c>
    </row>
    <row r="292" spans="2:6">
      <c r="B292" s="233">
        <v>61810000</v>
      </c>
      <c r="C292" s="233" t="s">
        <v>99</v>
      </c>
      <c r="D292" s="271" t="s">
        <v>939</v>
      </c>
      <c r="E292" s="241" t="s">
        <v>110</v>
      </c>
      <c r="F292" s="239" t="s">
        <v>24</v>
      </c>
    </row>
    <row r="293" spans="2:6">
      <c r="B293" s="233">
        <v>61810000</v>
      </c>
      <c r="C293" s="233" t="s">
        <v>101</v>
      </c>
      <c r="D293" s="271" t="s">
        <v>940</v>
      </c>
      <c r="E293" s="241" t="s">
        <v>110</v>
      </c>
      <c r="F293" s="239" t="s">
        <v>24</v>
      </c>
    </row>
    <row r="294" spans="2:6">
      <c r="B294" s="233">
        <v>61810000</v>
      </c>
      <c r="C294" s="233" t="s">
        <v>103</v>
      </c>
      <c r="D294" s="271" t="s">
        <v>941</v>
      </c>
      <c r="E294" s="241" t="s">
        <v>110</v>
      </c>
      <c r="F294" s="239" t="s">
        <v>24</v>
      </c>
    </row>
    <row r="295" spans="2:6">
      <c r="B295" s="233">
        <v>61810000</v>
      </c>
      <c r="C295" s="233" t="s">
        <v>105</v>
      </c>
      <c r="D295" s="271" t="s">
        <v>942</v>
      </c>
      <c r="E295" s="241" t="s">
        <v>110</v>
      </c>
      <c r="F295" s="239" t="s">
        <v>24</v>
      </c>
    </row>
    <row r="296" spans="2:6">
      <c r="B296" s="233">
        <v>61810000</v>
      </c>
      <c r="C296" s="233" t="s">
        <v>107</v>
      </c>
      <c r="D296" s="271" t="s">
        <v>943</v>
      </c>
      <c r="E296" s="241" t="s">
        <v>110</v>
      </c>
      <c r="F296" s="239" t="s">
        <v>24</v>
      </c>
    </row>
    <row r="297" spans="2:6">
      <c r="B297" s="233">
        <v>61810000</v>
      </c>
      <c r="C297" s="233" t="s">
        <v>108</v>
      </c>
      <c r="D297" s="271" t="s">
        <v>944</v>
      </c>
      <c r="E297" s="241" t="s">
        <v>127</v>
      </c>
      <c r="F297" s="239" t="s">
        <v>24</v>
      </c>
    </row>
    <row r="298" spans="2:6">
      <c r="B298" s="233">
        <v>61820000</v>
      </c>
      <c r="C298" s="233" t="s">
        <v>99</v>
      </c>
      <c r="D298" s="271" t="s">
        <v>945</v>
      </c>
      <c r="E298" s="241" t="s">
        <v>110</v>
      </c>
      <c r="F298" s="239" t="s">
        <v>25</v>
      </c>
    </row>
    <row r="299" spans="2:6">
      <c r="B299" s="233">
        <v>61820000</v>
      </c>
      <c r="C299" s="233" t="s">
        <v>101</v>
      </c>
      <c r="D299" s="271" t="s">
        <v>946</v>
      </c>
      <c r="E299" s="241" t="s">
        <v>110</v>
      </c>
      <c r="F299" s="239" t="s">
        <v>25</v>
      </c>
    </row>
    <row r="300" spans="2:6">
      <c r="B300" s="233">
        <v>61820000</v>
      </c>
      <c r="C300" s="233" t="s">
        <v>103</v>
      </c>
      <c r="D300" s="271" t="s">
        <v>947</v>
      </c>
      <c r="E300" s="241" t="s">
        <v>110</v>
      </c>
      <c r="F300" s="239" t="s">
        <v>25</v>
      </c>
    </row>
    <row r="301" spans="2:6">
      <c r="B301" s="233">
        <v>61820000</v>
      </c>
      <c r="C301" s="233" t="s">
        <v>105</v>
      </c>
      <c r="D301" s="271" t="s">
        <v>948</v>
      </c>
      <c r="E301" s="241" t="s">
        <v>110</v>
      </c>
      <c r="F301" s="239" t="s">
        <v>25</v>
      </c>
    </row>
    <row r="302" spans="2:6">
      <c r="B302" s="233">
        <v>61820000</v>
      </c>
      <c r="C302" s="233" t="s">
        <v>107</v>
      </c>
      <c r="D302" s="271" t="s">
        <v>949</v>
      </c>
      <c r="E302" s="241" t="s">
        <v>110</v>
      </c>
      <c r="F302" s="239" t="s">
        <v>25</v>
      </c>
    </row>
    <row r="303" spans="2:6">
      <c r="B303" s="233">
        <v>61821000</v>
      </c>
      <c r="C303" s="233" t="s">
        <v>101</v>
      </c>
      <c r="D303" s="271" t="s">
        <v>950</v>
      </c>
      <c r="E303" s="241" t="s">
        <v>110</v>
      </c>
      <c r="F303" s="239" t="s">
        <v>26</v>
      </c>
    </row>
    <row r="304" spans="2:6">
      <c r="B304" s="233">
        <v>61821000</v>
      </c>
      <c r="C304" s="233" t="s">
        <v>103</v>
      </c>
      <c r="D304" s="271" t="s">
        <v>951</v>
      </c>
      <c r="E304" s="241" t="s">
        <v>110</v>
      </c>
      <c r="F304" s="239" t="s">
        <v>26</v>
      </c>
    </row>
    <row r="305" spans="2:6">
      <c r="B305" s="233">
        <v>61821000</v>
      </c>
      <c r="C305" s="233" t="s">
        <v>105</v>
      </c>
      <c r="D305" s="271" t="s">
        <v>952</v>
      </c>
      <c r="E305" s="241" t="s">
        <v>110</v>
      </c>
      <c r="F305" s="239" t="s">
        <v>26</v>
      </c>
    </row>
    <row r="306" spans="2:6">
      <c r="B306" s="233">
        <v>61821000</v>
      </c>
      <c r="C306" s="233" t="s">
        <v>107</v>
      </c>
      <c r="D306" s="271" t="s">
        <v>953</v>
      </c>
      <c r="E306" s="241" t="s">
        <v>110</v>
      </c>
      <c r="F306" s="239" t="s">
        <v>26</v>
      </c>
    </row>
    <row r="307" spans="2:6">
      <c r="B307" s="233">
        <v>61830000</v>
      </c>
      <c r="C307" s="233" t="s">
        <v>101</v>
      </c>
      <c r="D307" s="271" t="s">
        <v>954</v>
      </c>
      <c r="E307" s="241" t="s">
        <v>116</v>
      </c>
      <c r="F307" s="239" t="s">
        <v>27</v>
      </c>
    </row>
    <row r="308" spans="2:6">
      <c r="B308" s="233">
        <v>61830000</v>
      </c>
      <c r="C308" s="233" t="s">
        <v>103</v>
      </c>
      <c r="D308" s="271" t="s">
        <v>955</v>
      </c>
      <c r="E308" s="241" t="s">
        <v>116</v>
      </c>
      <c r="F308" s="239" t="s">
        <v>27</v>
      </c>
    </row>
    <row r="309" spans="2:6">
      <c r="B309" s="233">
        <v>61830000</v>
      </c>
      <c r="C309" s="233" t="s">
        <v>105</v>
      </c>
      <c r="D309" s="271" t="s">
        <v>956</v>
      </c>
      <c r="E309" s="241" t="s">
        <v>116</v>
      </c>
      <c r="F309" s="239" t="s">
        <v>27</v>
      </c>
    </row>
    <row r="310" spans="2:6">
      <c r="B310" s="233">
        <v>61830000</v>
      </c>
      <c r="C310" s="233" t="s">
        <v>108</v>
      </c>
      <c r="D310" s="271" t="s">
        <v>957</v>
      </c>
      <c r="E310" s="241" t="s">
        <v>127</v>
      </c>
      <c r="F310" s="239" t="s">
        <v>27</v>
      </c>
    </row>
    <row r="311" spans="2:6">
      <c r="B311" s="233">
        <v>62220000</v>
      </c>
      <c r="C311" s="233" t="s">
        <v>108</v>
      </c>
      <c r="D311" s="271" t="s">
        <v>958</v>
      </c>
      <c r="E311" s="241" t="s">
        <v>127</v>
      </c>
      <c r="F311" s="239" t="s">
        <v>28</v>
      </c>
    </row>
    <row r="312" spans="2:6">
      <c r="B312" s="233">
        <v>62230000</v>
      </c>
      <c r="C312" s="233" t="s">
        <v>108</v>
      </c>
      <c r="D312" s="271" t="s">
        <v>959</v>
      </c>
      <c r="E312" s="241" t="s">
        <v>127</v>
      </c>
      <c r="F312" s="239" t="s">
        <v>29</v>
      </c>
    </row>
    <row r="313" spans="2:6">
      <c r="B313" s="233">
        <v>62281000</v>
      </c>
      <c r="C313" s="233" t="s">
        <v>108</v>
      </c>
      <c r="D313" s="271" t="s">
        <v>960</v>
      </c>
      <c r="E313" s="241" t="s">
        <v>127</v>
      </c>
      <c r="F313" s="239" t="s">
        <v>30</v>
      </c>
    </row>
    <row r="314" spans="2:6">
      <c r="B314" s="233">
        <v>62285000</v>
      </c>
      <c r="C314" s="233" t="s">
        <v>108</v>
      </c>
      <c r="D314" s="271" t="s">
        <v>961</v>
      </c>
      <c r="E314" s="241" t="s">
        <v>127</v>
      </c>
      <c r="F314" s="239" t="s">
        <v>31</v>
      </c>
    </row>
    <row r="315" spans="2:6">
      <c r="B315" s="233">
        <v>62420000</v>
      </c>
      <c r="C315" s="233" t="s">
        <v>99</v>
      </c>
      <c r="D315" s="271" t="s">
        <v>962</v>
      </c>
      <c r="E315" s="241" t="s">
        <v>117</v>
      </c>
      <c r="F315" s="239" t="s">
        <v>32</v>
      </c>
    </row>
    <row r="316" spans="2:6">
      <c r="B316" s="233">
        <v>62420000</v>
      </c>
      <c r="C316" s="233" t="s">
        <v>101</v>
      </c>
      <c r="D316" s="271" t="s">
        <v>963</v>
      </c>
      <c r="E316" s="241" t="s">
        <v>117</v>
      </c>
      <c r="F316" s="239" t="s">
        <v>32</v>
      </c>
    </row>
    <row r="317" spans="2:6">
      <c r="B317" s="233">
        <v>62420000</v>
      </c>
      <c r="C317" s="233" t="s">
        <v>103</v>
      </c>
      <c r="D317" s="271" t="s">
        <v>964</v>
      </c>
      <c r="E317" s="241" t="s">
        <v>117</v>
      </c>
      <c r="F317" s="239" t="s">
        <v>32</v>
      </c>
    </row>
    <row r="318" spans="2:6">
      <c r="B318" s="233">
        <v>62420000</v>
      </c>
      <c r="C318" s="233" t="s">
        <v>105</v>
      </c>
      <c r="D318" s="271" t="s">
        <v>965</v>
      </c>
      <c r="E318" s="241" t="s">
        <v>117</v>
      </c>
      <c r="F318" s="239" t="s">
        <v>32</v>
      </c>
    </row>
    <row r="319" spans="2:6">
      <c r="B319" s="233">
        <v>62420000</v>
      </c>
      <c r="C319" s="233" t="s">
        <v>107</v>
      </c>
      <c r="D319" s="271" t="s">
        <v>966</v>
      </c>
      <c r="E319" s="241" t="s">
        <v>117</v>
      </c>
      <c r="F319" s="239" t="s">
        <v>32</v>
      </c>
    </row>
    <row r="320" spans="2:6">
      <c r="B320" s="233">
        <v>62420000</v>
      </c>
      <c r="C320" s="233" t="s">
        <v>108</v>
      </c>
      <c r="D320" s="271" t="s">
        <v>967</v>
      </c>
      <c r="E320" s="241" t="s">
        <v>127</v>
      </c>
      <c r="F320" s="239" t="s">
        <v>32</v>
      </c>
    </row>
    <row r="321" spans="2:6">
      <c r="B321" s="233">
        <v>62430000</v>
      </c>
      <c r="C321" s="233" t="s">
        <v>99</v>
      </c>
      <c r="D321" s="271" t="s">
        <v>968</v>
      </c>
      <c r="E321" s="241" t="s">
        <v>117</v>
      </c>
      <c r="F321" s="239" t="s">
        <v>33</v>
      </c>
    </row>
    <row r="322" spans="2:6">
      <c r="B322" s="233">
        <v>62430000</v>
      </c>
      <c r="C322" s="233" t="s">
        <v>101</v>
      </c>
      <c r="D322" s="271" t="s">
        <v>969</v>
      </c>
      <c r="E322" s="241" t="s">
        <v>117</v>
      </c>
      <c r="F322" s="239" t="s">
        <v>33</v>
      </c>
    </row>
    <row r="323" spans="2:6">
      <c r="B323" s="233">
        <v>62430000</v>
      </c>
      <c r="C323" s="233" t="s">
        <v>103</v>
      </c>
      <c r="D323" s="271" t="s">
        <v>970</v>
      </c>
      <c r="E323" s="241" t="s">
        <v>117</v>
      </c>
      <c r="F323" s="239" t="s">
        <v>33</v>
      </c>
    </row>
    <row r="324" spans="2:6">
      <c r="B324" s="233">
        <v>62430000</v>
      </c>
      <c r="C324" s="233" t="s">
        <v>105</v>
      </c>
      <c r="D324" s="271" t="s">
        <v>971</v>
      </c>
      <c r="E324" s="241" t="s">
        <v>117</v>
      </c>
      <c r="F324" s="239" t="s">
        <v>33</v>
      </c>
    </row>
    <row r="325" spans="2:6">
      <c r="B325" s="233">
        <v>62430000</v>
      </c>
      <c r="C325" s="233" t="s">
        <v>107</v>
      </c>
      <c r="D325" s="271" t="s">
        <v>972</v>
      </c>
      <c r="E325" s="241" t="s">
        <v>117</v>
      </c>
      <c r="F325" s="239" t="s">
        <v>33</v>
      </c>
    </row>
    <row r="326" spans="2:6">
      <c r="B326" s="233">
        <v>62430000</v>
      </c>
      <c r="C326" s="233" t="s">
        <v>108</v>
      </c>
      <c r="D326" s="271" t="s">
        <v>973</v>
      </c>
      <c r="E326" s="241" t="s">
        <v>127</v>
      </c>
      <c r="F326" s="239" t="s">
        <v>33</v>
      </c>
    </row>
    <row r="327" spans="2:6">
      <c r="B327" s="233">
        <v>62510000</v>
      </c>
      <c r="C327" s="233" t="s">
        <v>99</v>
      </c>
      <c r="D327" s="271" t="s">
        <v>974</v>
      </c>
      <c r="E327" s="241" t="s">
        <v>118</v>
      </c>
      <c r="F327" s="239" t="s">
        <v>560</v>
      </c>
    </row>
    <row r="328" spans="2:6">
      <c r="B328" s="233">
        <v>62510000</v>
      </c>
      <c r="C328" s="233" t="s">
        <v>101</v>
      </c>
      <c r="D328" s="271" t="s">
        <v>975</v>
      </c>
      <c r="E328" s="241" t="s">
        <v>118</v>
      </c>
      <c r="F328" s="239" t="s">
        <v>560</v>
      </c>
    </row>
    <row r="329" spans="2:6">
      <c r="B329" s="233">
        <v>62510000</v>
      </c>
      <c r="C329" s="233" t="s">
        <v>103</v>
      </c>
      <c r="D329" s="271" t="s">
        <v>976</v>
      </c>
      <c r="E329" s="241" t="s">
        <v>118</v>
      </c>
      <c r="F329" s="239" t="s">
        <v>560</v>
      </c>
    </row>
    <row r="330" spans="2:6">
      <c r="B330" s="233">
        <v>62510000</v>
      </c>
      <c r="C330" s="233" t="s">
        <v>105</v>
      </c>
      <c r="D330" s="271" t="s">
        <v>977</v>
      </c>
      <c r="E330" s="241" t="s">
        <v>118</v>
      </c>
      <c r="F330" s="239" t="s">
        <v>560</v>
      </c>
    </row>
    <row r="331" spans="2:6">
      <c r="B331" s="233">
        <v>62510000</v>
      </c>
      <c r="C331" s="233" t="s">
        <v>107</v>
      </c>
      <c r="D331" s="271" t="s">
        <v>978</v>
      </c>
      <c r="E331" s="241" t="s">
        <v>118</v>
      </c>
      <c r="F331" s="239" t="s">
        <v>560</v>
      </c>
    </row>
    <row r="332" spans="2:6">
      <c r="B332" s="233">
        <v>62511000</v>
      </c>
      <c r="C332" s="233" t="s">
        <v>99</v>
      </c>
      <c r="D332" s="271" t="s">
        <v>979</v>
      </c>
      <c r="E332" s="241" t="s">
        <v>118</v>
      </c>
      <c r="F332" s="239" t="s">
        <v>34</v>
      </c>
    </row>
    <row r="333" spans="2:6">
      <c r="B333" s="233">
        <v>62511000</v>
      </c>
      <c r="C333" s="233" t="s">
        <v>101</v>
      </c>
      <c r="D333" s="271" t="s">
        <v>980</v>
      </c>
      <c r="E333" s="241" t="s">
        <v>118</v>
      </c>
      <c r="F333" s="239" t="s">
        <v>34</v>
      </c>
    </row>
    <row r="334" spans="2:6">
      <c r="B334" s="233">
        <v>62511000</v>
      </c>
      <c r="C334" s="233" t="s">
        <v>103</v>
      </c>
      <c r="D334" s="271" t="s">
        <v>981</v>
      </c>
      <c r="E334" s="241" t="s">
        <v>118</v>
      </c>
      <c r="F334" s="239" t="s">
        <v>34</v>
      </c>
    </row>
    <row r="335" spans="2:6">
      <c r="B335" s="233">
        <v>62511000</v>
      </c>
      <c r="C335" s="233" t="s">
        <v>105</v>
      </c>
      <c r="D335" s="271" t="s">
        <v>982</v>
      </c>
      <c r="E335" s="241" t="s">
        <v>118</v>
      </c>
      <c r="F335" s="239" t="s">
        <v>34</v>
      </c>
    </row>
    <row r="336" spans="2:6">
      <c r="B336" s="233">
        <v>62511000</v>
      </c>
      <c r="C336" s="233" t="s">
        <v>107</v>
      </c>
      <c r="D336" s="271" t="s">
        <v>983</v>
      </c>
      <c r="E336" s="241" t="s">
        <v>118</v>
      </c>
      <c r="F336" s="239" t="s">
        <v>34</v>
      </c>
    </row>
    <row r="337" spans="2:6">
      <c r="B337" s="233">
        <v>62521000</v>
      </c>
      <c r="C337" s="233" t="s">
        <v>99</v>
      </c>
      <c r="D337" s="271" t="s">
        <v>984</v>
      </c>
      <c r="E337" s="241" t="s">
        <v>118</v>
      </c>
      <c r="F337" s="239" t="s">
        <v>35</v>
      </c>
    </row>
    <row r="338" spans="2:6">
      <c r="B338" s="233">
        <v>62521000</v>
      </c>
      <c r="C338" s="233" t="s">
        <v>101</v>
      </c>
      <c r="D338" s="271" t="s">
        <v>985</v>
      </c>
      <c r="E338" s="241" t="s">
        <v>118</v>
      </c>
      <c r="F338" s="239" t="s">
        <v>35</v>
      </c>
    </row>
    <row r="339" spans="2:6">
      <c r="B339" s="233">
        <v>62521000</v>
      </c>
      <c r="C339" s="233" t="s">
        <v>103</v>
      </c>
      <c r="D339" s="271" t="s">
        <v>986</v>
      </c>
      <c r="E339" s="241" t="s">
        <v>118</v>
      </c>
      <c r="F339" s="239" t="s">
        <v>35</v>
      </c>
    </row>
    <row r="340" spans="2:6">
      <c r="B340" s="233">
        <v>62521000</v>
      </c>
      <c r="C340" s="233" t="s">
        <v>105</v>
      </c>
      <c r="D340" s="271" t="s">
        <v>987</v>
      </c>
      <c r="E340" s="241" t="s">
        <v>118</v>
      </c>
      <c r="F340" s="239" t="s">
        <v>35</v>
      </c>
    </row>
    <row r="341" spans="2:6">
      <c r="B341" s="233">
        <v>62521000</v>
      </c>
      <c r="C341" s="233" t="s">
        <v>107</v>
      </c>
      <c r="D341" s="271" t="s">
        <v>988</v>
      </c>
      <c r="E341" s="241" t="s">
        <v>118</v>
      </c>
      <c r="F341" s="239" t="s">
        <v>35</v>
      </c>
    </row>
    <row r="342" spans="2:6">
      <c r="B342" s="233">
        <v>62522000</v>
      </c>
      <c r="C342" s="233" t="s">
        <v>99</v>
      </c>
      <c r="D342" s="271" t="s">
        <v>989</v>
      </c>
      <c r="E342" s="241" t="s">
        <v>118</v>
      </c>
      <c r="F342" s="239" t="s">
        <v>36</v>
      </c>
    </row>
    <row r="343" spans="2:6">
      <c r="B343" s="233">
        <v>62522000</v>
      </c>
      <c r="C343" s="233" t="s">
        <v>101</v>
      </c>
      <c r="D343" s="271" t="s">
        <v>990</v>
      </c>
      <c r="E343" s="241" t="s">
        <v>118</v>
      </c>
      <c r="F343" s="239" t="s">
        <v>36</v>
      </c>
    </row>
    <row r="344" spans="2:6">
      <c r="B344" s="233">
        <v>62522000</v>
      </c>
      <c r="C344" s="233" t="s">
        <v>103</v>
      </c>
      <c r="D344" s="271" t="s">
        <v>991</v>
      </c>
      <c r="E344" s="241" t="s">
        <v>118</v>
      </c>
      <c r="F344" s="239" t="s">
        <v>36</v>
      </c>
    </row>
    <row r="345" spans="2:6">
      <c r="B345" s="233">
        <v>62522000</v>
      </c>
      <c r="C345" s="233" t="s">
        <v>105</v>
      </c>
      <c r="D345" s="271" t="s">
        <v>992</v>
      </c>
      <c r="E345" s="241" t="s">
        <v>118</v>
      </c>
      <c r="F345" s="239" t="s">
        <v>36</v>
      </c>
    </row>
    <row r="346" spans="2:6">
      <c r="B346" s="233">
        <v>62522000</v>
      </c>
      <c r="C346" s="233" t="s">
        <v>107</v>
      </c>
      <c r="D346" s="271" t="s">
        <v>993</v>
      </c>
      <c r="E346" s="241" t="s">
        <v>118</v>
      </c>
      <c r="F346" s="239" t="s">
        <v>36</v>
      </c>
    </row>
    <row r="347" spans="2:6">
      <c r="B347" s="233">
        <v>62582000</v>
      </c>
      <c r="C347" s="233" t="s">
        <v>99</v>
      </c>
      <c r="D347" s="271" t="s">
        <v>994</v>
      </c>
      <c r="E347" s="241" t="s">
        <v>118</v>
      </c>
      <c r="F347" s="239" t="s">
        <v>37</v>
      </c>
    </row>
    <row r="348" spans="2:6">
      <c r="B348" s="233">
        <v>62582000</v>
      </c>
      <c r="C348" s="233" t="s">
        <v>101</v>
      </c>
      <c r="D348" s="271" t="s">
        <v>995</v>
      </c>
      <c r="E348" s="241" t="s">
        <v>118</v>
      </c>
      <c r="F348" s="239" t="s">
        <v>37</v>
      </c>
    </row>
    <row r="349" spans="2:6">
      <c r="B349" s="233">
        <v>62582000</v>
      </c>
      <c r="C349" s="233" t="s">
        <v>103</v>
      </c>
      <c r="D349" s="271" t="s">
        <v>996</v>
      </c>
      <c r="E349" s="241" t="s">
        <v>118</v>
      </c>
      <c r="F349" s="239" t="s">
        <v>37</v>
      </c>
    </row>
    <row r="350" spans="2:6">
      <c r="B350" s="233">
        <v>62582000</v>
      </c>
      <c r="C350" s="233" t="s">
        <v>105</v>
      </c>
      <c r="D350" s="271" t="s">
        <v>997</v>
      </c>
      <c r="E350" s="241" t="s">
        <v>118</v>
      </c>
      <c r="F350" s="239" t="s">
        <v>37</v>
      </c>
    </row>
    <row r="351" spans="2:6">
      <c r="B351" s="233">
        <v>62582000</v>
      </c>
      <c r="C351" s="233" t="s">
        <v>107</v>
      </c>
      <c r="D351" s="271" t="s">
        <v>998</v>
      </c>
      <c r="E351" s="241" t="s">
        <v>118</v>
      </c>
      <c r="F351" s="239" t="s">
        <v>37</v>
      </c>
    </row>
    <row r="352" spans="2:6">
      <c r="B352" s="233">
        <v>62760000</v>
      </c>
      <c r="C352" s="233" t="s">
        <v>108</v>
      </c>
      <c r="D352" s="271" t="s">
        <v>999</v>
      </c>
      <c r="E352" s="241" t="s">
        <v>127</v>
      </c>
      <c r="F352" s="239" t="s">
        <v>38</v>
      </c>
    </row>
    <row r="353" spans="2:6">
      <c r="B353" s="233">
        <v>62880000</v>
      </c>
      <c r="C353" s="233" t="s">
        <v>108</v>
      </c>
      <c r="D353" s="271" t="s">
        <v>1000</v>
      </c>
      <c r="E353" s="241" t="s">
        <v>127</v>
      </c>
      <c r="F353" s="239" t="s">
        <v>39</v>
      </c>
    </row>
    <row r="354" spans="2:6">
      <c r="B354" s="233">
        <v>62883000</v>
      </c>
      <c r="C354" s="233" t="s">
        <v>99</v>
      </c>
      <c r="D354" s="271" t="s">
        <v>1001</v>
      </c>
      <c r="E354" s="241" t="s">
        <v>113</v>
      </c>
      <c r="F354" s="239" t="s">
        <v>41</v>
      </c>
    </row>
    <row r="355" spans="2:6">
      <c r="B355" s="233">
        <v>62883000</v>
      </c>
      <c r="C355" s="233" t="s">
        <v>101</v>
      </c>
      <c r="D355" s="271" t="s">
        <v>1002</v>
      </c>
      <c r="E355" s="241" t="s">
        <v>113</v>
      </c>
      <c r="F355" s="239" t="s">
        <v>41</v>
      </c>
    </row>
    <row r="356" spans="2:6">
      <c r="B356" s="233">
        <v>62883000</v>
      </c>
      <c r="C356" s="233" t="s">
        <v>103</v>
      </c>
      <c r="D356" s="271" t="s">
        <v>1003</v>
      </c>
      <c r="E356" s="241" t="s">
        <v>113</v>
      </c>
      <c r="F356" s="239" t="s">
        <v>41</v>
      </c>
    </row>
    <row r="357" spans="2:6">
      <c r="B357" s="233">
        <v>62883000</v>
      </c>
      <c r="C357" s="233" t="s">
        <v>105</v>
      </c>
      <c r="D357" s="271" t="s">
        <v>1004</v>
      </c>
      <c r="E357" s="241" t="s">
        <v>113</v>
      </c>
      <c r="F357" s="239" t="s">
        <v>41</v>
      </c>
    </row>
    <row r="358" spans="2:6">
      <c r="B358" s="233">
        <v>62883000</v>
      </c>
      <c r="C358" s="233" t="s">
        <v>107</v>
      </c>
      <c r="D358" s="271" t="s">
        <v>1005</v>
      </c>
      <c r="E358" s="241" t="s">
        <v>113</v>
      </c>
      <c r="F358" s="239" t="s">
        <v>41</v>
      </c>
    </row>
    <row r="359" spans="2:6">
      <c r="B359" s="233">
        <v>63180000</v>
      </c>
      <c r="C359" s="233" t="s">
        <v>108</v>
      </c>
      <c r="D359" s="271" t="s">
        <v>1006</v>
      </c>
      <c r="E359" s="241" t="s">
        <v>127</v>
      </c>
      <c r="F359" s="239" t="s">
        <v>42</v>
      </c>
    </row>
    <row r="360" spans="2:6">
      <c r="B360" s="233">
        <v>63210000</v>
      </c>
      <c r="C360" s="233" t="s">
        <v>99</v>
      </c>
      <c r="D360" s="271" t="s">
        <v>1007</v>
      </c>
      <c r="E360" s="241" t="s">
        <v>111</v>
      </c>
      <c r="F360" s="239" t="s">
        <v>43</v>
      </c>
    </row>
    <row r="361" spans="2:6">
      <c r="B361" s="233">
        <v>63210000</v>
      </c>
      <c r="C361" s="233" t="s">
        <v>103</v>
      </c>
      <c r="D361" s="271" t="s">
        <v>1008</v>
      </c>
      <c r="E361" s="241" t="s">
        <v>111</v>
      </c>
      <c r="F361" s="239" t="s">
        <v>43</v>
      </c>
    </row>
    <row r="362" spans="2:6">
      <c r="B362" s="233">
        <v>63210000</v>
      </c>
      <c r="C362" s="233" t="s">
        <v>107</v>
      </c>
      <c r="D362" s="271" t="s">
        <v>1009</v>
      </c>
      <c r="E362" s="241" t="s">
        <v>111</v>
      </c>
      <c r="F362" s="239" t="s">
        <v>43</v>
      </c>
    </row>
    <row r="363" spans="2:6">
      <c r="B363" s="233">
        <v>63240000</v>
      </c>
      <c r="C363" s="233" t="s">
        <v>108</v>
      </c>
      <c r="D363" s="271" t="s">
        <v>1010</v>
      </c>
      <c r="E363" s="241" t="s">
        <v>127</v>
      </c>
      <c r="F363" s="239" t="s">
        <v>44</v>
      </c>
    </row>
    <row r="364" spans="2:6">
      <c r="B364" s="233">
        <v>63241000</v>
      </c>
      <c r="C364" s="233" t="s">
        <v>99</v>
      </c>
      <c r="D364" s="271" t="s">
        <v>1011</v>
      </c>
      <c r="E364" s="241" t="s">
        <v>111</v>
      </c>
      <c r="F364" s="239" t="s">
        <v>45</v>
      </c>
    </row>
    <row r="365" spans="2:6">
      <c r="B365" s="233">
        <v>63241000</v>
      </c>
      <c r="C365" s="233" t="s">
        <v>101</v>
      </c>
      <c r="D365" s="271" t="s">
        <v>1012</v>
      </c>
      <c r="E365" s="241" t="s">
        <v>111</v>
      </c>
      <c r="F365" s="239" t="s">
        <v>45</v>
      </c>
    </row>
    <row r="366" spans="2:6">
      <c r="B366" s="233">
        <v>63241000</v>
      </c>
      <c r="C366" s="233" t="s">
        <v>103</v>
      </c>
      <c r="D366" s="271" t="s">
        <v>1013</v>
      </c>
      <c r="E366" s="241" t="s">
        <v>111</v>
      </c>
      <c r="F366" s="239" t="s">
        <v>45</v>
      </c>
    </row>
    <row r="367" spans="2:6">
      <c r="B367" s="233">
        <v>63241000</v>
      </c>
      <c r="C367" s="233" t="s">
        <v>105</v>
      </c>
      <c r="D367" s="271" t="s">
        <v>1014</v>
      </c>
      <c r="E367" s="241" t="s">
        <v>111</v>
      </c>
      <c r="F367" s="239" t="s">
        <v>45</v>
      </c>
    </row>
    <row r="368" spans="2:6">
      <c r="B368" s="233">
        <v>63243000</v>
      </c>
      <c r="C368" s="233" t="s">
        <v>107</v>
      </c>
      <c r="D368" s="271" t="s">
        <v>1015</v>
      </c>
      <c r="E368" s="241" t="s">
        <v>111</v>
      </c>
      <c r="F368" s="239" t="s">
        <v>46</v>
      </c>
    </row>
    <row r="369" spans="2:6">
      <c r="B369" s="233">
        <v>63281000</v>
      </c>
      <c r="C369" s="233" t="s">
        <v>99</v>
      </c>
      <c r="D369" s="271" t="s">
        <v>1016</v>
      </c>
      <c r="E369" s="241" t="s">
        <v>110</v>
      </c>
      <c r="F369" s="239" t="s">
        <v>47</v>
      </c>
    </row>
    <row r="370" spans="2:6">
      <c r="B370" s="233">
        <v>63281000</v>
      </c>
      <c r="C370" s="233" t="s">
        <v>101</v>
      </c>
      <c r="D370" s="271" t="s">
        <v>1017</v>
      </c>
      <c r="E370" s="241" t="s">
        <v>110</v>
      </c>
      <c r="F370" s="239" t="s">
        <v>47</v>
      </c>
    </row>
    <row r="371" spans="2:6">
      <c r="B371" s="233">
        <v>63281000</v>
      </c>
      <c r="C371" s="233" t="s">
        <v>103</v>
      </c>
      <c r="D371" s="271" t="s">
        <v>1018</v>
      </c>
      <c r="E371" s="241" t="s">
        <v>110</v>
      </c>
      <c r="F371" s="239" t="s">
        <v>47</v>
      </c>
    </row>
    <row r="372" spans="2:6">
      <c r="B372" s="233">
        <v>63281000</v>
      </c>
      <c r="C372" s="233" t="s">
        <v>105</v>
      </c>
      <c r="D372" s="271" t="s">
        <v>1019</v>
      </c>
      <c r="E372" s="241" t="s">
        <v>110</v>
      </c>
      <c r="F372" s="239" t="s">
        <v>47</v>
      </c>
    </row>
    <row r="373" spans="2:6">
      <c r="B373" s="233">
        <v>63281000</v>
      </c>
      <c r="C373" s="233" t="s">
        <v>107</v>
      </c>
      <c r="D373" s="271" t="s">
        <v>1020</v>
      </c>
      <c r="E373" s="241" t="s">
        <v>110</v>
      </c>
      <c r="F373" s="239" t="s">
        <v>47</v>
      </c>
    </row>
    <row r="374" spans="2:6">
      <c r="B374" s="233">
        <v>63282000</v>
      </c>
      <c r="C374" s="233" t="s">
        <v>99</v>
      </c>
      <c r="D374" s="271" t="s">
        <v>1021</v>
      </c>
      <c r="E374" s="241" t="s">
        <v>111</v>
      </c>
      <c r="F374" s="239" t="s">
        <v>48</v>
      </c>
    </row>
    <row r="375" spans="2:6">
      <c r="B375" s="233">
        <v>63282000</v>
      </c>
      <c r="C375" s="233" t="s">
        <v>101</v>
      </c>
      <c r="D375" s="271" t="s">
        <v>1022</v>
      </c>
      <c r="E375" s="241" t="s">
        <v>111</v>
      </c>
      <c r="F375" s="239" t="s">
        <v>48</v>
      </c>
    </row>
    <row r="376" spans="2:6">
      <c r="B376" s="233">
        <v>63282000</v>
      </c>
      <c r="C376" s="233" t="s">
        <v>103</v>
      </c>
      <c r="D376" s="271" t="s">
        <v>1023</v>
      </c>
      <c r="E376" s="241" t="s">
        <v>111</v>
      </c>
      <c r="F376" s="239" t="s">
        <v>48</v>
      </c>
    </row>
    <row r="377" spans="2:6">
      <c r="B377" s="233">
        <v>63282000</v>
      </c>
      <c r="C377" s="233" t="s">
        <v>105</v>
      </c>
      <c r="D377" s="271" t="s">
        <v>1024</v>
      </c>
      <c r="E377" s="241" t="s">
        <v>111</v>
      </c>
      <c r="F377" s="239" t="s">
        <v>48</v>
      </c>
    </row>
    <row r="378" spans="2:6">
      <c r="B378" s="233">
        <v>63282000</v>
      </c>
      <c r="C378" s="233" t="s">
        <v>107</v>
      </c>
      <c r="D378" s="271" t="s">
        <v>1025</v>
      </c>
      <c r="E378" s="241" t="s">
        <v>111</v>
      </c>
      <c r="F378" s="239" t="s">
        <v>48</v>
      </c>
    </row>
    <row r="379" spans="2:6">
      <c r="B379" s="233">
        <v>63284000</v>
      </c>
      <c r="C379" s="233" t="s">
        <v>99</v>
      </c>
      <c r="D379" s="271" t="s">
        <v>1026</v>
      </c>
      <c r="E379" s="241" t="s">
        <v>110</v>
      </c>
      <c r="F379" s="239" t="s">
        <v>49</v>
      </c>
    </row>
    <row r="380" spans="2:6">
      <c r="B380" s="233">
        <v>63284000</v>
      </c>
      <c r="C380" s="233" t="s">
        <v>101</v>
      </c>
      <c r="D380" s="271" t="s">
        <v>1027</v>
      </c>
      <c r="E380" s="241" t="s">
        <v>110</v>
      </c>
      <c r="F380" s="239" t="s">
        <v>49</v>
      </c>
    </row>
    <row r="381" spans="2:6">
      <c r="B381" s="233">
        <v>63284000</v>
      </c>
      <c r="C381" s="233" t="s">
        <v>103</v>
      </c>
      <c r="D381" s="271" t="s">
        <v>1028</v>
      </c>
      <c r="E381" s="241" t="s">
        <v>110</v>
      </c>
      <c r="F381" s="239" t="s">
        <v>49</v>
      </c>
    </row>
    <row r="382" spans="2:6">
      <c r="B382" s="233">
        <v>63284000</v>
      </c>
      <c r="C382" s="233" t="s">
        <v>107</v>
      </c>
      <c r="D382" s="271" t="s">
        <v>1029</v>
      </c>
      <c r="E382" s="241" t="s">
        <v>110</v>
      </c>
      <c r="F382" s="239" t="s">
        <v>49</v>
      </c>
    </row>
    <row r="383" spans="2:6">
      <c r="B383" s="233">
        <v>63284000</v>
      </c>
      <c r="C383" s="233" t="s">
        <v>108</v>
      </c>
      <c r="D383" s="271" t="s">
        <v>1030</v>
      </c>
      <c r="E383" s="241" t="s">
        <v>128</v>
      </c>
      <c r="F383" s="239" t="s">
        <v>49</v>
      </c>
    </row>
    <row r="384" spans="2:6">
      <c r="B384" s="233">
        <v>63312000</v>
      </c>
      <c r="C384" s="233" t="s">
        <v>108</v>
      </c>
      <c r="D384" s="271" t="s">
        <v>1031</v>
      </c>
      <c r="E384" s="241" t="s">
        <v>127</v>
      </c>
      <c r="F384" s="239" t="s">
        <v>50</v>
      </c>
    </row>
    <row r="385" spans="2:6">
      <c r="B385" s="233">
        <v>63421000</v>
      </c>
      <c r="C385" s="233" t="s">
        <v>99</v>
      </c>
      <c r="D385" s="271" t="s">
        <v>1032</v>
      </c>
      <c r="E385" s="241" t="s">
        <v>119</v>
      </c>
      <c r="F385" s="239" t="s">
        <v>51</v>
      </c>
    </row>
    <row r="386" spans="2:6">
      <c r="B386" s="233">
        <v>63421000</v>
      </c>
      <c r="C386" s="233" t="s">
        <v>101</v>
      </c>
      <c r="D386" s="271" t="s">
        <v>1033</v>
      </c>
      <c r="E386" s="241" t="s">
        <v>119</v>
      </c>
      <c r="F386" s="239" t="s">
        <v>51</v>
      </c>
    </row>
    <row r="387" spans="2:6">
      <c r="B387" s="233">
        <v>63421000</v>
      </c>
      <c r="C387" s="233" t="s">
        <v>103</v>
      </c>
      <c r="D387" s="271" t="s">
        <v>1034</v>
      </c>
      <c r="E387" s="241" t="s">
        <v>119</v>
      </c>
      <c r="F387" s="239" t="s">
        <v>51</v>
      </c>
    </row>
    <row r="388" spans="2:6">
      <c r="B388" s="233">
        <v>63421000</v>
      </c>
      <c r="C388" s="233" t="s">
        <v>105</v>
      </c>
      <c r="D388" s="271" t="s">
        <v>1035</v>
      </c>
      <c r="E388" s="241" t="s">
        <v>119</v>
      </c>
      <c r="F388" s="239" t="s">
        <v>51</v>
      </c>
    </row>
    <row r="389" spans="2:6">
      <c r="B389" s="233">
        <v>63421000</v>
      </c>
      <c r="C389" s="233" t="s">
        <v>107</v>
      </c>
      <c r="D389" s="271" t="s">
        <v>1036</v>
      </c>
      <c r="E389" s="241" t="s">
        <v>119</v>
      </c>
      <c r="F389" s="239" t="s">
        <v>51</v>
      </c>
    </row>
    <row r="390" spans="2:6">
      <c r="B390" s="233">
        <v>63423100</v>
      </c>
      <c r="C390" s="233" t="s">
        <v>99</v>
      </c>
      <c r="D390" s="271" t="s">
        <v>1037</v>
      </c>
      <c r="E390" s="241" t="s">
        <v>119</v>
      </c>
      <c r="F390" s="239" t="s">
        <v>52</v>
      </c>
    </row>
    <row r="391" spans="2:6">
      <c r="B391" s="233">
        <v>63423100</v>
      </c>
      <c r="C391" s="233" t="s">
        <v>101</v>
      </c>
      <c r="D391" s="271" t="s">
        <v>1038</v>
      </c>
      <c r="E391" s="241" t="s">
        <v>119</v>
      </c>
      <c r="F391" s="239" t="s">
        <v>52</v>
      </c>
    </row>
    <row r="392" spans="2:6">
      <c r="B392" s="233">
        <v>63423100</v>
      </c>
      <c r="C392" s="233" t="s">
        <v>103</v>
      </c>
      <c r="D392" s="271" t="s">
        <v>1039</v>
      </c>
      <c r="E392" s="241" t="s">
        <v>119</v>
      </c>
      <c r="F392" s="239" t="s">
        <v>52</v>
      </c>
    </row>
    <row r="393" spans="2:6">
      <c r="B393" s="233">
        <v>63423100</v>
      </c>
      <c r="C393" s="233" t="s">
        <v>105</v>
      </c>
      <c r="D393" s="271" t="s">
        <v>1040</v>
      </c>
      <c r="E393" s="241" t="s">
        <v>119</v>
      </c>
      <c r="F393" s="239" t="s">
        <v>52</v>
      </c>
    </row>
    <row r="394" spans="2:6">
      <c r="B394" s="233">
        <v>63423100</v>
      </c>
      <c r="C394" s="233" t="s">
        <v>107</v>
      </c>
      <c r="D394" s="271" t="s">
        <v>1041</v>
      </c>
      <c r="E394" s="241" t="s">
        <v>119</v>
      </c>
      <c r="F394" s="239" t="s">
        <v>52</v>
      </c>
    </row>
    <row r="395" spans="2:6">
      <c r="B395" s="233">
        <v>63423300</v>
      </c>
      <c r="C395" s="233" t="s">
        <v>99</v>
      </c>
      <c r="D395" s="271" t="s">
        <v>1042</v>
      </c>
      <c r="E395" s="241" t="s">
        <v>119</v>
      </c>
      <c r="F395" s="239" t="s">
        <v>53</v>
      </c>
    </row>
    <row r="396" spans="2:6">
      <c r="B396" s="233">
        <v>63423300</v>
      </c>
      <c r="C396" s="233" t="s">
        <v>101</v>
      </c>
      <c r="D396" s="271" t="s">
        <v>1043</v>
      </c>
      <c r="E396" s="241" t="s">
        <v>119</v>
      </c>
      <c r="F396" s="239" t="s">
        <v>53</v>
      </c>
    </row>
    <row r="397" spans="2:6">
      <c r="B397" s="233">
        <v>63423300</v>
      </c>
      <c r="C397" s="233" t="s">
        <v>103</v>
      </c>
      <c r="D397" s="271" t="s">
        <v>1044</v>
      </c>
      <c r="E397" s="241" t="s">
        <v>119</v>
      </c>
      <c r="F397" s="239" t="s">
        <v>53</v>
      </c>
    </row>
    <row r="398" spans="2:6">
      <c r="B398" s="233">
        <v>63423300</v>
      </c>
      <c r="C398" s="233" t="s">
        <v>105</v>
      </c>
      <c r="D398" s="271" t="s">
        <v>1045</v>
      </c>
      <c r="E398" s="241" t="s">
        <v>119</v>
      </c>
      <c r="F398" s="239" t="s">
        <v>53</v>
      </c>
    </row>
    <row r="399" spans="2:6">
      <c r="B399" s="233">
        <v>63423400</v>
      </c>
      <c r="C399" s="233" t="s">
        <v>99</v>
      </c>
      <c r="D399" s="271" t="s">
        <v>1046</v>
      </c>
      <c r="E399" s="241" t="s">
        <v>119</v>
      </c>
      <c r="F399" s="239" t="s">
        <v>54</v>
      </c>
    </row>
    <row r="400" spans="2:6">
      <c r="B400" s="233">
        <v>63423400</v>
      </c>
      <c r="C400" s="233" t="s">
        <v>101</v>
      </c>
      <c r="D400" s="271" t="s">
        <v>1047</v>
      </c>
      <c r="E400" s="241" t="s">
        <v>119</v>
      </c>
      <c r="F400" s="239" t="s">
        <v>54</v>
      </c>
    </row>
    <row r="401" spans="2:6">
      <c r="B401" s="233">
        <v>63423400</v>
      </c>
      <c r="C401" s="233" t="s">
        <v>103</v>
      </c>
      <c r="D401" s="271" t="s">
        <v>1048</v>
      </c>
      <c r="E401" s="241" t="s">
        <v>119</v>
      </c>
      <c r="F401" s="239" t="s">
        <v>54</v>
      </c>
    </row>
    <row r="402" spans="2:6">
      <c r="B402" s="233">
        <v>63423400</v>
      </c>
      <c r="C402" s="233" t="s">
        <v>105</v>
      </c>
      <c r="D402" s="271" t="s">
        <v>1049</v>
      </c>
      <c r="E402" s="241" t="s">
        <v>119</v>
      </c>
      <c r="F402" s="239" t="s">
        <v>54</v>
      </c>
    </row>
    <row r="403" spans="2:6">
      <c r="B403" s="233">
        <v>63423400</v>
      </c>
      <c r="C403" s="233" t="s">
        <v>107</v>
      </c>
      <c r="D403" s="271" t="s">
        <v>1050</v>
      </c>
      <c r="E403" s="241" t="s">
        <v>119</v>
      </c>
      <c r="F403" s="239" t="s">
        <v>54</v>
      </c>
    </row>
    <row r="404" spans="2:6">
      <c r="B404" s="233">
        <v>63423500</v>
      </c>
      <c r="C404" s="233" t="s">
        <v>99</v>
      </c>
      <c r="D404" s="271" t="s">
        <v>1051</v>
      </c>
      <c r="E404" s="241" t="s">
        <v>119</v>
      </c>
      <c r="F404" s="239" t="s">
        <v>55</v>
      </c>
    </row>
    <row r="405" spans="2:6">
      <c r="B405" s="233">
        <v>63423500</v>
      </c>
      <c r="C405" s="233" t="s">
        <v>101</v>
      </c>
      <c r="D405" s="271" t="s">
        <v>1052</v>
      </c>
      <c r="E405" s="241" t="s">
        <v>119</v>
      </c>
      <c r="F405" s="239" t="s">
        <v>55</v>
      </c>
    </row>
    <row r="406" spans="2:6">
      <c r="B406" s="233">
        <v>63423500</v>
      </c>
      <c r="C406" s="233" t="s">
        <v>103</v>
      </c>
      <c r="D406" s="271" t="s">
        <v>1053</v>
      </c>
      <c r="E406" s="241" t="s">
        <v>119</v>
      </c>
      <c r="F406" s="239" t="s">
        <v>55</v>
      </c>
    </row>
    <row r="407" spans="2:6">
      <c r="B407" s="233">
        <v>63423500</v>
      </c>
      <c r="C407" s="233" t="s">
        <v>105</v>
      </c>
      <c r="D407" s="271" t="s">
        <v>1054</v>
      </c>
      <c r="E407" s="241" t="s">
        <v>119</v>
      </c>
      <c r="F407" s="239" t="s">
        <v>55</v>
      </c>
    </row>
    <row r="408" spans="2:6">
      <c r="B408" s="233">
        <v>63423500</v>
      </c>
      <c r="C408" s="233" t="s">
        <v>107</v>
      </c>
      <c r="D408" s="271" t="s">
        <v>1055</v>
      </c>
      <c r="E408" s="241" t="s">
        <v>119</v>
      </c>
      <c r="F408" s="239" t="s">
        <v>55</v>
      </c>
    </row>
    <row r="409" spans="2:6">
      <c r="B409" s="233">
        <v>63423910</v>
      </c>
      <c r="C409" s="233" t="s">
        <v>99</v>
      </c>
      <c r="D409" s="271" t="s">
        <v>1056</v>
      </c>
      <c r="E409" s="241" t="s">
        <v>119</v>
      </c>
      <c r="F409" s="239" t="s">
        <v>56</v>
      </c>
    </row>
    <row r="410" spans="2:6">
      <c r="B410" s="233">
        <v>63423910</v>
      </c>
      <c r="C410" s="233" t="s">
        <v>101</v>
      </c>
      <c r="D410" s="271" t="s">
        <v>1057</v>
      </c>
      <c r="E410" s="241" t="s">
        <v>119</v>
      </c>
      <c r="F410" s="239" t="s">
        <v>56</v>
      </c>
    </row>
    <row r="411" spans="2:6">
      <c r="B411" s="233">
        <v>63423910</v>
      </c>
      <c r="C411" s="233" t="s">
        <v>103</v>
      </c>
      <c r="D411" s="271" t="s">
        <v>1058</v>
      </c>
      <c r="E411" s="241" t="s">
        <v>119</v>
      </c>
      <c r="F411" s="239" t="s">
        <v>56</v>
      </c>
    </row>
    <row r="412" spans="2:6">
      <c r="B412" s="233">
        <v>63423950</v>
      </c>
      <c r="C412" s="233" t="s">
        <v>99</v>
      </c>
      <c r="D412" s="271" t="s">
        <v>1059</v>
      </c>
      <c r="E412" s="241" t="s">
        <v>119</v>
      </c>
      <c r="F412" s="239" t="s">
        <v>561</v>
      </c>
    </row>
    <row r="413" spans="2:6">
      <c r="B413" s="233">
        <v>63423950</v>
      </c>
      <c r="C413" s="233" t="s">
        <v>101</v>
      </c>
      <c r="D413" s="271" t="s">
        <v>1060</v>
      </c>
      <c r="E413" s="241" t="s">
        <v>119</v>
      </c>
      <c r="F413" s="239" t="s">
        <v>561</v>
      </c>
    </row>
    <row r="414" spans="2:6">
      <c r="B414" s="233">
        <v>63423950</v>
      </c>
      <c r="C414" s="233" t="s">
        <v>103</v>
      </c>
      <c r="D414" s="271" t="s">
        <v>1061</v>
      </c>
      <c r="E414" s="241" t="s">
        <v>119</v>
      </c>
      <c r="F414" s="239" t="s">
        <v>561</v>
      </c>
    </row>
    <row r="415" spans="2:6">
      <c r="B415" s="233">
        <v>63423950</v>
      </c>
      <c r="C415" s="233" t="s">
        <v>105</v>
      </c>
      <c r="D415" s="271" t="s">
        <v>1062</v>
      </c>
      <c r="E415" s="241" t="s">
        <v>119</v>
      </c>
      <c r="F415" s="239" t="s">
        <v>561</v>
      </c>
    </row>
    <row r="416" spans="2:6">
      <c r="B416" s="233">
        <v>63711000</v>
      </c>
      <c r="C416" s="233" t="s">
        <v>99</v>
      </c>
      <c r="D416" s="271" t="s">
        <v>1063</v>
      </c>
      <c r="E416" s="241" t="s">
        <v>122</v>
      </c>
      <c r="F416" s="239" t="s">
        <v>562</v>
      </c>
    </row>
    <row r="417" spans="2:6">
      <c r="B417" s="233">
        <v>63711000</v>
      </c>
      <c r="C417" s="233" t="s">
        <v>101</v>
      </c>
      <c r="D417" s="271" t="s">
        <v>1064</v>
      </c>
      <c r="E417" s="241" t="s">
        <v>122</v>
      </c>
      <c r="F417" s="239" t="s">
        <v>562</v>
      </c>
    </row>
    <row r="418" spans="2:6">
      <c r="B418" s="233">
        <v>63711000</v>
      </c>
      <c r="C418" s="233" t="s">
        <v>103</v>
      </c>
      <c r="D418" s="271" t="s">
        <v>1065</v>
      </c>
      <c r="E418" s="241" t="s">
        <v>122</v>
      </c>
      <c r="F418" s="239" t="s">
        <v>562</v>
      </c>
    </row>
    <row r="419" spans="2:6">
      <c r="B419" s="233">
        <v>63711000</v>
      </c>
      <c r="C419" s="233" t="s">
        <v>105</v>
      </c>
      <c r="D419" s="271" t="s">
        <v>1066</v>
      </c>
      <c r="E419" s="241" t="s">
        <v>122</v>
      </c>
      <c r="F419" s="239" t="s">
        <v>562</v>
      </c>
    </row>
    <row r="420" spans="2:6">
      <c r="B420" s="233">
        <v>63711000</v>
      </c>
      <c r="C420" s="233" t="s">
        <v>107</v>
      </c>
      <c r="D420" s="271" t="s">
        <v>1067</v>
      </c>
      <c r="E420" s="241" t="s">
        <v>122</v>
      </c>
      <c r="F420" s="239" t="s">
        <v>562</v>
      </c>
    </row>
    <row r="421" spans="2:6">
      <c r="B421" s="233">
        <v>63712000</v>
      </c>
      <c r="C421" s="233" t="s">
        <v>99</v>
      </c>
      <c r="D421" s="271" t="s">
        <v>1068</v>
      </c>
      <c r="E421" s="241" t="s">
        <v>110</v>
      </c>
      <c r="F421" s="239" t="s">
        <v>57</v>
      </c>
    </row>
    <row r="422" spans="2:6">
      <c r="B422" s="233">
        <v>63712000</v>
      </c>
      <c r="C422" s="233" t="s">
        <v>101</v>
      </c>
      <c r="D422" s="271" t="s">
        <v>1069</v>
      </c>
      <c r="E422" s="241" t="s">
        <v>110</v>
      </c>
      <c r="F422" s="239" t="s">
        <v>57</v>
      </c>
    </row>
    <row r="423" spans="2:6">
      <c r="B423" s="233">
        <v>63712000</v>
      </c>
      <c r="C423" s="233" t="s">
        <v>103</v>
      </c>
      <c r="D423" s="271" t="s">
        <v>1070</v>
      </c>
      <c r="E423" s="241" t="s">
        <v>110</v>
      </c>
      <c r="F423" s="239" t="s">
        <v>57</v>
      </c>
    </row>
    <row r="424" spans="2:6">
      <c r="B424" s="233">
        <v>63712000</v>
      </c>
      <c r="C424" s="233" t="s">
        <v>105</v>
      </c>
      <c r="D424" s="271" t="s">
        <v>1071</v>
      </c>
      <c r="E424" s="241" t="s">
        <v>110</v>
      </c>
      <c r="F424" s="239" t="s">
        <v>57</v>
      </c>
    </row>
    <row r="425" spans="2:6">
      <c r="B425" s="233">
        <v>63712001</v>
      </c>
      <c r="C425" s="233" t="s">
        <v>99</v>
      </c>
      <c r="D425" s="271" t="s">
        <v>1072</v>
      </c>
      <c r="E425" s="241" t="s">
        <v>111</v>
      </c>
      <c r="F425" s="239" t="s">
        <v>58</v>
      </c>
    </row>
    <row r="426" spans="2:6">
      <c r="B426" s="233">
        <v>63712001</v>
      </c>
      <c r="C426" s="233" t="s">
        <v>101</v>
      </c>
      <c r="D426" s="271" t="s">
        <v>1073</v>
      </c>
      <c r="E426" s="241" t="s">
        <v>111</v>
      </c>
      <c r="F426" s="239" t="s">
        <v>58</v>
      </c>
    </row>
    <row r="427" spans="2:6">
      <c r="B427" s="233">
        <v>63712001</v>
      </c>
      <c r="C427" s="233" t="s">
        <v>103</v>
      </c>
      <c r="D427" s="271" t="s">
        <v>1074</v>
      </c>
      <c r="E427" s="241" t="s">
        <v>111</v>
      </c>
      <c r="F427" s="239" t="s">
        <v>58</v>
      </c>
    </row>
    <row r="428" spans="2:6">
      <c r="B428" s="233">
        <v>63712001</v>
      </c>
      <c r="C428" s="233" t="s">
        <v>105</v>
      </c>
      <c r="D428" s="271" t="s">
        <v>1075</v>
      </c>
      <c r="E428" s="241" t="s">
        <v>111</v>
      </c>
      <c r="F428" s="239" t="s">
        <v>58</v>
      </c>
    </row>
    <row r="429" spans="2:6">
      <c r="B429" s="233">
        <v>63712001</v>
      </c>
      <c r="C429" s="233" t="s">
        <v>107</v>
      </c>
      <c r="D429" s="271" t="s">
        <v>1076</v>
      </c>
      <c r="E429" s="241" t="s">
        <v>111</v>
      </c>
      <c r="F429" s="239" t="s">
        <v>58</v>
      </c>
    </row>
    <row r="430" spans="2:6">
      <c r="B430" s="233">
        <v>63720000</v>
      </c>
      <c r="C430" s="233" t="s">
        <v>108</v>
      </c>
      <c r="D430" s="271" t="s">
        <v>1077</v>
      </c>
      <c r="E430" s="241" t="s">
        <v>127</v>
      </c>
      <c r="F430" s="239" t="s">
        <v>59</v>
      </c>
    </row>
    <row r="431" spans="2:6">
      <c r="B431" s="233">
        <v>63830000</v>
      </c>
      <c r="C431" s="233" t="s">
        <v>103</v>
      </c>
      <c r="D431" s="271" t="s">
        <v>1078</v>
      </c>
      <c r="E431" s="241" t="s">
        <v>120</v>
      </c>
      <c r="F431" s="239" t="s">
        <v>60</v>
      </c>
    </row>
    <row r="432" spans="2:6">
      <c r="B432" s="233">
        <v>63830000</v>
      </c>
      <c r="C432" s="233" t="s">
        <v>105</v>
      </c>
      <c r="D432" s="271" t="s">
        <v>1079</v>
      </c>
      <c r="E432" s="241" t="s">
        <v>120</v>
      </c>
      <c r="F432" s="239" t="s">
        <v>60</v>
      </c>
    </row>
    <row r="433" spans="2:6">
      <c r="B433" s="233">
        <v>63830000</v>
      </c>
      <c r="C433" s="233" t="s">
        <v>108</v>
      </c>
      <c r="D433" s="271" t="s">
        <v>1080</v>
      </c>
      <c r="E433" s="241" t="s">
        <v>127</v>
      </c>
      <c r="F433" s="239" t="s">
        <v>60</v>
      </c>
    </row>
    <row r="434" spans="2:6">
      <c r="B434" s="233">
        <v>63830060</v>
      </c>
      <c r="C434" s="233" t="s">
        <v>101</v>
      </c>
      <c r="D434" s="271" t="s">
        <v>1081</v>
      </c>
      <c r="E434" s="241" t="s">
        <v>120</v>
      </c>
      <c r="F434" s="239" t="s">
        <v>61</v>
      </c>
    </row>
    <row r="435" spans="2:6">
      <c r="B435" s="233">
        <v>63830060</v>
      </c>
      <c r="C435" s="233" t="s">
        <v>103</v>
      </c>
      <c r="D435" s="271" t="s">
        <v>1082</v>
      </c>
      <c r="E435" s="241" t="s">
        <v>120</v>
      </c>
      <c r="F435" s="239" t="s">
        <v>61</v>
      </c>
    </row>
    <row r="436" spans="2:6">
      <c r="B436" s="233">
        <v>63830060</v>
      </c>
      <c r="C436" s="233" t="s">
        <v>105</v>
      </c>
      <c r="D436" s="271" t="s">
        <v>1083</v>
      </c>
      <c r="E436" s="241" t="s">
        <v>120</v>
      </c>
      <c r="F436" s="239" t="s">
        <v>61</v>
      </c>
    </row>
    <row r="437" spans="2:6">
      <c r="B437" s="233">
        <v>63830060</v>
      </c>
      <c r="C437" s="233" t="s">
        <v>107</v>
      </c>
      <c r="D437" s="271" t="s">
        <v>1084</v>
      </c>
      <c r="E437" s="241" t="s">
        <v>120</v>
      </c>
      <c r="F437" s="239" t="s">
        <v>61</v>
      </c>
    </row>
    <row r="438" spans="2:6">
      <c r="B438" s="233">
        <v>63830060</v>
      </c>
      <c r="C438" s="233" t="s">
        <v>108</v>
      </c>
      <c r="D438" s="271" t="s">
        <v>1085</v>
      </c>
      <c r="E438" s="241" t="s">
        <v>127</v>
      </c>
      <c r="F438" s="239" t="s">
        <v>61</v>
      </c>
    </row>
    <row r="439" spans="2:6">
      <c r="B439" s="233">
        <v>63831000</v>
      </c>
      <c r="C439" s="233" t="s">
        <v>103</v>
      </c>
      <c r="D439" s="271" t="s">
        <v>1086</v>
      </c>
      <c r="E439" s="241" t="s">
        <v>120</v>
      </c>
      <c r="F439" s="239" t="s">
        <v>62</v>
      </c>
    </row>
    <row r="440" spans="2:6">
      <c r="B440" s="233">
        <v>63831000</v>
      </c>
      <c r="C440" s="233" t="s">
        <v>107</v>
      </c>
      <c r="D440" s="271" t="s">
        <v>1087</v>
      </c>
      <c r="E440" s="241" t="s">
        <v>120</v>
      </c>
      <c r="F440" s="239" t="s">
        <v>62</v>
      </c>
    </row>
    <row r="441" spans="2:6">
      <c r="B441" s="233">
        <v>63831000</v>
      </c>
      <c r="C441" s="233" t="s">
        <v>108</v>
      </c>
      <c r="D441" s="271" t="s">
        <v>1088</v>
      </c>
      <c r="E441" s="241" t="s">
        <v>127</v>
      </c>
      <c r="F441" s="239" t="s">
        <v>62</v>
      </c>
    </row>
    <row r="442" spans="2:6">
      <c r="B442" s="233">
        <v>63832000</v>
      </c>
      <c r="C442" s="233" t="s">
        <v>99</v>
      </c>
      <c r="D442" s="271" t="s">
        <v>1089</v>
      </c>
      <c r="E442" s="241" t="s">
        <v>120</v>
      </c>
      <c r="F442" s="239" t="s">
        <v>63</v>
      </c>
    </row>
    <row r="443" spans="2:6">
      <c r="B443" s="233">
        <v>63832000</v>
      </c>
      <c r="C443" s="233" t="s">
        <v>101</v>
      </c>
      <c r="D443" s="271" t="s">
        <v>1090</v>
      </c>
      <c r="E443" s="241" t="s">
        <v>120</v>
      </c>
      <c r="F443" s="239" t="s">
        <v>63</v>
      </c>
    </row>
    <row r="444" spans="2:6">
      <c r="B444" s="233">
        <v>63832000</v>
      </c>
      <c r="C444" s="233" t="s">
        <v>103</v>
      </c>
      <c r="D444" s="271" t="s">
        <v>1091</v>
      </c>
      <c r="E444" s="241" t="s">
        <v>120</v>
      </c>
      <c r="F444" s="239" t="s">
        <v>63</v>
      </c>
    </row>
    <row r="445" spans="2:6">
      <c r="B445" s="233">
        <v>63832000</v>
      </c>
      <c r="C445" s="233" t="s">
        <v>105</v>
      </c>
      <c r="D445" s="271" t="s">
        <v>1092</v>
      </c>
      <c r="E445" s="241" t="s">
        <v>120</v>
      </c>
      <c r="F445" s="239" t="s">
        <v>63</v>
      </c>
    </row>
    <row r="446" spans="2:6">
      <c r="B446" s="233">
        <v>63832000</v>
      </c>
      <c r="C446" s="233" t="s">
        <v>107</v>
      </c>
      <c r="D446" s="271" t="s">
        <v>1093</v>
      </c>
      <c r="E446" s="241" t="s">
        <v>120</v>
      </c>
      <c r="F446" s="239" t="s">
        <v>63</v>
      </c>
    </row>
    <row r="447" spans="2:6">
      <c r="B447" s="233">
        <v>64110000</v>
      </c>
      <c r="C447" s="233" t="s">
        <v>99</v>
      </c>
      <c r="D447" s="271" t="s">
        <v>1094</v>
      </c>
      <c r="E447" s="241" t="s">
        <v>122</v>
      </c>
      <c r="F447" s="239" t="s">
        <v>65</v>
      </c>
    </row>
    <row r="448" spans="2:6">
      <c r="B448" s="233">
        <v>64110000</v>
      </c>
      <c r="C448" s="233" t="s">
        <v>101</v>
      </c>
      <c r="D448" s="271" t="s">
        <v>1095</v>
      </c>
      <c r="E448" s="241" t="s">
        <v>122</v>
      </c>
      <c r="F448" s="239" t="s">
        <v>65</v>
      </c>
    </row>
    <row r="449" spans="2:6">
      <c r="B449" s="233">
        <v>64110000</v>
      </c>
      <c r="C449" s="233" t="s">
        <v>103</v>
      </c>
      <c r="D449" s="271" t="s">
        <v>1096</v>
      </c>
      <c r="E449" s="241" t="s">
        <v>122</v>
      </c>
      <c r="F449" s="239" t="s">
        <v>65</v>
      </c>
    </row>
    <row r="450" spans="2:6">
      <c r="B450" s="233">
        <v>64110000</v>
      </c>
      <c r="C450" s="233" t="s">
        <v>105</v>
      </c>
      <c r="D450" s="271" t="s">
        <v>1097</v>
      </c>
      <c r="E450" s="241" t="s">
        <v>122</v>
      </c>
      <c r="F450" s="239" t="s">
        <v>65</v>
      </c>
    </row>
    <row r="451" spans="2:6">
      <c r="B451" s="233">
        <v>64110000</v>
      </c>
      <c r="C451" s="233" t="s">
        <v>107</v>
      </c>
      <c r="D451" s="271" t="s">
        <v>1098</v>
      </c>
      <c r="E451" s="241" t="s">
        <v>122</v>
      </c>
      <c r="F451" s="239" t="s">
        <v>65</v>
      </c>
    </row>
    <row r="452" spans="2:6">
      <c r="B452" s="233">
        <v>64110000</v>
      </c>
      <c r="C452" s="233" t="s">
        <v>108</v>
      </c>
      <c r="D452" s="271" t="s">
        <v>1099</v>
      </c>
      <c r="E452" s="241" t="s">
        <v>127</v>
      </c>
      <c r="F452" s="239" t="s">
        <v>65</v>
      </c>
    </row>
    <row r="453" spans="2:6">
      <c r="B453" s="233">
        <v>64112000</v>
      </c>
      <c r="C453" s="233" t="s">
        <v>99</v>
      </c>
      <c r="D453" s="271" t="s">
        <v>1100</v>
      </c>
      <c r="E453" s="241" t="s">
        <v>121</v>
      </c>
      <c r="F453" s="239" t="s">
        <v>66</v>
      </c>
    </row>
    <row r="454" spans="2:6">
      <c r="B454" s="233">
        <v>64112000</v>
      </c>
      <c r="C454" s="233" t="s">
        <v>101</v>
      </c>
      <c r="D454" s="271" t="s">
        <v>1101</v>
      </c>
      <c r="E454" s="241" t="s">
        <v>121</v>
      </c>
      <c r="F454" s="239" t="s">
        <v>66</v>
      </c>
    </row>
    <row r="455" spans="2:6">
      <c r="B455" s="233">
        <v>64112000</v>
      </c>
      <c r="C455" s="233" t="s">
        <v>103</v>
      </c>
      <c r="D455" s="271" t="s">
        <v>1102</v>
      </c>
      <c r="E455" s="241" t="s">
        <v>121</v>
      </c>
      <c r="F455" s="239" t="s">
        <v>66</v>
      </c>
    </row>
    <row r="456" spans="2:6">
      <c r="B456" s="233">
        <v>64112000</v>
      </c>
      <c r="C456" s="233" t="s">
        <v>105</v>
      </c>
      <c r="D456" s="271" t="s">
        <v>1103</v>
      </c>
      <c r="E456" s="241" t="s">
        <v>121</v>
      </c>
      <c r="F456" s="239" t="s">
        <v>66</v>
      </c>
    </row>
    <row r="457" spans="2:6">
      <c r="B457" s="233">
        <v>64112000</v>
      </c>
      <c r="C457" s="233" t="s">
        <v>107</v>
      </c>
      <c r="D457" s="271" t="s">
        <v>1104</v>
      </c>
      <c r="E457" s="241" t="s">
        <v>121</v>
      </c>
      <c r="F457" s="239" t="s">
        <v>66</v>
      </c>
    </row>
    <row r="458" spans="2:6">
      <c r="B458" s="233">
        <v>64112000</v>
      </c>
      <c r="C458" s="233" t="s">
        <v>108</v>
      </c>
      <c r="D458" s="271" t="s">
        <v>1105</v>
      </c>
      <c r="E458" s="241" t="s">
        <v>129</v>
      </c>
      <c r="F458" s="239" t="s">
        <v>66</v>
      </c>
    </row>
    <row r="459" spans="2:6">
      <c r="B459" s="233">
        <v>65000000</v>
      </c>
      <c r="C459" s="233" t="s">
        <v>99</v>
      </c>
      <c r="D459" s="271" t="s">
        <v>1106</v>
      </c>
      <c r="E459" s="241" t="s">
        <v>111</v>
      </c>
      <c r="F459" s="239" t="s">
        <v>68</v>
      </c>
    </row>
    <row r="460" spans="2:6">
      <c r="B460" s="233">
        <v>65000000</v>
      </c>
      <c r="C460" s="233" t="s">
        <v>101</v>
      </c>
      <c r="D460" s="271" t="s">
        <v>1107</v>
      </c>
      <c r="E460" s="241" t="s">
        <v>111</v>
      </c>
      <c r="F460" s="239" t="s">
        <v>68</v>
      </c>
    </row>
    <row r="461" spans="2:6">
      <c r="B461" s="233">
        <v>65000000</v>
      </c>
      <c r="C461" s="233" t="s">
        <v>103</v>
      </c>
      <c r="D461" s="271" t="s">
        <v>1108</v>
      </c>
      <c r="E461" s="241" t="s">
        <v>111</v>
      </c>
      <c r="F461" s="239" t="s">
        <v>68</v>
      </c>
    </row>
    <row r="462" spans="2:6">
      <c r="B462" s="233">
        <v>65000000</v>
      </c>
      <c r="C462" s="233" t="s">
        <v>108</v>
      </c>
      <c r="D462" s="271" t="s">
        <v>1109</v>
      </c>
      <c r="E462" s="241" t="s">
        <v>128</v>
      </c>
      <c r="F462" s="239" t="s">
        <v>68</v>
      </c>
    </row>
    <row r="463" spans="2:6">
      <c r="B463" s="233">
        <v>66110000</v>
      </c>
      <c r="C463" s="233" t="s">
        <v>99</v>
      </c>
      <c r="D463" s="271" t="s">
        <v>1110</v>
      </c>
      <c r="E463" s="241" t="s">
        <v>122</v>
      </c>
      <c r="F463" s="239" t="s">
        <v>70</v>
      </c>
    </row>
    <row r="464" spans="2:6">
      <c r="B464" s="233">
        <v>66110000</v>
      </c>
      <c r="C464" s="233" t="s">
        <v>101</v>
      </c>
      <c r="D464" s="271" t="s">
        <v>1111</v>
      </c>
      <c r="E464" s="241" t="s">
        <v>122</v>
      </c>
      <c r="F464" s="239" t="s">
        <v>70</v>
      </c>
    </row>
    <row r="465" spans="2:6">
      <c r="B465" s="233">
        <v>66110000</v>
      </c>
      <c r="C465" s="233" t="s">
        <v>103</v>
      </c>
      <c r="D465" s="271" t="s">
        <v>1112</v>
      </c>
      <c r="E465" s="241" t="s">
        <v>122</v>
      </c>
      <c r="F465" s="239" t="s">
        <v>70</v>
      </c>
    </row>
    <row r="466" spans="2:6">
      <c r="B466" s="233">
        <v>66110000</v>
      </c>
      <c r="C466" s="233" t="s">
        <v>105</v>
      </c>
      <c r="D466" s="271" t="s">
        <v>1113</v>
      </c>
      <c r="E466" s="241" t="s">
        <v>122</v>
      </c>
      <c r="F466" s="239" t="s">
        <v>70</v>
      </c>
    </row>
    <row r="467" spans="2:6">
      <c r="B467" s="233">
        <v>66110000</v>
      </c>
      <c r="C467" s="233" t="s">
        <v>107</v>
      </c>
      <c r="D467" s="271" t="s">
        <v>1114</v>
      </c>
      <c r="E467" s="241" t="s">
        <v>122</v>
      </c>
      <c r="F467" s="239" t="s">
        <v>70</v>
      </c>
    </row>
    <row r="468" spans="2:6">
      <c r="B468" s="233">
        <v>66110000</v>
      </c>
      <c r="C468" s="233" t="s">
        <v>108</v>
      </c>
      <c r="D468" s="271" t="s">
        <v>1115</v>
      </c>
      <c r="E468" s="241" t="s">
        <v>129</v>
      </c>
      <c r="F468" s="239" t="s">
        <v>70</v>
      </c>
    </row>
    <row r="469" spans="2:6">
      <c r="B469" s="233">
        <v>66121000</v>
      </c>
      <c r="C469" s="233" t="s">
        <v>99</v>
      </c>
      <c r="D469" s="271" t="s">
        <v>1116</v>
      </c>
      <c r="E469" s="241" t="s">
        <v>122</v>
      </c>
      <c r="F469" s="239" t="s">
        <v>71</v>
      </c>
    </row>
    <row r="470" spans="2:6">
      <c r="B470" s="233">
        <v>66121000</v>
      </c>
      <c r="C470" s="233" t="s">
        <v>101</v>
      </c>
      <c r="D470" s="271" t="s">
        <v>1117</v>
      </c>
      <c r="E470" s="241" t="s">
        <v>122</v>
      </c>
      <c r="F470" s="239" t="s">
        <v>71</v>
      </c>
    </row>
    <row r="471" spans="2:6">
      <c r="B471" s="233">
        <v>66121000</v>
      </c>
      <c r="C471" s="233" t="s">
        <v>103</v>
      </c>
      <c r="D471" s="271" t="s">
        <v>1118</v>
      </c>
      <c r="E471" s="241" t="s">
        <v>122</v>
      </c>
      <c r="F471" s="239" t="s">
        <v>71</v>
      </c>
    </row>
    <row r="472" spans="2:6">
      <c r="B472" s="233">
        <v>66121000</v>
      </c>
      <c r="C472" s="233" t="s">
        <v>105</v>
      </c>
      <c r="D472" s="271" t="s">
        <v>1119</v>
      </c>
      <c r="E472" s="241" t="s">
        <v>122</v>
      </c>
      <c r="F472" s="239" t="s">
        <v>71</v>
      </c>
    </row>
    <row r="473" spans="2:6">
      <c r="B473" s="233">
        <v>66121000</v>
      </c>
      <c r="C473" s="233" t="s">
        <v>107</v>
      </c>
      <c r="D473" s="271" t="s">
        <v>1120</v>
      </c>
      <c r="E473" s="241" t="s">
        <v>122</v>
      </c>
      <c r="F473" s="239" t="s">
        <v>71</v>
      </c>
    </row>
    <row r="474" spans="2:6">
      <c r="B474" s="233">
        <v>66121000</v>
      </c>
      <c r="C474" s="233" t="s">
        <v>108</v>
      </c>
      <c r="D474" s="271" t="s">
        <v>1121</v>
      </c>
      <c r="E474" s="241" t="s">
        <v>129</v>
      </c>
      <c r="F474" s="239" t="s">
        <v>71</v>
      </c>
    </row>
    <row r="475" spans="2:6">
      <c r="B475" s="233">
        <v>66380000</v>
      </c>
      <c r="C475" s="233" t="s">
        <v>99</v>
      </c>
      <c r="D475" s="271" t="s">
        <v>1122</v>
      </c>
      <c r="E475" s="241" t="s">
        <v>122</v>
      </c>
      <c r="F475" s="239" t="s">
        <v>75</v>
      </c>
    </row>
    <row r="476" spans="2:6">
      <c r="B476" s="233">
        <v>66380000</v>
      </c>
      <c r="C476" s="233" t="s">
        <v>101</v>
      </c>
      <c r="D476" s="271" t="s">
        <v>1123</v>
      </c>
      <c r="E476" s="241" t="s">
        <v>122</v>
      </c>
      <c r="F476" s="239" t="s">
        <v>75</v>
      </c>
    </row>
    <row r="477" spans="2:6">
      <c r="B477" s="233">
        <v>66380000</v>
      </c>
      <c r="C477" s="233" t="s">
        <v>103</v>
      </c>
      <c r="D477" s="271" t="s">
        <v>1124</v>
      </c>
      <c r="E477" s="241" t="s">
        <v>122</v>
      </c>
      <c r="F477" s="239" t="s">
        <v>75</v>
      </c>
    </row>
    <row r="478" spans="2:6">
      <c r="B478" s="233">
        <v>66380000</v>
      </c>
      <c r="C478" s="233" t="s">
        <v>105</v>
      </c>
      <c r="D478" s="271" t="s">
        <v>1125</v>
      </c>
      <c r="E478" s="241" t="s">
        <v>122</v>
      </c>
      <c r="F478" s="239" t="s">
        <v>75</v>
      </c>
    </row>
    <row r="479" spans="2:6">
      <c r="B479" s="233">
        <v>66380000</v>
      </c>
      <c r="C479" s="233" t="s">
        <v>107</v>
      </c>
      <c r="D479" s="271" t="s">
        <v>1126</v>
      </c>
      <c r="E479" s="241" t="s">
        <v>122</v>
      </c>
      <c r="F479" s="239" t="s">
        <v>75</v>
      </c>
    </row>
    <row r="480" spans="2:6">
      <c r="B480" s="233">
        <v>66380000</v>
      </c>
      <c r="C480" s="233" t="s">
        <v>108</v>
      </c>
      <c r="D480" s="271" t="s">
        <v>1127</v>
      </c>
      <c r="E480" s="241" t="s">
        <v>129</v>
      </c>
      <c r="F480" s="239" t="s">
        <v>75</v>
      </c>
    </row>
    <row r="481" spans="2:6">
      <c r="B481" s="233">
        <v>66410000</v>
      </c>
      <c r="C481" s="233" t="s">
        <v>99</v>
      </c>
      <c r="D481" s="271" t="s">
        <v>1128</v>
      </c>
      <c r="E481" s="241" t="s">
        <v>122</v>
      </c>
      <c r="F481" s="239" t="s">
        <v>76</v>
      </c>
    </row>
    <row r="482" spans="2:6">
      <c r="B482" s="233">
        <v>66410000</v>
      </c>
      <c r="C482" s="233" t="s">
        <v>101</v>
      </c>
      <c r="D482" s="271" t="s">
        <v>1129</v>
      </c>
      <c r="E482" s="241" t="s">
        <v>122</v>
      </c>
      <c r="F482" s="239" t="s">
        <v>76</v>
      </c>
    </row>
    <row r="483" spans="2:6">
      <c r="B483" s="233">
        <v>66410000</v>
      </c>
      <c r="C483" s="233" t="s">
        <v>103</v>
      </c>
      <c r="D483" s="271" t="s">
        <v>1130</v>
      </c>
      <c r="E483" s="241" t="s">
        <v>122</v>
      </c>
      <c r="F483" s="239" t="s">
        <v>76</v>
      </c>
    </row>
    <row r="484" spans="2:6">
      <c r="B484" s="233">
        <v>66410000</v>
      </c>
      <c r="C484" s="233" t="s">
        <v>105</v>
      </c>
      <c r="D484" s="271" t="s">
        <v>1131</v>
      </c>
      <c r="E484" s="241" t="s">
        <v>122</v>
      </c>
      <c r="F484" s="239" t="s">
        <v>76</v>
      </c>
    </row>
    <row r="485" spans="2:6">
      <c r="B485" s="233">
        <v>66410000</v>
      </c>
      <c r="C485" s="233" t="s">
        <v>107</v>
      </c>
      <c r="D485" s="271" t="s">
        <v>1132</v>
      </c>
      <c r="E485" s="241" t="s">
        <v>122</v>
      </c>
      <c r="F485" s="239" t="s">
        <v>76</v>
      </c>
    </row>
    <row r="486" spans="2:6">
      <c r="B486" s="233">
        <v>66410000</v>
      </c>
      <c r="C486" s="233" t="s">
        <v>108</v>
      </c>
      <c r="D486" s="271" t="s">
        <v>1133</v>
      </c>
      <c r="E486" s="241" t="s">
        <v>129</v>
      </c>
      <c r="F486" s="239" t="s">
        <v>76</v>
      </c>
    </row>
    <row r="487" spans="2:6">
      <c r="B487" s="233">
        <v>66411000</v>
      </c>
      <c r="C487" s="233" t="s">
        <v>99</v>
      </c>
      <c r="D487" s="271" t="s">
        <v>1134</v>
      </c>
      <c r="E487" s="241" t="s">
        <v>122</v>
      </c>
      <c r="F487" s="239" t="s">
        <v>77</v>
      </c>
    </row>
    <row r="488" spans="2:6">
      <c r="B488" s="233">
        <v>66411000</v>
      </c>
      <c r="C488" s="233" t="s">
        <v>101</v>
      </c>
      <c r="D488" s="271" t="s">
        <v>1135</v>
      </c>
      <c r="E488" s="241" t="s">
        <v>122</v>
      </c>
      <c r="F488" s="239" t="s">
        <v>77</v>
      </c>
    </row>
    <row r="489" spans="2:6">
      <c r="B489" s="233">
        <v>66411000</v>
      </c>
      <c r="C489" s="233" t="s">
        <v>103</v>
      </c>
      <c r="D489" s="271" t="s">
        <v>1136</v>
      </c>
      <c r="E489" s="241" t="s">
        <v>122</v>
      </c>
      <c r="F489" s="239" t="s">
        <v>77</v>
      </c>
    </row>
    <row r="490" spans="2:6">
      <c r="B490" s="233">
        <v>66411000</v>
      </c>
      <c r="C490" s="233" t="s">
        <v>105</v>
      </c>
      <c r="D490" s="271" t="s">
        <v>1137</v>
      </c>
      <c r="E490" s="241" t="s">
        <v>122</v>
      </c>
      <c r="F490" s="239" t="s">
        <v>77</v>
      </c>
    </row>
    <row r="491" spans="2:6">
      <c r="B491" s="233">
        <v>66411000</v>
      </c>
      <c r="C491" s="233" t="s">
        <v>107</v>
      </c>
      <c r="D491" s="271" t="s">
        <v>1138</v>
      </c>
      <c r="E491" s="241" t="s">
        <v>122</v>
      </c>
      <c r="F491" s="239" t="s">
        <v>77</v>
      </c>
    </row>
    <row r="492" spans="2:6">
      <c r="B492" s="233">
        <v>66411000</v>
      </c>
      <c r="C492" s="233" t="s">
        <v>108</v>
      </c>
      <c r="D492" s="271" t="s">
        <v>1139</v>
      </c>
      <c r="E492" s="241" t="s">
        <v>129</v>
      </c>
      <c r="F492" s="239" t="s">
        <v>77</v>
      </c>
    </row>
    <row r="493" spans="2:6">
      <c r="B493" s="233">
        <v>66420000</v>
      </c>
      <c r="C493" s="233" t="s">
        <v>99</v>
      </c>
      <c r="D493" s="271" t="s">
        <v>1140</v>
      </c>
      <c r="E493" s="241" t="s">
        <v>122</v>
      </c>
      <c r="F493" s="239" t="s">
        <v>78</v>
      </c>
    </row>
    <row r="494" spans="2:6">
      <c r="B494" s="233">
        <v>66420000</v>
      </c>
      <c r="C494" s="233" t="s">
        <v>101</v>
      </c>
      <c r="D494" s="271" t="s">
        <v>1141</v>
      </c>
      <c r="E494" s="241" t="s">
        <v>122</v>
      </c>
      <c r="F494" s="239" t="s">
        <v>78</v>
      </c>
    </row>
    <row r="495" spans="2:6">
      <c r="B495" s="233">
        <v>66420000</v>
      </c>
      <c r="C495" s="233" t="s">
        <v>103</v>
      </c>
      <c r="D495" s="271" t="s">
        <v>1142</v>
      </c>
      <c r="E495" s="241" t="s">
        <v>122</v>
      </c>
      <c r="F495" s="239" t="s">
        <v>78</v>
      </c>
    </row>
    <row r="496" spans="2:6">
      <c r="B496" s="233">
        <v>66420000</v>
      </c>
      <c r="C496" s="233" t="s">
        <v>105</v>
      </c>
      <c r="D496" s="271" t="s">
        <v>1143</v>
      </c>
      <c r="E496" s="241" t="s">
        <v>122</v>
      </c>
      <c r="F496" s="239" t="s">
        <v>78</v>
      </c>
    </row>
    <row r="497" spans="2:6">
      <c r="B497" s="233">
        <v>66420000</v>
      </c>
      <c r="C497" s="233" t="s">
        <v>107</v>
      </c>
      <c r="D497" s="271" t="s">
        <v>1144</v>
      </c>
      <c r="E497" s="241" t="s">
        <v>122</v>
      </c>
      <c r="F497" s="239" t="s">
        <v>78</v>
      </c>
    </row>
    <row r="498" spans="2:6">
      <c r="B498" s="233">
        <v>66420000</v>
      </c>
      <c r="C498" s="233" t="s">
        <v>108</v>
      </c>
      <c r="D498" s="271" t="s">
        <v>1145</v>
      </c>
      <c r="E498" s="241" t="s">
        <v>129</v>
      </c>
      <c r="F498" s="239" t="s">
        <v>78</v>
      </c>
    </row>
    <row r="499" spans="2:6">
      <c r="B499" s="233">
        <v>66421000</v>
      </c>
      <c r="C499" s="233" t="s">
        <v>107</v>
      </c>
      <c r="D499" s="271" t="s">
        <v>1146</v>
      </c>
      <c r="E499" s="241" t="s">
        <v>122</v>
      </c>
      <c r="F499" s="239" t="s">
        <v>79</v>
      </c>
    </row>
    <row r="500" spans="2:6">
      <c r="B500" s="233">
        <v>66421000</v>
      </c>
      <c r="C500" s="233" t="s">
        <v>108</v>
      </c>
      <c r="D500" s="271" t="s">
        <v>1147</v>
      </c>
      <c r="E500" s="241" t="s">
        <v>129</v>
      </c>
      <c r="F500" s="239" t="s">
        <v>79</v>
      </c>
    </row>
    <row r="501" spans="2:6">
      <c r="B501" s="233">
        <v>66424000</v>
      </c>
      <c r="C501" s="233" t="s">
        <v>107</v>
      </c>
      <c r="D501" s="271" t="s">
        <v>1148</v>
      </c>
      <c r="E501" s="241" t="s">
        <v>122</v>
      </c>
      <c r="F501" s="239" t="s">
        <v>564</v>
      </c>
    </row>
    <row r="502" spans="2:6">
      <c r="B502" s="233">
        <v>66430000</v>
      </c>
      <c r="C502" s="233" t="s">
        <v>99</v>
      </c>
      <c r="D502" s="271" t="s">
        <v>1149</v>
      </c>
      <c r="E502" s="241" t="s">
        <v>121</v>
      </c>
      <c r="F502" s="239" t="s">
        <v>80</v>
      </c>
    </row>
    <row r="503" spans="2:6">
      <c r="B503" s="233">
        <v>66430000</v>
      </c>
      <c r="C503" s="233" t="s">
        <v>101</v>
      </c>
      <c r="D503" s="271" t="s">
        <v>1150</v>
      </c>
      <c r="E503" s="241" t="s">
        <v>121</v>
      </c>
      <c r="F503" s="239" t="s">
        <v>80</v>
      </c>
    </row>
    <row r="504" spans="2:6">
      <c r="B504" s="233">
        <v>66430000</v>
      </c>
      <c r="C504" s="233" t="s">
        <v>103</v>
      </c>
      <c r="D504" s="271" t="s">
        <v>1151</v>
      </c>
      <c r="E504" s="241" t="s">
        <v>121</v>
      </c>
      <c r="F504" s="239" t="s">
        <v>80</v>
      </c>
    </row>
    <row r="505" spans="2:6">
      <c r="B505" s="233">
        <v>66430000</v>
      </c>
      <c r="C505" s="233" t="s">
        <v>105</v>
      </c>
      <c r="D505" s="271" t="s">
        <v>1152</v>
      </c>
      <c r="E505" s="241" t="s">
        <v>121</v>
      </c>
      <c r="F505" s="239" t="s">
        <v>80</v>
      </c>
    </row>
    <row r="506" spans="2:6">
      <c r="B506" s="233">
        <v>66430000</v>
      </c>
      <c r="C506" s="233" t="s">
        <v>107</v>
      </c>
      <c r="D506" s="271" t="s">
        <v>1153</v>
      </c>
      <c r="E506" s="241" t="s">
        <v>121</v>
      </c>
      <c r="F506" s="239" t="s">
        <v>80</v>
      </c>
    </row>
    <row r="507" spans="2:6">
      <c r="B507" s="233">
        <v>66810000</v>
      </c>
      <c r="C507" s="233" t="s">
        <v>101</v>
      </c>
      <c r="D507" s="271" t="s">
        <v>1154</v>
      </c>
      <c r="E507" s="241" t="s">
        <v>122</v>
      </c>
      <c r="F507" s="239" t="s">
        <v>563</v>
      </c>
    </row>
    <row r="508" spans="2:6">
      <c r="B508" s="233">
        <v>66810000</v>
      </c>
      <c r="C508" s="233" t="s">
        <v>105</v>
      </c>
      <c r="D508" s="271" t="s">
        <v>1155</v>
      </c>
      <c r="E508" s="241" t="s">
        <v>122</v>
      </c>
      <c r="F508" s="239" t="s">
        <v>563</v>
      </c>
    </row>
    <row r="509" spans="2:6">
      <c r="B509" s="233">
        <v>66831000</v>
      </c>
      <c r="C509" s="233" t="s">
        <v>108</v>
      </c>
      <c r="D509" s="271" t="s">
        <v>1156</v>
      </c>
      <c r="E509" s="241" t="s">
        <v>129</v>
      </c>
      <c r="F509" s="239" t="s">
        <v>81</v>
      </c>
    </row>
    <row r="510" spans="2:6">
      <c r="B510" s="233">
        <v>66840001</v>
      </c>
      <c r="C510" s="233" t="s">
        <v>99</v>
      </c>
      <c r="D510" s="271" t="s">
        <v>1157</v>
      </c>
      <c r="E510" s="241" t="s">
        <v>123</v>
      </c>
      <c r="F510" s="239" t="s">
        <v>82</v>
      </c>
    </row>
    <row r="511" spans="2:6">
      <c r="B511" s="233">
        <v>66840001</v>
      </c>
      <c r="C511" s="233" t="s">
        <v>101</v>
      </c>
      <c r="D511" s="271" t="s">
        <v>1158</v>
      </c>
      <c r="E511" s="241" t="s">
        <v>123</v>
      </c>
      <c r="F511" s="239" t="s">
        <v>82</v>
      </c>
    </row>
    <row r="512" spans="2:6">
      <c r="B512" s="233">
        <v>66840001</v>
      </c>
      <c r="C512" s="233" t="s">
        <v>103</v>
      </c>
      <c r="D512" s="271" t="s">
        <v>1159</v>
      </c>
      <c r="E512" s="241" t="s">
        <v>123</v>
      </c>
      <c r="F512" s="239" t="s">
        <v>82</v>
      </c>
    </row>
    <row r="513" spans="2:6">
      <c r="B513" s="233">
        <v>66840001</v>
      </c>
      <c r="C513" s="233" t="s">
        <v>105</v>
      </c>
      <c r="D513" s="271" t="s">
        <v>1160</v>
      </c>
      <c r="E513" s="241" t="s">
        <v>123</v>
      </c>
      <c r="F513" s="239" t="s">
        <v>82</v>
      </c>
    </row>
    <row r="514" spans="2:6">
      <c r="B514" s="233">
        <v>66840001</v>
      </c>
      <c r="C514" s="233" t="s">
        <v>107</v>
      </c>
      <c r="D514" s="271" t="s">
        <v>1161</v>
      </c>
      <c r="E514" s="241" t="s">
        <v>123</v>
      </c>
      <c r="F514" s="239" t="s">
        <v>82</v>
      </c>
    </row>
    <row r="515" spans="2:6">
      <c r="B515" s="233">
        <v>66840001</v>
      </c>
      <c r="C515" s="233" t="s">
        <v>108</v>
      </c>
      <c r="D515" s="271" t="s">
        <v>1162</v>
      </c>
      <c r="E515" s="241" t="s">
        <v>127</v>
      </c>
      <c r="F515" s="239" t="s">
        <v>82</v>
      </c>
    </row>
    <row r="516" spans="2:6">
      <c r="B516" s="233">
        <v>67443000</v>
      </c>
      <c r="C516" s="233" t="s">
        <v>103</v>
      </c>
      <c r="D516" s="271" t="s">
        <v>1163</v>
      </c>
      <c r="E516" s="241" t="s">
        <v>125</v>
      </c>
      <c r="F516" s="239" t="s">
        <v>83</v>
      </c>
    </row>
    <row r="517" spans="2:6">
      <c r="B517" s="233">
        <v>67445000</v>
      </c>
      <c r="C517" s="233" t="s">
        <v>105</v>
      </c>
      <c r="D517" s="271" t="s">
        <v>1164</v>
      </c>
      <c r="E517" s="241" t="s">
        <v>125</v>
      </c>
      <c r="F517" s="239" t="s">
        <v>84</v>
      </c>
    </row>
    <row r="518" spans="2:6">
      <c r="B518" s="233">
        <v>68130000</v>
      </c>
      <c r="C518" s="233" t="s">
        <v>99</v>
      </c>
      <c r="D518" s="271" t="s">
        <v>1165</v>
      </c>
      <c r="E518" s="241" t="s">
        <v>124</v>
      </c>
      <c r="F518" s="239" t="s">
        <v>85</v>
      </c>
    </row>
    <row r="519" spans="2:6">
      <c r="B519" s="233">
        <v>68130000</v>
      </c>
      <c r="C519" s="233" t="s">
        <v>101</v>
      </c>
      <c r="D519" s="271" t="s">
        <v>1166</v>
      </c>
      <c r="E519" s="241" t="s">
        <v>124</v>
      </c>
      <c r="F519" s="239" t="s">
        <v>85</v>
      </c>
    </row>
    <row r="520" spans="2:6">
      <c r="B520" s="233">
        <v>68130000</v>
      </c>
      <c r="C520" s="233" t="s">
        <v>103</v>
      </c>
      <c r="D520" s="271" t="s">
        <v>1167</v>
      </c>
      <c r="E520" s="241" t="s">
        <v>124</v>
      </c>
      <c r="F520" s="239" t="s">
        <v>85</v>
      </c>
    </row>
    <row r="521" spans="2:6">
      <c r="B521" s="233">
        <v>68130000</v>
      </c>
      <c r="C521" s="233" t="s">
        <v>105</v>
      </c>
      <c r="D521" s="271" t="s">
        <v>1168</v>
      </c>
      <c r="E521" s="241" t="s">
        <v>124</v>
      </c>
      <c r="F521" s="239" t="s">
        <v>85</v>
      </c>
    </row>
    <row r="522" spans="2:6">
      <c r="B522" s="233">
        <v>68130000</v>
      </c>
      <c r="C522" s="233" t="s">
        <v>107</v>
      </c>
      <c r="D522" s="271" t="s">
        <v>1169</v>
      </c>
      <c r="E522" s="241" t="s">
        <v>124</v>
      </c>
      <c r="F522" s="239" t="s">
        <v>85</v>
      </c>
    </row>
    <row r="523" spans="2:6">
      <c r="B523" s="233">
        <v>68130000</v>
      </c>
      <c r="C523" s="233" t="s">
        <v>108</v>
      </c>
      <c r="D523" s="271" t="s">
        <v>1170</v>
      </c>
      <c r="E523" s="241" t="s">
        <v>127</v>
      </c>
      <c r="F523" s="239" t="s">
        <v>85</v>
      </c>
    </row>
    <row r="524" spans="2:6">
      <c r="B524" s="233">
        <v>70210000</v>
      </c>
      <c r="C524" s="233" t="s">
        <v>101</v>
      </c>
      <c r="D524" s="271" t="s">
        <v>1171</v>
      </c>
      <c r="E524" s="241" t="s">
        <v>490</v>
      </c>
      <c r="F524" s="239" t="s">
        <v>87</v>
      </c>
    </row>
    <row r="525" spans="2:6">
      <c r="B525" s="233">
        <v>70210000</v>
      </c>
      <c r="C525" s="233" t="s">
        <v>103</v>
      </c>
      <c r="D525" s="271" t="s">
        <v>1172</v>
      </c>
      <c r="E525" s="241" t="s">
        <v>490</v>
      </c>
      <c r="F525" s="239" t="s">
        <v>87</v>
      </c>
    </row>
    <row r="526" spans="2:6">
      <c r="B526" s="233">
        <v>70210000</v>
      </c>
      <c r="C526" s="233" t="s">
        <v>105</v>
      </c>
      <c r="D526" s="271" t="s">
        <v>1173</v>
      </c>
      <c r="E526" s="242" t="s">
        <v>490</v>
      </c>
      <c r="F526" s="239" t="s">
        <v>87</v>
      </c>
    </row>
    <row r="527" spans="2:6">
      <c r="B527" s="233">
        <v>70221000</v>
      </c>
      <c r="C527" s="233" t="s">
        <v>99</v>
      </c>
      <c r="D527" s="271" t="s">
        <v>1174</v>
      </c>
      <c r="E527" s="242" t="s">
        <v>493</v>
      </c>
      <c r="F527" s="239" t="s">
        <v>88</v>
      </c>
    </row>
    <row r="528" spans="2:6">
      <c r="B528" s="233">
        <v>70221000</v>
      </c>
      <c r="C528" s="233" t="s">
        <v>101</v>
      </c>
      <c r="D528" s="271" t="s">
        <v>1175</v>
      </c>
      <c r="E528" s="242" t="s">
        <v>493</v>
      </c>
      <c r="F528" s="239" t="s">
        <v>88</v>
      </c>
    </row>
    <row r="529" spans="2:6">
      <c r="B529" s="233">
        <v>70221000</v>
      </c>
      <c r="C529" s="233" t="s">
        <v>103</v>
      </c>
      <c r="D529" s="271" t="s">
        <v>1176</v>
      </c>
      <c r="E529" s="241" t="s">
        <v>493</v>
      </c>
      <c r="F529" s="239" t="s">
        <v>88</v>
      </c>
    </row>
    <row r="530" spans="2:6">
      <c r="B530" s="233">
        <v>70221000</v>
      </c>
      <c r="C530" s="233" t="s">
        <v>105</v>
      </c>
      <c r="D530" s="271" t="s">
        <v>1177</v>
      </c>
      <c r="E530" s="241" t="s">
        <v>493</v>
      </c>
      <c r="F530" s="239" t="s">
        <v>88</v>
      </c>
    </row>
    <row r="531" spans="2:6">
      <c r="B531" s="233">
        <v>70230000</v>
      </c>
      <c r="C531" s="233" t="s">
        <v>99</v>
      </c>
      <c r="D531" s="271" t="s">
        <v>1178</v>
      </c>
      <c r="E531" s="242" t="s">
        <v>490</v>
      </c>
      <c r="F531" s="239" t="s">
        <v>89</v>
      </c>
    </row>
    <row r="532" spans="2:6">
      <c r="B532" s="233">
        <v>70230000</v>
      </c>
      <c r="C532" s="233" t="s">
        <v>101</v>
      </c>
      <c r="D532" s="271" t="s">
        <v>1179</v>
      </c>
      <c r="E532" s="241" t="s">
        <v>490</v>
      </c>
      <c r="F532" s="239" t="s">
        <v>89</v>
      </c>
    </row>
    <row r="533" spans="2:6">
      <c r="B533" s="233">
        <v>70230000</v>
      </c>
      <c r="C533" s="233" t="s">
        <v>103</v>
      </c>
      <c r="D533" s="271" t="s">
        <v>1180</v>
      </c>
      <c r="E533" s="241" t="s">
        <v>490</v>
      </c>
      <c r="F533" s="239" t="s">
        <v>89</v>
      </c>
    </row>
    <row r="534" spans="2:6">
      <c r="B534" s="233">
        <v>70230000</v>
      </c>
      <c r="C534" s="233" t="s">
        <v>105</v>
      </c>
      <c r="D534" s="271" t="s">
        <v>1181</v>
      </c>
      <c r="E534" s="239" t="s">
        <v>493</v>
      </c>
      <c r="F534" s="239" t="s">
        <v>89</v>
      </c>
    </row>
    <row r="535" spans="2:6">
      <c r="B535" s="233">
        <v>70781000</v>
      </c>
      <c r="C535" s="233" t="s">
        <v>99</v>
      </c>
      <c r="D535" s="271" t="s">
        <v>1182</v>
      </c>
      <c r="E535" s="241" t="s">
        <v>138</v>
      </c>
      <c r="F535" s="239" t="s">
        <v>91</v>
      </c>
    </row>
    <row r="536" spans="2:6">
      <c r="B536" s="233">
        <v>70781000</v>
      </c>
      <c r="C536" s="233" t="s">
        <v>101</v>
      </c>
      <c r="D536" s="271" t="s">
        <v>1183</v>
      </c>
      <c r="E536" s="241" t="s">
        <v>138</v>
      </c>
      <c r="F536" s="239" t="s">
        <v>91</v>
      </c>
    </row>
    <row r="537" spans="2:6">
      <c r="B537" s="233">
        <v>70781000</v>
      </c>
      <c r="C537" s="233" t="s">
        <v>103</v>
      </c>
      <c r="D537" s="271" t="s">
        <v>1184</v>
      </c>
      <c r="E537" s="241" t="s">
        <v>138</v>
      </c>
      <c r="F537" s="239" t="s">
        <v>91</v>
      </c>
    </row>
    <row r="538" spans="2:6">
      <c r="B538" s="233">
        <v>70781000</v>
      </c>
      <c r="C538" s="233" t="s">
        <v>105</v>
      </c>
      <c r="D538" s="271" t="s">
        <v>1185</v>
      </c>
      <c r="E538" s="242" t="s">
        <v>138</v>
      </c>
      <c r="F538" s="239" t="s">
        <v>91</v>
      </c>
    </row>
    <row r="539" spans="2:6">
      <c r="B539" s="233">
        <v>70781000</v>
      </c>
      <c r="C539" s="233" t="s">
        <v>107</v>
      </c>
      <c r="D539" s="271" t="s">
        <v>1186</v>
      </c>
      <c r="E539" s="242" t="s">
        <v>138</v>
      </c>
      <c r="F539" s="239" t="s">
        <v>91</v>
      </c>
    </row>
    <row r="540" spans="2:6">
      <c r="B540" s="233">
        <v>73610000</v>
      </c>
      <c r="C540" s="233" t="s">
        <v>99</v>
      </c>
      <c r="D540" s="271" t="s">
        <v>1187</v>
      </c>
      <c r="E540" s="241" t="s">
        <v>422</v>
      </c>
      <c r="F540" s="239" t="s">
        <v>92</v>
      </c>
    </row>
    <row r="541" spans="2:6">
      <c r="B541" s="233">
        <v>73610000</v>
      </c>
      <c r="C541" s="233" t="s">
        <v>101</v>
      </c>
      <c r="D541" s="271" t="s">
        <v>1188</v>
      </c>
      <c r="E541" s="241" t="s">
        <v>422</v>
      </c>
      <c r="F541" s="239" t="s">
        <v>92</v>
      </c>
    </row>
    <row r="542" spans="2:6">
      <c r="B542" s="233">
        <v>73610000</v>
      </c>
      <c r="C542" s="233" t="s">
        <v>103</v>
      </c>
      <c r="D542" s="271" t="s">
        <v>1189</v>
      </c>
      <c r="E542" s="241" t="s">
        <v>422</v>
      </c>
      <c r="F542" s="239" t="s">
        <v>92</v>
      </c>
    </row>
    <row r="543" spans="2:6">
      <c r="B543" s="233">
        <v>73610000</v>
      </c>
      <c r="C543" s="233" t="s">
        <v>105</v>
      </c>
      <c r="D543" s="271" t="s">
        <v>1190</v>
      </c>
      <c r="E543" s="241" t="s">
        <v>422</v>
      </c>
      <c r="F543" s="239" t="s">
        <v>92</v>
      </c>
    </row>
    <row r="544" spans="2:6">
      <c r="B544" s="233">
        <v>73610000</v>
      </c>
      <c r="C544" s="233" t="s">
        <v>107</v>
      </c>
      <c r="D544" s="271" t="s">
        <v>1191</v>
      </c>
      <c r="E544" s="241" t="s">
        <v>422</v>
      </c>
      <c r="F544" s="239" t="s">
        <v>92</v>
      </c>
    </row>
    <row r="545" spans="2:6">
      <c r="B545" s="233">
        <v>75800000</v>
      </c>
      <c r="C545" s="233" t="s">
        <v>108</v>
      </c>
      <c r="D545" s="271" t="s">
        <v>1192</v>
      </c>
      <c r="E545" s="241" t="s">
        <v>138</v>
      </c>
      <c r="F545" s="239" t="s">
        <v>94</v>
      </c>
    </row>
    <row r="546" spans="2:6">
      <c r="B546" s="233">
        <v>75880000</v>
      </c>
      <c r="C546" s="233" t="s">
        <v>108</v>
      </c>
      <c r="D546" s="271" t="s">
        <v>1193</v>
      </c>
      <c r="E546" s="242" t="s">
        <v>138</v>
      </c>
      <c r="F546" s="239" t="s">
        <v>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05"/>
  <sheetViews>
    <sheetView topLeftCell="A61" workbookViewId="0">
      <selection activeCell="S34" sqref="S34"/>
    </sheetView>
  </sheetViews>
  <sheetFormatPr baseColWidth="10" defaultRowHeight="15"/>
  <cols>
    <col min="4" max="4" width="17.7109375" bestFit="1" customWidth="1"/>
    <col min="5" max="5" width="26.5703125" bestFit="1" customWidth="1"/>
    <col min="6" max="6" width="40.5703125" bestFit="1" customWidth="1"/>
    <col min="11" max="11" width="17.7109375" bestFit="1" customWidth="1"/>
    <col min="12" max="12" width="25.42578125" bestFit="1" customWidth="1"/>
    <col min="13" max="13" width="39.140625" bestFit="1" customWidth="1"/>
    <col min="17" max="17" width="5.28515625" bestFit="1" customWidth="1"/>
    <col min="18" max="18" width="17.7109375" style="10" bestFit="1" customWidth="1"/>
    <col min="19" max="19" width="15.28515625" bestFit="1" customWidth="1"/>
    <col min="20" max="20" width="31.85546875" bestFit="1" customWidth="1"/>
  </cols>
  <sheetData>
    <row r="2" spans="2:20" ht="15.75" thickBot="1">
      <c r="B2" s="226" t="s">
        <v>647</v>
      </c>
      <c r="C2" s="226"/>
      <c r="D2" s="226"/>
      <c r="E2" s="226"/>
      <c r="F2" s="226"/>
      <c r="I2" s="226" t="s">
        <v>1194</v>
      </c>
      <c r="J2" s="226"/>
      <c r="K2" s="226"/>
      <c r="L2" s="226"/>
      <c r="M2" s="226"/>
      <c r="P2" s="270" t="s">
        <v>1195</v>
      </c>
      <c r="Q2" s="270"/>
      <c r="R2" s="270"/>
      <c r="S2" s="270"/>
      <c r="T2" s="270"/>
    </row>
    <row r="4" spans="2:20">
      <c r="B4" s="233">
        <v>10130000</v>
      </c>
      <c r="C4" s="271" t="s">
        <v>648</v>
      </c>
      <c r="D4" s="271" t="s">
        <v>1251</v>
      </c>
      <c r="E4" s="241" t="s">
        <v>402</v>
      </c>
      <c r="F4" s="239" t="s">
        <v>394</v>
      </c>
      <c r="I4" s="233">
        <v>60151000</v>
      </c>
      <c r="J4" s="233" t="s">
        <v>99</v>
      </c>
      <c r="K4" s="271" t="s">
        <v>1471</v>
      </c>
      <c r="L4" s="241" t="s">
        <v>115</v>
      </c>
      <c r="M4" s="239" t="s">
        <v>1</v>
      </c>
      <c r="P4" s="233">
        <v>70210000</v>
      </c>
      <c r="Q4" s="233" t="s">
        <v>101</v>
      </c>
      <c r="R4" s="271" t="str">
        <f>CONCATENATE(P4,Q4)</f>
        <v>70210000FC03</v>
      </c>
      <c r="S4" s="241" t="s">
        <v>490</v>
      </c>
      <c r="T4" s="239" t="s">
        <v>87</v>
      </c>
    </row>
    <row r="5" spans="2:20">
      <c r="B5" s="233">
        <v>11100000</v>
      </c>
      <c r="C5" s="233" t="s">
        <v>648</v>
      </c>
      <c r="D5" s="271" t="s">
        <v>1252</v>
      </c>
      <c r="E5" s="241" t="s">
        <v>403</v>
      </c>
      <c r="F5" s="239" t="s">
        <v>194</v>
      </c>
      <c r="I5" s="233">
        <v>60151000</v>
      </c>
      <c r="J5" s="233" t="s">
        <v>101</v>
      </c>
      <c r="K5" s="271" t="s">
        <v>1472</v>
      </c>
      <c r="L5" s="241" t="s">
        <v>115</v>
      </c>
      <c r="M5" s="239" t="s">
        <v>1</v>
      </c>
      <c r="P5" s="233">
        <v>70210000</v>
      </c>
      <c r="Q5" s="233" t="s">
        <v>103</v>
      </c>
      <c r="R5" s="271" t="str">
        <f t="shared" ref="R5:R26" si="0">CONCATENATE(P5,Q5)</f>
        <v>70210000FC04</v>
      </c>
      <c r="S5" s="241" t="s">
        <v>490</v>
      </c>
      <c r="T5" s="239" t="s">
        <v>87</v>
      </c>
    </row>
    <row r="6" spans="2:20">
      <c r="B6" s="233">
        <v>12100000</v>
      </c>
      <c r="C6" s="233" t="s">
        <v>648</v>
      </c>
      <c r="D6" s="271" t="s">
        <v>1253</v>
      </c>
      <c r="E6" s="241" t="s">
        <v>403</v>
      </c>
      <c r="F6" s="239" t="s">
        <v>195</v>
      </c>
      <c r="I6" s="233">
        <v>60151000</v>
      </c>
      <c r="J6" s="233" t="s">
        <v>103</v>
      </c>
      <c r="K6" s="271" t="s">
        <v>1473</v>
      </c>
      <c r="L6" s="241" t="s">
        <v>115</v>
      </c>
      <c r="M6" s="239" t="s">
        <v>1</v>
      </c>
      <c r="P6" s="233">
        <v>70210000</v>
      </c>
      <c r="Q6" s="233" t="s">
        <v>105</v>
      </c>
      <c r="R6" s="271" t="str">
        <f t="shared" si="0"/>
        <v>70210000FC05</v>
      </c>
      <c r="S6" s="242" t="s">
        <v>490</v>
      </c>
      <c r="T6" s="239" t="s">
        <v>87</v>
      </c>
    </row>
    <row r="7" spans="2:20">
      <c r="B7" s="233">
        <v>12900000</v>
      </c>
      <c r="C7" s="233" t="s">
        <v>648</v>
      </c>
      <c r="D7" s="271" t="s">
        <v>1254</v>
      </c>
      <c r="E7" s="241" t="s">
        <v>403</v>
      </c>
      <c r="F7" s="239" t="s">
        <v>196</v>
      </c>
      <c r="I7" s="233">
        <v>60151000</v>
      </c>
      <c r="J7" s="233" t="s">
        <v>105</v>
      </c>
      <c r="K7" s="271" t="s">
        <v>1474</v>
      </c>
      <c r="L7" s="241" t="s">
        <v>115</v>
      </c>
      <c r="M7" s="239" t="s">
        <v>1</v>
      </c>
      <c r="P7" s="233">
        <v>70221000</v>
      </c>
      <c r="Q7" s="233" t="s">
        <v>99</v>
      </c>
      <c r="R7" s="271" t="str">
        <f t="shared" si="0"/>
        <v>70221000FC02</v>
      </c>
      <c r="S7" s="242" t="s">
        <v>493</v>
      </c>
      <c r="T7" s="239" t="s">
        <v>88</v>
      </c>
    </row>
    <row r="8" spans="2:20">
      <c r="B8" s="233">
        <v>13010000</v>
      </c>
      <c r="C8" s="233" t="s">
        <v>648</v>
      </c>
      <c r="D8" s="271" t="s">
        <v>1255</v>
      </c>
      <c r="E8" s="241" t="s">
        <v>403</v>
      </c>
      <c r="F8" s="239" t="s">
        <v>565</v>
      </c>
      <c r="I8" s="233">
        <v>60151000</v>
      </c>
      <c r="J8" s="233" t="s">
        <v>107</v>
      </c>
      <c r="K8" s="271" t="s">
        <v>1475</v>
      </c>
      <c r="L8" s="241" t="s">
        <v>115</v>
      </c>
      <c r="M8" s="239" t="s">
        <v>1</v>
      </c>
      <c r="P8" s="233">
        <v>70221000</v>
      </c>
      <c r="Q8" s="233" t="s">
        <v>101</v>
      </c>
      <c r="R8" s="271" t="str">
        <f t="shared" si="0"/>
        <v>70221000FC03</v>
      </c>
      <c r="S8" s="242" t="s">
        <v>493</v>
      </c>
      <c r="T8" s="239" t="s">
        <v>88</v>
      </c>
    </row>
    <row r="9" spans="2:20">
      <c r="B9" s="233">
        <v>13090000</v>
      </c>
      <c r="C9" s="233" t="s">
        <v>648</v>
      </c>
      <c r="D9" s="271" t="s">
        <v>1256</v>
      </c>
      <c r="E9" s="241" t="s">
        <v>403</v>
      </c>
      <c r="F9" s="239" t="s">
        <v>197</v>
      </c>
      <c r="I9" s="233">
        <v>60152000</v>
      </c>
      <c r="J9" s="233" t="s">
        <v>99</v>
      </c>
      <c r="K9" s="271" t="s">
        <v>1476</v>
      </c>
      <c r="L9" s="241" t="s">
        <v>110</v>
      </c>
      <c r="M9" s="239" t="s">
        <v>2</v>
      </c>
      <c r="P9" s="233">
        <v>70221000</v>
      </c>
      <c r="Q9" s="233" t="s">
        <v>103</v>
      </c>
      <c r="R9" s="271" t="str">
        <f t="shared" si="0"/>
        <v>70221000FC04</v>
      </c>
      <c r="S9" s="241" t="s">
        <v>493</v>
      </c>
      <c r="T9" s="239" t="s">
        <v>88</v>
      </c>
    </row>
    <row r="10" spans="2:20">
      <c r="B10" s="233">
        <v>16684000</v>
      </c>
      <c r="C10" s="233" t="s">
        <v>648</v>
      </c>
      <c r="D10" s="271" t="s">
        <v>1257</v>
      </c>
      <c r="E10" s="241" t="s">
        <v>404</v>
      </c>
      <c r="F10" s="239" t="s">
        <v>198</v>
      </c>
      <c r="I10" s="233">
        <v>60152000</v>
      </c>
      <c r="J10" s="233" t="s">
        <v>101</v>
      </c>
      <c r="K10" s="271" t="s">
        <v>1477</v>
      </c>
      <c r="L10" s="241" t="s">
        <v>110</v>
      </c>
      <c r="M10" s="239" t="s">
        <v>2</v>
      </c>
      <c r="P10" s="233">
        <v>70221000</v>
      </c>
      <c r="Q10" s="233" t="s">
        <v>105</v>
      </c>
      <c r="R10" s="271" t="str">
        <f t="shared" si="0"/>
        <v>70221000FC05</v>
      </c>
      <c r="S10" s="241" t="s">
        <v>493</v>
      </c>
      <c r="T10" s="239" t="s">
        <v>88</v>
      </c>
    </row>
    <row r="11" spans="2:20">
      <c r="B11" s="233">
        <v>16863000</v>
      </c>
      <c r="C11" s="233" t="s">
        <v>648</v>
      </c>
      <c r="D11" s="271" t="s">
        <v>1258</v>
      </c>
      <c r="E11" s="241" t="s">
        <v>569</v>
      </c>
      <c r="F11" s="239" t="s">
        <v>199</v>
      </c>
      <c r="I11" s="233">
        <v>60152000</v>
      </c>
      <c r="J11" s="233" t="s">
        <v>103</v>
      </c>
      <c r="K11" s="271" t="s">
        <v>1478</v>
      </c>
      <c r="L11" s="241" t="s">
        <v>110</v>
      </c>
      <c r="M11" s="239" t="s">
        <v>2</v>
      </c>
      <c r="P11" s="233">
        <v>70230000</v>
      </c>
      <c r="Q11" s="233" t="s">
        <v>99</v>
      </c>
      <c r="R11" s="271" t="str">
        <f t="shared" si="0"/>
        <v>70230000FC02</v>
      </c>
      <c r="S11" s="242" t="s">
        <v>490</v>
      </c>
      <c r="T11" s="239" t="s">
        <v>89</v>
      </c>
    </row>
    <row r="12" spans="2:20">
      <c r="B12" s="233">
        <v>16864000</v>
      </c>
      <c r="C12" s="233" t="s">
        <v>648</v>
      </c>
      <c r="D12" s="271" t="s">
        <v>1259</v>
      </c>
      <c r="E12" s="241" t="s">
        <v>569</v>
      </c>
      <c r="F12" s="239" t="s">
        <v>200</v>
      </c>
      <c r="I12" s="233">
        <v>60152000</v>
      </c>
      <c r="J12" s="233" t="s">
        <v>105</v>
      </c>
      <c r="K12" s="271" t="s">
        <v>1479</v>
      </c>
      <c r="L12" s="241" t="s">
        <v>110</v>
      </c>
      <c r="M12" s="239" t="s">
        <v>2</v>
      </c>
      <c r="P12" s="233">
        <v>70230000</v>
      </c>
      <c r="Q12" s="233" t="s">
        <v>101</v>
      </c>
      <c r="R12" s="271" t="str">
        <f t="shared" si="0"/>
        <v>70230000FC03</v>
      </c>
      <c r="S12" s="241" t="s">
        <v>490</v>
      </c>
      <c r="T12" s="239" t="s">
        <v>89</v>
      </c>
    </row>
    <row r="13" spans="2:20">
      <c r="B13" s="233">
        <v>19100000</v>
      </c>
      <c r="C13" s="233" t="s">
        <v>648</v>
      </c>
      <c r="D13" s="271" t="s">
        <v>1260</v>
      </c>
      <c r="E13" s="241" t="s">
        <v>405</v>
      </c>
      <c r="F13" s="239" t="s">
        <v>201</v>
      </c>
      <c r="I13" s="233">
        <v>60152000</v>
      </c>
      <c r="J13" s="233" t="s">
        <v>107</v>
      </c>
      <c r="K13" s="271" t="s">
        <v>1480</v>
      </c>
      <c r="L13" s="241" t="s">
        <v>110</v>
      </c>
      <c r="M13" s="239" t="s">
        <v>2</v>
      </c>
      <c r="P13" s="233">
        <v>70230000</v>
      </c>
      <c r="Q13" s="233" t="s">
        <v>103</v>
      </c>
      <c r="R13" s="271" t="str">
        <f t="shared" si="0"/>
        <v>70230000FC04</v>
      </c>
      <c r="S13" s="241" t="s">
        <v>490</v>
      </c>
      <c r="T13" s="239" t="s">
        <v>89</v>
      </c>
    </row>
    <row r="14" spans="2:20">
      <c r="B14" s="233">
        <v>19610000</v>
      </c>
      <c r="C14" s="233" t="s">
        <v>648</v>
      </c>
      <c r="D14" s="271" t="s">
        <v>1261</v>
      </c>
      <c r="E14" s="241" t="s">
        <v>405</v>
      </c>
      <c r="F14" s="239" t="s">
        <v>202</v>
      </c>
      <c r="I14" s="233">
        <v>60154000</v>
      </c>
      <c r="J14" s="233" t="s">
        <v>99</v>
      </c>
      <c r="K14" s="271" t="s">
        <v>1481</v>
      </c>
      <c r="L14" s="241" t="s">
        <v>111</v>
      </c>
      <c r="M14" s="239" t="s">
        <v>3</v>
      </c>
      <c r="P14" s="233">
        <v>70230000</v>
      </c>
      <c r="Q14" s="233" t="s">
        <v>105</v>
      </c>
      <c r="R14" s="271" t="str">
        <f t="shared" si="0"/>
        <v>70230000FC05</v>
      </c>
      <c r="S14" s="239" t="s">
        <v>493</v>
      </c>
      <c r="T14" s="239" t="s">
        <v>89</v>
      </c>
    </row>
    <row r="15" spans="2:20">
      <c r="B15" s="233">
        <v>23210000</v>
      </c>
      <c r="C15" s="233" t="s">
        <v>648</v>
      </c>
      <c r="D15" s="271" t="s">
        <v>1262</v>
      </c>
      <c r="E15" s="241" t="s">
        <v>420</v>
      </c>
      <c r="F15" s="239" t="s">
        <v>203</v>
      </c>
      <c r="I15" s="233">
        <v>60154000</v>
      </c>
      <c r="J15" s="233" t="s">
        <v>101</v>
      </c>
      <c r="K15" s="271" t="s">
        <v>1482</v>
      </c>
      <c r="L15" s="241" t="s">
        <v>111</v>
      </c>
      <c r="M15" s="239" t="s">
        <v>3</v>
      </c>
      <c r="P15" s="233">
        <v>70781000</v>
      </c>
      <c r="Q15" s="233" t="s">
        <v>99</v>
      </c>
      <c r="R15" s="271" t="str">
        <f t="shared" si="0"/>
        <v>70781000FC02</v>
      </c>
      <c r="S15" s="241" t="s">
        <v>138</v>
      </c>
      <c r="T15" s="239" t="s">
        <v>91</v>
      </c>
    </row>
    <row r="16" spans="2:20">
      <c r="B16" s="233">
        <v>24111002</v>
      </c>
      <c r="C16" s="233" t="s">
        <v>648</v>
      </c>
      <c r="D16" s="271" t="s">
        <v>1263</v>
      </c>
      <c r="E16" s="241" t="s">
        <v>433</v>
      </c>
      <c r="F16" s="239" t="s">
        <v>204</v>
      </c>
      <c r="I16" s="233">
        <v>60154000</v>
      </c>
      <c r="J16" s="233" t="s">
        <v>103</v>
      </c>
      <c r="K16" s="271" t="s">
        <v>1483</v>
      </c>
      <c r="L16" s="241" t="s">
        <v>111</v>
      </c>
      <c r="M16" s="239" t="s">
        <v>3</v>
      </c>
      <c r="P16" s="233">
        <v>70781000</v>
      </c>
      <c r="Q16" s="233" t="s">
        <v>101</v>
      </c>
      <c r="R16" s="271" t="str">
        <f t="shared" si="0"/>
        <v>70781000FC03</v>
      </c>
      <c r="S16" s="241" t="s">
        <v>138</v>
      </c>
      <c r="T16" s="239" t="s">
        <v>91</v>
      </c>
    </row>
    <row r="17" spans="2:20">
      <c r="B17" s="233">
        <v>24111003</v>
      </c>
      <c r="C17" s="233" t="s">
        <v>648</v>
      </c>
      <c r="D17" s="271" t="s">
        <v>1264</v>
      </c>
      <c r="E17" s="241" t="s">
        <v>433</v>
      </c>
      <c r="F17" s="239" t="s">
        <v>205</v>
      </c>
      <c r="I17" s="233">
        <v>60154000</v>
      </c>
      <c r="J17" s="233" t="s">
        <v>105</v>
      </c>
      <c r="K17" s="271" t="s">
        <v>1484</v>
      </c>
      <c r="L17" s="241" t="s">
        <v>111</v>
      </c>
      <c r="M17" s="239" t="s">
        <v>3</v>
      </c>
      <c r="P17" s="233">
        <v>70781000</v>
      </c>
      <c r="Q17" s="233" t="s">
        <v>103</v>
      </c>
      <c r="R17" s="271" t="str">
        <f t="shared" si="0"/>
        <v>70781000FC04</v>
      </c>
      <c r="S17" s="241" t="s">
        <v>138</v>
      </c>
      <c r="T17" s="239" t="s">
        <v>91</v>
      </c>
    </row>
    <row r="18" spans="2:20">
      <c r="B18" s="233">
        <v>24111004</v>
      </c>
      <c r="C18" s="233" t="s">
        <v>648</v>
      </c>
      <c r="D18" s="271" t="s">
        <v>1265</v>
      </c>
      <c r="E18" s="241" t="s">
        <v>433</v>
      </c>
      <c r="F18" s="239" t="s">
        <v>206</v>
      </c>
      <c r="I18" s="233">
        <v>60154000</v>
      </c>
      <c r="J18" s="233" t="s">
        <v>107</v>
      </c>
      <c r="K18" s="271" t="s">
        <v>1485</v>
      </c>
      <c r="L18" s="241" t="s">
        <v>111</v>
      </c>
      <c r="M18" s="239" t="s">
        <v>3</v>
      </c>
      <c r="P18" s="233">
        <v>70781000</v>
      </c>
      <c r="Q18" s="233" t="s">
        <v>105</v>
      </c>
      <c r="R18" s="271" t="str">
        <f t="shared" si="0"/>
        <v>70781000FC05</v>
      </c>
      <c r="S18" s="242" t="s">
        <v>138</v>
      </c>
      <c r="T18" s="239" t="s">
        <v>91</v>
      </c>
    </row>
    <row r="19" spans="2:20">
      <c r="B19" s="233">
        <v>24111005</v>
      </c>
      <c r="C19" s="233" t="s">
        <v>648</v>
      </c>
      <c r="D19" s="271" t="s">
        <v>1266</v>
      </c>
      <c r="E19" s="241" t="s">
        <v>433</v>
      </c>
      <c r="F19" s="239" t="s">
        <v>207</v>
      </c>
      <c r="I19" s="233">
        <v>60330000</v>
      </c>
      <c r="J19" s="233" t="s">
        <v>99</v>
      </c>
      <c r="K19" s="271" t="s">
        <v>1486</v>
      </c>
      <c r="L19" s="241" t="s">
        <v>422</v>
      </c>
      <c r="M19" s="239" t="s">
        <v>4</v>
      </c>
      <c r="P19" s="233">
        <v>70781000</v>
      </c>
      <c r="Q19" s="233" t="s">
        <v>107</v>
      </c>
      <c r="R19" s="271" t="str">
        <f t="shared" si="0"/>
        <v>70781000FC06</v>
      </c>
      <c r="S19" s="242" t="s">
        <v>138</v>
      </c>
      <c r="T19" s="239" t="s">
        <v>91</v>
      </c>
    </row>
    <row r="20" spans="2:20">
      <c r="B20" s="233">
        <v>24111006</v>
      </c>
      <c r="C20" s="233" t="s">
        <v>648</v>
      </c>
      <c r="D20" s="271" t="s">
        <v>1267</v>
      </c>
      <c r="E20" s="241" t="s">
        <v>433</v>
      </c>
      <c r="F20" s="239" t="s">
        <v>208</v>
      </c>
      <c r="I20" s="233">
        <v>60330000</v>
      </c>
      <c r="J20" s="233" t="s">
        <v>101</v>
      </c>
      <c r="K20" s="271" t="s">
        <v>1487</v>
      </c>
      <c r="L20" s="241" t="s">
        <v>422</v>
      </c>
      <c r="M20" s="239" t="s">
        <v>4</v>
      </c>
      <c r="P20" s="233">
        <v>73610000</v>
      </c>
      <c r="Q20" s="233" t="s">
        <v>99</v>
      </c>
      <c r="R20" s="271" t="str">
        <f t="shared" si="0"/>
        <v>73610000FC02</v>
      </c>
      <c r="S20" s="241" t="s">
        <v>422</v>
      </c>
      <c r="T20" s="239" t="s">
        <v>92</v>
      </c>
    </row>
    <row r="21" spans="2:20">
      <c r="B21" s="233">
        <v>24111011</v>
      </c>
      <c r="C21" s="233" t="s">
        <v>648</v>
      </c>
      <c r="D21" s="271" t="s">
        <v>1268</v>
      </c>
      <c r="E21" s="241" t="s">
        <v>433</v>
      </c>
      <c r="F21" s="239" t="s">
        <v>209</v>
      </c>
      <c r="I21" s="233">
        <v>60330000</v>
      </c>
      <c r="J21" s="233" t="s">
        <v>103</v>
      </c>
      <c r="K21" s="271" t="s">
        <v>1488</v>
      </c>
      <c r="L21" s="241" t="s">
        <v>422</v>
      </c>
      <c r="M21" s="239" t="s">
        <v>4</v>
      </c>
      <c r="P21" s="233">
        <v>73610000</v>
      </c>
      <c r="Q21" s="233" t="s">
        <v>101</v>
      </c>
      <c r="R21" s="271" t="str">
        <f t="shared" si="0"/>
        <v>73610000FC03</v>
      </c>
      <c r="S21" s="241" t="s">
        <v>422</v>
      </c>
      <c r="T21" s="239" t="s">
        <v>92</v>
      </c>
    </row>
    <row r="22" spans="2:20">
      <c r="B22" s="233">
        <v>24111012</v>
      </c>
      <c r="C22" s="233" t="s">
        <v>648</v>
      </c>
      <c r="D22" s="271" t="s">
        <v>1269</v>
      </c>
      <c r="E22" s="241" t="s">
        <v>433</v>
      </c>
      <c r="F22" s="239" t="s">
        <v>210</v>
      </c>
      <c r="I22" s="233">
        <v>60330000</v>
      </c>
      <c r="J22" s="233" t="s">
        <v>105</v>
      </c>
      <c r="K22" s="271" t="s">
        <v>1489</v>
      </c>
      <c r="L22" s="241" t="s">
        <v>422</v>
      </c>
      <c r="M22" s="239" t="s">
        <v>4</v>
      </c>
      <c r="P22" s="233">
        <v>73610000</v>
      </c>
      <c r="Q22" s="233" t="s">
        <v>103</v>
      </c>
      <c r="R22" s="271" t="str">
        <f t="shared" si="0"/>
        <v>73610000FC04</v>
      </c>
      <c r="S22" s="241" t="s">
        <v>422</v>
      </c>
      <c r="T22" s="239" t="s">
        <v>92</v>
      </c>
    </row>
    <row r="23" spans="2:20">
      <c r="B23" s="233">
        <v>24111013</v>
      </c>
      <c r="C23" s="233" t="s">
        <v>648</v>
      </c>
      <c r="D23" s="271" t="s">
        <v>1270</v>
      </c>
      <c r="E23" s="241" t="s">
        <v>433</v>
      </c>
      <c r="F23" s="239" t="s">
        <v>211</v>
      </c>
      <c r="I23" s="233">
        <v>60330000</v>
      </c>
      <c r="J23" s="233" t="s">
        <v>107</v>
      </c>
      <c r="K23" s="271" t="s">
        <v>1490</v>
      </c>
      <c r="L23" s="241" t="s">
        <v>422</v>
      </c>
      <c r="M23" s="239" t="s">
        <v>4</v>
      </c>
      <c r="P23" s="233">
        <v>73610000</v>
      </c>
      <c r="Q23" s="233" t="s">
        <v>105</v>
      </c>
      <c r="R23" s="271" t="str">
        <f t="shared" si="0"/>
        <v>73610000FC05</v>
      </c>
      <c r="S23" s="241" t="s">
        <v>422</v>
      </c>
      <c r="T23" s="239" t="s">
        <v>92</v>
      </c>
    </row>
    <row r="24" spans="2:20">
      <c r="B24" s="233">
        <v>24112002</v>
      </c>
      <c r="C24" s="233" t="s">
        <v>648</v>
      </c>
      <c r="D24" s="271" t="s">
        <v>1271</v>
      </c>
      <c r="E24" s="241" t="s">
        <v>445</v>
      </c>
      <c r="F24" s="239" t="s">
        <v>212</v>
      </c>
      <c r="I24" s="233">
        <v>60340000</v>
      </c>
      <c r="J24" s="233" t="s">
        <v>99</v>
      </c>
      <c r="K24" s="271" t="s">
        <v>1491</v>
      </c>
      <c r="L24" s="241" t="s">
        <v>422</v>
      </c>
      <c r="M24" s="239" t="s">
        <v>5</v>
      </c>
      <c r="P24" s="233">
        <v>73610000</v>
      </c>
      <c r="Q24" s="233" t="s">
        <v>107</v>
      </c>
      <c r="R24" s="271" t="str">
        <f t="shared" si="0"/>
        <v>73610000FC06</v>
      </c>
      <c r="S24" s="241" t="s">
        <v>422</v>
      </c>
      <c r="T24" s="239" t="s">
        <v>92</v>
      </c>
    </row>
    <row r="25" spans="2:20">
      <c r="B25" s="233">
        <v>24112003</v>
      </c>
      <c r="C25" s="233" t="s">
        <v>648</v>
      </c>
      <c r="D25" s="271" t="s">
        <v>1272</v>
      </c>
      <c r="E25" s="241" t="s">
        <v>445</v>
      </c>
      <c r="F25" s="239" t="s">
        <v>213</v>
      </c>
      <c r="I25" s="233">
        <v>60340000</v>
      </c>
      <c r="J25" s="233" t="s">
        <v>101</v>
      </c>
      <c r="K25" s="271" t="s">
        <v>1492</v>
      </c>
      <c r="L25" s="241" t="s">
        <v>422</v>
      </c>
      <c r="M25" s="239" t="s">
        <v>5</v>
      </c>
      <c r="P25" s="233">
        <v>75800000</v>
      </c>
      <c r="Q25" s="233" t="s">
        <v>108</v>
      </c>
      <c r="R25" s="271" t="str">
        <f t="shared" si="0"/>
        <v>75800000SA10</v>
      </c>
      <c r="S25" s="241" t="s">
        <v>138</v>
      </c>
      <c r="T25" s="239" t="s">
        <v>94</v>
      </c>
    </row>
    <row r="26" spans="2:20">
      <c r="B26" s="233">
        <v>24112004</v>
      </c>
      <c r="C26" s="233" t="s">
        <v>648</v>
      </c>
      <c r="D26" s="271" t="s">
        <v>1273</v>
      </c>
      <c r="E26" s="241" t="s">
        <v>445</v>
      </c>
      <c r="F26" s="239" t="s">
        <v>214</v>
      </c>
      <c r="I26" s="233">
        <v>60340000</v>
      </c>
      <c r="J26" s="233" t="s">
        <v>103</v>
      </c>
      <c r="K26" s="271" t="s">
        <v>1493</v>
      </c>
      <c r="L26" s="241" t="s">
        <v>422</v>
      </c>
      <c r="M26" s="239" t="s">
        <v>5</v>
      </c>
      <c r="P26" s="233">
        <v>75880000</v>
      </c>
      <c r="Q26" s="233" t="s">
        <v>108</v>
      </c>
      <c r="R26" s="271" t="str">
        <f t="shared" si="0"/>
        <v>75880000SA10</v>
      </c>
      <c r="S26" s="242" t="s">
        <v>138</v>
      </c>
      <c r="T26" s="239" t="s">
        <v>95</v>
      </c>
    </row>
    <row r="27" spans="2:20">
      <c r="B27" s="233">
        <v>24112011</v>
      </c>
      <c r="C27" s="233" t="s">
        <v>648</v>
      </c>
      <c r="D27" s="271" t="s">
        <v>1274</v>
      </c>
      <c r="E27" s="241" t="s">
        <v>445</v>
      </c>
      <c r="F27" s="239" t="s">
        <v>215</v>
      </c>
      <c r="I27" s="233">
        <v>60340000</v>
      </c>
      <c r="J27" s="233" t="s">
        <v>105</v>
      </c>
      <c r="K27" s="271" t="s">
        <v>1494</v>
      </c>
      <c r="L27" s="241" t="s">
        <v>422</v>
      </c>
      <c r="M27" s="239" t="s">
        <v>5</v>
      </c>
    </row>
    <row r="28" spans="2:20">
      <c r="B28" s="233">
        <v>24112012</v>
      </c>
      <c r="C28" s="233" t="s">
        <v>648</v>
      </c>
      <c r="D28" s="271" t="s">
        <v>1275</v>
      </c>
      <c r="E28" s="241" t="s">
        <v>445</v>
      </c>
      <c r="F28" s="239" t="s">
        <v>215</v>
      </c>
      <c r="I28" s="233">
        <v>60340000</v>
      </c>
      <c r="J28" s="233" t="s">
        <v>107</v>
      </c>
      <c r="K28" s="271" t="s">
        <v>1495</v>
      </c>
      <c r="L28" s="241" t="s">
        <v>422</v>
      </c>
      <c r="M28" s="239" t="s">
        <v>5</v>
      </c>
    </row>
    <row r="29" spans="2:20">
      <c r="B29" s="233">
        <v>24112013</v>
      </c>
      <c r="C29" s="233" t="s">
        <v>648</v>
      </c>
      <c r="D29" s="271" t="s">
        <v>1276</v>
      </c>
      <c r="E29" s="241" t="s">
        <v>445</v>
      </c>
      <c r="F29" s="239" t="s">
        <v>216</v>
      </c>
      <c r="I29" s="233">
        <v>60410000</v>
      </c>
      <c r="J29" s="233" t="s">
        <v>99</v>
      </c>
      <c r="K29" s="271" t="s">
        <v>1496</v>
      </c>
      <c r="L29" s="241" t="s">
        <v>113</v>
      </c>
      <c r="M29" s="239" t="s">
        <v>6</v>
      </c>
    </row>
    <row r="30" spans="2:20">
      <c r="B30" s="233">
        <v>24112014</v>
      </c>
      <c r="C30" s="233" t="s">
        <v>648</v>
      </c>
      <c r="D30" s="271" t="s">
        <v>1277</v>
      </c>
      <c r="E30" s="241" t="s">
        <v>446</v>
      </c>
      <c r="F30" s="239" t="s">
        <v>217</v>
      </c>
      <c r="I30" s="233">
        <v>60410000</v>
      </c>
      <c r="J30" s="233" t="s">
        <v>101</v>
      </c>
      <c r="K30" s="271" t="s">
        <v>1497</v>
      </c>
      <c r="L30" s="241" t="s">
        <v>113</v>
      </c>
      <c r="M30" s="239" t="s">
        <v>6</v>
      </c>
    </row>
    <row r="31" spans="2:20">
      <c r="B31" s="233">
        <v>24113002</v>
      </c>
      <c r="C31" s="233" t="s">
        <v>648</v>
      </c>
      <c r="D31" s="271" t="s">
        <v>1278</v>
      </c>
      <c r="E31" s="241" t="s">
        <v>446</v>
      </c>
      <c r="F31" s="239" t="s">
        <v>218</v>
      </c>
      <c r="I31" s="233">
        <v>60410000</v>
      </c>
      <c r="J31" s="233" t="s">
        <v>103</v>
      </c>
      <c r="K31" s="271" t="s">
        <v>1498</v>
      </c>
      <c r="L31" s="241" t="s">
        <v>113</v>
      </c>
      <c r="M31" s="239" t="s">
        <v>6</v>
      </c>
    </row>
    <row r="32" spans="2:20">
      <c r="B32" s="233">
        <v>24113003</v>
      </c>
      <c r="C32" s="233" t="s">
        <v>648</v>
      </c>
      <c r="D32" s="271" t="s">
        <v>1279</v>
      </c>
      <c r="E32" s="241" t="s">
        <v>446</v>
      </c>
      <c r="F32" s="239" t="s">
        <v>219</v>
      </c>
      <c r="I32" s="233">
        <v>60410000</v>
      </c>
      <c r="J32" s="233" t="s">
        <v>105</v>
      </c>
      <c r="K32" s="271" t="s">
        <v>1499</v>
      </c>
      <c r="L32" s="241" t="s">
        <v>113</v>
      </c>
      <c r="M32" s="239" t="s">
        <v>6</v>
      </c>
    </row>
    <row r="33" spans="2:13">
      <c r="B33" s="233">
        <v>24113004</v>
      </c>
      <c r="C33" s="233" t="s">
        <v>648</v>
      </c>
      <c r="D33" s="271" t="s">
        <v>1280</v>
      </c>
      <c r="E33" s="241" t="s">
        <v>446</v>
      </c>
      <c r="F33" s="239" t="s">
        <v>220</v>
      </c>
      <c r="I33" s="233">
        <v>60410000</v>
      </c>
      <c r="J33" s="233" t="s">
        <v>107</v>
      </c>
      <c r="K33" s="271" t="s">
        <v>1500</v>
      </c>
      <c r="L33" s="241" t="s">
        <v>113</v>
      </c>
      <c r="M33" s="239" t="s">
        <v>6</v>
      </c>
    </row>
    <row r="34" spans="2:13">
      <c r="B34" s="233">
        <v>24113005</v>
      </c>
      <c r="C34" s="233" t="s">
        <v>648</v>
      </c>
      <c r="D34" s="271" t="s">
        <v>1281</v>
      </c>
      <c r="E34" s="241" t="s">
        <v>446</v>
      </c>
      <c r="F34" s="239" t="s">
        <v>220</v>
      </c>
      <c r="I34" s="233">
        <v>60520000</v>
      </c>
      <c r="J34" s="233" t="s">
        <v>108</v>
      </c>
      <c r="K34" s="271" t="s">
        <v>1501</v>
      </c>
      <c r="L34" s="241" t="s">
        <v>127</v>
      </c>
      <c r="M34" s="239" t="s">
        <v>9</v>
      </c>
    </row>
    <row r="35" spans="2:13">
      <c r="B35" s="233">
        <v>24113006</v>
      </c>
      <c r="C35" s="233" t="s">
        <v>648</v>
      </c>
      <c r="D35" s="271" t="s">
        <v>1282</v>
      </c>
      <c r="E35" s="241" t="s">
        <v>446</v>
      </c>
      <c r="F35" s="239" t="s">
        <v>221</v>
      </c>
      <c r="I35" s="233">
        <v>60530000</v>
      </c>
      <c r="J35" s="233" t="s">
        <v>108</v>
      </c>
      <c r="K35" s="271" t="s">
        <v>1502</v>
      </c>
      <c r="L35" s="241" t="s">
        <v>127</v>
      </c>
      <c r="M35" s="239" t="s">
        <v>10</v>
      </c>
    </row>
    <row r="36" spans="2:13">
      <c r="B36" s="233">
        <v>24113011</v>
      </c>
      <c r="C36" s="233" t="s">
        <v>648</v>
      </c>
      <c r="D36" s="271" t="s">
        <v>1283</v>
      </c>
      <c r="E36" s="241" t="s">
        <v>446</v>
      </c>
      <c r="F36" s="239" t="s">
        <v>222</v>
      </c>
      <c r="I36" s="233">
        <v>60531000</v>
      </c>
      <c r="J36" s="233" t="s">
        <v>99</v>
      </c>
      <c r="K36" s="271" t="s">
        <v>1503</v>
      </c>
      <c r="L36" s="241" t="s">
        <v>112</v>
      </c>
      <c r="M36" s="239" t="s">
        <v>11</v>
      </c>
    </row>
    <row r="37" spans="2:13">
      <c r="B37" s="233">
        <v>24113012</v>
      </c>
      <c r="C37" s="233" t="s">
        <v>648</v>
      </c>
      <c r="D37" s="271" t="s">
        <v>1284</v>
      </c>
      <c r="E37" s="241" t="s">
        <v>446</v>
      </c>
      <c r="F37" s="239" t="s">
        <v>223</v>
      </c>
      <c r="I37" s="233">
        <v>60531000</v>
      </c>
      <c r="J37" s="233" t="s">
        <v>101</v>
      </c>
      <c r="K37" s="271" t="s">
        <v>1504</v>
      </c>
      <c r="L37" s="241" t="s">
        <v>112</v>
      </c>
      <c r="M37" s="239" t="s">
        <v>11</v>
      </c>
    </row>
    <row r="38" spans="2:13">
      <c r="B38" s="233">
        <v>24113013</v>
      </c>
      <c r="C38" s="233" t="s">
        <v>648</v>
      </c>
      <c r="D38" s="271" t="s">
        <v>1285</v>
      </c>
      <c r="E38" s="241" t="s">
        <v>444</v>
      </c>
      <c r="F38" s="239" t="s">
        <v>224</v>
      </c>
      <c r="I38" s="233">
        <v>60531000</v>
      </c>
      <c r="J38" s="233" t="s">
        <v>105</v>
      </c>
      <c r="K38" s="271" t="s">
        <v>1505</v>
      </c>
      <c r="L38" s="241" t="s">
        <v>112</v>
      </c>
      <c r="M38" s="239" t="s">
        <v>11</v>
      </c>
    </row>
    <row r="39" spans="2:13">
      <c r="B39" s="233">
        <v>24114002</v>
      </c>
      <c r="C39" s="233" t="s">
        <v>648</v>
      </c>
      <c r="D39" s="271" t="s">
        <v>1286</v>
      </c>
      <c r="E39" s="241" t="s">
        <v>444</v>
      </c>
      <c r="F39" s="239" t="s">
        <v>225</v>
      </c>
      <c r="I39" s="233">
        <v>60531000</v>
      </c>
      <c r="J39" s="233" t="s">
        <v>107</v>
      </c>
      <c r="K39" s="271" t="s">
        <v>1506</v>
      </c>
      <c r="L39" s="241" t="s">
        <v>112</v>
      </c>
      <c r="M39" s="239" t="s">
        <v>11</v>
      </c>
    </row>
    <row r="40" spans="2:13">
      <c r="B40" s="233">
        <v>24114003</v>
      </c>
      <c r="C40" s="233" t="s">
        <v>648</v>
      </c>
      <c r="D40" s="271" t="s">
        <v>1287</v>
      </c>
      <c r="E40" s="241" t="s">
        <v>444</v>
      </c>
      <c r="F40" s="239" t="s">
        <v>226</v>
      </c>
      <c r="I40" s="233">
        <v>60561000</v>
      </c>
      <c r="J40" s="233" t="s">
        <v>99</v>
      </c>
      <c r="K40" s="271" t="s">
        <v>1507</v>
      </c>
      <c r="L40" s="241" t="s">
        <v>113</v>
      </c>
      <c r="M40" s="239" t="s">
        <v>14</v>
      </c>
    </row>
    <row r="41" spans="2:13">
      <c r="B41" s="233">
        <v>24114004</v>
      </c>
      <c r="C41" s="233" t="s">
        <v>648</v>
      </c>
      <c r="D41" s="271" t="s">
        <v>1288</v>
      </c>
      <c r="E41" s="241" t="s">
        <v>444</v>
      </c>
      <c r="F41" s="239" t="s">
        <v>227</v>
      </c>
      <c r="I41" s="233">
        <v>60561000</v>
      </c>
      <c r="J41" s="233" t="s">
        <v>103</v>
      </c>
      <c r="K41" s="271" t="s">
        <v>1508</v>
      </c>
      <c r="L41" s="241" t="s">
        <v>113</v>
      </c>
      <c r="M41" s="239" t="s">
        <v>14</v>
      </c>
    </row>
    <row r="42" spans="2:13">
      <c r="B42" s="233">
        <v>24114005</v>
      </c>
      <c r="C42" s="233" t="s">
        <v>648</v>
      </c>
      <c r="D42" s="271" t="s">
        <v>1289</v>
      </c>
      <c r="E42" s="241" t="s">
        <v>444</v>
      </c>
      <c r="F42" s="239" t="s">
        <v>228</v>
      </c>
      <c r="I42" s="233">
        <v>60561000</v>
      </c>
      <c r="J42" s="233" t="s">
        <v>107</v>
      </c>
      <c r="K42" s="271" t="s">
        <v>1509</v>
      </c>
      <c r="L42" s="241" t="s">
        <v>113</v>
      </c>
      <c r="M42" s="239" t="s">
        <v>14</v>
      </c>
    </row>
    <row r="43" spans="2:13">
      <c r="B43" s="233">
        <v>24114011</v>
      </c>
      <c r="C43" s="233" t="s">
        <v>648</v>
      </c>
      <c r="D43" s="271" t="s">
        <v>1290</v>
      </c>
      <c r="E43" s="241" t="s">
        <v>444</v>
      </c>
      <c r="F43" s="239" t="s">
        <v>229</v>
      </c>
      <c r="I43" s="233">
        <v>60562000</v>
      </c>
      <c r="J43" s="233" t="s">
        <v>99</v>
      </c>
      <c r="K43" s="271" t="s">
        <v>1510</v>
      </c>
      <c r="L43" s="241" t="s">
        <v>113</v>
      </c>
      <c r="M43" s="239" t="s">
        <v>15</v>
      </c>
    </row>
    <row r="44" spans="2:13">
      <c r="B44" s="233">
        <v>24114012</v>
      </c>
      <c r="C44" s="233" t="s">
        <v>648</v>
      </c>
      <c r="D44" s="271" t="s">
        <v>1291</v>
      </c>
      <c r="E44" s="241" t="s">
        <v>186</v>
      </c>
      <c r="F44" s="239" t="s">
        <v>230</v>
      </c>
      <c r="I44" s="233">
        <v>60562000</v>
      </c>
      <c r="J44" s="233" t="s">
        <v>105</v>
      </c>
      <c r="K44" s="271" t="s">
        <v>1511</v>
      </c>
      <c r="L44" s="241" t="s">
        <v>113</v>
      </c>
      <c r="M44" s="239" t="s">
        <v>15</v>
      </c>
    </row>
    <row r="45" spans="2:13">
      <c r="B45" s="233">
        <v>24115002</v>
      </c>
      <c r="C45" s="233" t="s">
        <v>648</v>
      </c>
      <c r="D45" s="271" t="s">
        <v>1292</v>
      </c>
      <c r="E45" s="241" t="s">
        <v>186</v>
      </c>
      <c r="F45" s="239" t="s">
        <v>231</v>
      </c>
      <c r="I45" s="233">
        <v>60562000</v>
      </c>
      <c r="J45" s="233" t="s">
        <v>107</v>
      </c>
      <c r="K45" s="271" t="s">
        <v>1512</v>
      </c>
      <c r="L45" s="241" t="s">
        <v>113</v>
      </c>
      <c r="M45" s="239" t="s">
        <v>15</v>
      </c>
    </row>
    <row r="46" spans="2:13">
      <c r="B46" s="233">
        <v>24115003</v>
      </c>
      <c r="C46" s="233" t="s">
        <v>648</v>
      </c>
      <c r="D46" s="271" t="s">
        <v>1293</v>
      </c>
      <c r="E46" s="241" t="s">
        <v>186</v>
      </c>
      <c r="F46" s="239" t="s">
        <v>232</v>
      </c>
      <c r="I46" s="233">
        <v>60563000</v>
      </c>
      <c r="J46" s="233" t="s">
        <v>99</v>
      </c>
      <c r="K46" s="271" t="s">
        <v>1513</v>
      </c>
      <c r="L46" s="241" t="s">
        <v>113</v>
      </c>
      <c r="M46" s="239" t="s">
        <v>16</v>
      </c>
    </row>
    <row r="47" spans="2:13">
      <c r="B47" s="233">
        <v>24115004</v>
      </c>
      <c r="C47" s="233" t="s">
        <v>648</v>
      </c>
      <c r="D47" s="271" t="s">
        <v>1294</v>
      </c>
      <c r="E47" s="241" t="s">
        <v>186</v>
      </c>
      <c r="F47" s="239" t="s">
        <v>233</v>
      </c>
      <c r="I47" s="233">
        <v>60563000</v>
      </c>
      <c r="J47" s="233" t="s">
        <v>103</v>
      </c>
      <c r="K47" s="271" t="s">
        <v>1514</v>
      </c>
      <c r="L47" s="241" t="s">
        <v>113</v>
      </c>
      <c r="M47" s="239" t="s">
        <v>16</v>
      </c>
    </row>
    <row r="48" spans="2:13">
      <c r="B48" s="233">
        <v>24115007</v>
      </c>
      <c r="C48" s="233" t="s">
        <v>648</v>
      </c>
      <c r="D48" s="271" t="s">
        <v>1295</v>
      </c>
      <c r="E48" s="241" t="s">
        <v>186</v>
      </c>
      <c r="F48" s="239" t="s">
        <v>566</v>
      </c>
      <c r="I48" s="233">
        <v>60563000</v>
      </c>
      <c r="J48" s="233" t="s">
        <v>105</v>
      </c>
      <c r="K48" s="271" t="s">
        <v>1515</v>
      </c>
      <c r="L48" s="241" t="s">
        <v>113</v>
      </c>
      <c r="M48" s="239" t="s">
        <v>16</v>
      </c>
    </row>
    <row r="49" spans="2:13">
      <c r="B49" s="233">
        <v>24115011</v>
      </c>
      <c r="C49" s="233" t="s">
        <v>648</v>
      </c>
      <c r="D49" s="271" t="s">
        <v>1296</v>
      </c>
      <c r="E49" s="241" t="s">
        <v>186</v>
      </c>
      <c r="F49" s="239" t="s">
        <v>234</v>
      </c>
      <c r="I49" s="233">
        <v>60565000</v>
      </c>
      <c r="J49" s="233" t="s">
        <v>107</v>
      </c>
      <c r="K49" s="271" t="s">
        <v>1516</v>
      </c>
      <c r="L49" s="241" t="s">
        <v>130</v>
      </c>
      <c r="M49" s="239" t="s">
        <v>17</v>
      </c>
    </row>
    <row r="50" spans="2:13">
      <c r="B50" s="233">
        <v>24115012</v>
      </c>
      <c r="C50" s="233" t="s">
        <v>648</v>
      </c>
      <c r="D50" s="271" t="s">
        <v>1297</v>
      </c>
      <c r="E50" s="241" t="s">
        <v>186</v>
      </c>
      <c r="F50" s="239" t="s">
        <v>235</v>
      </c>
      <c r="I50" s="233">
        <v>60568000</v>
      </c>
      <c r="J50" s="233" t="s">
        <v>99</v>
      </c>
      <c r="K50" s="271" t="s">
        <v>1517</v>
      </c>
      <c r="L50" s="241" t="s">
        <v>113</v>
      </c>
      <c r="M50" s="239" t="s">
        <v>18</v>
      </c>
    </row>
    <row r="51" spans="2:13">
      <c r="B51" s="233">
        <v>24116000</v>
      </c>
      <c r="C51" s="233" t="s">
        <v>648</v>
      </c>
      <c r="D51" s="271" t="s">
        <v>1298</v>
      </c>
      <c r="E51" s="241" t="s">
        <v>186</v>
      </c>
      <c r="F51" s="239" t="s">
        <v>236</v>
      </c>
      <c r="I51" s="233">
        <v>60568000</v>
      </c>
      <c r="J51" s="233" t="s">
        <v>101</v>
      </c>
      <c r="K51" s="271" t="s">
        <v>1518</v>
      </c>
      <c r="L51" s="241" t="s">
        <v>113</v>
      </c>
      <c r="M51" s="239" t="s">
        <v>18</v>
      </c>
    </row>
    <row r="52" spans="2:13">
      <c r="B52" s="233">
        <v>24120000</v>
      </c>
      <c r="C52" s="233" t="s">
        <v>648</v>
      </c>
      <c r="D52" s="271" t="s">
        <v>1299</v>
      </c>
      <c r="E52" s="241" t="s">
        <v>406</v>
      </c>
      <c r="F52" s="239" t="s">
        <v>395</v>
      </c>
      <c r="I52" s="233">
        <v>60568000</v>
      </c>
      <c r="J52" s="233" t="s">
        <v>103</v>
      </c>
      <c r="K52" s="271" t="s">
        <v>1519</v>
      </c>
      <c r="L52" s="241" t="s">
        <v>113</v>
      </c>
      <c r="M52" s="239" t="s">
        <v>18</v>
      </c>
    </row>
    <row r="53" spans="2:13">
      <c r="B53" s="233">
        <v>24300000</v>
      </c>
      <c r="C53" s="233" t="s">
        <v>648</v>
      </c>
      <c r="D53" s="271" t="s">
        <v>1300</v>
      </c>
      <c r="E53" s="241" t="s">
        <v>406</v>
      </c>
      <c r="F53" s="239" t="s">
        <v>237</v>
      </c>
      <c r="I53" s="233">
        <v>60568000</v>
      </c>
      <c r="J53" s="233" t="s">
        <v>105</v>
      </c>
      <c r="K53" s="271" t="s">
        <v>1520</v>
      </c>
      <c r="L53" s="241" t="s">
        <v>113</v>
      </c>
      <c r="M53" s="239" t="s">
        <v>18</v>
      </c>
    </row>
    <row r="54" spans="2:13">
      <c r="B54" s="233">
        <v>24410000</v>
      </c>
      <c r="C54" s="233" t="s">
        <v>648</v>
      </c>
      <c r="D54" s="271" t="s">
        <v>1301</v>
      </c>
      <c r="E54" s="241" t="s">
        <v>406</v>
      </c>
      <c r="F54" s="239" t="s">
        <v>238</v>
      </c>
      <c r="I54" s="233">
        <v>60568000</v>
      </c>
      <c r="J54" s="233" t="s">
        <v>107</v>
      </c>
      <c r="K54" s="271" t="s">
        <v>1521</v>
      </c>
      <c r="L54" s="241" t="s">
        <v>113</v>
      </c>
      <c r="M54" s="239" t="s">
        <v>18</v>
      </c>
    </row>
    <row r="55" spans="2:13">
      <c r="B55" s="233">
        <v>24420000</v>
      </c>
      <c r="C55" s="233" t="s">
        <v>648</v>
      </c>
      <c r="D55" s="271" t="s">
        <v>1302</v>
      </c>
      <c r="E55" s="241" t="s">
        <v>406</v>
      </c>
      <c r="F55" s="239" t="s">
        <v>239</v>
      </c>
      <c r="I55" s="233">
        <v>60568000</v>
      </c>
      <c r="J55" s="233" t="s">
        <v>108</v>
      </c>
      <c r="K55" s="271" t="s">
        <v>1522</v>
      </c>
      <c r="L55" s="241" t="s">
        <v>127</v>
      </c>
      <c r="M55" s="239" t="s">
        <v>18</v>
      </c>
    </row>
    <row r="56" spans="2:13">
      <c r="B56" s="233">
        <v>24440000</v>
      </c>
      <c r="C56" s="233" t="s">
        <v>648</v>
      </c>
      <c r="D56" s="271" t="s">
        <v>1303</v>
      </c>
      <c r="E56" s="241" t="s">
        <v>406</v>
      </c>
      <c r="F56" s="239" t="s">
        <v>240</v>
      </c>
      <c r="I56" s="233">
        <v>60569000</v>
      </c>
      <c r="J56" s="233" t="s">
        <v>99</v>
      </c>
      <c r="K56" s="271" t="s">
        <v>1523</v>
      </c>
      <c r="L56" s="241" t="s">
        <v>113</v>
      </c>
      <c r="M56" s="239" t="s">
        <v>19</v>
      </c>
    </row>
    <row r="57" spans="2:13">
      <c r="B57" s="233">
        <v>24510000</v>
      </c>
      <c r="C57" s="233" t="s">
        <v>648</v>
      </c>
      <c r="D57" s="271" t="s">
        <v>1304</v>
      </c>
      <c r="E57" s="241" t="s">
        <v>450</v>
      </c>
      <c r="F57" s="239" t="s">
        <v>241</v>
      </c>
      <c r="I57" s="233">
        <v>60569000</v>
      </c>
      <c r="J57" s="233" t="s">
        <v>101</v>
      </c>
      <c r="K57" s="271" t="s">
        <v>1524</v>
      </c>
      <c r="L57" s="241" t="s">
        <v>113</v>
      </c>
      <c r="M57" s="239" t="s">
        <v>19</v>
      </c>
    </row>
    <row r="58" spans="2:13">
      <c r="B58" s="233">
        <v>24510001</v>
      </c>
      <c r="C58" s="233" t="s">
        <v>648</v>
      </c>
      <c r="D58" s="271" t="s">
        <v>1305</v>
      </c>
      <c r="E58" s="241" t="s">
        <v>450</v>
      </c>
      <c r="F58" s="239" t="s">
        <v>242</v>
      </c>
      <c r="I58" s="233">
        <v>60569000</v>
      </c>
      <c r="J58" s="233" t="s">
        <v>103</v>
      </c>
      <c r="K58" s="271" t="s">
        <v>1525</v>
      </c>
      <c r="L58" s="241" t="s">
        <v>113</v>
      </c>
      <c r="M58" s="239" t="s">
        <v>19</v>
      </c>
    </row>
    <row r="59" spans="2:13">
      <c r="B59" s="233">
        <v>24510002</v>
      </c>
      <c r="C59" s="233" t="s">
        <v>648</v>
      </c>
      <c r="D59" s="271" t="s">
        <v>1306</v>
      </c>
      <c r="E59" s="241" t="s">
        <v>450</v>
      </c>
      <c r="F59" s="239" t="s">
        <v>243</v>
      </c>
      <c r="I59" s="233">
        <v>60569000</v>
      </c>
      <c r="J59" s="233" t="s">
        <v>105</v>
      </c>
      <c r="K59" s="271" t="s">
        <v>1526</v>
      </c>
      <c r="L59" s="241" t="s">
        <v>113</v>
      </c>
      <c r="M59" s="239" t="s">
        <v>19</v>
      </c>
    </row>
    <row r="60" spans="2:13">
      <c r="B60" s="233">
        <v>24540000</v>
      </c>
      <c r="C60" s="233" t="s">
        <v>648</v>
      </c>
      <c r="D60" s="271" t="s">
        <v>1307</v>
      </c>
      <c r="E60" s="241" t="s">
        <v>406</v>
      </c>
      <c r="F60" s="239" t="s">
        <v>244</v>
      </c>
      <c r="I60" s="233">
        <v>60569000</v>
      </c>
      <c r="J60" s="233" t="s">
        <v>107</v>
      </c>
      <c r="K60" s="271" t="s">
        <v>1527</v>
      </c>
      <c r="L60" s="241" t="s">
        <v>113</v>
      </c>
      <c r="M60" s="239" t="s">
        <v>19</v>
      </c>
    </row>
    <row r="61" spans="2:13">
      <c r="B61" s="233">
        <v>24800000</v>
      </c>
      <c r="C61" s="233" t="s">
        <v>648</v>
      </c>
      <c r="D61" s="271" t="s">
        <v>1308</v>
      </c>
      <c r="E61" s="241" t="s">
        <v>406</v>
      </c>
      <c r="F61" s="239" t="s">
        <v>245</v>
      </c>
      <c r="I61" s="233">
        <v>60569000</v>
      </c>
      <c r="J61" s="233" t="s">
        <v>108</v>
      </c>
      <c r="K61" s="271" t="s">
        <v>1528</v>
      </c>
      <c r="L61" s="241" t="s">
        <v>127</v>
      </c>
      <c r="M61" s="239" t="s">
        <v>19</v>
      </c>
    </row>
    <row r="62" spans="2:13">
      <c r="B62" s="233">
        <v>24910000</v>
      </c>
      <c r="C62" s="233" t="s">
        <v>648</v>
      </c>
      <c r="D62" s="271" t="s">
        <v>1309</v>
      </c>
      <c r="E62" s="241" t="s">
        <v>407</v>
      </c>
      <c r="F62" s="239" t="s">
        <v>246</v>
      </c>
      <c r="I62" s="233">
        <v>60572000</v>
      </c>
      <c r="J62" s="233" t="s">
        <v>99</v>
      </c>
      <c r="K62" s="271" t="s">
        <v>1529</v>
      </c>
      <c r="L62" s="241" t="s">
        <v>110</v>
      </c>
      <c r="M62" s="239" t="s">
        <v>20</v>
      </c>
    </row>
    <row r="63" spans="2:13">
      <c r="B63" s="233">
        <v>27510000</v>
      </c>
      <c r="C63" s="233" t="s">
        <v>648</v>
      </c>
      <c r="D63" s="271" t="s">
        <v>1310</v>
      </c>
      <c r="E63" s="241" t="s">
        <v>568</v>
      </c>
      <c r="F63" s="239" t="s">
        <v>396</v>
      </c>
      <c r="I63" s="233">
        <v>60572000</v>
      </c>
      <c r="J63" s="233" t="s">
        <v>101</v>
      </c>
      <c r="K63" s="271" t="s">
        <v>1530</v>
      </c>
      <c r="L63" s="241" t="s">
        <v>110</v>
      </c>
      <c r="M63" s="239" t="s">
        <v>20</v>
      </c>
    </row>
    <row r="64" spans="2:13">
      <c r="B64" s="233">
        <v>27520000</v>
      </c>
      <c r="C64" s="233" t="s">
        <v>648</v>
      </c>
      <c r="D64" s="271" t="s">
        <v>1311</v>
      </c>
      <c r="E64" s="241" t="s">
        <v>568</v>
      </c>
      <c r="F64" s="239" t="s">
        <v>397</v>
      </c>
      <c r="I64" s="233">
        <v>60572000</v>
      </c>
      <c r="J64" s="233" t="s">
        <v>103</v>
      </c>
      <c r="K64" s="271" t="s">
        <v>1531</v>
      </c>
      <c r="L64" s="241" t="s">
        <v>110</v>
      </c>
      <c r="M64" s="239" t="s">
        <v>20</v>
      </c>
    </row>
    <row r="65" spans="2:13">
      <c r="B65" s="233">
        <v>27580000</v>
      </c>
      <c r="C65" s="233" t="s">
        <v>648</v>
      </c>
      <c r="D65" s="271" t="s">
        <v>1312</v>
      </c>
      <c r="E65" s="241" t="s">
        <v>568</v>
      </c>
      <c r="F65" s="239" t="s">
        <v>247</v>
      </c>
      <c r="I65" s="233">
        <v>60572000</v>
      </c>
      <c r="J65" s="233" t="s">
        <v>105</v>
      </c>
      <c r="K65" s="271" t="s">
        <v>1532</v>
      </c>
      <c r="L65" s="241" t="s">
        <v>110</v>
      </c>
      <c r="M65" s="239" t="s">
        <v>20</v>
      </c>
    </row>
    <row r="66" spans="2:13">
      <c r="B66" s="233">
        <v>28320000</v>
      </c>
      <c r="C66" s="233" t="s">
        <v>648</v>
      </c>
      <c r="D66" s="271" t="s">
        <v>1313</v>
      </c>
      <c r="E66" s="241" t="s">
        <v>420</v>
      </c>
      <c r="F66" s="239" t="s">
        <v>248</v>
      </c>
      <c r="I66" s="233">
        <v>60572000</v>
      </c>
      <c r="J66" s="233" t="s">
        <v>107</v>
      </c>
      <c r="K66" s="271" t="s">
        <v>1533</v>
      </c>
      <c r="L66" s="241" t="s">
        <v>110</v>
      </c>
      <c r="M66" s="239" t="s">
        <v>20</v>
      </c>
    </row>
    <row r="67" spans="2:13">
      <c r="B67" s="233">
        <v>28411012</v>
      </c>
      <c r="C67" s="233" t="s">
        <v>648</v>
      </c>
      <c r="D67" s="271" t="s">
        <v>1314</v>
      </c>
      <c r="E67" s="241" t="s">
        <v>433</v>
      </c>
      <c r="F67" s="239" t="s">
        <v>249</v>
      </c>
      <c r="I67" s="233">
        <v>61200000</v>
      </c>
      <c r="J67" s="233" t="s">
        <v>99</v>
      </c>
      <c r="K67" s="271" t="s">
        <v>1534</v>
      </c>
      <c r="L67" s="241" t="s">
        <v>115</v>
      </c>
      <c r="M67" s="239" t="s">
        <v>22</v>
      </c>
    </row>
    <row r="68" spans="2:13">
      <c r="B68" s="233">
        <v>28411013</v>
      </c>
      <c r="C68" s="233" t="s">
        <v>648</v>
      </c>
      <c r="D68" s="271" t="s">
        <v>1315</v>
      </c>
      <c r="E68" s="241" t="s">
        <v>433</v>
      </c>
      <c r="F68" s="239" t="s">
        <v>249</v>
      </c>
      <c r="I68" s="233">
        <v>61200000</v>
      </c>
      <c r="J68" s="233" t="s">
        <v>105</v>
      </c>
      <c r="K68" s="271" t="s">
        <v>1535</v>
      </c>
      <c r="L68" s="241" t="s">
        <v>115</v>
      </c>
      <c r="M68" s="239" t="s">
        <v>22</v>
      </c>
    </row>
    <row r="69" spans="2:13">
      <c r="B69" s="233">
        <v>28411014</v>
      </c>
      <c r="C69" s="233" t="s">
        <v>648</v>
      </c>
      <c r="D69" s="271" t="s">
        <v>1316</v>
      </c>
      <c r="E69" s="241" t="s">
        <v>433</v>
      </c>
      <c r="F69" s="239" t="s">
        <v>250</v>
      </c>
      <c r="I69" s="233">
        <v>61200000</v>
      </c>
      <c r="J69" s="233" t="s">
        <v>108</v>
      </c>
      <c r="K69" s="271" t="s">
        <v>1536</v>
      </c>
      <c r="L69" s="241" t="s">
        <v>127</v>
      </c>
      <c r="M69" s="239" t="s">
        <v>22</v>
      </c>
    </row>
    <row r="70" spans="2:13">
      <c r="B70" s="233">
        <v>28411015</v>
      </c>
      <c r="C70" s="233" t="s">
        <v>648</v>
      </c>
      <c r="D70" s="271" t="s">
        <v>1317</v>
      </c>
      <c r="E70" s="241" t="s">
        <v>433</v>
      </c>
      <c r="F70" s="239" t="s">
        <v>251</v>
      </c>
      <c r="I70" s="233">
        <v>61600000</v>
      </c>
      <c r="J70" s="233" t="s">
        <v>99</v>
      </c>
      <c r="K70" s="271" t="s">
        <v>1537</v>
      </c>
      <c r="L70" s="241" t="s">
        <v>115</v>
      </c>
      <c r="M70" s="239" t="s">
        <v>23</v>
      </c>
    </row>
    <row r="71" spans="2:13">
      <c r="B71" s="233">
        <v>28411016</v>
      </c>
      <c r="C71" s="233" t="s">
        <v>648</v>
      </c>
      <c r="D71" s="271" t="s">
        <v>1318</v>
      </c>
      <c r="E71" s="241" t="s">
        <v>433</v>
      </c>
      <c r="F71" s="239" t="s">
        <v>252</v>
      </c>
      <c r="I71" s="233">
        <v>61600000</v>
      </c>
      <c r="J71" s="233" t="s">
        <v>101</v>
      </c>
      <c r="K71" s="271" t="s">
        <v>1538</v>
      </c>
      <c r="L71" s="241" t="s">
        <v>115</v>
      </c>
      <c r="M71" s="239" t="s">
        <v>23</v>
      </c>
    </row>
    <row r="72" spans="2:13">
      <c r="B72" s="233">
        <v>28411022</v>
      </c>
      <c r="C72" s="233" t="s">
        <v>648</v>
      </c>
      <c r="D72" s="271" t="s">
        <v>1319</v>
      </c>
      <c r="E72" s="241" t="s">
        <v>445</v>
      </c>
      <c r="F72" s="239" t="s">
        <v>253</v>
      </c>
      <c r="I72" s="233">
        <v>61600000</v>
      </c>
      <c r="J72" s="233" t="s">
        <v>103</v>
      </c>
      <c r="K72" s="271" t="s">
        <v>1539</v>
      </c>
      <c r="L72" s="241" t="s">
        <v>115</v>
      </c>
      <c r="M72" s="239" t="s">
        <v>23</v>
      </c>
    </row>
    <row r="73" spans="2:13">
      <c r="B73" s="233">
        <v>28411023</v>
      </c>
      <c r="C73" s="233" t="s">
        <v>648</v>
      </c>
      <c r="D73" s="271" t="s">
        <v>1320</v>
      </c>
      <c r="E73" s="241" t="s">
        <v>445</v>
      </c>
      <c r="F73" s="239" t="s">
        <v>254</v>
      </c>
      <c r="I73" s="233">
        <v>61600000</v>
      </c>
      <c r="J73" s="233" t="s">
        <v>105</v>
      </c>
      <c r="K73" s="271" t="s">
        <v>1540</v>
      </c>
      <c r="L73" s="241" t="s">
        <v>115</v>
      </c>
      <c r="M73" s="239" t="s">
        <v>23</v>
      </c>
    </row>
    <row r="74" spans="2:13">
      <c r="B74" s="233">
        <v>28411024</v>
      </c>
      <c r="C74" s="233" t="s">
        <v>648</v>
      </c>
      <c r="D74" s="271" t="s">
        <v>1321</v>
      </c>
      <c r="E74" s="241" t="s">
        <v>445</v>
      </c>
      <c r="F74" s="239" t="s">
        <v>255</v>
      </c>
      <c r="I74" s="233">
        <v>61810000</v>
      </c>
      <c r="J74" s="233" t="s">
        <v>99</v>
      </c>
      <c r="K74" s="271" t="s">
        <v>1541</v>
      </c>
      <c r="L74" s="241" t="s">
        <v>110</v>
      </c>
      <c r="M74" s="239" t="s">
        <v>24</v>
      </c>
    </row>
    <row r="75" spans="2:13">
      <c r="B75" s="233">
        <v>28411025</v>
      </c>
      <c r="C75" s="233" t="s">
        <v>648</v>
      </c>
      <c r="D75" s="271" t="s">
        <v>1322</v>
      </c>
      <c r="E75" s="241" t="s">
        <v>445</v>
      </c>
      <c r="F75" s="239" t="s">
        <v>256</v>
      </c>
      <c r="I75" s="233">
        <v>61810000</v>
      </c>
      <c r="J75" s="233" t="s">
        <v>101</v>
      </c>
      <c r="K75" s="271" t="s">
        <v>1542</v>
      </c>
      <c r="L75" s="241" t="s">
        <v>110</v>
      </c>
      <c r="M75" s="239" t="s">
        <v>24</v>
      </c>
    </row>
    <row r="76" spans="2:13">
      <c r="B76" s="233">
        <v>28411026</v>
      </c>
      <c r="C76" s="233" t="s">
        <v>648</v>
      </c>
      <c r="D76" s="271" t="s">
        <v>1323</v>
      </c>
      <c r="E76" s="241" t="s">
        <v>445</v>
      </c>
      <c r="F76" s="239" t="s">
        <v>257</v>
      </c>
      <c r="I76" s="233">
        <v>61810000</v>
      </c>
      <c r="J76" s="233" t="s">
        <v>103</v>
      </c>
      <c r="K76" s="271" t="s">
        <v>1543</v>
      </c>
      <c r="L76" s="241" t="s">
        <v>110</v>
      </c>
      <c r="M76" s="239" t="s">
        <v>24</v>
      </c>
    </row>
    <row r="77" spans="2:13">
      <c r="B77" s="233">
        <v>28411032</v>
      </c>
      <c r="C77" s="233" t="s">
        <v>648</v>
      </c>
      <c r="D77" s="271" t="s">
        <v>1324</v>
      </c>
      <c r="E77" s="241" t="s">
        <v>446</v>
      </c>
      <c r="F77" s="239" t="s">
        <v>258</v>
      </c>
      <c r="I77" s="233">
        <v>61810000</v>
      </c>
      <c r="J77" s="233" t="s">
        <v>105</v>
      </c>
      <c r="K77" s="271" t="s">
        <v>1544</v>
      </c>
      <c r="L77" s="241" t="s">
        <v>110</v>
      </c>
      <c r="M77" s="239" t="s">
        <v>24</v>
      </c>
    </row>
    <row r="78" spans="2:13">
      <c r="B78" s="233">
        <v>28411033</v>
      </c>
      <c r="C78" s="233" t="s">
        <v>648</v>
      </c>
      <c r="D78" s="271" t="s">
        <v>1325</v>
      </c>
      <c r="E78" s="241" t="s">
        <v>446</v>
      </c>
      <c r="F78" s="239" t="s">
        <v>259</v>
      </c>
      <c r="I78" s="233">
        <v>61810000</v>
      </c>
      <c r="J78" s="233" t="s">
        <v>107</v>
      </c>
      <c r="K78" s="271" t="s">
        <v>1545</v>
      </c>
      <c r="L78" s="241" t="s">
        <v>110</v>
      </c>
      <c r="M78" s="239" t="s">
        <v>24</v>
      </c>
    </row>
    <row r="79" spans="2:13">
      <c r="B79" s="233">
        <v>28411034</v>
      </c>
      <c r="C79" s="233" t="s">
        <v>648</v>
      </c>
      <c r="D79" s="271" t="s">
        <v>1326</v>
      </c>
      <c r="E79" s="241" t="s">
        <v>446</v>
      </c>
      <c r="F79" s="239" t="s">
        <v>260</v>
      </c>
      <c r="I79" s="233">
        <v>61810000</v>
      </c>
      <c r="J79" s="233" t="s">
        <v>108</v>
      </c>
      <c r="K79" s="271" t="s">
        <v>1546</v>
      </c>
      <c r="L79" s="241" t="s">
        <v>127</v>
      </c>
      <c r="M79" s="239" t="s">
        <v>24</v>
      </c>
    </row>
    <row r="80" spans="2:13">
      <c r="B80" s="233">
        <v>28411035</v>
      </c>
      <c r="C80" s="233" t="s">
        <v>648</v>
      </c>
      <c r="D80" s="271" t="s">
        <v>1327</v>
      </c>
      <c r="E80" s="241" t="s">
        <v>446</v>
      </c>
      <c r="F80" s="239" t="s">
        <v>261</v>
      </c>
      <c r="I80" s="233">
        <v>61820000</v>
      </c>
      <c r="J80" s="233" t="s">
        <v>99</v>
      </c>
      <c r="K80" s="271" t="s">
        <v>1547</v>
      </c>
      <c r="L80" s="241" t="s">
        <v>110</v>
      </c>
      <c r="M80" s="239" t="s">
        <v>25</v>
      </c>
    </row>
    <row r="81" spans="2:13">
      <c r="B81" s="233">
        <v>28411036</v>
      </c>
      <c r="C81" s="233" t="s">
        <v>648</v>
      </c>
      <c r="D81" s="271" t="s">
        <v>1328</v>
      </c>
      <c r="E81" s="241" t="s">
        <v>446</v>
      </c>
      <c r="F81" s="239" t="s">
        <v>262</v>
      </c>
      <c r="I81" s="233">
        <v>61820000</v>
      </c>
      <c r="J81" s="233" t="s">
        <v>101</v>
      </c>
      <c r="K81" s="271" t="s">
        <v>1548</v>
      </c>
      <c r="L81" s="241" t="s">
        <v>110</v>
      </c>
      <c r="M81" s="239" t="s">
        <v>25</v>
      </c>
    </row>
    <row r="82" spans="2:13">
      <c r="B82" s="233">
        <v>28411042</v>
      </c>
      <c r="C82" s="233" t="s">
        <v>648</v>
      </c>
      <c r="D82" s="271" t="s">
        <v>1329</v>
      </c>
      <c r="E82" s="241" t="s">
        <v>444</v>
      </c>
      <c r="F82" s="239" t="s">
        <v>263</v>
      </c>
      <c r="I82" s="233">
        <v>61820000</v>
      </c>
      <c r="J82" s="233" t="s">
        <v>103</v>
      </c>
      <c r="K82" s="271" t="s">
        <v>1549</v>
      </c>
      <c r="L82" s="241" t="s">
        <v>110</v>
      </c>
      <c r="M82" s="239" t="s">
        <v>25</v>
      </c>
    </row>
    <row r="83" spans="2:13">
      <c r="B83" s="233">
        <v>28411052</v>
      </c>
      <c r="C83" s="233" t="s">
        <v>648</v>
      </c>
      <c r="D83" s="271" t="s">
        <v>1330</v>
      </c>
      <c r="E83" s="241" t="s">
        <v>186</v>
      </c>
      <c r="F83" s="239" t="s">
        <v>264</v>
      </c>
      <c r="I83" s="233">
        <v>61820000</v>
      </c>
      <c r="J83" s="233" t="s">
        <v>105</v>
      </c>
      <c r="K83" s="271" t="s">
        <v>1550</v>
      </c>
      <c r="L83" s="241" t="s">
        <v>110</v>
      </c>
      <c r="M83" s="239" t="s">
        <v>25</v>
      </c>
    </row>
    <row r="84" spans="2:13">
      <c r="B84" s="233">
        <v>28411101</v>
      </c>
      <c r="C84" s="233" t="s">
        <v>648</v>
      </c>
      <c r="D84" s="271" t="s">
        <v>1331</v>
      </c>
      <c r="E84" s="241" t="s">
        <v>433</v>
      </c>
      <c r="F84" s="239" t="s">
        <v>265</v>
      </c>
      <c r="I84" s="233">
        <v>61820000</v>
      </c>
      <c r="J84" s="233" t="s">
        <v>107</v>
      </c>
      <c r="K84" s="271" t="s">
        <v>1551</v>
      </c>
      <c r="L84" s="241" t="s">
        <v>110</v>
      </c>
      <c r="M84" s="239" t="s">
        <v>25</v>
      </c>
    </row>
    <row r="85" spans="2:13">
      <c r="B85" s="233">
        <v>28411102</v>
      </c>
      <c r="C85" s="233" t="s">
        <v>648</v>
      </c>
      <c r="D85" s="271" t="s">
        <v>1332</v>
      </c>
      <c r="E85" s="241" t="s">
        <v>433</v>
      </c>
      <c r="F85" s="239" t="s">
        <v>266</v>
      </c>
      <c r="I85" s="233">
        <v>61821000</v>
      </c>
      <c r="J85" s="233" t="s">
        <v>101</v>
      </c>
      <c r="K85" s="271" t="s">
        <v>1552</v>
      </c>
      <c r="L85" s="241" t="s">
        <v>110</v>
      </c>
      <c r="M85" s="239" t="s">
        <v>26</v>
      </c>
    </row>
    <row r="86" spans="2:13">
      <c r="B86" s="233">
        <v>28411103</v>
      </c>
      <c r="C86" s="233" t="s">
        <v>648</v>
      </c>
      <c r="D86" s="271" t="s">
        <v>1333</v>
      </c>
      <c r="E86" s="241" t="s">
        <v>433</v>
      </c>
      <c r="F86" s="239" t="s">
        <v>267</v>
      </c>
      <c r="I86" s="233">
        <v>61821000</v>
      </c>
      <c r="J86" s="233" t="s">
        <v>103</v>
      </c>
      <c r="K86" s="271" t="s">
        <v>1553</v>
      </c>
      <c r="L86" s="241" t="s">
        <v>110</v>
      </c>
      <c r="M86" s="239" t="s">
        <v>26</v>
      </c>
    </row>
    <row r="87" spans="2:13">
      <c r="B87" s="233">
        <v>28411201</v>
      </c>
      <c r="C87" s="233" t="s">
        <v>648</v>
      </c>
      <c r="D87" s="271" t="s">
        <v>1334</v>
      </c>
      <c r="E87" s="241" t="s">
        <v>445</v>
      </c>
      <c r="F87" s="239" t="s">
        <v>268</v>
      </c>
      <c r="I87" s="233">
        <v>61821000</v>
      </c>
      <c r="J87" s="233" t="s">
        <v>105</v>
      </c>
      <c r="K87" s="271" t="s">
        <v>1554</v>
      </c>
      <c r="L87" s="241" t="s">
        <v>110</v>
      </c>
      <c r="M87" s="239" t="s">
        <v>26</v>
      </c>
    </row>
    <row r="88" spans="2:13">
      <c r="B88" s="233">
        <v>28411202</v>
      </c>
      <c r="C88" s="233" t="s">
        <v>648</v>
      </c>
      <c r="D88" s="271" t="s">
        <v>1335</v>
      </c>
      <c r="E88" s="241" t="s">
        <v>445</v>
      </c>
      <c r="F88" s="239" t="s">
        <v>269</v>
      </c>
      <c r="I88" s="233">
        <v>61821000</v>
      </c>
      <c r="J88" s="233" t="s">
        <v>107</v>
      </c>
      <c r="K88" s="271" t="s">
        <v>1555</v>
      </c>
      <c r="L88" s="241" t="s">
        <v>110</v>
      </c>
      <c r="M88" s="239" t="s">
        <v>26</v>
      </c>
    </row>
    <row r="89" spans="2:13">
      <c r="B89" s="233">
        <v>28411203</v>
      </c>
      <c r="C89" s="233" t="s">
        <v>648</v>
      </c>
      <c r="D89" s="271" t="s">
        <v>1336</v>
      </c>
      <c r="E89" s="241" t="s">
        <v>445</v>
      </c>
      <c r="F89" s="239" t="s">
        <v>270</v>
      </c>
      <c r="I89" s="233">
        <v>61830000</v>
      </c>
      <c r="J89" s="233" t="s">
        <v>101</v>
      </c>
      <c r="K89" s="271" t="s">
        <v>1556</v>
      </c>
      <c r="L89" s="241" t="s">
        <v>116</v>
      </c>
      <c r="M89" s="239" t="s">
        <v>27</v>
      </c>
    </row>
    <row r="90" spans="2:13">
      <c r="B90" s="233">
        <v>28411204</v>
      </c>
      <c r="C90" s="233" t="s">
        <v>648</v>
      </c>
      <c r="D90" s="271" t="s">
        <v>1337</v>
      </c>
      <c r="E90" s="241" t="s">
        <v>445</v>
      </c>
      <c r="F90" s="239" t="s">
        <v>271</v>
      </c>
      <c r="I90" s="233">
        <v>61830000</v>
      </c>
      <c r="J90" s="233" t="s">
        <v>103</v>
      </c>
      <c r="K90" s="271" t="s">
        <v>1557</v>
      </c>
      <c r="L90" s="241" t="s">
        <v>116</v>
      </c>
      <c r="M90" s="239" t="s">
        <v>27</v>
      </c>
    </row>
    <row r="91" spans="2:13">
      <c r="B91" s="233">
        <v>28411301</v>
      </c>
      <c r="C91" s="233" t="s">
        <v>648</v>
      </c>
      <c r="D91" s="271" t="s">
        <v>1338</v>
      </c>
      <c r="E91" s="241" t="s">
        <v>446</v>
      </c>
      <c r="F91" s="239" t="s">
        <v>272</v>
      </c>
      <c r="I91" s="233">
        <v>61830000</v>
      </c>
      <c r="J91" s="233" t="s">
        <v>105</v>
      </c>
      <c r="K91" s="271" t="s">
        <v>1558</v>
      </c>
      <c r="L91" s="241" t="s">
        <v>116</v>
      </c>
      <c r="M91" s="239" t="s">
        <v>27</v>
      </c>
    </row>
    <row r="92" spans="2:13">
      <c r="B92" s="233">
        <v>28411302</v>
      </c>
      <c r="C92" s="233" t="s">
        <v>648</v>
      </c>
      <c r="D92" s="271" t="s">
        <v>1339</v>
      </c>
      <c r="E92" s="241" t="s">
        <v>446</v>
      </c>
      <c r="F92" s="239" t="s">
        <v>273</v>
      </c>
      <c r="I92" s="233">
        <v>61830000</v>
      </c>
      <c r="J92" s="233" t="s">
        <v>108</v>
      </c>
      <c r="K92" s="271" t="s">
        <v>1559</v>
      </c>
      <c r="L92" s="241" t="s">
        <v>127</v>
      </c>
      <c r="M92" s="239" t="s">
        <v>27</v>
      </c>
    </row>
    <row r="93" spans="2:13">
      <c r="B93" s="233">
        <v>28411303</v>
      </c>
      <c r="C93" s="233" t="s">
        <v>648</v>
      </c>
      <c r="D93" s="271" t="s">
        <v>1340</v>
      </c>
      <c r="E93" s="241" t="s">
        <v>446</v>
      </c>
      <c r="F93" s="239" t="s">
        <v>274</v>
      </c>
      <c r="I93" s="233">
        <v>62220000</v>
      </c>
      <c r="J93" s="233" t="s">
        <v>108</v>
      </c>
      <c r="K93" s="271" t="s">
        <v>1560</v>
      </c>
      <c r="L93" s="241" t="s">
        <v>127</v>
      </c>
      <c r="M93" s="239" t="s">
        <v>28</v>
      </c>
    </row>
    <row r="94" spans="2:13">
      <c r="B94" s="233">
        <v>28411401</v>
      </c>
      <c r="C94" s="233" t="s">
        <v>648</v>
      </c>
      <c r="D94" s="271" t="s">
        <v>1341</v>
      </c>
      <c r="E94" s="241" t="s">
        <v>444</v>
      </c>
      <c r="F94" s="239" t="s">
        <v>275</v>
      </c>
      <c r="I94" s="233">
        <v>62230000</v>
      </c>
      <c r="J94" s="233" t="s">
        <v>108</v>
      </c>
      <c r="K94" s="271" t="s">
        <v>1561</v>
      </c>
      <c r="L94" s="241" t="s">
        <v>127</v>
      </c>
      <c r="M94" s="239" t="s">
        <v>29</v>
      </c>
    </row>
    <row r="95" spans="2:13">
      <c r="B95" s="233">
        <v>28411402</v>
      </c>
      <c r="C95" s="233" t="s">
        <v>648</v>
      </c>
      <c r="D95" s="271" t="s">
        <v>1342</v>
      </c>
      <c r="E95" s="241" t="s">
        <v>444</v>
      </c>
      <c r="F95" s="239" t="s">
        <v>276</v>
      </c>
      <c r="I95" s="233">
        <v>62281000</v>
      </c>
      <c r="J95" s="233" t="s">
        <v>108</v>
      </c>
      <c r="K95" s="271" t="s">
        <v>1562</v>
      </c>
      <c r="L95" s="241" t="s">
        <v>127</v>
      </c>
      <c r="M95" s="239" t="s">
        <v>30</v>
      </c>
    </row>
    <row r="96" spans="2:13">
      <c r="B96" s="233">
        <v>28411403</v>
      </c>
      <c r="C96" s="233" t="s">
        <v>648</v>
      </c>
      <c r="D96" s="271" t="s">
        <v>1343</v>
      </c>
      <c r="E96" s="241" t="s">
        <v>444</v>
      </c>
      <c r="F96" s="239" t="s">
        <v>277</v>
      </c>
      <c r="I96" s="233">
        <v>62285000</v>
      </c>
      <c r="J96" s="233" t="s">
        <v>108</v>
      </c>
      <c r="K96" s="271" t="s">
        <v>1563</v>
      </c>
      <c r="L96" s="241" t="s">
        <v>127</v>
      </c>
      <c r="M96" s="239" t="s">
        <v>31</v>
      </c>
    </row>
    <row r="97" spans="2:13">
      <c r="B97" s="233">
        <v>28411404</v>
      </c>
      <c r="C97" s="233" t="s">
        <v>648</v>
      </c>
      <c r="D97" s="271" t="s">
        <v>1344</v>
      </c>
      <c r="E97" s="241" t="s">
        <v>444</v>
      </c>
      <c r="F97" s="239" t="s">
        <v>278</v>
      </c>
      <c r="I97" s="233">
        <v>62420000</v>
      </c>
      <c r="J97" s="233" t="s">
        <v>99</v>
      </c>
      <c r="K97" s="271" t="s">
        <v>1564</v>
      </c>
      <c r="L97" s="241" t="s">
        <v>117</v>
      </c>
      <c r="M97" s="239" t="s">
        <v>32</v>
      </c>
    </row>
    <row r="98" spans="2:13">
      <c r="B98" s="233">
        <v>28411405</v>
      </c>
      <c r="C98" s="233" t="s">
        <v>648</v>
      </c>
      <c r="D98" s="271" t="s">
        <v>1345</v>
      </c>
      <c r="E98" s="241" t="s">
        <v>444</v>
      </c>
      <c r="F98" s="239" t="s">
        <v>279</v>
      </c>
      <c r="I98" s="233">
        <v>62420000</v>
      </c>
      <c r="J98" s="233" t="s">
        <v>101</v>
      </c>
      <c r="K98" s="271" t="s">
        <v>1565</v>
      </c>
      <c r="L98" s="241" t="s">
        <v>117</v>
      </c>
      <c r="M98" s="239" t="s">
        <v>32</v>
      </c>
    </row>
    <row r="99" spans="2:13">
      <c r="B99" s="233">
        <v>28411406</v>
      </c>
      <c r="C99" s="233" t="s">
        <v>648</v>
      </c>
      <c r="D99" s="271" t="s">
        <v>1346</v>
      </c>
      <c r="E99" s="241" t="s">
        <v>444</v>
      </c>
      <c r="F99" s="239" t="s">
        <v>280</v>
      </c>
      <c r="I99" s="233">
        <v>62420000</v>
      </c>
      <c r="J99" s="233" t="s">
        <v>103</v>
      </c>
      <c r="K99" s="271" t="s">
        <v>1566</v>
      </c>
      <c r="L99" s="241" t="s">
        <v>117</v>
      </c>
      <c r="M99" s="239" t="s">
        <v>32</v>
      </c>
    </row>
    <row r="100" spans="2:13">
      <c r="B100" s="233">
        <v>28411501</v>
      </c>
      <c r="C100" s="233" t="s">
        <v>648</v>
      </c>
      <c r="D100" s="271" t="s">
        <v>1347</v>
      </c>
      <c r="E100" s="241" t="s">
        <v>186</v>
      </c>
      <c r="F100" s="239" t="s">
        <v>281</v>
      </c>
      <c r="I100" s="233">
        <v>62420000</v>
      </c>
      <c r="J100" s="233" t="s">
        <v>105</v>
      </c>
      <c r="K100" s="271" t="s">
        <v>1567</v>
      </c>
      <c r="L100" s="241" t="s">
        <v>117</v>
      </c>
      <c r="M100" s="239" t="s">
        <v>32</v>
      </c>
    </row>
    <row r="101" spans="2:13">
      <c r="B101" s="233">
        <v>28411502</v>
      </c>
      <c r="C101" s="233" t="s">
        <v>648</v>
      </c>
      <c r="D101" s="271" t="s">
        <v>1348</v>
      </c>
      <c r="E101" s="241" t="s">
        <v>186</v>
      </c>
      <c r="F101" s="239" t="s">
        <v>282</v>
      </c>
      <c r="I101" s="233">
        <v>62420000</v>
      </c>
      <c r="J101" s="233" t="s">
        <v>107</v>
      </c>
      <c r="K101" s="271" t="s">
        <v>1568</v>
      </c>
      <c r="L101" s="241" t="s">
        <v>117</v>
      </c>
      <c r="M101" s="239" t="s">
        <v>32</v>
      </c>
    </row>
    <row r="102" spans="2:13">
      <c r="B102" s="233">
        <v>28411503</v>
      </c>
      <c r="C102" s="233" t="s">
        <v>648</v>
      </c>
      <c r="D102" s="271" t="s">
        <v>1349</v>
      </c>
      <c r="E102" s="241" t="s">
        <v>186</v>
      </c>
      <c r="F102" s="239" t="s">
        <v>283</v>
      </c>
      <c r="I102" s="233">
        <v>62420000</v>
      </c>
      <c r="J102" s="233" t="s">
        <v>108</v>
      </c>
      <c r="K102" s="271" t="s">
        <v>1569</v>
      </c>
      <c r="L102" s="241" t="s">
        <v>127</v>
      </c>
      <c r="M102" s="239" t="s">
        <v>32</v>
      </c>
    </row>
    <row r="103" spans="2:13">
      <c r="B103" s="233">
        <v>28411504</v>
      </c>
      <c r="C103" s="233" t="s">
        <v>648</v>
      </c>
      <c r="D103" s="271" t="s">
        <v>1350</v>
      </c>
      <c r="E103" s="241" t="s">
        <v>186</v>
      </c>
      <c r="F103" s="239" t="s">
        <v>284</v>
      </c>
      <c r="I103" s="233">
        <v>62430000</v>
      </c>
      <c r="J103" s="233" t="s">
        <v>99</v>
      </c>
      <c r="K103" s="271" t="s">
        <v>1570</v>
      </c>
      <c r="L103" s="241" t="s">
        <v>117</v>
      </c>
      <c r="M103" s="239" t="s">
        <v>33</v>
      </c>
    </row>
    <row r="104" spans="2:13">
      <c r="B104" s="233">
        <v>28411600</v>
      </c>
      <c r="C104" s="233" t="s">
        <v>648</v>
      </c>
      <c r="D104" s="271" t="s">
        <v>1351</v>
      </c>
      <c r="E104" s="241" t="s">
        <v>186</v>
      </c>
      <c r="F104" s="239" t="s">
        <v>285</v>
      </c>
      <c r="I104" s="233">
        <v>62430000</v>
      </c>
      <c r="J104" s="233" t="s">
        <v>101</v>
      </c>
      <c r="K104" s="271" t="s">
        <v>1571</v>
      </c>
      <c r="L104" s="241" t="s">
        <v>117</v>
      </c>
      <c r="M104" s="239" t="s">
        <v>33</v>
      </c>
    </row>
    <row r="105" spans="2:13">
      <c r="B105" s="233">
        <v>28412000</v>
      </c>
      <c r="C105" s="233" t="s">
        <v>648</v>
      </c>
      <c r="D105" s="271" t="s">
        <v>1352</v>
      </c>
      <c r="E105" s="241" t="s">
        <v>445</v>
      </c>
      <c r="F105" s="239" t="s">
        <v>286</v>
      </c>
      <c r="I105" s="233">
        <v>62430000</v>
      </c>
      <c r="J105" s="233" t="s">
        <v>103</v>
      </c>
      <c r="K105" s="271" t="s">
        <v>1572</v>
      </c>
      <c r="L105" s="241" t="s">
        <v>117</v>
      </c>
      <c r="M105" s="239" t="s">
        <v>33</v>
      </c>
    </row>
    <row r="106" spans="2:13">
      <c r="B106" s="233">
        <v>28430000</v>
      </c>
      <c r="C106" s="233" t="s">
        <v>648</v>
      </c>
      <c r="D106" s="271" t="s">
        <v>1353</v>
      </c>
      <c r="E106" s="241" t="s">
        <v>406</v>
      </c>
      <c r="F106" s="239" t="s">
        <v>287</v>
      </c>
      <c r="I106" s="233">
        <v>62430000</v>
      </c>
      <c r="J106" s="233" t="s">
        <v>105</v>
      </c>
      <c r="K106" s="271" t="s">
        <v>1573</v>
      </c>
      <c r="L106" s="241" t="s">
        <v>117</v>
      </c>
      <c r="M106" s="239" t="s">
        <v>33</v>
      </c>
    </row>
    <row r="107" spans="2:13">
      <c r="B107" s="233">
        <v>28441000</v>
      </c>
      <c r="C107" s="233" t="s">
        <v>648</v>
      </c>
      <c r="D107" s="271" t="s">
        <v>1354</v>
      </c>
      <c r="E107" s="241" t="s">
        <v>406</v>
      </c>
      <c r="F107" s="239" t="s">
        <v>288</v>
      </c>
      <c r="I107" s="233">
        <v>62430000</v>
      </c>
      <c r="J107" s="233" t="s">
        <v>107</v>
      </c>
      <c r="K107" s="271" t="s">
        <v>1574</v>
      </c>
      <c r="L107" s="241" t="s">
        <v>117</v>
      </c>
      <c r="M107" s="239" t="s">
        <v>33</v>
      </c>
    </row>
    <row r="108" spans="2:13">
      <c r="B108" s="233">
        <v>28442000</v>
      </c>
      <c r="C108" s="233" t="s">
        <v>648</v>
      </c>
      <c r="D108" s="271" t="s">
        <v>1355</v>
      </c>
      <c r="E108" s="241" t="s">
        <v>406</v>
      </c>
      <c r="F108" s="239" t="s">
        <v>289</v>
      </c>
      <c r="I108" s="233">
        <v>62430000</v>
      </c>
      <c r="J108" s="233" t="s">
        <v>108</v>
      </c>
      <c r="K108" s="271" t="s">
        <v>1575</v>
      </c>
      <c r="L108" s="241" t="s">
        <v>127</v>
      </c>
      <c r="M108" s="239" t="s">
        <v>33</v>
      </c>
    </row>
    <row r="109" spans="2:13">
      <c r="B109" s="233">
        <v>28444000</v>
      </c>
      <c r="C109" s="233" t="s">
        <v>648</v>
      </c>
      <c r="D109" s="271" t="s">
        <v>1356</v>
      </c>
      <c r="E109" s="241" t="s">
        <v>406</v>
      </c>
      <c r="F109" s="239" t="s">
        <v>290</v>
      </c>
      <c r="I109" s="233">
        <v>62510000</v>
      </c>
      <c r="J109" s="233" t="s">
        <v>99</v>
      </c>
      <c r="K109" s="271" t="s">
        <v>1576</v>
      </c>
      <c r="L109" s="241" t="s">
        <v>118</v>
      </c>
      <c r="M109" s="239" t="s">
        <v>560</v>
      </c>
    </row>
    <row r="110" spans="2:13">
      <c r="B110" s="233">
        <v>28451000</v>
      </c>
      <c r="C110" s="233" t="s">
        <v>648</v>
      </c>
      <c r="D110" s="271" t="s">
        <v>1357</v>
      </c>
      <c r="E110" s="241" t="s">
        <v>450</v>
      </c>
      <c r="F110" s="239" t="s">
        <v>291</v>
      </c>
      <c r="I110" s="233">
        <v>62510000</v>
      </c>
      <c r="J110" s="233" t="s">
        <v>101</v>
      </c>
      <c r="K110" s="271" t="s">
        <v>1577</v>
      </c>
      <c r="L110" s="241" t="s">
        <v>118</v>
      </c>
      <c r="M110" s="239" t="s">
        <v>560</v>
      </c>
    </row>
    <row r="111" spans="2:13">
      <c r="B111" s="233">
        <v>28451001</v>
      </c>
      <c r="C111" s="233" t="s">
        <v>648</v>
      </c>
      <c r="D111" s="271" t="s">
        <v>1358</v>
      </c>
      <c r="E111" s="241" t="s">
        <v>450</v>
      </c>
      <c r="F111" s="239" t="s">
        <v>292</v>
      </c>
      <c r="I111" s="233">
        <v>62510000</v>
      </c>
      <c r="J111" s="233" t="s">
        <v>103</v>
      </c>
      <c r="K111" s="271" t="s">
        <v>1578</v>
      </c>
      <c r="L111" s="241" t="s">
        <v>118</v>
      </c>
      <c r="M111" s="239" t="s">
        <v>560</v>
      </c>
    </row>
    <row r="112" spans="2:13">
      <c r="B112" s="233">
        <v>28451002</v>
      </c>
      <c r="C112" s="233" t="s">
        <v>648</v>
      </c>
      <c r="D112" s="271" t="s">
        <v>1359</v>
      </c>
      <c r="E112" s="241" t="s">
        <v>450</v>
      </c>
      <c r="F112" s="239" t="s">
        <v>293</v>
      </c>
      <c r="I112" s="233">
        <v>62510000</v>
      </c>
      <c r="J112" s="233" t="s">
        <v>105</v>
      </c>
      <c r="K112" s="271" t="s">
        <v>1579</v>
      </c>
      <c r="L112" s="241" t="s">
        <v>118</v>
      </c>
      <c r="M112" s="239" t="s">
        <v>560</v>
      </c>
    </row>
    <row r="113" spans="2:13">
      <c r="B113" s="233">
        <v>28454000</v>
      </c>
      <c r="C113" s="233" t="s">
        <v>648</v>
      </c>
      <c r="D113" s="271" t="s">
        <v>1360</v>
      </c>
      <c r="E113" s="241" t="s">
        <v>406</v>
      </c>
      <c r="F113" s="239" t="s">
        <v>294</v>
      </c>
      <c r="I113" s="233">
        <v>62510000</v>
      </c>
      <c r="J113" s="233" t="s">
        <v>107</v>
      </c>
      <c r="K113" s="271" t="s">
        <v>1580</v>
      </c>
      <c r="L113" s="241" t="s">
        <v>118</v>
      </c>
      <c r="M113" s="239" t="s">
        <v>560</v>
      </c>
    </row>
    <row r="114" spans="2:13">
      <c r="B114" s="233">
        <v>28480000</v>
      </c>
      <c r="C114" s="233" t="s">
        <v>648</v>
      </c>
      <c r="D114" s="271" t="s">
        <v>1361</v>
      </c>
      <c r="E114" s="241" t="s">
        <v>406</v>
      </c>
      <c r="F114" s="239" t="s">
        <v>295</v>
      </c>
      <c r="I114" s="233">
        <v>62511000</v>
      </c>
      <c r="J114" s="233" t="s">
        <v>99</v>
      </c>
      <c r="K114" s="271" t="s">
        <v>1581</v>
      </c>
      <c r="L114" s="241" t="s">
        <v>118</v>
      </c>
      <c r="M114" s="239" t="s">
        <v>34</v>
      </c>
    </row>
    <row r="115" spans="2:13">
      <c r="B115" s="233">
        <v>33120000</v>
      </c>
      <c r="C115" s="233" t="s">
        <v>648</v>
      </c>
      <c r="D115" s="271" t="s">
        <v>1362</v>
      </c>
      <c r="E115" s="241" t="s">
        <v>408</v>
      </c>
      <c r="F115" s="239" t="s">
        <v>296</v>
      </c>
      <c r="I115" s="233">
        <v>62511000</v>
      </c>
      <c r="J115" s="233" t="s">
        <v>101</v>
      </c>
      <c r="K115" s="271" t="s">
        <v>1582</v>
      </c>
      <c r="L115" s="241" t="s">
        <v>118</v>
      </c>
      <c r="M115" s="239" t="s">
        <v>34</v>
      </c>
    </row>
    <row r="116" spans="2:13">
      <c r="B116" s="233">
        <v>33130000</v>
      </c>
      <c r="C116" s="233" t="s">
        <v>648</v>
      </c>
      <c r="D116" s="271" t="s">
        <v>1363</v>
      </c>
      <c r="E116" s="241" t="s">
        <v>408</v>
      </c>
      <c r="F116" s="239" t="s">
        <v>297</v>
      </c>
      <c r="I116" s="233">
        <v>62511000</v>
      </c>
      <c r="J116" s="233" t="s">
        <v>103</v>
      </c>
      <c r="K116" s="271" t="s">
        <v>1583</v>
      </c>
      <c r="L116" s="241" t="s">
        <v>118</v>
      </c>
      <c r="M116" s="239" t="s">
        <v>34</v>
      </c>
    </row>
    <row r="117" spans="2:13">
      <c r="B117" s="233">
        <v>33140000</v>
      </c>
      <c r="C117" s="233" t="s">
        <v>648</v>
      </c>
      <c r="D117" s="271" t="s">
        <v>1364</v>
      </c>
      <c r="E117" s="241" t="s">
        <v>408</v>
      </c>
      <c r="F117" s="239" t="s">
        <v>298</v>
      </c>
      <c r="I117" s="233">
        <v>62511000</v>
      </c>
      <c r="J117" s="233" t="s">
        <v>105</v>
      </c>
      <c r="K117" s="271" t="s">
        <v>1584</v>
      </c>
      <c r="L117" s="241" t="s">
        <v>118</v>
      </c>
      <c r="M117" s="239" t="s">
        <v>34</v>
      </c>
    </row>
    <row r="118" spans="2:13">
      <c r="B118" s="233">
        <v>33150000</v>
      </c>
      <c r="C118" s="233" t="s">
        <v>648</v>
      </c>
      <c r="D118" s="271" t="s">
        <v>1365</v>
      </c>
      <c r="E118" s="241" t="s">
        <v>408</v>
      </c>
      <c r="F118" s="239" t="s">
        <v>299</v>
      </c>
      <c r="I118" s="233">
        <v>62511000</v>
      </c>
      <c r="J118" s="233" t="s">
        <v>107</v>
      </c>
      <c r="K118" s="271" t="s">
        <v>1585</v>
      </c>
      <c r="L118" s="241" t="s">
        <v>118</v>
      </c>
      <c r="M118" s="239" t="s">
        <v>34</v>
      </c>
    </row>
    <row r="119" spans="2:13">
      <c r="B119" s="233">
        <v>33160000</v>
      </c>
      <c r="C119" s="233" t="s">
        <v>648</v>
      </c>
      <c r="D119" s="271" t="s">
        <v>1366</v>
      </c>
      <c r="E119" s="241" t="s">
        <v>408</v>
      </c>
      <c r="F119" s="239" t="s">
        <v>300</v>
      </c>
      <c r="I119" s="233">
        <v>62521000</v>
      </c>
      <c r="J119" s="233" t="s">
        <v>99</v>
      </c>
      <c r="K119" s="271" t="s">
        <v>1586</v>
      </c>
      <c r="L119" s="241" t="s">
        <v>118</v>
      </c>
      <c r="M119" s="239" t="s">
        <v>35</v>
      </c>
    </row>
    <row r="120" spans="2:13">
      <c r="B120" s="233">
        <v>33210000</v>
      </c>
      <c r="C120" s="233" t="s">
        <v>648</v>
      </c>
      <c r="D120" s="271" t="s">
        <v>1367</v>
      </c>
      <c r="E120" s="241" t="s">
        <v>409</v>
      </c>
      <c r="F120" s="239" t="s">
        <v>301</v>
      </c>
      <c r="I120" s="233">
        <v>62521000</v>
      </c>
      <c r="J120" s="233" t="s">
        <v>101</v>
      </c>
      <c r="K120" s="271" t="s">
        <v>1587</v>
      </c>
      <c r="L120" s="241" t="s">
        <v>118</v>
      </c>
      <c r="M120" s="239" t="s">
        <v>35</v>
      </c>
    </row>
    <row r="121" spans="2:13">
      <c r="B121" s="233">
        <v>36110000</v>
      </c>
      <c r="C121" s="233" t="s">
        <v>648</v>
      </c>
      <c r="D121" s="271" t="s">
        <v>1368</v>
      </c>
      <c r="E121" s="241" t="s">
        <v>410</v>
      </c>
      <c r="F121" s="239" t="s">
        <v>302</v>
      </c>
      <c r="I121" s="233">
        <v>62521000</v>
      </c>
      <c r="J121" s="233" t="s">
        <v>103</v>
      </c>
      <c r="K121" s="271" t="s">
        <v>1588</v>
      </c>
      <c r="L121" s="241" t="s">
        <v>118</v>
      </c>
      <c r="M121" s="239" t="s">
        <v>35</v>
      </c>
    </row>
    <row r="122" spans="2:13">
      <c r="B122" s="233">
        <v>36120000</v>
      </c>
      <c r="C122" s="233" t="s">
        <v>648</v>
      </c>
      <c r="D122" s="271" t="s">
        <v>1369</v>
      </c>
      <c r="E122" s="241" t="s">
        <v>410</v>
      </c>
      <c r="F122" s="239" t="s">
        <v>303</v>
      </c>
      <c r="I122" s="233">
        <v>62521000</v>
      </c>
      <c r="J122" s="233" t="s">
        <v>105</v>
      </c>
      <c r="K122" s="271" t="s">
        <v>1589</v>
      </c>
      <c r="L122" s="241" t="s">
        <v>118</v>
      </c>
      <c r="M122" s="239" t="s">
        <v>35</v>
      </c>
    </row>
    <row r="123" spans="2:13">
      <c r="B123" s="233">
        <v>36140000</v>
      </c>
      <c r="C123" s="233" t="s">
        <v>648</v>
      </c>
      <c r="D123" s="271" t="s">
        <v>1370</v>
      </c>
      <c r="E123" s="241" t="s">
        <v>410</v>
      </c>
      <c r="F123" s="239" t="s">
        <v>304</v>
      </c>
      <c r="I123" s="233">
        <v>62521000</v>
      </c>
      <c r="J123" s="233" t="s">
        <v>107</v>
      </c>
      <c r="K123" s="271" t="s">
        <v>1590</v>
      </c>
      <c r="L123" s="241" t="s">
        <v>118</v>
      </c>
      <c r="M123" s="239" t="s">
        <v>35</v>
      </c>
    </row>
    <row r="124" spans="2:13">
      <c r="B124" s="233">
        <v>36150000</v>
      </c>
      <c r="C124" s="233" t="s">
        <v>648</v>
      </c>
      <c r="D124" s="271" t="s">
        <v>1371</v>
      </c>
      <c r="E124" s="241" t="s">
        <v>410</v>
      </c>
      <c r="F124" s="239" t="s">
        <v>305</v>
      </c>
      <c r="I124" s="233">
        <v>62522000</v>
      </c>
      <c r="J124" s="233" t="s">
        <v>99</v>
      </c>
      <c r="K124" s="271" t="s">
        <v>1591</v>
      </c>
      <c r="L124" s="241" t="s">
        <v>118</v>
      </c>
      <c r="M124" s="239" t="s">
        <v>36</v>
      </c>
    </row>
    <row r="125" spans="2:13">
      <c r="B125" s="233">
        <v>36210000</v>
      </c>
      <c r="C125" s="233" t="s">
        <v>648</v>
      </c>
      <c r="D125" s="271" t="s">
        <v>1372</v>
      </c>
      <c r="E125" s="241" t="s">
        <v>410</v>
      </c>
      <c r="F125" s="239" t="s">
        <v>306</v>
      </c>
      <c r="I125" s="233">
        <v>62522000</v>
      </c>
      <c r="J125" s="233" t="s">
        <v>101</v>
      </c>
      <c r="K125" s="271" t="s">
        <v>1592</v>
      </c>
      <c r="L125" s="241" t="s">
        <v>118</v>
      </c>
      <c r="M125" s="239" t="s">
        <v>36</v>
      </c>
    </row>
    <row r="126" spans="2:13">
      <c r="B126" s="233">
        <v>36220000</v>
      </c>
      <c r="C126" s="233" t="s">
        <v>648</v>
      </c>
      <c r="D126" s="271" t="s">
        <v>1373</v>
      </c>
      <c r="E126" s="241" t="s">
        <v>410</v>
      </c>
      <c r="F126" s="239" t="s">
        <v>307</v>
      </c>
      <c r="I126" s="233">
        <v>62522000</v>
      </c>
      <c r="J126" s="233" t="s">
        <v>103</v>
      </c>
      <c r="K126" s="271" t="s">
        <v>1593</v>
      </c>
      <c r="L126" s="241" t="s">
        <v>118</v>
      </c>
      <c r="M126" s="239" t="s">
        <v>36</v>
      </c>
    </row>
    <row r="127" spans="2:13">
      <c r="B127" s="233">
        <v>36240000</v>
      </c>
      <c r="C127" s="233" t="s">
        <v>648</v>
      </c>
      <c r="D127" s="271" t="s">
        <v>1374</v>
      </c>
      <c r="E127" s="241" t="s">
        <v>410</v>
      </c>
      <c r="F127" s="239" t="s">
        <v>308</v>
      </c>
      <c r="I127" s="233">
        <v>62522000</v>
      </c>
      <c r="J127" s="233" t="s">
        <v>105</v>
      </c>
      <c r="K127" s="271" t="s">
        <v>1594</v>
      </c>
      <c r="L127" s="241" t="s">
        <v>118</v>
      </c>
      <c r="M127" s="239" t="s">
        <v>36</v>
      </c>
    </row>
    <row r="128" spans="2:13">
      <c r="B128" s="233">
        <v>36250000</v>
      </c>
      <c r="C128" s="233" t="s">
        <v>648</v>
      </c>
      <c r="D128" s="271" t="s">
        <v>1375</v>
      </c>
      <c r="E128" s="241" t="s">
        <v>410</v>
      </c>
      <c r="F128" s="239" t="s">
        <v>309</v>
      </c>
      <c r="I128" s="233">
        <v>62522000</v>
      </c>
      <c r="J128" s="233" t="s">
        <v>107</v>
      </c>
      <c r="K128" s="271" t="s">
        <v>1595</v>
      </c>
      <c r="L128" s="241" t="s">
        <v>118</v>
      </c>
      <c r="M128" s="239" t="s">
        <v>36</v>
      </c>
    </row>
    <row r="129" spans="2:13">
      <c r="B129" s="233">
        <v>36410000</v>
      </c>
      <c r="C129" s="233" t="s">
        <v>648</v>
      </c>
      <c r="D129" s="271" t="s">
        <v>1376</v>
      </c>
      <c r="E129" s="241" t="s">
        <v>410</v>
      </c>
      <c r="F129" s="239" t="s">
        <v>311</v>
      </c>
      <c r="I129" s="233">
        <v>62582000</v>
      </c>
      <c r="J129" s="233" t="s">
        <v>99</v>
      </c>
      <c r="K129" s="271" t="s">
        <v>1596</v>
      </c>
      <c r="L129" s="241" t="s">
        <v>118</v>
      </c>
      <c r="M129" s="239" t="s">
        <v>37</v>
      </c>
    </row>
    <row r="130" spans="2:13">
      <c r="B130" s="233">
        <v>36420000</v>
      </c>
      <c r="C130" s="233" t="s">
        <v>648</v>
      </c>
      <c r="D130" s="271" t="s">
        <v>1377</v>
      </c>
      <c r="E130" s="241" t="s">
        <v>410</v>
      </c>
      <c r="F130" s="239" t="s">
        <v>312</v>
      </c>
      <c r="I130" s="233">
        <v>62582000</v>
      </c>
      <c r="J130" s="233" t="s">
        <v>101</v>
      </c>
      <c r="K130" s="271" t="s">
        <v>1597</v>
      </c>
      <c r="L130" s="241" t="s">
        <v>118</v>
      </c>
      <c r="M130" s="239" t="s">
        <v>37</v>
      </c>
    </row>
    <row r="131" spans="2:13">
      <c r="B131" s="233">
        <v>36440000</v>
      </c>
      <c r="C131" s="233" t="s">
        <v>648</v>
      </c>
      <c r="D131" s="271" t="s">
        <v>1378</v>
      </c>
      <c r="E131" s="241" t="s">
        <v>410</v>
      </c>
      <c r="F131" s="239" t="s">
        <v>313</v>
      </c>
      <c r="I131" s="233">
        <v>62582000</v>
      </c>
      <c r="J131" s="233" t="s">
        <v>103</v>
      </c>
      <c r="K131" s="271" t="s">
        <v>1598</v>
      </c>
      <c r="L131" s="241" t="s">
        <v>118</v>
      </c>
      <c r="M131" s="239" t="s">
        <v>37</v>
      </c>
    </row>
    <row r="132" spans="2:13">
      <c r="B132" s="233">
        <v>36450000</v>
      </c>
      <c r="C132" s="233" t="s">
        <v>648</v>
      </c>
      <c r="D132" s="271" t="s">
        <v>1379</v>
      </c>
      <c r="E132" s="241" t="s">
        <v>410</v>
      </c>
      <c r="F132" s="239" t="s">
        <v>314</v>
      </c>
      <c r="I132" s="233">
        <v>62582000</v>
      </c>
      <c r="J132" s="233" t="s">
        <v>105</v>
      </c>
      <c r="K132" s="271" t="s">
        <v>1599</v>
      </c>
      <c r="L132" s="241" t="s">
        <v>118</v>
      </c>
      <c r="M132" s="239" t="s">
        <v>37</v>
      </c>
    </row>
    <row r="133" spans="2:13">
      <c r="B133" s="233">
        <v>36510000</v>
      </c>
      <c r="C133" s="233" t="s">
        <v>648</v>
      </c>
      <c r="D133" s="271" t="s">
        <v>1380</v>
      </c>
      <c r="E133" s="241" t="s">
        <v>410</v>
      </c>
      <c r="F133" s="239" t="s">
        <v>315</v>
      </c>
      <c r="I133" s="233">
        <v>62582000</v>
      </c>
      <c r="J133" s="233" t="s">
        <v>107</v>
      </c>
      <c r="K133" s="271" t="s">
        <v>1600</v>
      </c>
      <c r="L133" s="241" t="s">
        <v>118</v>
      </c>
      <c r="M133" s="239" t="s">
        <v>37</v>
      </c>
    </row>
    <row r="134" spans="2:13">
      <c r="B134" s="233">
        <v>36520000</v>
      </c>
      <c r="C134" s="233" t="s">
        <v>648</v>
      </c>
      <c r="D134" s="271" t="s">
        <v>1381</v>
      </c>
      <c r="E134" s="241" t="s">
        <v>410</v>
      </c>
      <c r="F134" s="239" t="s">
        <v>316</v>
      </c>
      <c r="I134" s="233">
        <v>62760000</v>
      </c>
      <c r="J134" s="233" t="s">
        <v>108</v>
      </c>
      <c r="K134" s="271" t="s">
        <v>1601</v>
      </c>
      <c r="L134" s="241" t="s">
        <v>127</v>
      </c>
      <c r="M134" s="239" t="s">
        <v>38</v>
      </c>
    </row>
    <row r="135" spans="2:13">
      <c r="B135" s="233">
        <v>36530000</v>
      </c>
      <c r="C135" s="233" t="s">
        <v>648</v>
      </c>
      <c r="D135" s="271" t="s">
        <v>1382</v>
      </c>
      <c r="E135" s="241" t="s">
        <v>410</v>
      </c>
      <c r="F135" s="239" t="s">
        <v>317</v>
      </c>
      <c r="I135" s="233">
        <v>62880000</v>
      </c>
      <c r="J135" s="233" t="s">
        <v>108</v>
      </c>
      <c r="K135" s="271" t="s">
        <v>1602</v>
      </c>
      <c r="L135" s="241" t="s">
        <v>127</v>
      </c>
      <c r="M135" s="239" t="s">
        <v>39</v>
      </c>
    </row>
    <row r="136" spans="2:13">
      <c r="B136" s="233">
        <v>36540000</v>
      </c>
      <c r="C136" s="233" t="s">
        <v>648</v>
      </c>
      <c r="D136" s="271" t="s">
        <v>1383</v>
      </c>
      <c r="E136" s="241" t="s">
        <v>410</v>
      </c>
      <c r="F136" s="239" t="s">
        <v>592</v>
      </c>
      <c r="I136" s="233">
        <v>62883000</v>
      </c>
      <c r="J136" s="233" t="s">
        <v>99</v>
      </c>
      <c r="K136" s="271" t="s">
        <v>1603</v>
      </c>
      <c r="L136" s="241" t="s">
        <v>113</v>
      </c>
      <c r="M136" s="239" t="s">
        <v>41</v>
      </c>
    </row>
    <row r="137" spans="2:13">
      <c r="B137" s="233">
        <v>40100000</v>
      </c>
      <c r="C137" s="233" t="s">
        <v>648</v>
      </c>
      <c r="D137" s="271" t="s">
        <v>1384</v>
      </c>
      <c r="E137" s="241" t="s">
        <v>411</v>
      </c>
      <c r="F137" s="239" t="s">
        <v>318</v>
      </c>
      <c r="I137" s="233">
        <v>62883000</v>
      </c>
      <c r="J137" s="233" t="s">
        <v>101</v>
      </c>
      <c r="K137" s="271" t="s">
        <v>1604</v>
      </c>
      <c r="L137" s="241" t="s">
        <v>113</v>
      </c>
      <c r="M137" s="239" t="s">
        <v>41</v>
      </c>
    </row>
    <row r="138" spans="2:13">
      <c r="B138" s="233">
        <v>40111000</v>
      </c>
      <c r="C138" s="233" t="s">
        <v>648</v>
      </c>
      <c r="D138" s="271" t="s">
        <v>1385</v>
      </c>
      <c r="E138" s="241" t="s">
        <v>411</v>
      </c>
      <c r="F138" s="239" t="s">
        <v>318</v>
      </c>
      <c r="I138" s="233">
        <v>62883000</v>
      </c>
      <c r="J138" s="233" t="s">
        <v>103</v>
      </c>
      <c r="K138" s="271" t="s">
        <v>1605</v>
      </c>
      <c r="L138" s="241" t="s">
        <v>113</v>
      </c>
      <c r="M138" s="239" t="s">
        <v>41</v>
      </c>
    </row>
    <row r="139" spans="2:13">
      <c r="B139" s="233">
        <v>40112000</v>
      </c>
      <c r="C139" s="233" t="s">
        <v>648</v>
      </c>
      <c r="D139" s="271" t="s">
        <v>1386</v>
      </c>
      <c r="E139" s="241" t="s">
        <v>412</v>
      </c>
      <c r="F139" s="239" t="s">
        <v>319</v>
      </c>
      <c r="I139" s="233">
        <v>62883000</v>
      </c>
      <c r="J139" s="233" t="s">
        <v>105</v>
      </c>
      <c r="K139" s="271" t="s">
        <v>1606</v>
      </c>
      <c r="L139" s="241" t="s">
        <v>113</v>
      </c>
      <c r="M139" s="239" t="s">
        <v>41</v>
      </c>
    </row>
    <row r="140" spans="2:13">
      <c r="B140" s="233">
        <v>41100000</v>
      </c>
      <c r="C140" s="233" t="s">
        <v>648</v>
      </c>
      <c r="D140" s="271" t="s">
        <v>1387</v>
      </c>
      <c r="E140" s="241" t="s">
        <v>414</v>
      </c>
      <c r="F140" s="239" t="s">
        <v>320</v>
      </c>
      <c r="I140" s="233">
        <v>62883000</v>
      </c>
      <c r="J140" s="233" t="s">
        <v>107</v>
      </c>
      <c r="K140" s="271" t="s">
        <v>1607</v>
      </c>
      <c r="L140" s="241" t="s">
        <v>113</v>
      </c>
      <c r="M140" s="239" t="s">
        <v>41</v>
      </c>
    </row>
    <row r="141" spans="2:13">
      <c r="B141" s="233">
        <v>42100000</v>
      </c>
      <c r="C141" s="233" t="s">
        <v>648</v>
      </c>
      <c r="D141" s="271" t="s">
        <v>1388</v>
      </c>
      <c r="E141" s="241" t="s">
        <v>415</v>
      </c>
      <c r="F141" s="239" t="s">
        <v>321</v>
      </c>
      <c r="I141" s="233">
        <v>63180000</v>
      </c>
      <c r="J141" s="233" t="s">
        <v>108</v>
      </c>
      <c r="K141" s="271" t="s">
        <v>1608</v>
      </c>
      <c r="L141" s="241" t="s">
        <v>127</v>
      </c>
      <c r="M141" s="239" t="s">
        <v>42</v>
      </c>
    </row>
    <row r="142" spans="2:13">
      <c r="B142" s="233">
        <v>42110000</v>
      </c>
      <c r="C142" s="233" t="s">
        <v>648</v>
      </c>
      <c r="D142" s="271" t="s">
        <v>1389</v>
      </c>
      <c r="E142" s="241" t="s">
        <v>415</v>
      </c>
      <c r="F142" s="239" t="s">
        <v>322</v>
      </c>
      <c r="I142" s="233">
        <v>63210000</v>
      </c>
      <c r="J142" s="233" t="s">
        <v>99</v>
      </c>
      <c r="K142" s="271" t="s">
        <v>1609</v>
      </c>
      <c r="L142" s="241" t="s">
        <v>111</v>
      </c>
      <c r="M142" s="239" t="s">
        <v>43</v>
      </c>
    </row>
    <row r="143" spans="2:13">
      <c r="B143" s="233">
        <v>42200001</v>
      </c>
      <c r="C143" s="233" t="s">
        <v>648</v>
      </c>
      <c r="D143" s="271" t="s">
        <v>1390</v>
      </c>
      <c r="E143" s="241" t="s">
        <v>416</v>
      </c>
      <c r="F143" s="239" t="s">
        <v>323</v>
      </c>
      <c r="I143" s="233">
        <v>63210000</v>
      </c>
      <c r="J143" s="233" t="s">
        <v>103</v>
      </c>
      <c r="K143" s="271" t="s">
        <v>1610</v>
      </c>
      <c r="L143" s="241" t="s">
        <v>111</v>
      </c>
      <c r="M143" s="239" t="s">
        <v>43</v>
      </c>
    </row>
    <row r="144" spans="2:13">
      <c r="B144" s="233">
        <v>42200002</v>
      </c>
      <c r="C144" s="233" t="s">
        <v>648</v>
      </c>
      <c r="D144" s="271" t="s">
        <v>1391</v>
      </c>
      <c r="E144" s="241" t="s">
        <v>416</v>
      </c>
      <c r="F144" s="239" t="s">
        <v>324</v>
      </c>
      <c r="I144" s="233">
        <v>63210000</v>
      </c>
      <c r="J144" s="233" t="s">
        <v>107</v>
      </c>
      <c r="K144" s="271" t="s">
        <v>1611</v>
      </c>
      <c r="L144" s="241" t="s">
        <v>111</v>
      </c>
      <c r="M144" s="239" t="s">
        <v>43</v>
      </c>
    </row>
    <row r="145" spans="2:13">
      <c r="B145" s="233">
        <v>42200003</v>
      </c>
      <c r="C145" s="233" t="s">
        <v>648</v>
      </c>
      <c r="D145" s="271" t="s">
        <v>1392</v>
      </c>
      <c r="E145" s="241" t="s">
        <v>416</v>
      </c>
      <c r="F145" s="239" t="s">
        <v>325</v>
      </c>
      <c r="I145" s="233">
        <v>63240000</v>
      </c>
      <c r="J145" s="233" t="s">
        <v>108</v>
      </c>
      <c r="K145" s="271" t="s">
        <v>1612</v>
      </c>
      <c r="L145" s="241" t="s">
        <v>127</v>
      </c>
      <c r="M145" s="239" t="s">
        <v>44</v>
      </c>
    </row>
    <row r="146" spans="2:13">
      <c r="B146" s="233">
        <v>42200004</v>
      </c>
      <c r="C146" s="233" t="s">
        <v>648</v>
      </c>
      <c r="D146" s="271" t="s">
        <v>1393</v>
      </c>
      <c r="E146" s="241" t="s">
        <v>416</v>
      </c>
      <c r="F146" s="239" t="s">
        <v>326</v>
      </c>
      <c r="I146" s="233">
        <v>63241000</v>
      </c>
      <c r="J146" s="233" t="s">
        <v>99</v>
      </c>
      <c r="K146" s="271" t="s">
        <v>1613</v>
      </c>
      <c r="L146" s="241" t="s">
        <v>111</v>
      </c>
      <c r="M146" s="239" t="s">
        <v>45</v>
      </c>
    </row>
    <row r="147" spans="2:13">
      <c r="B147" s="233">
        <v>42200005</v>
      </c>
      <c r="C147" s="233" t="s">
        <v>648</v>
      </c>
      <c r="D147" s="271" t="s">
        <v>1394</v>
      </c>
      <c r="E147" s="241" t="s">
        <v>416</v>
      </c>
      <c r="F147" s="239" t="s">
        <v>327</v>
      </c>
      <c r="I147" s="233">
        <v>63241000</v>
      </c>
      <c r="J147" s="233" t="s">
        <v>101</v>
      </c>
      <c r="K147" s="271" t="s">
        <v>1614</v>
      </c>
      <c r="L147" s="241" t="s">
        <v>111</v>
      </c>
      <c r="M147" s="239" t="s">
        <v>45</v>
      </c>
    </row>
    <row r="148" spans="2:13">
      <c r="B148" s="233">
        <v>42200006</v>
      </c>
      <c r="C148" s="233" t="s">
        <v>648</v>
      </c>
      <c r="D148" s="271" t="s">
        <v>1395</v>
      </c>
      <c r="E148" s="241" t="s">
        <v>416</v>
      </c>
      <c r="F148" s="239" t="s">
        <v>328</v>
      </c>
      <c r="I148" s="233">
        <v>63241000</v>
      </c>
      <c r="J148" s="233" t="s">
        <v>103</v>
      </c>
      <c r="K148" s="271" t="s">
        <v>1615</v>
      </c>
      <c r="L148" s="241" t="s">
        <v>111</v>
      </c>
      <c r="M148" s="239" t="s">
        <v>45</v>
      </c>
    </row>
    <row r="149" spans="2:13">
      <c r="B149" s="233">
        <v>42200009</v>
      </c>
      <c r="C149" s="233" t="s">
        <v>648</v>
      </c>
      <c r="D149" s="271" t="s">
        <v>1396</v>
      </c>
      <c r="E149" s="241" t="s">
        <v>416</v>
      </c>
      <c r="F149" s="239" t="s">
        <v>329</v>
      </c>
      <c r="I149" s="233">
        <v>63241000</v>
      </c>
      <c r="J149" s="233" t="s">
        <v>105</v>
      </c>
      <c r="K149" s="271" t="s">
        <v>1616</v>
      </c>
      <c r="L149" s="241" t="s">
        <v>111</v>
      </c>
      <c r="M149" s="239" t="s">
        <v>45</v>
      </c>
    </row>
    <row r="150" spans="2:13">
      <c r="B150" s="233">
        <v>42200010</v>
      </c>
      <c r="C150" s="233" t="s">
        <v>648</v>
      </c>
      <c r="D150" s="271" t="s">
        <v>1397</v>
      </c>
      <c r="E150" s="241" t="s">
        <v>416</v>
      </c>
      <c r="F150" s="239" t="s">
        <v>330</v>
      </c>
      <c r="I150" s="233">
        <v>63243000</v>
      </c>
      <c r="J150" s="233" t="s">
        <v>107</v>
      </c>
      <c r="K150" s="271" t="s">
        <v>1617</v>
      </c>
      <c r="L150" s="241" t="s">
        <v>111</v>
      </c>
      <c r="M150" s="239" t="s">
        <v>46</v>
      </c>
    </row>
    <row r="151" spans="2:13">
      <c r="B151" s="233">
        <v>42200011</v>
      </c>
      <c r="C151" s="233" t="s">
        <v>648</v>
      </c>
      <c r="D151" s="271" t="s">
        <v>1398</v>
      </c>
      <c r="E151" s="241" t="s">
        <v>416</v>
      </c>
      <c r="F151" s="239" t="s">
        <v>331</v>
      </c>
      <c r="I151" s="233">
        <v>63281000</v>
      </c>
      <c r="J151" s="233" t="s">
        <v>99</v>
      </c>
      <c r="K151" s="271" t="s">
        <v>1618</v>
      </c>
      <c r="L151" s="241" t="s">
        <v>110</v>
      </c>
      <c r="M151" s="239" t="s">
        <v>47</v>
      </c>
    </row>
    <row r="152" spans="2:13">
      <c r="B152" s="233">
        <v>42200012</v>
      </c>
      <c r="C152" s="233" t="s">
        <v>648</v>
      </c>
      <c r="D152" s="271" t="s">
        <v>1399</v>
      </c>
      <c r="E152" s="241" t="s">
        <v>416</v>
      </c>
      <c r="F152" s="239" t="s">
        <v>332</v>
      </c>
      <c r="I152" s="233">
        <v>63281000</v>
      </c>
      <c r="J152" s="233" t="s">
        <v>101</v>
      </c>
      <c r="K152" s="271" t="s">
        <v>1619</v>
      </c>
      <c r="L152" s="241" t="s">
        <v>110</v>
      </c>
      <c r="M152" s="239" t="s">
        <v>47</v>
      </c>
    </row>
    <row r="153" spans="2:13">
      <c r="B153" s="233">
        <v>42200013</v>
      </c>
      <c r="C153" s="233" t="s">
        <v>648</v>
      </c>
      <c r="D153" s="271" t="s">
        <v>1400</v>
      </c>
      <c r="E153" s="241" t="s">
        <v>416</v>
      </c>
      <c r="F153" s="239" t="s">
        <v>333</v>
      </c>
      <c r="I153" s="233">
        <v>63281000</v>
      </c>
      <c r="J153" s="233" t="s">
        <v>103</v>
      </c>
      <c r="K153" s="271" t="s">
        <v>1620</v>
      </c>
      <c r="L153" s="241" t="s">
        <v>110</v>
      </c>
      <c r="M153" s="239" t="s">
        <v>47</v>
      </c>
    </row>
    <row r="154" spans="2:13">
      <c r="B154" s="233">
        <v>42200019</v>
      </c>
      <c r="C154" s="233" t="s">
        <v>648</v>
      </c>
      <c r="D154" s="271" t="s">
        <v>1401</v>
      </c>
      <c r="E154" s="241" t="s">
        <v>416</v>
      </c>
      <c r="F154" s="239" t="s">
        <v>73</v>
      </c>
      <c r="I154" s="233">
        <v>63281000</v>
      </c>
      <c r="J154" s="233" t="s">
        <v>105</v>
      </c>
      <c r="K154" s="271" t="s">
        <v>1621</v>
      </c>
      <c r="L154" s="241" t="s">
        <v>110</v>
      </c>
      <c r="M154" s="239" t="s">
        <v>47</v>
      </c>
    </row>
    <row r="155" spans="2:13">
      <c r="B155" s="233">
        <v>42200029</v>
      </c>
      <c r="C155" s="233" t="s">
        <v>648</v>
      </c>
      <c r="D155" s="271" t="s">
        <v>1402</v>
      </c>
      <c r="E155" s="241" t="s">
        <v>416</v>
      </c>
      <c r="F155" s="239" t="s">
        <v>74</v>
      </c>
      <c r="I155" s="233">
        <v>63281000</v>
      </c>
      <c r="J155" s="233" t="s">
        <v>107</v>
      </c>
      <c r="K155" s="271" t="s">
        <v>1622</v>
      </c>
      <c r="L155" s="241" t="s">
        <v>110</v>
      </c>
      <c r="M155" s="239" t="s">
        <v>47</v>
      </c>
    </row>
    <row r="156" spans="2:13">
      <c r="B156" s="233">
        <v>42200039</v>
      </c>
      <c r="C156" s="233" t="s">
        <v>648</v>
      </c>
      <c r="D156" s="271" t="s">
        <v>1403</v>
      </c>
      <c r="E156" s="241" t="s">
        <v>416</v>
      </c>
      <c r="F156" s="239" t="s">
        <v>334</v>
      </c>
      <c r="I156" s="233">
        <v>63282000</v>
      </c>
      <c r="J156" s="233" t="s">
        <v>99</v>
      </c>
      <c r="K156" s="271" t="s">
        <v>1623</v>
      </c>
      <c r="L156" s="241" t="s">
        <v>111</v>
      </c>
      <c r="M156" s="239" t="s">
        <v>48</v>
      </c>
    </row>
    <row r="157" spans="2:13">
      <c r="B157" s="233">
        <v>42200049</v>
      </c>
      <c r="C157" s="233" t="s">
        <v>648</v>
      </c>
      <c r="D157" s="271" t="s">
        <v>1404</v>
      </c>
      <c r="E157" s="241" t="s">
        <v>416</v>
      </c>
      <c r="F157" s="239" t="s">
        <v>335</v>
      </c>
      <c r="I157" s="233">
        <v>63282000</v>
      </c>
      <c r="J157" s="233" t="s">
        <v>101</v>
      </c>
      <c r="K157" s="271" t="s">
        <v>1624</v>
      </c>
      <c r="L157" s="241" t="s">
        <v>111</v>
      </c>
      <c r="M157" s="239" t="s">
        <v>48</v>
      </c>
    </row>
    <row r="158" spans="2:13">
      <c r="B158" s="233">
        <v>42200059</v>
      </c>
      <c r="C158" s="233" t="s">
        <v>648</v>
      </c>
      <c r="D158" s="271" t="s">
        <v>1405</v>
      </c>
      <c r="E158" s="241" t="s">
        <v>416</v>
      </c>
      <c r="F158" s="239" t="s">
        <v>336</v>
      </c>
      <c r="I158" s="233">
        <v>63282000</v>
      </c>
      <c r="J158" s="233" t="s">
        <v>103</v>
      </c>
      <c r="K158" s="271" t="s">
        <v>1625</v>
      </c>
      <c r="L158" s="241" t="s">
        <v>111</v>
      </c>
      <c r="M158" s="239" t="s">
        <v>48</v>
      </c>
    </row>
    <row r="159" spans="2:13">
      <c r="B159" s="233">
        <v>42520000</v>
      </c>
      <c r="C159" s="233" t="s">
        <v>648</v>
      </c>
      <c r="D159" s="271" t="s">
        <v>1406</v>
      </c>
      <c r="E159" s="241" t="s">
        <v>405</v>
      </c>
      <c r="F159" s="239" t="s">
        <v>337</v>
      </c>
      <c r="I159" s="233">
        <v>63282000</v>
      </c>
      <c r="J159" s="233" t="s">
        <v>105</v>
      </c>
      <c r="K159" s="271" t="s">
        <v>1626</v>
      </c>
      <c r="L159" s="241" t="s">
        <v>111</v>
      </c>
      <c r="M159" s="239" t="s">
        <v>48</v>
      </c>
    </row>
    <row r="160" spans="2:13">
      <c r="B160" s="233">
        <v>42530000</v>
      </c>
      <c r="C160" s="233" t="s">
        <v>648</v>
      </c>
      <c r="D160" s="271" t="s">
        <v>1407</v>
      </c>
      <c r="E160" s="241" t="s">
        <v>405</v>
      </c>
      <c r="F160" s="239" t="s">
        <v>338</v>
      </c>
      <c r="I160" s="233">
        <v>63282000</v>
      </c>
      <c r="J160" s="233" t="s">
        <v>107</v>
      </c>
      <c r="K160" s="271" t="s">
        <v>1627</v>
      </c>
      <c r="L160" s="241" t="s">
        <v>111</v>
      </c>
      <c r="M160" s="239" t="s">
        <v>48</v>
      </c>
    </row>
    <row r="161" spans="2:13">
      <c r="B161" s="233">
        <v>42810000</v>
      </c>
      <c r="C161" s="233" t="s">
        <v>648</v>
      </c>
      <c r="D161" s="271" t="s">
        <v>1408</v>
      </c>
      <c r="E161" s="241" t="s">
        <v>405</v>
      </c>
      <c r="F161" s="239" t="s">
        <v>339</v>
      </c>
      <c r="I161" s="233">
        <v>63284000</v>
      </c>
      <c r="J161" s="233" t="s">
        <v>99</v>
      </c>
      <c r="K161" s="271" t="s">
        <v>1628</v>
      </c>
      <c r="L161" s="241" t="s">
        <v>110</v>
      </c>
      <c r="M161" s="239" t="s">
        <v>49</v>
      </c>
    </row>
    <row r="162" spans="2:13">
      <c r="B162" s="233">
        <v>43110000</v>
      </c>
      <c r="C162" s="233" t="s">
        <v>648</v>
      </c>
      <c r="D162" s="271" t="s">
        <v>1409</v>
      </c>
      <c r="E162" s="241" t="s">
        <v>417</v>
      </c>
      <c r="F162" s="239" t="s">
        <v>398</v>
      </c>
      <c r="I162" s="233">
        <v>63284000</v>
      </c>
      <c r="J162" s="233" t="s">
        <v>101</v>
      </c>
      <c r="K162" s="271" t="s">
        <v>1629</v>
      </c>
      <c r="L162" s="241" t="s">
        <v>110</v>
      </c>
      <c r="M162" s="239" t="s">
        <v>49</v>
      </c>
    </row>
    <row r="163" spans="2:13">
      <c r="B163" s="233">
        <v>43120000</v>
      </c>
      <c r="C163" s="233" t="s">
        <v>648</v>
      </c>
      <c r="D163" s="271" t="s">
        <v>1410</v>
      </c>
      <c r="E163" s="241" t="s">
        <v>417</v>
      </c>
      <c r="F163" s="239" t="s">
        <v>399</v>
      </c>
      <c r="I163" s="233">
        <v>63284000</v>
      </c>
      <c r="J163" s="233" t="s">
        <v>103</v>
      </c>
      <c r="K163" s="271" t="s">
        <v>1630</v>
      </c>
      <c r="L163" s="241" t="s">
        <v>110</v>
      </c>
      <c r="M163" s="239" t="s">
        <v>49</v>
      </c>
    </row>
    <row r="164" spans="2:13">
      <c r="B164" s="233">
        <v>43130000</v>
      </c>
      <c r="C164" s="233" t="s">
        <v>648</v>
      </c>
      <c r="D164" s="271" t="s">
        <v>1411</v>
      </c>
      <c r="E164" s="241" t="s">
        <v>417</v>
      </c>
      <c r="F164" s="239" t="s">
        <v>340</v>
      </c>
      <c r="I164" s="233">
        <v>63284000</v>
      </c>
      <c r="J164" s="233" t="s">
        <v>107</v>
      </c>
      <c r="K164" s="271" t="s">
        <v>1631</v>
      </c>
      <c r="L164" s="241" t="s">
        <v>110</v>
      </c>
      <c r="M164" s="239" t="s">
        <v>49</v>
      </c>
    </row>
    <row r="165" spans="2:13">
      <c r="B165" s="233">
        <v>43132000</v>
      </c>
      <c r="C165" s="233" t="s">
        <v>648</v>
      </c>
      <c r="D165" s="271" t="s">
        <v>1412</v>
      </c>
      <c r="E165" s="241" t="s">
        <v>417</v>
      </c>
      <c r="F165" s="239" t="s">
        <v>341</v>
      </c>
      <c r="I165" s="233">
        <v>63284000</v>
      </c>
      <c r="J165" s="233" t="s">
        <v>108</v>
      </c>
      <c r="K165" s="271" t="s">
        <v>1632</v>
      </c>
      <c r="L165" s="241" t="s">
        <v>128</v>
      </c>
      <c r="M165" s="239" t="s">
        <v>49</v>
      </c>
    </row>
    <row r="166" spans="2:13">
      <c r="B166" s="233">
        <v>43133000</v>
      </c>
      <c r="C166" s="233" t="s">
        <v>648</v>
      </c>
      <c r="D166" s="271" t="s">
        <v>1413</v>
      </c>
      <c r="E166" s="241" t="s">
        <v>417</v>
      </c>
      <c r="F166" s="239" t="s">
        <v>342</v>
      </c>
      <c r="I166" s="233">
        <v>63312000</v>
      </c>
      <c r="J166" s="233" t="s">
        <v>108</v>
      </c>
      <c r="K166" s="271" t="s">
        <v>1633</v>
      </c>
      <c r="L166" s="241" t="s">
        <v>127</v>
      </c>
      <c r="M166" s="239" t="s">
        <v>50</v>
      </c>
    </row>
    <row r="167" spans="2:13">
      <c r="B167" s="233">
        <v>43300000</v>
      </c>
      <c r="C167" s="233" t="s">
        <v>648</v>
      </c>
      <c r="D167" s="271" t="s">
        <v>1414</v>
      </c>
      <c r="E167" s="241" t="s">
        <v>417</v>
      </c>
      <c r="F167" s="239" t="s">
        <v>343</v>
      </c>
      <c r="I167" s="233">
        <v>63421000</v>
      </c>
      <c r="J167" s="233" t="s">
        <v>99</v>
      </c>
      <c r="K167" s="271" t="s">
        <v>1634</v>
      </c>
      <c r="L167" s="241" t="s">
        <v>119</v>
      </c>
      <c r="M167" s="239" t="s">
        <v>51</v>
      </c>
    </row>
    <row r="168" spans="2:13">
      <c r="B168" s="233">
        <v>44320000</v>
      </c>
      <c r="C168" s="233" t="s">
        <v>648</v>
      </c>
      <c r="D168" s="271" t="s">
        <v>1415</v>
      </c>
      <c r="E168" s="241" t="s">
        <v>568</v>
      </c>
      <c r="F168" s="239" t="s">
        <v>344</v>
      </c>
      <c r="I168" s="233">
        <v>63421000</v>
      </c>
      <c r="J168" s="233" t="s">
        <v>101</v>
      </c>
      <c r="K168" s="271" t="s">
        <v>1635</v>
      </c>
      <c r="L168" s="241" t="s">
        <v>119</v>
      </c>
      <c r="M168" s="239" t="s">
        <v>51</v>
      </c>
    </row>
    <row r="169" spans="2:13">
      <c r="B169" s="233">
        <v>44490000</v>
      </c>
      <c r="C169" s="233" t="s">
        <v>648</v>
      </c>
      <c r="D169" s="271" t="s">
        <v>1416</v>
      </c>
      <c r="E169" s="241" t="s">
        <v>568</v>
      </c>
      <c r="F169" s="239" t="s">
        <v>345</v>
      </c>
      <c r="I169" s="233">
        <v>63421000</v>
      </c>
      <c r="J169" s="233" t="s">
        <v>103</v>
      </c>
      <c r="K169" s="271" t="s">
        <v>1636</v>
      </c>
      <c r="L169" s="241" t="s">
        <v>119</v>
      </c>
      <c r="M169" s="239" t="s">
        <v>51</v>
      </c>
    </row>
    <row r="170" spans="2:13">
      <c r="B170" s="233">
        <v>44520000</v>
      </c>
      <c r="C170" s="233" t="s">
        <v>648</v>
      </c>
      <c r="D170" s="271" t="s">
        <v>1417</v>
      </c>
      <c r="E170" s="241" t="s">
        <v>568</v>
      </c>
      <c r="F170" s="239" t="s">
        <v>346</v>
      </c>
      <c r="I170" s="233">
        <v>63421000</v>
      </c>
      <c r="J170" s="233" t="s">
        <v>105</v>
      </c>
      <c r="K170" s="271" t="s">
        <v>1637</v>
      </c>
      <c r="L170" s="241" t="s">
        <v>119</v>
      </c>
      <c r="M170" s="239" t="s">
        <v>51</v>
      </c>
    </row>
    <row r="171" spans="2:13">
      <c r="B171" s="233">
        <v>44540000</v>
      </c>
      <c r="C171" s="233" t="s">
        <v>648</v>
      </c>
      <c r="D171" s="271" t="s">
        <v>1418</v>
      </c>
      <c r="E171" s="241" t="s">
        <v>568</v>
      </c>
      <c r="F171" s="239" t="s">
        <v>400</v>
      </c>
      <c r="I171" s="233">
        <v>63421000</v>
      </c>
      <c r="J171" s="233" t="s">
        <v>107</v>
      </c>
      <c r="K171" s="271" t="s">
        <v>1638</v>
      </c>
      <c r="L171" s="241" t="s">
        <v>119</v>
      </c>
      <c r="M171" s="239" t="s">
        <v>51</v>
      </c>
    </row>
    <row r="172" spans="2:13">
      <c r="B172" s="233">
        <v>44710000</v>
      </c>
      <c r="C172" s="233" t="s">
        <v>648</v>
      </c>
      <c r="D172" s="271" t="s">
        <v>1419</v>
      </c>
      <c r="E172" s="241" t="s">
        <v>417</v>
      </c>
      <c r="F172" s="239" t="s">
        <v>401</v>
      </c>
      <c r="I172" s="233">
        <v>63423100</v>
      </c>
      <c r="J172" s="233" t="s">
        <v>99</v>
      </c>
      <c r="K172" s="271" t="s">
        <v>1639</v>
      </c>
      <c r="L172" s="241" t="s">
        <v>119</v>
      </c>
      <c r="M172" s="239" t="s">
        <v>52</v>
      </c>
    </row>
    <row r="173" spans="2:13">
      <c r="B173" s="233">
        <v>44721000</v>
      </c>
      <c r="C173" s="233" t="s">
        <v>648</v>
      </c>
      <c r="D173" s="271" t="s">
        <v>1420</v>
      </c>
      <c r="E173" s="241" t="s">
        <v>417</v>
      </c>
      <c r="F173" s="239" t="s">
        <v>347</v>
      </c>
      <c r="I173" s="233">
        <v>63423100</v>
      </c>
      <c r="J173" s="233" t="s">
        <v>101</v>
      </c>
      <c r="K173" s="271" t="s">
        <v>1640</v>
      </c>
      <c r="L173" s="241" t="s">
        <v>119</v>
      </c>
      <c r="M173" s="239" t="s">
        <v>52</v>
      </c>
    </row>
    <row r="174" spans="2:13">
      <c r="B174" s="233">
        <v>44722000</v>
      </c>
      <c r="C174" s="233" t="s">
        <v>648</v>
      </c>
      <c r="D174" s="271" t="s">
        <v>1421</v>
      </c>
      <c r="E174" s="241" t="s">
        <v>417</v>
      </c>
      <c r="F174" s="239" t="s">
        <v>348</v>
      </c>
      <c r="I174" s="233">
        <v>63423100</v>
      </c>
      <c r="J174" s="233" t="s">
        <v>103</v>
      </c>
      <c r="K174" s="271" t="s">
        <v>1641</v>
      </c>
      <c r="L174" s="241" t="s">
        <v>119</v>
      </c>
      <c r="M174" s="239" t="s">
        <v>52</v>
      </c>
    </row>
    <row r="175" spans="2:13">
      <c r="B175" s="233">
        <v>44781000</v>
      </c>
      <c r="C175" s="233" t="s">
        <v>648</v>
      </c>
      <c r="D175" s="271" t="s">
        <v>1422</v>
      </c>
      <c r="E175" s="241" t="s">
        <v>417</v>
      </c>
      <c r="F175" s="239" t="s">
        <v>349</v>
      </c>
      <c r="I175" s="233">
        <v>63423100</v>
      </c>
      <c r="J175" s="233" t="s">
        <v>105</v>
      </c>
      <c r="K175" s="271" t="s">
        <v>1642</v>
      </c>
      <c r="L175" s="241" t="s">
        <v>119</v>
      </c>
      <c r="M175" s="239" t="s">
        <v>52</v>
      </c>
    </row>
    <row r="176" spans="2:13">
      <c r="B176" s="233">
        <v>47110000</v>
      </c>
      <c r="C176" s="233" t="s">
        <v>648</v>
      </c>
      <c r="D176" s="271" t="s">
        <v>1423</v>
      </c>
      <c r="E176" s="241" t="s">
        <v>405</v>
      </c>
      <c r="F176" s="238" t="s">
        <v>350</v>
      </c>
      <c r="I176" s="233">
        <v>63423100</v>
      </c>
      <c r="J176" s="233" t="s">
        <v>107</v>
      </c>
      <c r="K176" s="271" t="s">
        <v>1643</v>
      </c>
      <c r="L176" s="241" t="s">
        <v>119</v>
      </c>
      <c r="M176" s="239" t="s">
        <v>52</v>
      </c>
    </row>
    <row r="177" spans="2:13">
      <c r="B177" s="233">
        <v>47111111</v>
      </c>
      <c r="C177" s="233" t="s">
        <v>648</v>
      </c>
      <c r="D177" s="271" t="s">
        <v>1424</v>
      </c>
      <c r="E177" s="241" t="s">
        <v>405</v>
      </c>
      <c r="F177" s="239" t="s">
        <v>350</v>
      </c>
      <c r="I177" s="233">
        <v>63423300</v>
      </c>
      <c r="J177" s="233" t="s">
        <v>99</v>
      </c>
      <c r="K177" s="271" t="s">
        <v>1644</v>
      </c>
      <c r="L177" s="241" t="s">
        <v>119</v>
      </c>
      <c r="M177" s="239" t="s">
        <v>53</v>
      </c>
    </row>
    <row r="178" spans="2:13">
      <c r="B178" s="233">
        <v>47111200</v>
      </c>
      <c r="C178" s="233" t="s">
        <v>648</v>
      </c>
      <c r="D178" s="271" t="s">
        <v>1425</v>
      </c>
      <c r="E178" s="241" t="s">
        <v>413</v>
      </c>
      <c r="F178" s="239" t="s">
        <v>351</v>
      </c>
      <c r="I178" s="233">
        <v>63423300</v>
      </c>
      <c r="J178" s="233" t="s">
        <v>101</v>
      </c>
      <c r="K178" s="271" t="s">
        <v>1645</v>
      </c>
      <c r="L178" s="241" t="s">
        <v>119</v>
      </c>
      <c r="M178" s="239" t="s">
        <v>53</v>
      </c>
    </row>
    <row r="179" spans="2:13">
      <c r="B179" s="233">
        <v>47111210</v>
      </c>
      <c r="C179" s="233" t="s">
        <v>648</v>
      </c>
      <c r="D179" s="271" t="s">
        <v>1426</v>
      </c>
      <c r="E179" s="241" t="s">
        <v>413</v>
      </c>
      <c r="F179" s="239" t="s">
        <v>352</v>
      </c>
      <c r="I179" s="233">
        <v>63423300</v>
      </c>
      <c r="J179" s="233" t="s">
        <v>103</v>
      </c>
      <c r="K179" s="271" t="s">
        <v>1646</v>
      </c>
      <c r="L179" s="241" t="s">
        <v>119</v>
      </c>
      <c r="M179" s="239" t="s">
        <v>53</v>
      </c>
    </row>
    <row r="180" spans="2:13">
      <c r="B180" s="233">
        <v>47111900</v>
      </c>
      <c r="C180" s="233" t="s">
        <v>648</v>
      </c>
      <c r="D180" s="271" t="s">
        <v>1427</v>
      </c>
      <c r="E180" s="241" t="s">
        <v>413</v>
      </c>
      <c r="F180" s="239" t="s">
        <v>186</v>
      </c>
      <c r="I180" s="233">
        <v>63423300</v>
      </c>
      <c r="J180" s="233" t="s">
        <v>105</v>
      </c>
      <c r="K180" s="271" t="s">
        <v>1647</v>
      </c>
      <c r="L180" s="241" t="s">
        <v>119</v>
      </c>
      <c r="M180" s="239" t="s">
        <v>53</v>
      </c>
    </row>
    <row r="181" spans="2:13">
      <c r="B181" s="233">
        <v>47114600</v>
      </c>
      <c r="C181" s="233" t="s">
        <v>648</v>
      </c>
      <c r="D181" s="271" t="s">
        <v>1428</v>
      </c>
      <c r="E181" s="241" t="s">
        <v>413</v>
      </c>
      <c r="F181" s="239" t="s">
        <v>353</v>
      </c>
      <c r="I181" s="233">
        <v>63423400</v>
      </c>
      <c r="J181" s="233" t="s">
        <v>99</v>
      </c>
      <c r="K181" s="271" t="s">
        <v>1648</v>
      </c>
      <c r="L181" s="241" t="s">
        <v>119</v>
      </c>
      <c r="M181" s="239" t="s">
        <v>54</v>
      </c>
    </row>
    <row r="182" spans="2:13">
      <c r="B182" s="233">
        <v>47116000</v>
      </c>
      <c r="C182" s="233" t="s">
        <v>648</v>
      </c>
      <c r="D182" s="271" t="s">
        <v>1429</v>
      </c>
      <c r="E182" s="241" t="s">
        <v>413</v>
      </c>
      <c r="F182" s="239" t="s">
        <v>567</v>
      </c>
      <c r="I182" s="233">
        <v>63423400</v>
      </c>
      <c r="J182" s="233" t="s">
        <v>101</v>
      </c>
      <c r="K182" s="271" t="s">
        <v>1649</v>
      </c>
      <c r="L182" s="241" t="s">
        <v>119</v>
      </c>
      <c r="M182" s="239" t="s">
        <v>54</v>
      </c>
    </row>
    <row r="183" spans="2:13">
      <c r="B183" s="233">
        <v>47118000</v>
      </c>
      <c r="C183" s="233" t="s">
        <v>648</v>
      </c>
      <c r="D183" s="271" t="s">
        <v>1430</v>
      </c>
      <c r="E183" s="241" t="s">
        <v>413</v>
      </c>
      <c r="F183" s="239" t="s">
        <v>354</v>
      </c>
      <c r="I183" s="233">
        <v>63423400</v>
      </c>
      <c r="J183" s="233" t="s">
        <v>103</v>
      </c>
      <c r="K183" s="271" t="s">
        <v>1650</v>
      </c>
      <c r="L183" s="241" t="s">
        <v>119</v>
      </c>
      <c r="M183" s="239" t="s">
        <v>54</v>
      </c>
    </row>
    <row r="184" spans="2:13">
      <c r="B184" s="233">
        <v>47140000</v>
      </c>
      <c r="C184" s="233" t="s">
        <v>648</v>
      </c>
      <c r="D184" s="271" t="s">
        <v>1431</v>
      </c>
      <c r="E184" s="241" t="s">
        <v>413</v>
      </c>
      <c r="F184" s="239" t="s">
        <v>355</v>
      </c>
      <c r="I184" s="233">
        <v>63423400</v>
      </c>
      <c r="J184" s="233" t="s">
        <v>105</v>
      </c>
      <c r="K184" s="271" t="s">
        <v>1651</v>
      </c>
      <c r="L184" s="241" t="s">
        <v>119</v>
      </c>
      <c r="M184" s="239" t="s">
        <v>54</v>
      </c>
    </row>
    <row r="185" spans="2:13">
      <c r="B185" s="233">
        <v>47461000</v>
      </c>
      <c r="C185" s="233" t="s">
        <v>648</v>
      </c>
      <c r="D185" s="271" t="s">
        <v>1432</v>
      </c>
      <c r="E185" s="241" t="s">
        <v>418</v>
      </c>
      <c r="F185" s="239" t="s">
        <v>356</v>
      </c>
      <c r="I185" s="233">
        <v>63423400</v>
      </c>
      <c r="J185" s="233" t="s">
        <v>107</v>
      </c>
      <c r="K185" s="271" t="s">
        <v>1652</v>
      </c>
      <c r="L185" s="241" t="s">
        <v>119</v>
      </c>
      <c r="M185" s="239" t="s">
        <v>54</v>
      </c>
    </row>
    <row r="186" spans="2:13">
      <c r="B186" s="233">
        <v>47462000</v>
      </c>
      <c r="C186" s="233" t="s">
        <v>648</v>
      </c>
      <c r="D186" s="271" t="s">
        <v>1433</v>
      </c>
      <c r="E186" s="241" t="s">
        <v>418</v>
      </c>
      <c r="F186" s="239" t="s">
        <v>357</v>
      </c>
      <c r="I186" s="233">
        <v>63423500</v>
      </c>
      <c r="J186" s="233" t="s">
        <v>99</v>
      </c>
      <c r="K186" s="271" t="s">
        <v>1653</v>
      </c>
      <c r="L186" s="241" t="s">
        <v>119</v>
      </c>
      <c r="M186" s="239" t="s">
        <v>55</v>
      </c>
    </row>
    <row r="187" spans="2:13">
      <c r="B187" s="233">
        <v>47463000</v>
      </c>
      <c r="C187" s="233" t="s">
        <v>648</v>
      </c>
      <c r="D187" s="271" t="s">
        <v>1434</v>
      </c>
      <c r="E187" s="241" t="s">
        <v>418</v>
      </c>
      <c r="F187" s="239" t="s">
        <v>358</v>
      </c>
      <c r="I187" s="233">
        <v>63423500</v>
      </c>
      <c r="J187" s="233" t="s">
        <v>101</v>
      </c>
      <c r="K187" s="271" t="s">
        <v>1654</v>
      </c>
      <c r="L187" s="241" t="s">
        <v>119</v>
      </c>
      <c r="M187" s="239" t="s">
        <v>55</v>
      </c>
    </row>
    <row r="188" spans="2:13">
      <c r="B188" s="233">
        <v>47464000</v>
      </c>
      <c r="C188" s="233" t="s">
        <v>648</v>
      </c>
      <c r="D188" s="271" t="s">
        <v>1435</v>
      </c>
      <c r="E188" s="241" t="s">
        <v>418</v>
      </c>
      <c r="F188" s="239" t="s">
        <v>359</v>
      </c>
      <c r="I188" s="233">
        <v>63423500</v>
      </c>
      <c r="J188" s="233" t="s">
        <v>103</v>
      </c>
      <c r="K188" s="271" t="s">
        <v>1655</v>
      </c>
      <c r="L188" s="241" t="s">
        <v>119</v>
      </c>
      <c r="M188" s="239" t="s">
        <v>55</v>
      </c>
    </row>
    <row r="189" spans="2:13">
      <c r="B189" s="233">
        <v>47465000</v>
      </c>
      <c r="C189" s="233" t="s">
        <v>648</v>
      </c>
      <c r="D189" s="271" t="s">
        <v>1436</v>
      </c>
      <c r="E189" s="241" t="s">
        <v>418</v>
      </c>
      <c r="F189" s="239" t="s">
        <v>360</v>
      </c>
      <c r="I189" s="233">
        <v>63423500</v>
      </c>
      <c r="J189" s="233" t="s">
        <v>105</v>
      </c>
      <c r="K189" s="271" t="s">
        <v>1656</v>
      </c>
      <c r="L189" s="241" t="s">
        <v>119</v>
      </c>
      <c r="M189" s="239" t="s">
        <v>55</v>
      </c>
    </row>
    <row r="190" spans="2:13">
      <c r="B190" s="233">
        <v>47466000</v>
      </c>
      <c r="C190" s="233" t="s">
        <v>648</v>
      </c>
      <c r="D190" s="271" t="s">
        <v>1437</v>
      </c>
      <c r="E190" s="241" t="s">
        <v>418</v>
      </c>
      <c r="F190" s="239" t="s">
        <v>361</v>
      </c>
      <c r="I190" s="233">
        <v>63423500</v>
      </c>
      <c r="J190" s="233" t="s">
        <v>107</v>
      </c>
      <c r="K190" s="271" t="s">
        <v>1657</v>
      </c>
      <c r="L190" s="241" t="s">
        <v>119</v>
      </c>
      <c r="M190" s="239" t="s">
        <v>55</v>
      </c>
    </row>
    <row r="191" spans="2:13">
      <c r="B191" s="233">
        <v>47471110</v>
      </c>
      <c r="C191" s="233" t="s">
        <v>648</v>
      </c>
      <c r="D191" s="271" t="s">
        <v>1438</v>
      </c>
      <c r="E191" s="241" t="s">
        <v>418</v>
      </c>
      <c r="F191" s="239" t="s">
        <v>362</v>
      </c>
      <c r="I191" s="233">
        <v>63423910</v>
      </c>
      <c r="J191" s="233" t="s">
        <v>99</v>
      </c>
      <c r="K191" s="271" t="s">
        <v>1658</v>
      </c>
      <c r="L191" s="241" t="s">
        <v>119</v>
      </c>
      <c r="M191" s="239" t="s">
        <v>56</v>
      </c>
    </row>
    <row r="192" spans="2:13">
      <c r="B192" s="233">
        <v>47471120</v>
      </c>
      <c r="C192" s="233" t="s">
        <v>648</v>
      </c>
      <c r="D192" s="271" t="s">
        <v>1439</v>
      </c>
      <c r="E192" s="241" t="s">
        <v>418</v>
      </c>
      <c r="F192" s="239" t="s">
        <v>363</v>
      </c>
      <c r="I192" s="233">
        <v>63423910</v>
      </c>
      <c r="J192" s="233" t="s">
        <v>101</v>
      </c>
      <c r="K192" s="271" t="s">
        <v>1659</v>
      </c>
      <c r="L192" s="241" t="s">
        <v>119</v>
      </c>
      <c r="M192" s="239" t="s">
        <v>56</v>
      </c>
    </row>
    <row r="193" spans="2:13">
      <c r="B193" s="233">
        <v>47471130</v>
      </c>
      <c r="C193" s="233" t="s">
        <v>648</v>
      </c>
      <c r="D193" s="271" t="s">
        <v>1440</v>
      </c>
      <c r="E193" s="241" t="s">
        <v>418</v>
      </c>
      <c r="F193" s="239" t="s">
        <v>364</v>
      </c>
      <c r="I193" s="233">
        <v>63423910</v>
      </c>
      <c r="J193" s="233" t="s">
        <v>103</v>
      </c>
      <c r="K193" s="271" t="s">
        <v>1660</v>
      </c>
      <c r="L193" s="241" t="s">
        <v>119</v>
      </c>
      <c r="M193" s="239" t="s">
        <v>56</v>
      </c>
    </row>
    <row r="194" spans="2:13">
      <c r="B194" s="233">
        <v>47471140</v>
      </c>
      <c r="C194" s="233" t="s">
        <v>648</v>
      </c>
      <c r="D194" s="271" t="s">
        <v>1441</v>
      </c>
      <c r="E194" s="241" t="s">
        <v>418</v>
      </c>
      <c r="F194" s="239" t="s">
        <v>365</v>
      </c>
      <c r="I194" s="233">
        <v>63423950</v>
      </c>
      <c r="J194" s="233" t="s">
        <v>99</v>
      </c>
      <c r="K194" s="271" t="s">
        <v>1661</v>
      </c>
      <c r="L194" s="241" t="s">
        <v>119</v>
      </c>
      <c r="M194" s="239" t="s">
        <v>561</v>
      </c>
    </row>
    <row r="195" spans="2:13">
      <c r="B195" s="233">
        <v>47471150</v>
      </c>
      <c r="C195" s="233" t="s">
        <v>648</v>
      </c>
      <c r="D195" s="271" t="s">
        <v>1442</v>
      </c>
      <c r="E195" s="241" t="s">
        <v>418</v>
      </c>
      <c r="F195" s="239" t="s">
        <v>366</v>
      </c>
      <c r="I195" s="233">
        <v>63423950</v>
      </c>
      <c r="J195" s="233" t="s">
        <v>101</v>
      </c>
      <c r="K195" s="271" t="s">
        <v>1662</v>
      </c>
      <c r="L195" s="241" t="s">
        <v>119</v>
      </c>
      <c r="M195" s="239" t="s">
        <v>561</v>
      </c>
    </row>
    <row r="196" spans="2:13">
      <c r="B196" s="233">
        <v>47471210</v>
      </c>
      <c r="C196" s="233" t="s">
        <v>648</v>
      </c>
      <c r="D196" s="271" t="s">
        <v>1443</v>
      </c>
      <c r="E196" s="241" t="s">
        <v>418</v>
      </c>
      <c r="F196" s="239" t="s">
        <v>367</v>
      </c>
      <c r="I196" s="233">
        <v>63423950</v>
      </c>
      <c r="J196" s="233" t="s">
        <v>103</v>
      </c>
      <c r="K196" s="271" t="s">
        <v>1663</v>
      </c>
      <c r="L196" s="241" t="s">
        <v>119</v>
      </c>
      <c r="M196" s="239" t="s">
        <v>561</v>
      </c>
    </row>
    <row r="197" spans="2:13">
      <c r="B197" s="233">
        <v>47471220</v>
      </c>
      <c r="C197" s="233" t="s">
        <v>648</v>
      </c>
      <c r="D197" s="271" t="s">
        <v>1444</v>
      </c>
      <c r="E197" s="241" t="s">
        <v>418</v>
      </c>
      <c r="F197" s="239" t="s">
        <v>368</v>
      </c>
      <c r="I197" s="233">
        <v>63423950</v>
      </c>
      <c r="J197" s="233" t="s">
        <v>105</v>
      </c>
      <c r="K197" s="271" t="s">
        <v>1664</v>
      </c>
      <c r="L197" s="241" t="s">
        <v>119</v>
      </c>
      <c r="M197" s="239" t="s">
        <v>561</v>
      </c>
    </row>
    <row r="198" spans="2:13">
      <c r="B198" s="233">
        <v>47471230</v>
      </c>
      <c r="C198" s="233" t="s">
        <v>648</v>
      </c>
      <c r="D198" s="271" t="s">
        <v>1445</v>
      </c>
      <c r="E198" s="241" t="s">
        <v>418</v>
      </c>
      <c r="F198" s="239" t="s">
        <v>369</v>
      </c>
      <c r="I198" s="233">
        <v>63711000</v>
      </c>
      <c r="J198" s="233" t="s">
        <v>99</v>
      </c>
      <c r="K198" s="271" t="s">
        <v>1665</v>
      </c>
      <c r="L198" s="241" t="s">
        <v>122</v>
      </c>
      <c r="M198" s="239" t="s">
        <v>562</v>
      </c>
    </row>
    <row r="199" spans="2:13">
      <c r="B199" s="233">
        <v>47471240</v>
      </c>
      <c r="C199" s="233" t="s">
        <v>648</v>
      </c>
      <c r="D199" s="271" t="s">
        <v>1446</v>
      </c>
      <c r="E199" s="241" t="s">
        <v>418</v>
      </c>
      <c r="F199" s="239" t="s">
        <v>370</v>
      </c>
      <c r="I199" s="233">
        <v>63711000</v>
      </c>
      <c r="J199" s="233" t="s">
        <v>101</v>
      </c>
      <c r="K199" s="271" t="s">
        <v>1666</v>
      </c>
      <c r="L199" s="241" t="s">
        <v>122</v>
      </c>
      <c r="M199" s="239" t="s">
        <v>562</v>
      </c>
    </row>
    <row r="200" spans="2:13">
      <c r="B200" s="233">
        <v>47471250</v>
      </c>
      <c r="C200" s="233" t="s">
        <v>648</v>
      </c>
      <c r="D200" s="271" t="s">
        <v>1447</v>
      </c>
      <c r="E200" s="241" t="s">
        <v>418</v>
      </c>
      <c r="F200" s="239" t="s">
        <v>371</v>
      </c>
      <c r="I200" s="233">
        <v>63711000</v>
      </c>
      <c r="J200" s="233" t="s">
        <v>103</v>
      </c>
      <c r="K200" s="271" t="s">
        <v>1667</v>
      </c>
      <c r="L200" s="241" t="s">
        <v>122</v>
      </c>
      <c r="M200" s="239" t="s">
        <v>562</v>
      </c>
    </row>
    <row r="201" spans="2:13">
      <c r="B201" s="233">
        <v>47471310</v>
      </c>
      <c r="C201" s="233" t="s">
        <v>648</v>
      </c>
      <c r="D201" s="271" t="s">
        <v>1448</v>
      </c>
      <c r="E201" s="241" t="s">
        <v>418</v>
      </c>
      <c r="F201" s="239" t="s">
        <v>372</v>
      </c>
      <c r="I201" s="233">
        <v>63711000</v>
      </c>
      <c r="J201" s="233" t="s">
        <v>105</v>
      </c>
      <c r="K201" s="271" t="s">
        <v>1668</v>
      </c>
      <c r="L201" s="241" t="s">
        <v>122</v>
      </c>
      <c r="M201" s="239" t="s">
        <v>562</v>
      </c>
    </row>
    <row r="202" spans="2:13">
      <c r="B202" s="233">
        <v>47471320</v>
      </c>
      <c r="C202" s="233" t="s">
        <v>648</v>
      </c>
      <c r="D202" s="271" t="s">
        <v>1449</v>
      </c>
      <c r="E202" s="241" t="s">
        <v>418</v>
      </c>
      <c r="F202" s="239" t="s">
        <v>373</v>
      </c>
      <c r="I202" s="233">
        <v>63711000</v>
      </c>
      <c r="J202" s="233" t="s">
        <v>107</v>
      </c>
      <c r="K202" s="271" t="s">
        <v>1669</v>
      </c>
      <c r="L202" s="241" t="s">
        <v>122</v>
      </c>
      <c r="M202" s="239" t="s">
        <v>562</v>
      </c>
    </row>
    <row r="203" spans="2:13">
      <c r="B203" s="233">
        <v>47471330</v>
      </c>
      <c r="C203" s="233" t="s">
        <v>648</v>
      </c>
      <c r="D203" s="271" t="s">
        <v>1450</v>
      </c>
      <c r="E203" s="241" t="s">
        <v>418</v>
      </c>
      <c r="F203" s="239" t="s">
        <v>374</v>
      </c>
      <c r="I203" s="233">
        <v>63712000</v>
      </c>
      <c r="J203" s="233" t="s">
        <v>99</v>
      </c>
      <c r="K203" s="271" t="s">
        <v>1670</v>
      </c>
      <c r="L203" s="241" t="s">
        <v>110</v>
      </c>
      <c r="M203" s="239" t="s">
        <v>57</v>
      </c>
    </row>
    <row r="204" spans="2:13">
      <c r="B204" s="233">
        <v>47471340</v>
      </c>
      <c r="C204" s="233" t="s">
        <v>648</v>
      </c>
      <c r="D204" s="271" t="s">
        <v>1451</v>
      </c>
      <c r="E204" s="241" t="s">
        <v>418</v>
      </c>
      <c r="F204" s="239" t="s">
        <v>375</v>
      </c>
      <c r="I204" s="233">
        <v>63712000</v>
      </c>
      <c r="J204" s="233" t="s">
        <v>101</v>
      </c>
      <c r="K204" s="271" t="s">
        <v>1671</v>
      </c>
      <c r="L204" s="241" t="s">
        <v>110</v>
      </c>
      <c r="M204" s="239" t="s">
        <v>57</v>
      </c>
    </row>
    <row r="205" spans="2:13">
      <c r="B205" s="233">
        <v>47471410</v>
      </c>
      <c r="C205" s="233" t="s">
        <v>648</v>
      </c>
      <c r="D205" s="271" t="s">
        <v>1452</v>
      </c>
      <c r="E205" s="241" t="s">
        <v>418</v>
      </c>
      <c r="F205" s="239" t="s">
        <v>376</v>
      </c>
      <c r="I205" s="233">
        <v>63712000</v>
      </c>
      <c r="J205" s="233" t="s">
        <v>103</v>
      </c>
      <c r="K205" s="271" t="s">
        <v>1672</v>
      </c>
      <c r="L205" s="241" t="s">
        <v>110</v>
      </c>
      <c r="M205" s="239" t="s">
        <v>57</v>
      </c>
    </row>
    <row r="206" spans="2:13">
      <c r="B206" s="233">
        <v>47471420</v>
      </c>
      <c r="C206" s="233" t="s">
        <v>648</v>
      </c>
      <c r="D206" s="271" t="s">
        <v>1453</v>
      </c>
      <c r="E206" s="241" t="s">
        <v>418</v>
      </c>
      <c r="F206" s="239" t="s">
        <v>377</v>
      </c>
      <c r="I206" s="233">
        <v>63712000</v>
      </c>
      <c r="J206" s="233" t="s">
        <v>105</v>
      </c>
      <c r="K206" s="271" t="s">
        <v>1673</v>
      </c>
      <c r="L206" s="241" t="s">
        <v>110</v>
      </c>
      <c r="M206" s="239" t="s">
        <v>57</v>
      </c>
    </row>
    <row r="207" spans="2:13">
      <c r="B207" s="233">
        <v>47471430</v>
      </c>
      <c r="C207" s="233" t="s">
        <v>648</v>
      </c>
      <c r="D207" s="271" t="s">
        <v>1454</v>
      </c>
      <c r="E207" s="241" t="s">
        <v>418</v>
      </c>
      <c r="F207" s="239" t="s">
        <v>378</v>
      </c>
      <c r="I207" s="233">
        <v>63712001</v>
      </c>
      <c r="J207" s="233" t="s">
        <v>99</v>
      </c>
      <c r="K207" s="271" t="s">
        <v>1674</v>
      </c>
      <c r="L207" s="241" t="s">
        <v>111</v>
      </c>
      <c r="M207" s="239" t="s">
        <v>58</v>
      </c>
    </row>
    <row r="208" spans="2:13">
      <c r="B208" s="233">
        <v>47471440</v>
      </c>
      <c r="C208" s="233" t="s">
        <v>648</v>
      </c>
      <c r="D208" s="271" t="s">
        <v>1455</v>
      </c>
      <c r="E208" s="241" t="s">
        <v>418</v>
      </c>
      <c r="F208" s="239" t="s">
        <v>379</v>
      </c>
      <c r="I208" s="233">
        <v>63712001</v>
      </c>
      <c r="J208" s="233" t="s">
        <v>101</v>
      </c>
      <c r="K208" s="271" t="s">
        <v>1675</v>
      </c>
      <c r="L208" s="241" t="s">
        <v>111</v>
      </c>
      <c r="M208" s="239" t="s">
        <v>58</v>
      </c>
    </row>
    <row r="209" spans="2:13">
      <c r="B209" s="233">
        <v>47471450</v>
      </c>
      <c r="C209" s="233" t="s">
        <v>648</v>
      </c>
      <c r="D209" s="271" t="s">
        <v>1456</v>
      </c>
      <c r="E209" s="241" t="s">
        <v>418</v>
      </c>
      <c r="F209" s="239" t="s">
        <v>380</v>
      </c>
      <c r="I209" s="233">
        <v>63712001</v>
      </c>
      <c r="J209" s="233" t="s">
        <v>103</v>
      </c>
      <c r="K209" s="271" t="s">
        <v>1676</v>
      </c>
      <c r="L209" s="241" t="s">
        <v>111</v>
      </c>
      <c r="M209" s="239" t="s">
        <v>58</v>
      </c>
    </row>
    <row r="210" spans="2:13">
      <c r="B210" s="233">
        <v>47471510</v>
      </c>
      <c r="C210" s="233" t="s">
        <v>648</v>
      </c>
      <c r="D210" s="271" t="s">
        <v>1457</v>
      </c>
      <c r="E210" s="241" t="s">
        <v>418</v>
      </c>
      <c r="F210" s="239" t="s">
        <v>381</v>
      </c>
      <c r="I210" s="233">
        <v>63712001</v>
      </c>
      <c r="J210" s="233" t="s">
        <v>105</v>
      </c>
      <c r="K210" s="271" t="s">
        <v>1677</v>
      </c>
      <c r="L210" s="241" t="s">
        <v>111</v>
      </c>
      <c r="M210" s="239" t="s">
        <v>58</v>
      </c>
    </row>
    <row r="211" spans="2:13">
      <c r="B211" s="233">
        <v>47471520</v>
      </c>
      <c r="C211" s="233" t="s">
        <v>648</v>
      </c>
      <c r="D211" s="271" t="s">
        <v>1458</v>
      </c>
      <c r="E211" s="241" t="s">
        <v>418</v>
      </c>
      <c r="F211" s="239" t="s">
        <v>382</v>
      </c>
      <c r="I211" s="233">
        <v>63712001</v>
      </c>
      <c r="J211" s="233" t="s">
        <v>107</v>
      </c>
      <c r="K211" s="271" t="s">
        <v>1678</v>
      </c>
      <c r="L211" s="241" t="s">
        <v>111</v>
      </c>
      <c r="M211" s="239" t="s">
        <v>58</v>
      </c>
    </row>
    <row r="212" spans="2:13">
      <c r="B212" s="233">
        <v>47471530</v>
      </c>
      <c r="C212" s="233" t="s">
        <v>648</v>
      </c>
      <c r="D212" s="271" t="s">
        <v>1459</v>
      </c>
      <c r="E212" s="241" t="s">
        <v>418</v>
      </c>
      <c r="F212" s="239" t="s">
        <v>383</v>
      </c>
      <c r="I212" s="233">
        <v>63720000</v>
      </c>
      <c r="J212" s="233" t="s">
        <v>108</v>
      </c>
      <c r="K212" s="271" t="s">
        <v>1679</v>
      </c>
      <c r="L212" s="241" t="s">
        <v>127</v>
      </c>
      <c r="M212" s="239" t="s">
        <v>59</v>
      </c>
    </row>
    <row r="213" spans="2:13">
      <c r="B213" s="233">
        <v>47471540</v>
      </c>
      <c r="C213" s="233" t="s">
        <v>648</v>
      </c>
      <c r="D213" s="271" t="s">
        <v>1460</v>
      </c>
      <c r="E213" s="241" t="s">
        <v>418</v>
      </c>
      <c r="F213" s="239" t="s">
        <v>384</v>
      </c>
      <c r="I213" s="233">
        <v>63830000</v>
      </c>
      <c r="J213" s="233" t="s">
        <v>103</v>
      </c>
      <c r="K213" s="271" t="s">
        <v>1680</v>
      </c>
      <c r="L213" s="241" t="s">
        <v>120</v>
      </c>
      <c r="M213" s="239" t="s">
        <v>60</v>
      </c>
    </row>
    <row r="214" spans="2:13">
      <c r="B214" s="233">
        <v>47471550</v>
      </c>
      <c r="C214" s="233" t="s">
        <v>648</v>
      </c>
      <c r="D214" s="271" t="s">
        <v>1461</v>
      </c>
      <c r="E214" s="241" t="s">
        <v>418</v>
      </c>
      <c r="F214" s="239" t="s">
        <v>385</v>
      </c>
      <c r="I214" s="233">
        <v>63830000</v>
      </c>
      <c r="J214" s="233" t="s">
        <v>105</v>
      </c>
      <c r="K214" s="271" t="s">
        <v>1681</v>
      </c>
      <c r="L214" s="241" t="s">
        <v>120</v>
      </c>
      <c r="M214" s="239" t="s">
        <v>60</v>
      </c>
    </row>
    <row r="215" spans="2:13">
      <c r="B215" s="233">
        <v>47471900</v>
      </c>
      <c r="C215" s="233" t="s">
        <v>648</v>
      </c>
      <c r="D215" s="271" t="s">
        <v>1462</v>
      </c>
      <c r="E215" s="241" t="s">
        <v>418</v>
      </c>
      <c r="F215" s="239" t="s">
        <v>386</v>
      </c>
      <c r="I215" s="233">
        <v>63830000</v>
      </c>
      <c r="J215" s="233" t="s">
        <v>108</v>
      </c>
      <c r="K215" s="271" t="s">
        <v>1682</v>
      </c>
      <c r="L215" s="241" t="s">
        <v>127</v>
      </c>
      <c r="M215" s="239" t="s">
        <v>60</v>
      </c>
    </row>
    <row r="216" spans="2:13">
      <c r="B216" s="233">
        <v>47472000</v>
      </c>
      <c r="C216" s="233" t="s">
        <v>648</v>
      </c>
      <c r="D216" s="271" t="s">
        <v>1463</v>
      </c>
      <c r="E216" s="241" t="s">
        <v>418</v>
      </c>
      <c r="F216" s="239" t="s">
        <v>387</v>
      </c>
      <c r="I216" s="233">
        <v>63830060</v>
      </c>
      <c r="J216" s="233" t="s">
        <v>101</v>
      </c>
      <c r="K216" s="271" t="s">
        <v>1683</v>
      </c>
      <c r="L216" s="241" t="s">
        <v>120</v>
      </c>
      <c r="M216" s="239" t="s">
        <v>61</v>
      </c>
    </row>
    <row r="217" spans="2:13">
      <c r="B217" s="233">
        <v>48121000</v>
      </c>
      <c r="C217" s="233" t="s">
        <v>648</v>
      </c>
      <c r="D217" s="271" t="s">
        <v>1464</v>
      </c>
      <c r="E217" s="241" t="s">
        <v>404</v>
      </c>
      <c r="F217" s="239" t="s">
        <v>351</v>
      </c>
      <c r="I217" s="233">
        <v>63830060</v>
      </c>
      <c r="J217" s="233" t="s">
        <v>103</v>
      </c>
      <c r="K217" s="271" t="s">
        <v>1684</v>
      </c>
      <c r="L217" s="241" t="s">
        <v>120</v>
      </c>
      <c r="M217" s="239" t="s">
        <v>61</v>
      </c>
    </row>
    <row r="218" spans="2:13">
      <c r="B218" s="233">
        <v>52112000</v>
      </c>
      <c r="C218" s="233" t="s">
        <v>648</v>
      </c>
      <c r="D218" s="271" t="s">
        <v>1465</v>
      </c>
      <c r="E218" s="241" t="s">
        <v>419</v>
      </c>
      <c r="F218" s="239" t="s">
        <v>388</v>
      </c>
      <c r="I218" s="233">
        <v>63830060</v>
      </c>
      <c r="J218" s="233" t="s">
        <v>105</v>
      </c>
      <c r="K218" s="271" t="s">
        <v>1685</v>
      </c>
      <c r="L218" s="241" t="s">
        <v>120</v>
      </c>
      <c r="M218" s="239" t="s">
        <v>61</v>
      </c>
    </row>
    <row r="219" spans="2:13">
      <c r="B219" s="233">
        <v>52113000</v>
      </c>
      <c r="C219" s="233" t="s">
        <v>648</v>
      </c>
      <c r="D219" s="271" t="s">
        <v>1466</v>
      </c>
      <c r="E219" s="241" t="s">
        <v>419</v>
      </c>
      <c r="F219" s="239" t="s">
        <v>389</v>
      </c>
      <c r="I219" s="233">
        <v>63830060</v>
      </c>
      <c r="J219" s="233" t="s">
        <v>107</v>
      </c>
      <c r="K219" s="271" t="s">
        <v>1686</v>
      </c>
      <c r="L219" s="241" t="s">
        <v>120</v>
      </c>
      <c r="M219" s="239" t="s">
        <v>61</v>
      </c>
    </row>
    <row r="220" spans="2:13">
      <c r="B220" s="233">
        <v>52115000</v>
      </c>
      <c r="C220" s="233" t="s">
        <v>648</v>
      </c>
      <c r="D220" s="271" t="s">
        <v>1467</v>
      </c>
      <c r="E220" s="241" t="s">
        <v>419</v>
      </c>
      <c r="F220" s="239" t="s">
        <v>390</v>
      </c>
      <c r="I220" s="233">
        <v>63830060</v>
      </c>
      <c r="J220" s="233" t="s">
        <v>108</v>
      </c>
      <c r="K220" s="271" t="s">
        <v>1687</v>
      </c>
      <c r="L220" s="241" t="s">
        <v>127</v>
      </c>
      <c r="M220" s="239" t="s">
        <v>61</v>
      </c>
    </row>
    <row r="221" spans="2:13">
      <c r="B221" s="233">
        <v>52119000</v>
      </c>
      <c r="C221" s="233" t="s">
        <v>648</v>
      </c>
      <c r="D221" s="271" t="s">
        <v>1468</v>
      </c>
      <c r="E221" s="241" t="s">
        <v>419</v>
      </c>
      <c r="F221" s="239" t="s">
        <v>391</v>
      </c>
      <c r="I221" s="233">
        <v>63831000</v>
      </c>
      <c r="J221" s="233" t="s">
        <v>103</v>
      </c>
      <c r="K221" s="271" t="s">
        <v>1688</v>
      </c>
      <c r="L221" s="241" t="s">
        <v>120</v>
      </c>
      <c r="M221" s="239" t="s">
        <v>62</v>
      </c>
    </row>
    <row r="222" spans="2:13">
      <c r="B222" s="233">
        <v>55400000</v>
      </c>
      <c r="C222" s="233" t="s">
        <v>648</v>
      </c>
      <c r="D222" s="271" t="s">
        <v>1469</v>
      </c>
      <c r="E222" s="241" t="s">
        <v>419</v>
      </c>
      <c r="F222" s="239" t="s">
        <v>392</v>
      </c>
      <c r="I222" s="233">
        <v>63831000</v>
      </c>
      <c r="J222" s="233" t="s">
        <v>107</v>
      </c>
      <c r="K222" s="271" t="s">
        <v>1689</v>
      </c>
      <c r="L222" s="241" t="s">
        <v>120</v>
      </c>
      <c r="M222" s="239" t="s">
        <v>62</v>
      </c>
    </row>
    <row r="223" spans="2:13">
      <c r="B223" s="233">
        <v>57110000</v>
      </c>
      <c r="C223" s="233" t="s">
        <v>648</v>
      </c>
      <c r="D223" s="271" t="s">
        <v>1470</v>
      </c>
      <c r="E223" s="241" t="s">
        <v>419</v>
      </c>
      <c r="F223" s="239" t="s">
        <v>393</v>
      </c>
      <c r="I223" s="233">
        <v>63831000</v>
      </c>
      <c r="J223" s="233" t="s">
        <v>108</v>
      </c>
      <c r="K223" s="271" t="s">
        <v>1690</v>
      </c>
      <c r="L223" s="241" t="s">
        <v>127</v>
      </c>
      <c r="M223" s="239" t="s">
        <v>62</v>
      </c>
    </row>
    <row r="224" spans="2:13">
      <c r="I224" s="233">
        <v>63832000</v>
      </c>
      <c r="J224" s="233" t="s">
        <v>99</v>
      </c>
      <c r="K224" s="271" t="s">
        <v>1691</v>
      </c>
      <c r="L224" s="241" t="s">
        <v>120</v>
      </c>
      <c r="M224" s="239" t="s">
        <v>63</v>
      </c>
    </row>
    <row r="225" spans="9:13">
      <c r="I225" s="233">
        <v>63832000</v>
      </c>
      <c r="J225" s="233" t="s">
        <v>101</v>
      </c>
      <c r="K225" s="271" t="s">
        <v>1692</v>
      </c>
      <c r="L225" s="241" t="s">
        <v>120</v>
      </c>
      <c r="M225" s="239" t="s">
        <v>63</v>
      </c>
    </row>
    <row r="226" spans="9:13">
      <c r="I226" s="233">
        <v>63832000</v>
      </c>
      <c r="J226" s="233" t="s">
        <v>103</v>
      </c>
      <c r="K226" s="271" t="s">
        <v>1693</v>
      </c>
      <c r="L226" s="241" t="s">
        <v>120</v>
      </c>
      <c r="M226" s="239" t="s">
        <v>63</v>
      </c>
    </row>
    <row r="227" spans="9:13">
      <c r="I227" s="233">
        <v>63832000</v>
      </c>
      <c r="J227" s="233" t="s">
        <v>105</v>
      </c>
      <c r="K227" s="271" t="s">
        <v>1694</v>
      </c>
      <c r="L227" s="241" t="s">
        <v>120</v>
      </c>
      <c r="M227" s="239" t="s">
        <v>63</v>
      </c>
    </row>
    <row r="228" spans="9:13">
      <c r="I228" s="233">
        <v>63832000</v>
      </c>
      <c r="J228" s="233" t="s">
        <v>107</v>
      </c>
      <c r="K228" s="271" t="s">
        <v>1695</v>
      </c>
      <c r="L228" s="241" t="s">
        <v>120</v>
      </c>
      <c r="M228" s="239" t="s">
        <v>63</v>
      </c>
    </row>
    <row r="229" spans="9:13">
      <c r="I229" s="233">
        <v>64110000</v>
      </c>
      <c r="J229" s="233" t="s">
        <v>99</v>
      </c>
      <c r="K229" s="271" t="s">
        <v>1696</v>
      </c>
      <c r="L229" s="241" t="s">
        <v>122</v>
      </c>
      <c r="M229" s="239" t="s">
        <v>65</v>
      </c>
    </row>
    <row r="230" spans="9:13">
      <c r="I230" s="233">
        <v>64110000</v>
      </c>
      <c r="J230" s="233" t="s">
        <v>101</v>
      </c>
      <c r="K230" s="271" t="s">
        <v>1697</v>
      </c>
      <c r="L230" s="241" t="s">
        <v>122</v>
      </c>
      <c r="M230" s="239" t="s">
        <v>65</v>
      </c>
    </row>
    <row r="231" spans="9:13">
      <c r="I231" s="233">
        <v>64110000</v>
      </c>
      <c r="J231" s="233" t="s">
        <v>103</v>
      </c>
      <c r="K231" s="271" t="s">
        <v>1698</v>
      </c>
      <c r="L231" s="241" t="s">
        <v>122</v>
      </c>
      <c r="M231" s="239" t="s">
        <v>65</v>
      </c>
    </row>
    <row r="232" spans="9:13">
      <c r="I232" s="233">
        <v>64110000</v>
      </c>
      <c r="J232" s="233" t="s">
        <v>105</v>
      </c>
      <c r="K232" s="271" t="s">
        <v>1699</v>
      </c>
      <c r="L232" s="241" t="s">
        <v>122</v>
      </c>
      <c r="M232" s="239" t="s">
        <v>65</v>
      </c>
    </row>
    <row r="233" spans="9:13">
      <c r="I233" s="233">
        <v>64110000</v>
      </c>
      <c r="J233" s="233" t="s">
        <v>107</v>
      </c>
      <c r="K233" s="271" t="s">
        <v>1700</v>
      </c>
      <c r="L233" s="241" t="s">
        <v>122</v>
      </c>
      <c r="M233" s="239" t="s">
        <v>65</v>
      </c>
    </row>
    <row r="234" spans="9:13">
      <c r="I234" s="233">
        <v>64110000</v>
      </c>
      <c r="J234" s="233" t="s">
        <v>108</v>
      </c>
      <c r="K234" s="271" t="s">
        <v>1701</v>
      </c>
      <c r="L234" s="241" t="s">
        <v>127</v>
      </c>
      <c r="M234" s="239" t="s">
        <v>65</v>
      </c>
    </row>
    <row r="235" spans="9:13">
      <c r="I235" s="233">
        <v>64112000</v>
      </c>
      <c r="J235" s="233" t="s">
        <v>99</v>
      </c>
      <c r="K235" s="271" t="s">
        <v>1702</v>
      </c>
      <c r="L235" s="241" t="s">
        <v>121</v>
      </c>
      <c r="M235" s="239" t="s">
        <v>66</v>
      </c>
    </row>
    <row r="236" spans="9:13">
      <c r="I236" s="233">
        <v>64112000</v>
      </c>
      <c r="J236" s="233" t="s">
        <v>101</v>
      </c>
      <c r="K236" s="271" t="s">
        <v>1703</v>
      </c>
      <c r="L236" s="241" t="s">
        <v>121</v>
      </c>
      <c r="M236" s="239" t="s">
        <v>66</v>
      </c>
    </row>
    <row r="237" spans="9:13">
      <c r="I237" s="233">
        <v>64112000</v>
      </c>
      <c r="J237" s="233" t="s">
        <v>103</v>
      </c>
      <c r="K237" s="271" t="s">
        <v>1704</v>
      </c>
      <c r="L237" s="241" t="s">
        <v>121</v>
      </c>
      <c r="M237" s="239" t="s">
        <v>66</v>
      </c>
    </row>
    <row r="238" spans="9:13">
      <c r="I238" s="233">
        <v>64112000</v>
      </c>
      <c r="J238" s="233" t="s">
        <v>105</v>
      </c>
      <c r="K238" s="271" t="s">
        <v>1705</v>
      </c>
      <c r="L238" s="241" t="s">
        <v>121</v>
      </c>
      <c r="M238" s="239" t="s">
        <v>66</v>
      </c>
    </row>
    <row r="239" spans="9:13">
      <c r="I239" s="233">
        <v>64112000</v>
      </c>
      <c r="J239" s="233" t="s">
        <v>107</v>
      </c>
      <c r="K239" s="271" t="s">
        <v>1706</v>
      </c>
      <c r="L239" s="241" t="s">
        <v>121</v>
      </c>
      <c r="M239" s="239" t="s">
        <v>66</v>
      </c>
    </row>
    <row r="240" spans="9:13">
      <c r="I240" s="233">
        <v>64112000</v>
      </c>
      <c r="J240" s="233" t="s">
        <v>108</v>
      </c>
      <c r="K240" s="271" t="s">
        <v>1707</v>
      </c>
      <c r="L240" s="241" t="s">
        <v>129</v>
      </c>
      <c r="M240" s="239" t="s">
        <v>66</v>
      </c>
    </row>
    <row r="241" spans="9:13">
      <c r="I241" s="233">
        <v>65000000</v>
      </c>
      <c r="J241" s="233" t="s">
        <v>99</v>
      </c>
      <c r="K241" s="271" t="s">
        <v>1708</v>
      </c>
      <c r="L241" s="241" t="s">
        <v>111</v>
      </c>
      <c r="M241" s="239" t="s">
        <v>68</v>
      </c>
    </row>
    <row r="242" spans="9:13">
      <c r="I242" s="233">
        <v>65000000</v>
      </c>
      <c r="J242" s="233" t="s">
        <v>101</v>
      </c>
      <c r="K242" s="271" t="s">
        <v>1709</v>
      </c>
      <c r="L242" s="241" t="s">
        <v>111</v>
      </c>
      <c r="M242" s="239" t="s">
        <v>68</v>
      </c>
    </row>
    <row r="243" spans="9:13">
      <c r="I243" s="233">
        <v>65000000</v>
      </c>
      <c r="J243" s="233" t="s">
        <v>103</v>
      </c>
      <c r="K243" s="271" t="s">
        <v>1710</v>
      </c>
      <c r="L243" s="241" t="s">
        <v>111</v>
      </c>
      <c r="M243" s="239" t="s">
        <v>68</v>
      </c>
    </row>
    <row r="244" spans="9:13">
      <c r="I244" s="233">
        <v>65000000</v>
      </c>
      <c r="J244" s="233" t="s">
        <v>108</v>
      </c>
      <c r="K244" s="271" t="s">
        <v>1711</v>
      </c>
      <c r="L244" s="241" t="s">
        <v>128</v>
      </c>
      <c r="M244" s="239" t="s">
        <v>68</v>
      </c>
    </row>
    <row r="245" spans="9:13">
      <c r="I245" s="233">
        <v>66110000</v>
      </c>
      <c r="J245" s="233" t="s">
        <v>99</v>
      </c>
      <c r="K245" s="271" t="s">
        <v>1712</v>
      </c>
      <c r="L245" s="241" t="s">
        <v>122</v>
      </c>
      <c r="M245" s="239" t="s">
        <v>70</v>
      </c>
    </row>
    <row r="246" spans="9:13">
      <c r="I246" s="233">
        <v>66110000</v>
      </c>
      <c r="J246" s="233" t="s">
        <v>101</v>
      </c>
      <c r="K246" s="271" t="s">
        <v>1713</v>
      </c>
      <c r="L246" s="241" t="s">
        <v>122</v>
      </c>
      <c r="M246" s="239" t="s">
        <v>70</v>
      </c>
    </row>
    <row r="247" spans="9:13">
      <c r="I247" s="233">
        <v>66110000</v>
      </c>
      <c r="J247" s="233" t="s">
        <v>103</v>
      </c>
      <c r="K247" s="271" t="s">
        <v>1714</v>
      </c>
      <c r="L247" s="241" t="s">
        <v>122</v>
      </c>
      <c r="M247" s="239" t="s">
        <v>70</v>
      </c>
    </row>
    <row r="248" spans="9:13">
      <c r="I248" s="233">
        <v>66110000</v>
      </c>
      <c r="J248" s="233" t="s">
        <v>105</v>
      </c>
      <c r="K248" s="271" t="s">
        <v>1715</v>
      </c>
      <c r="L248" s="241" t="s">
        <v>122</v>
      </c>
      <c r="M248" s="239" t="s">
        <v>70</v>
      </c>
    </row>
    <row r="249" spans="9:13">
      <c r="I249" s="233">
        <v>66110000</v>
      </c>
      <c r="J249" s="233" t="s">
        <v>107</v>
      </c>
      <c r="K249" s="271" t="s">
        <v>1716</v>
      </c>
      <c r="L249" s="241" t="s">
        <v>122</v>
      </c>
      <c r="M249" s="239" t="s">
        <v>70</v>
      </c>
    </row>
    <row r="250" spans="9:13">
      <c r="I250" s="233">
        <v>66110000</v>
      </c>
      <c r="J250" s="233" t="s">
        <v>108</v>
      </c>
      <c r="K250" s="271" t="s">
        <v>1717</v>
      </c>
      <c r="L250" s="241" t="s">
        <v>129</v>
      </c>
      <c r="M250" s="239" t="s">
        <v>70</v>
      </c>
    </row>
    <row r="251" spans="9:13">
      <c r="I251" s="233">
        <v>66121000</v>
      </c>
      <c r="J251" s="233" t="s">
        <v>99</v>
      </c>
      <c r="K251" s="271" t="s">
        <v>1718</v>
      </c>
      <c r="L251" s="241" t="s">
        <v>122</v>
      </c>
      <c r="M251" s="239" t="s">
        <v>71</v>
      </c>
    </row>
    <row r="252" spans="9:13">
      <c r="I252" s="233">
        <v>66121000</v>
      </c>
      <c r="J252" s="233" t="s">
        <v>101</v>
      </c>
      <c r="K252" s="271" t="s">
        <v>1719</v>
      </c>
      <c r="L252" s="241" t="s">
        <v>122</v>
      </c>
      <c r="M252" s="239" t="s">
        <v>71</v>
      </c>
    </row>
    <row r="253" spans="9:13">
      <c r="I253" s="233">
        <v>66121000</v>
      </c>
      <c r="J253" s="233" t="s">
        <v>103</v>
      </c>
      <c r="K253" s="271" t="s">
        <v>1720</v>
      </c>
      <c r="L253" s="241" t="s">
        <v>122</v>
      </c>
      <c r="M253" s="239" t="s">
        <v>71</v>
      </c>
    </row>
    <row r="254" spans="9:13">
      <c r="I254" s="233">
        <v>66121000</v>
      </c>
      <c r="J254" s="233" t="s">
        <v>105</v>
      </c>
      <c r="K254" s="271" t="s">
        <v>1721</v>
      </c>
      <c r="L254" s="241" t="s">
        <v>122</v>
      </c>
      <c r="M254" s="239" t="s">
        <v>71</v>
      </c>
    </row>
    <row r="255" spans="9:13">
      <c r="I255" s="233">
        <v>66121000</v>
      </c>
      <c r="J255" s="233" t="s">
        <v>107</v>
      </c>
      <c r="K255" s="271" t="s">
        <v>1722</v>
      </c>
      <c r="L255" s="241" t="s">
        <v>122</v>
      </c>
      <c r="M255" s="239" t="s">
        <v>71</v>
      </c>
    </row>
    <row r="256" spans="9:13">
      <c r="I256" s="233">
        <v>66121000</v>
      </c>
      <c r="J256" s="233" t="s">
        <v>108</v>
      </c>
      <c r="K256" s="271" t="s">
        <v>1723</v>
      </c>
      <c r="L256" s="241" t="s">
        <v>129</v>
      </c>
      <c r="M256" s="239" t="s">
        <v>71</v>
      </c>
    </row>
    <row r="257" spans="9:13">
      <c r="I257" s="233">
        <v>66380000</v>
      </c>
      <c r="J257" s="233" t="s">
        <v>99</v>
      </c>
      <c r="K257" s="271" t="s">
        <v>1724</v>
      </c>
      <c r="L257" s="241" t="s">
        <v>122</v>
      </c>
      <c r="M257" s="239" t="s">
        <v>75</v>
      </c>
    </row>
    <row r="258" spans="9:13">
      <c r="I258" s="233">
        <v>66380000</v>
      </c>
      <c r="J258" s="233" t="s">
        <v>101</v>
      </c>
      <c r="K258" s="271" t="s">
        <v>1725</v>
      </c>
      <c r="L258" s="241" t="s">
        <v>122</v>
      </c>
      <c r="M258" s="239" t="s">
        <v>75</v>
      </c>
    </row>
    <row r="259" spans="9:13">
      <c r="I259" s="233">
        <v>66380000</v>
      </c>
      <c r="J259" s="233" t="s">
        <v>103</v>
      </c>
      <c r="K259" s="271" t="s">
        <v>1726</v>
      </c>
      <c r="L259" s="241" t="s">
        <v>122</v>
      </c>
      <c r="M259" s="239" t="s">
        <v>75</v>
      </c>
    </row>
    <row r="260" spans="9:13">
      <c r="I260" s="233">
        <v>66380000</v>
      </c>
      <c r="J260" s="233" t="s">
        <v>105</v>
      </c>
      <c r="K260" s="271" t="s">
        <v>1727</v>
      </c>
      <c r="L260" s="241" t="s">
        <v>122</v>
      </c>
      <c r="M260" s="239" t="s">
        <v>75</v>
      </c>
    </row>
    <row r="261" spans="9:13">
      <c r="I261" s="233">
        <v>66380000</v>
      </c>
      <c r="J261" s="233" t="s">
        <v>107</v>
      </c>
      <c r="K261" s="271" t="s">
        <v>1728</v>
      </c>
      <c r="L261" s="241" t="s">
        <v>122</v>
      </c>
      <c r="M261" s="239" t="s">
        <v>75</v>
      </c>
    </row>
    <row r="262" spans="9:13">
      <c r="I262" s="233">
        <v>66380000</v>
      </c>
      <c r="J262" s="233" t="s">
        <v>108</v>
      </c>
      <c r="K262" s="271" t="s">
        <v>1729</v>
      </c>
      <c r="L262" s="241" t="s">
        <v>129</v>
      </c>
      <c r="M262" s="239" t="s">
        <v>75</v>
      </c>
    </row>
    <row r="263" spans="9:13">
      <c r="I263" s="233">
        <v>66410000</v>
      </c>
      <c r="J263" s="233" t="s">
        <v>99</v>
      </c>
      <c r="K263" s="271" t="s">
        <v>1730</v>
      </c>
      <c r="L263" s="241" t="s">
        <v>122</v>
      </c>
      <c r="M263" s="239" t="s">
        <v>76</v>
      </c>
    </row>
    <row r="264" spans="9:13">
      <c r="I264" s="233">
        <v>66410000</v>
      </c>
      <c r="J264" s="233" t="s">
        <v>101</v>
      </c>
      <c r="K264" s="271" t="s">
        <v>1731</v>
      </c>
      <c r="L264" s="241" t="s">
        <v>122</v>
      </c>
      <c r="M264" s="239" t="s">
        <v>76</v>
      </c>
    </row>
    <row r="265" spans="9:13">
      <c r="I265" s="233">
        <v>66410000</v>
      </c>
      <c r="J265" s="233" t="s">
        <v>103</v>
      </c>
      <c r="K265" s="271" t="s">
        <v>1732</v>
      </c>
      <c r="L265" s="241" t="s">
        <v>122</v>
      </c>
      <c r="M265" s="239" t="s">
        <v>76</v>
      </c>
    </row>
    <row r="266" spans="9:13">
      <c r="I266" s="233">
        <v>66410000</v>
      </c>
      <c r="J266" s="233" t="s">
        <v>105</v>
      </c>
      <c r="K266" s="271" t="s">
        <v>1733</v>
      </c>
      <c r="L266" s="241" t="s">
        <v>122</v>
      </c>
      <c r="M266" s="239" t="s">
        <v>76</v>
      </c>
    </row>
    <row r="267" spans="9:13">
      <c r="I267" s="233">
        <v>66410000</v>
      </c>
      <c r="J267" s="233" t="s">
        <v>107</v>
      </c>
      <c r="K267" s="271" t="s">
        <v>1734</v>
      </c>
      <c r="L267" s="241" t="s">
        <v>122</v>
      </c>
      <c r="M267" s="239" t="s">
        <v>76</v>
      </c>
    </row>
    <row r="268" spans="9:13">
      <c r="I268" s="233">
        <v>66410000</v>
      </c>
      <c r="J268" s="233" t="s">
        <v>108</v>
      </c>
      <c r="K268" s="271" t="s">
        <v>1735</v>
      </c>
      <c r="L268" s="241" t="s">
        <v>129</v>
      </c>
      <c r="M268" s="239" t="s">
        <v>76</v>
      </c>
    </row>
    <row r="269" spans="9:13">
      <c r="I269" s="233">
        <v>66411000</v>
      </c>
      <c r="J269" s="233" t="s">
        <v>99</v>
      </c>
      <c r="K269" s="271" t="s">
        <v>1736</v>
      </c>
      <c r="L269" s="241" t="s">
        <v>122</v>
      </c>
      <c r="M269" s="239" t="s">
        <v>77</v>
      </c>
    </row>
    <row r="270" spans="9:13">
      <c r="I270" s="233">
        <v>66411000</v>
      </c>
      <c r="J270" s="233" t="s">
        <v>101</v>
      </c>
      <c r="K270" s="271" t="s">
        <v>1737</v>
      </c>
      <c r="L270" s="241" t="s">
        <v>122</v>
      </c>
      <c r="M270" s="239" t="s">
        <v>77</v>
      </c>
    </row>
    <row r="271" spans="9:13">
      <c r="I271" s="233">
        <v>66411000</v>
      </c>
      <c r="J271" s="233" t="s">
        <v>103</v>
      </c>
      <c r="K271" s="271" t="s">
        <v>1738</v>
      </c>
      <c r="L271" s="241" t="s">
        <v>122</v>
      </c>
      <c r="M271" s="239" t="s">
        <v>77</v>
      </c>
    </row>
    <row r="272" spans="9:13">
      <c r="I272" s="233">
        <v>66411000</v>
      </c>
      <c r="J272" s="233" t="s">
        <v>105</v>
      </c>
      <c r="K272" s="271" t="s">
        <v>1739</v>
      </c>
      <c r="L272" s="241" t="s">
        <v>122</v>
      </c>
      <c r="M272" s="239" t="s">
        <v>77</v>
      </c>
    </row>
    <row r="273" spans="9:13">
      <c r="I273" s="233">
        <v>66411000</v>
      </c>
      <c r="J273" s="233" t="s">
        <v>107</v>
      </c>
      <c r="K273" s="271" t="s">
        <v>1740</v>
      </c>
      <c r="L273" s="241" t="s">
        <v>122</v>
      </c>
      <c r="M273" s="239" t="s">
        <v>77</v>
      </c>
    </row>
    <row r="274" spans="9:13">
      <c r="I274" s="233">
        <v>66411000</v>
      </c>
      <c r="J274" s="233" t="s">
        <v>108</v>
      </c>
      <c r="K274" s="271" t="s">
        <v>1741</v>
      </c>
      <c r="L274" s="241" t="s">
        <v>129</v>
      </c>
      <c r="M274" s="239" t="s">
        <v>77</v>
      </c>
    </row>
    <row r="275" spans="9:13">
      <c r="I275" s="233">
        <v>66420000</v>
      </c>
      <c r="J275" s="233" t="s">
        <v>99</v>
      </c>
      <c r="K275" s="271" t="s">
        <v>1742</v>
      </c>
      <c r="L275" s="241" t="s">
        <v>122</v>
      </c>
      <c r="M275" s="239" t="s">
        <v>78</v>
      </c>
    </row>
    <row r="276" spans="9:13">
      <c r="I276" s="233">
        <v>66420000</v>
      </c>
      <c r="J276" s="233" t="s">
        <v>101</v>
      </c>
      <c r="K276" s="271" t="s">
        <v>1743</v>
      </c>
      <c r="L276" s="241" t="s">
        <v>122</v>
      </c>
      <c r="M276" s="239" t="s">
        <v>78</v>
      </c>
    </row>
    <row r="277" spans="9:13">
      <c r="I277" s="233">
        <v>66420000</v>
      </c>
      <c r="J277" s="233" t="s">
        <v>103</v>
      </c>
      <c r="K277" s="271" t="s">
        <v>1744</v>
      </c>
      <c r="L277" s="241" t="s">
        <v>122</v>
      </c>
      <c r="M277" s="239" t="s">
        <v>78</v>
      </c>
    </row>
    <row r="278" spans="9:13">
      <c r="I278" s="233">
        <v>66420000</v>
      </c>
      <c r="J278" s="233" t="s">
        <v>105</v>
      </c>
      <c r="K278" s="271" t="s">
        <v>1745</v>
      </c>
      <c r="L278" s="241" t="s">
        <v>122</v>
      </c>
      <c r="M278" s="239" t="s">
        <v>78</v>
      </c>
    </row>
    <row r="279" spans="9:13">
      <c r="I279" s="233">
        <v>66420000</v>
      </c>
      <c r="J279" s="233" t="s">
        <v>107</v>
      </c>
      <c r="K279" s="271" t="s">
        <v>1746</v>
      </c>
      <c r="L279" s="241" t="s">
        <v>122</v>
      </c>
      <c r="M279" s="239" t="s">
        <v>78</v>
      </c>
    </row>
    <row r="280" spans="9:13">
      <c r="I280" s="233">
        <v>66420000</v>
      </c>
      <c r="J280" s="233" t="s">
        <v>108</v>
      </c>
      <c r="K280" s="271" t="s">
        <v>1747</v>
      </c>
      <c r="L280" s="241" t="s">
        <v>129</v>
      </c>
      <c r="M280" s="239" t="s">
        <v>78</v>
      </c>
    </row>
    <row r="281" spans="9:13">
      <c r="I281" s="233">
        <v>66421000</v>
      </c>
      <c r="J281" s="233" t="s">
        <v>107</v>
      </c>
      <c r="K281" s="271" t="s">
        <v>1748</v>
      </c>
      <c r="L281" s="241" t="s">
        <v>122</v>
      </c>
      <c r="M281" s="239" t="s">
        <v>79</v>
      </c>
    </row>
    <row r="282" spans="9:13">
      <c r="I282" s="233">
        <v>66421000</v>
      </c>
      <c r="J282" s="233" t="s">
        <v>108</v>
      </c>
      <c r="K282" s="271" t="s">
        <v>1749</v>
      </c>
      <c r="L282" s="241" t="s">
        <v>129</v>
      </c>
      <c r="M282" s="239" t="s">
        <v>79</v>
      </c>
    </row>
    <row r="283" spans="9:13">
      <c r="I283" s="233">
        <v>66424000</v>
      </c>
      <c r="J283" s="233" t="s">
        <v>107</v>
      </c>
      <c r="K283" s="271" t="s">
        <v>1750</v>
      </c>
      <c r="L283" s="241" t="s">
        <v>122</v>
      </c>
      <c r="M283" s="239" t="s">
        <v>564</v>
      </c>
    </row>
    <row r="284" spans="9:13">
      <c r="I284" s="233">
        <v>66430000</v>
      </c>
      <c r="J284" s="233" t="s">
        <v>99</v>
      </c>
      <c r="K284" s="271" t="s">
        <v>1751</v>
      </c>
      <c r="L284" s="241" t="s">
        <v>121</v>
      </c>
      <c r="M284" s="239" t="s">
        <v>80</v>
      </c>
    </row>
    <row r="285" spans="9:13">
      <c r="I285" s="233">
        <v>66430000</v>
      </c>
      <c r="J285" s="233" t="s">
        <v>101</v>
      </c>
      <c r="K285" s="271" t="s">
        <v>1752</v>
      </c>
      <c r="L285" s="241" t="s">
        <v>121</v>
      </c>
      <c r="M285" s="239" t="s">
        <v>80</v>
      </c>
    </row>
    <row r="286" spans="9:13">
      <c r="I286" s="233">
        <v>66430000</v>
      </c>
      <c r="J286" s="233" t="s">
        <v>103</v>
      </c>
      <c r="K286" s="271" t="s">
        <v>1753</v>
      </c>
      <c r="L286" s="241" t="s">
        <v>121</v>
      </c>
      <c r="M286" s="239" t="s">
        <v>80</v>
      </c>
    </row>
    <row r="287" spans="9:13">
      <c r="I287" s="233">
        <v>66430000</v>
      </c>
      <c r="J287" s="233" t="s">
        <v>105</v>
      </c>
      <c r="K287" s="271" t="s">
        <v>1754</v>
      </c>
      <c r="L287" s="241" t="s">
        <v>121</v>
      </c>
      <c r="M287" s="239" t="s">
        <v>80</v>
      </c>
    </row>
    <row r="288" spans="9:13">
      <c r="I288" s="233">
        <v>66430000</v>
      </c>
      <c r="J288" s="233" t="s">
        <v>107</v>
      </c>
      <c r="K288" s="271" t="s">
        <v>1755</v>
      </c>
      <c r="L288" s="241" t="s">
        <v>121</v>
      </c>
      <c r="M288" s="239" t="s">
        <v>80</v>
      </c>
    </row>
    <row r="289" spans="9:13">
      <c r="I289" s="233">
        <v>66810000</v>
      </c>
      <c r="J289" s="233" t="s">
        <v>101</v>
      </c>
      <c r="K289" s="271" t="s">
        <v>1756</v>
      </c>
      <c r="L289" s="241" t="s">
        <v>122</v>
      </c>
      <c r="M289" s="239" t="s">
        <v>563</v>
      </c>
    </row>
    <row r="290" spans="9:13">
      <c r="I290" s="233">
        <v>66810000</v>
      </c>
      <c r="J290" s="233" t="s">
        <v>105</v>
      </c>
      <c r="K290" s="271" t="s">
        <v>1757</v>
      </c>
      <c r="L290" s="241" t="s">
        <v>122</v>
      </c>
      <c r="M290" s="239" t="s">
        <v>563</v>
      </c>
    </row>
    <row r="291" spans="9:13">
      <c r="I291" s="233">
        <v>66831000</v>
      </c>
      <c r="J291" s="233" t="s">
        <v>108</v>
      </c>
      <c r="K291" s="271" t="s">
        <v>1758</v>
      </c>
      <c r="L291" s="241" t="s">
        <v>129</v>
      </c>
      <c r="M291" s="239" t="s">
        <v>81</v>
      </c>
    </row>
    <row r="292" spans="9:13">
      <c r="I292" s="233">
        <v>66840001</v>
      </c>
      <c r="J292" s="233" t="s">
        <v>99</v>
      </c>
      <c r="K292" s="271" t="s">
        <v>1759</v>
      </c>
      <c r="L292" s="241" t="s">
        <v>123</v>
      </c>
      <c r="M292" s="239" t="s">
        <v>82</v>
      </c>
    </row>
    <row r="293" spans="9:13">
      <c r="I293" s="233">
        <v>66840001</v>
      </c>
      <c r="J293" s="233" t="s">
        <v>101</v>
      </c>
      <c r="K293" s="271" t="s">
        <v>1760</v>
      </c>
      <c r="L293" s="241" t="s">
        <v>123</v>
      </c>
      <c r="M293" s="239" t="s">
        <v>82</v>
      </c>
    </row>
    <row r="294" spans="9:13">
      <c r="I294" s="233">
        <v>66840001</v>
      </c>
      <c r="J294" s="233" t="s">
        <v>103</v>
      </c>
      <c r="K294" s="271" t="s">
        <v>1761</v>
      </c>
      <c r="L294" s="241" t="s">
        <v>123</v>
      </c>
      <c r="M294" s="239" t="s">
        <v>82</v>
      </c>
    </row>
    <row r="295" spans="9:13">
      <c r="I295" s="233">
        <v>66840001</v>
      </c>
      <c r="J295" s="233" t="s">
        <v>105</v>
      </c>
      <c r="K295" s="271" t="s">
        <v>1762</v>
      </c>
      <c r="L295" s="241" t="s">
        <v>123</v>
      </c>
      <c r="M295" s="239" t="s">
        <v>82</v>
      </c>
    </row>
    <row r="296" spans="9:13">
      <c r="I296" s="233">
        <v>66840001</v>
      </c>
      <c r="J296" s="233" t="s">
        <v>107</v>
      </c>
      <c r="K296" s="271" t="s">
        <v>1763</v>
      </c>
      <c r="L296" s="241" t="s">
        <v>123</v>
      </c>
      <c r="M296" s="239" t="s">
        <v>82</v>
      </c>
    </row>
    <row r="297" spans="9:13">
      <c r="I297" s="233">
        <v>66840001</v>
      </c>
      <c r="J297" s="233" t="s">
        <v>108</v>
      </c>
      <c r="K297" s="271" t="s">
        <v>1764</v>
      </c>
      <c r="L297" s="241" t="s">
        <v>127</v>
      </c>
      <c r="M297" s="239" t="s">
        <v>82</v>
      </c>
    </row>
    <row r="298" spans="9:13">
      <c r="I298" s="233">
        <v>67443000</v>
      </c>
      <c r="J298" s="233" t="s">
        <v>103</v>
      </c>
      <c r="K298" s="271" t="s">
        <v>1765</v>
      </c>
      <c r="L298" s="241" t="s">
        <v>125</v>
      </c>
      <c r="M298" s="239" t="s">
        <v>83</v>
      </c>
    </row>
    <row r="299" spans="9:13">
      <c r="I299" s="233">
        <v>67445000</v>
      </c>
      <c r="J299" s="233" t="s">
        <v>105</v>
      </c>
      <c r="K299" s="271" t="s">
        <v>1766</v>
      </c>
      <c r="L299" s="241" t="s">
        <v>125</v>
      </c>
      <c r="M299" s="239" t="s">
        <v>84</v>
      </c>
    </row>
    <row r="300" spans="9:13">
      <c r="I300" s="233">
        <v>68130000</v>
      </c>
      <c r="J300" s="233" t="s">
        <v>99</v>
      </c>
      <c r="K300" s="271" t="s">
        <v>1767</v>
      </c>
      <c r="L300" s="241" t="s">
        <v>124</v>
      </c>
      <c r="M300" s="239" t="s">
        <v>85</v>
      </c>
    </row>
    <row r="301" spans="9:13">
      <c r="I301" s="233">
        <v>68130000</v>
      </c>
      <c r="J301" s="233" t="s">
        <v>101</v>
      </c>
      <c r="K301" s="271" t="s">
        <v>1768</v>
      </c>
      <c r="L301" s="241" t="s">
        <v>124</v>
      </c>
      <c r="M301" s="239" t="s">
        <v>85</v>
      </c>
    </row>
    <row r="302" spans="9:13">
      <c r="I302" s="233">
        <v>68130000</v>
      </c>
      <c r="J302" s="233" t="s">
        <v>103</v>
      </c>
      <c r="K302" s="271" t="s">
        <v>1769</v>
      </c>
      <c r="L302" s="241" t="s">
        <v>124</v>
      </c>
      <c r="M302" s="239" t="s">
        <v>85</v>
      </c>
    </row>
    <row r="303" spans="9:13">
      <c r="I303" s="233">
        <v>68130000</v>
      </c>
      <c r="J303" s="233" t="s">
        <v>105</v>
      </c>
      <c r="K303" s="271" t="s">
        <v>1770</v>
      </c>
      <c r="L303" s="241" t="s">
        <v>124</v>
      </c>
      <c r="M303" s="239" t="s">
        <v>85</v>
      </c>
    </row>
    <row r="304" spans="9:13">
      <c r="I304" s="233">
        <v>68130000</v>
      </c>
      <c r="J304" s="233" t="s">
        <v>107</v>
      </c>
      <c r="K304" s="271" t="s">
        <v>1771</v>
      </c>
      <c r="L304" s="241" t="s">
        <v>124</v>
      </c>
      <c r="M304" s="239" t="s">
        <v>85</v>
      </c>
    </row>
    <row r="305" spans="9:13">
      <c r="I305" s="233">
        <v>68130000</v>
      </c>
      <c r="J305" s="233" t="s">
        <v>108</v>
      </c>
      <c r="K305" s="271" t="s">
        <v>1772</v>
      </c>
      <c r="L305" s="241" t="s">
        <v>127</v>
      </c>
      <c r="M305" s="239" t="s">
        <v>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opLeftCell="A19" workbookViewId="0">
      <selection activeCell="B2" sqref="B2:E42"/>
    </sheetView>
  </sheetViews>
  <sheetFormatPr baseColWidth="10" defaultRowHeight="15"/>
  <cols>
    <col min="3" max="3" width="39.140625" bestFit="1" customWidth="1"/>
    <col min="4" max="4" width="16.140625" bestFit="1" customWidth="1"/>
    <col min="10" max="10" width="11.42578125" style="8"/>
    <col min="11" max="11" width="34.85546875" bestFit="1" customWidth="1"/>
    <col min="12" max="12" width="22" bestFit="1" customWidth="1"/>
  </cols>
  <sheetData>
    <row r="2" spans="2:12">
      <c r="B2">
        <v>60150096</v>
      </c>
      <c r="C2" t="s">
        <v>0</v>
      </c>
      <c r="D2" t="s">
        <v>126</v>
      </c>
      <c r="E2" t="s">
        <v>145</v>
      </c>
      <c r="J2" s="8">
        <v>70710000</v>
      </c>
      <c r="K2" t="s">
        <v>147</v>
      </c>
      <c r="L2" t="s">
        <v>138</v>
      </c>
    </row>
    <row r="3" spans="2:12">
      <c r="B3">
        <v>60152000</v>
      </c>
      <c r="C3" t="s">
        <v>2</v>
      </c>
      <c r="D3" t="s">
        <v>127</v>
      </c>
      <c r="E3" t="s">
        <v>145</v>
      </c>
      <c r="J3" s="8">
        <v>70720000</v>
      </c>
      <c r="K3" t="s">
        <v>3</v>
      </c>
      <c r="L3" t="s">
        <v>138</v>
      </c>
    </row>
    <row r="4" spans="2:12">
      <c r="B4">
        <v>60430000</v>
      </c>
      <c r="C4" t="s">
        <v>7</v>
      </c>
      <c r="D4" t="s">
        <v>127</v>
      </c>
      <c r="E4" t="s">
        <v>145</v>
      </c>
      <c r="J4" s="8">
        <v>70730000</v>
      </c>
      <c r="K4" t="s">
        <v>90</v>
      </c>
      <c r="L4" t="s">
        <v>138</v>
      </c>
    </row>
    <row r="5" spans="2:12">
      <c r="B5">
        <v>60510000</v>
      </c>
      <c r="C5" t="s">
        <v>8</v>
      </c>
      <c r="D5" t="s">
        <v>127</v>
      </c>
      <c r="E5" t="s">
        <v>145</v>
      </c>
      <c r="J5" s="8">
        <v>70780000</v>
      </c>
      <c r="K5" t="s">
        <v>148</v>
      </c>
      <c r="L5" t="s">
        <v>138</v>
      </c>
    </row>
    <row r="6" spans="2:12">
      <c r="B6">
        <v>60520000</v>
      </c>
      <c r="C6" t="s">
        <v>9</v>
      </c>
      <c r="D6" t="s">
        <v>127</v>
      </c>
      <c r="E6" t="s">
        <v>145</v>
      </c>
      <c r="J6" s="8">
        <v>70781000</v>
      </c>
      <c r="K6" t="s">
        <v>91</v>
      </c>
      <c r="L6" t="s">
        <v>138</v>
      </c>
    </row>
    <row r="7" spans="2:12">
      <c r="B7">
        <v>60530000</v>
      </c>
      <c r="C7" t="s">
        <v>10</v>
      </c>
      <c r="D7" t="s">
        <v>127</v>
      </c>
      <c r="E7" t="s">
        <v>145</v>
      </c>
      <c r="J7" s="8">
        <v>75600000</v>
      </c>
      <c r="K7" t="s">
        <v>93</v>
      </c>
      <c r="L7" t="s">
        <v>139</v>
      </c>
    </row>
    <row r="8" spans="2:12">
      <c r="B8">
        <v>60550000</v>
      </c>
      <c r="C8" t="s">
        <v>12</v>
      </c>
      <c r="D8" t="s">
        <v>127</v>
      </c>
      <c r="E8" t="s">
        <v>145</v>
      </c>
      <c r="J8" s="8">
        <v>75800000</v>
      </c>
      <c r="K8" t="s">
        <v>94</v>
      </c>
      <c r="L8" t="s">
        <v>138</v>
      </c>
    </row>
    <row r="9" spans="2:12">
      <c r="B9">
        <v>60551000</v>
      </c>
      <c r="C9" t="s">
        <v>13</v>
      </c>
      <c r="D9" t="s">
        <v>127</v>
      </c>
      <c r="E9" t="s">
        <v>145</v>
      </c>
      <c r="J9" s="8">
        <v>75820000</v>
      </c>
      <c r="K9" t="s">
        <v>149</v>
      </c>
      <c r="L9" t="s">
        <v>138</v>
      </c>
    </row>
    <row r="10" spans="2:12">
      <c r="B10">
        <v>61100000</v>
      </c>
      <c r="C10" t="s">
        <v>21</v>
      </c>
      <c r="D10" t="s">
        <v>127</v>
      </c>
      <c r="E10" t="s">
        <v>145</v>
      </c>
      <c r="J10" s="8">
        <v>75880000</v>
      </c>
      <c r="K10" t="s">
        <v>95</v>
      </c>
      <c r="L10" t="s">
        <v>138</v>
      </c>
    </row>
    <row r="11" spans="2:12">
      <c r="B11">
        <v>61810000</v>
      </c>
      <c r="C11" t="s">
        <v>24</v>
      </c>
      <c r="D11" t="s">
        <v>127</v>
      </c>
      <c r="E11" t="s">
        <v>145</v>
      </c>
      <c r="J11" s="8">
        <v>77100000</v>
      </c>
      <c r="K11" t="s">
        <v>150</v>
      </c>
      <c r="L11" t="s">
        <v>140</v>
      </c>
    </row>
    <row r="12" spans="2:12">
      <c r="B12">
        <v>61830000</v>
      </c>
      <c r="C12" t="s">
        <v>27</v>
      </c>
      <c r="D12" t="s">
        <v>127</v>
      </c>
      <c r="E12" t="s">
        <v>145</v>
      </c>
      <c r="J12" s="8">
        <v>77210000</v>
      </c>
      <c r="K12" t="s">
        <v>96</v>
      </c>
      <c r="L12" t="s">
        <v>140</v>
      </c>
    </row>
    <row r="13" spans="2:12">
      <c r="B13">
        <v>62220000</v>
      </c>
      <c r="C13" t="s">
        <v>28</v>
      </c>
      <c r="D13" t="s">
        <v>127</v>
      </c>
      <c r="E13" t="s">
        <v>145</v>
      </c>
      <c r="J13" s="8">
        <v>77300000</v>
      </c>
      <c r="K13" t="s">
        <v>151</v>
      </c>
      <c r="L13" t="s">
        <v>138</v>
      </c>
    </row>
    <row r="14" spans="2:12">
      <c r="B14">
        <v>62420000</v>
      </c>
      <c r="C14" t="s">
        <v>32</v>
      </c>
      <c r="D14" t="s">
        <v>127</v>
      </c>
      <c r="E14" t="s">
        <v>145</v>
      </c>
      <c r="J14" s="8">
        <v>77400000</v>
      </c>
      <c r="K14" t="s">
        <v>152</v>
      </c>
      <c r="L14" t="s">
        <v>138</v>
      </c>
    </row>
    <row r="15" spans="2:12">
      <c r="B15">
        <v>62430000</v>
      </c>
      <c r="C15" t="s">
        <v>33</v>
      </c>
      <c r="D15" t="s">
        <v>127</v>
      </c>
      <c r="E15" t="s">
        <v>145</v>
      </c>
      <c r="J15" s="8">
        <v>77600000</v>
      </c>
      <c r="K15" t="s">
        <v>97</v>
      </c>
      <c r="L15" t="s">
        <v>139</v>
      </c>
    </row>
    <row r="16" spans="2:12">
      <c r="B16">
        <v>62760000</v>
      </c>
      <c r="C16" t="s">
        <v>38</v>
      </c>
      <c r="D16" t="s">
        <v>127</v>
      </c>
      <c r="E16" t="s">
        <v>145</v>
      </c>
      <c r="J16" s="8">
        <v>79710000</v>
      </c>
      <c r="L16" t="s">
        <v>138</v>
      </c>
    </row>
    <row r="17" spans="2:12">
      <c r="B17">
        <v>62880000</v>
      </c>
      <c r="C17" t="s">
        <v>39</v>
      </c>
      <c r="D17" t="s">
        <v>127</v>
      </c>
      <c r="E17" t="s">
        <v>145</v>
      </c>
      <c r="J17" s="8">
        <v>79110000</v>
      </c>
      <c r="K17" t="s">
        <v>98</v>
      </c>
      <c r="L17" t="s">
        <v>138</v>
      </c>
    </row>
    <row r="18" spans="2:12">
      <c r="B18">
        <v>62881000</v>
      </c>
      <c r="C18" t="s">
        <v>40</v>
      </c>
      <c r="D18" t="s">
        <v>127</v>
      </c>
      <c r="E18" t="s">
        <v>145</v>
      </c>
    </row>
    <row r="19" spans="2:12">
      <c r="B19">
        <v>63180000</v>
      </c>
      <c r="C19" t="s">
        <v>42</v>
      </c>
      <c r="D19" t="s">
        <v>127</v>
      </c>
      <c r="E19" t="s">
        <v>145</v>
      </c>
    </row>
    <row r="20" spans="2:12">
      <c r="B20">
        <v>63240000</v>
      </c>
      <c r="C20" t="s">
        <v>44</v>
      </c>
      <c r="D20" t="s">
        <v>127</v>
      </c>
      <c r="E20" t="s">
        <v>145</v>
      </c>
    </row>
    <row r="21" spans="2:12">
      <c r="B21">
        <v>63284000</v>
      </c>
      <c r="C21" t="s">
        <v>49</v>
      </c>
      <c r="D21" t="s">
        <v>128</v>
      </c>
      <c r="E21" t="s">
        <v>146</v>
      </c>
    </row>
    <row r="22" spans="2:12">
      <c r="B22">
        <v>63720000</v>
      </c>
      <c r="C22" t="s">
        <v>59</v>
      </c>
      <c r="D22" t="s">
        <v>127</v>
      </c>
      <c r="E22" t="s">
        <v>145</v>
      </c>
    </row>
    <row r="23" spans="2:12">
      <c r="B23">
        <v>63830000</v>
      </c>
      <c r="C23" t="s">
        <v>60</v>
      </c>
      <c r="D23" t="s">
        <v>127</v>
      </c>
      <c r="E23" t="s">
        <v>145</v>
      </c>
    </row>
    <row r="24" spans="2:12">
      <c r="B24">
        <v>63830060</v>
      </c>
      <c r="C24" t="s">
        <v>61</v>
      </c>
      <c r="D24" t="s">
        <v>127</v>
      </c>
      <c r="E24" t="s">
        <v>145</v>
      </c>
    </row>
    <row r="25" spans="2:12">
      <c r="B25">
        <v>63840000</v>
      </c>
      <c r="C25" t="s">
        <v>64</v>
      </c>
      <c r="D25" t="s">
        <v>127</v>
      </c>
      <c r="E25" t="s">
        <v>145</v>
      </c>
    </row>
    <row r="26" spans="2:12">
      <c r="B26">
        <v>64110000</v>
      </c>
      <c r="C26" t="s">
        <v>65</v>
      </c>
      <c r="D26" t="s">
        <v>127</v>
      </c>
      <c r="E26" t="s">
        <v>145</v>
      </c>
    </row>
    <row r="27" spans="2:12">
      <c r="B27">
        <v>64112000</v>
      </c>
      <c r="C27" t="s">
        <v>66</v>
      </c>
      <c r="D27" t="s">
        <v>129</v>
      </c>
      <c r="E27" t="s">
        <v>145</v>
      </c>
    </row>
    <row r="28" spans="2:12">
      <c r="B28">
        <v>64620000</v>
      </c>
      <c r="C28" t="s">
        <v>67</v>
      </c>
      <c r="D28" t="s">
        <v>127</v>
      </c>
      <c r="E28" t="s">
        <v>145</v>
      </c>
    </row>
    <row r="29" spans="2:12">
      <c r="B29">
        <v>65000000</v>
      </c>
      <c r="C29" t="s">
        <v>68</v>
      </c>
      <c r="D29" t="s">
        <v>128</v>
      </c>
      <c r="E29" t="s">
        <v>146</v>
      </c>
    </row>
    <row r="30" spans="2:12">
      <c r="B30">
        <v>65822000</v>
      </c>
      <c r="C30" t="s">
        <v>69</v>
      </c>
      <c r="D30" t="s">
        <v>127</v>
      </c>
      <c r="E30" t="s">
        <v>145</v>
      </c>
    </row>
    <row r="31" spans="2:12">
      <c r="B31">
        <v>66110000</v>
      </c>
      <c r="C31" t="s">
        <v>70</v>
      </c>
      <c r="D31" t="s">
        <v>129</v>
      </c>
      <c r="E31" t="s">
        <v>145</v>
      </c>
    </row>
    <row r="32" spans="2:12">
      <c r="B32">
        <v>66121000</v>
      </c>
      <c r="C32" t="s">
        <v>71</v>
      </c>
      <c r="D32" t="s">
        <v>129</v>
      </c>
      <c r="E32" t="s">
        <v>145</v>
      </c>
    </row>
    <row r="33" spans="2:5">
      <c r="B33">
        <v>66130000</v>
      </c>
      <c r="C33" t="s">
        <v>72</v>
      </c>
      <c r="D33" t="s">
        <v>129</v>
      </c>
      <c r="E33" t="s">
        <v>145</v>
      </c>
    </row>
    <row r="34" spans="2:5">
      <c r="B34">
        <v>66380000</v>
      </c>
      <c r="C34" t="s">
        <v>75</v>
      </c>
      <c r="D34" t="s">
        <v>129</v>
      </c>
      <c r="E34" t="s">
        <v>145</v>
      </c>
    </row>
    <row r="35" spans="2:5">
      <c r="B35">
        <v>66410000</v>
      </c>
      <c r="C35" t="s">
        <v>76</v>
      </c>
      <c r="D35" t="s">
        <v>129</v>
      </c>
      <c r="E35" t="s">
        <v>145</v>
      </c>
    </row>
    <row r="36" spans="2:5">
      <c r="B36">
        <v>66411000</v>
      </c>
      <c r="C36" t="s">
        <v>77</v>
      </c>
      <c r="D36" t="s">
        <v>129</v>
      </c>
      <c r="E36" t="s">
        <v>145</v>
      </c>
    </row>
    <row r="37" spans="2:5">
      <c r="B37">
        <v>66420000</v>
      </c>
      <c r="C37" t="s">
        <v>78</v>
      </c>
      <c r="D37" t="s">
        <v>129</v>
      </c>
      <c r="E37" t="s">
        <v>145</v>
      </c>
    </row>
    <row r="38" spans="2:5">
      <c r="B38">
        <v>66421000</v>
      </c>
      <c r="C38" t="s">
        <v>79</v>
      </c>
      <c r="D38" t="s">
        <v>129</v>
      </c>
      <c r="E38" t="s">
        <v>145</v>
      </c>
    </row>
    <row r="39" spans="2:5">
      <c r="B39">
        <v>66831000</v>
      </c>
      <c r="C39" t="s">
        <v>81</v>
      </c>
      <c r="D39" t="s">
        <v>129</v>
      </c>
      <c r="E39" t="s">
        <v>145</v>
      </c>
    </row>
    <row r="40" spans="2:5">
      <c r="B40">
        <v>66840001</v>
      </c>
      <c r="C40" t="s">
        <v>82</v>
      </c>
      <c r="D40" t="s">
        <v>127</v>
      </c>
      <c r="E40" t="s">
        <v>145</v>
      </c>
    </row>
    <row r="41" spans="2:5">
      <c r="B41">
        <v>68130000</v>
      </c>
      <c r="C41" t="s">
        <v>85</v>
      </c>
      <c r="D41" t="s">
        <v>127</v>
      </c>
      <c r="E41" t="s">
        <v>145</v>
      </c>
    </row>
    <row r="42" spans="2:5">
      <c r="B42">
        <v>69110000</v>
      </c>
      <c r="C42" t="s">
        <v>86</v>
      </c>
      <c r="D42" t="s">
        <v>127</v>
      </c>
      <c r="E42" t="s">
        <v>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3"/>
  <sheetViews>
    <sheetView workbookViewId="0">
      <selection activeCell="B2" sqref="B2:C73"/>
    </sheetView>
  </sheetViews>
  <sheetFormatPr baseColWidth="10" defaultRowHeight="15"/>
  <cols>
    <col min="2" max="2" width="11.42578125" style="8"/>
  </cols>
  <sheetData>
    <row r="2" spans="2:3">
      <c r="B2" s="8">
        <v>60152000</v>
      </c>
      <c r="C2" t="s">
        <v>110</v>
      </c>
    </row>
    <row r="3" spans="2:3">
      <c r="B3" s="8">
        <v>60154000</v>
      </c>
      <c r="C3" t="s">
        <v>111</v>
      </c>
    </row>
    <row r="4" spans="2:3">
      <c r="B4" s="8">
        <v>60330000</v>
      </c>
      <c r="C4" t="s">
        <v>112</v>
      </c>
    </row>
    <row r="5" spans="2:3">
      <c r="B5" s="8">
        <v>60340000</v>
      </c>
      <c r="C5" t="s">
        <v>113</v>
      </c>
    </row>
    <row r="6" spans="2:3">
      <c r="B6" s="8">
        <v>60410000</v>
      </c>
      <c r="C6" t="s">
        <v>113</v>
      </c>
    </row>
    <row r="7" spans="2:3">
      <c r="B7" s="8">
        <v>60530000</v>
      </c>
      <c r="C7" t="s">
        <v>112</v>
      </c>
    </row>
    <row r="8" spans="2:3">
      <c r="B8" s="8">
        <v>60561000</v>
      </c>
      <c r="C8" t="s">
        <v>113</v>
      </c>
    </row>
    <row r="9" spans="2:3">
      <c r="B9" s="8">
        <v>60562000</v>
      </c>
      <c r="C9" t="s">
        <v>113</v>
      </c>
    </row>
    <row r="10" spans="2:3">
      <c r="B10" s="8">
        <v>60564000</v>
      </c>
      <c r="C10" t="s">
        <v>114</v>
      </c>
    </row>
    <row r="11" spans="2:3">
      <c r="B11" s="8">
        <v>60567000</v>
      </c>
      <c r="C11" t="s">
        <v>113</v>
      </c>
    </row>
    <row r="12" spans="2:3">
      <c r="B12" s="8">
        <v>60568000</v>
      </c>
      <c r="C12" t="s">
        <v>113</v>
      </c>
    </row>
    <row r="13" spans="2:3">
      <c r="B13" s="8">
        <v>60569000</v>
      </c>
      <c r="C13" t="s">
        <v>113</v>
      </c>
    </row>
    <row r="14" spans="2:3">
      <c r="B14" s="8">
        <v>61100000</v>
      </c>
      <c r="C14" t="s">
        <v>115</v>
      </c>
    </row>
    <row r="15" spans="2:3">
      <c r="B15" s="8">
        <v>61810000</v>
      </c>
      <c r="C15" t="s">
        <v>110</v>
      </c>
    </row>
    <row r="16" spans="2:3">
      <c r="B16" s="8">
        <v>61820000</v>
      </c>
      <c r="C16" t="s">
        <v>110</v>
      </c>
    </row>
    <row r="17" spans="2:3">
      <c r="B17" s="8">
        <v>61830000</v>
      </c>
      <c r="C17" t="s">
        <v>116</v>
      </c>
    </row>
    <row r="18" spans="2:3">
      <c r="B18" s="8">
        <v>62420000</v>
      </c>
      <c r="C18" t="s">
        <v>117</v>
      </c>
    </row>
    <row r="19" spans="2:3">
      <c r="B19" s="8">
        <v>62430000</v>
      </c>
      <c r="C19" t="s">
        <v>117</v>
      </c>
    </row>
    <row r="20" spans="2:3">
      <c r="B20" s="8">
        <v>62511000</v>
      </c>
      <c r="C20" t="s">
        <v>118</v>
      </c>
    </row>
    <row r="21" spans="2:3">
      <c r="B21" s="8">
        <v>62512000</v>
      </c>
      <c r="C21" t="s">
        <v>118</v>
      </c>
    </row>
    <row r="22" spans="2:3">
      <c r="B22" s="8">
        <v>62521000</v>
      </c>
      <c r="C22" t="s">
        <v>118</v>
      </c>
    </row>
    <row r="23" spans="2:3">
      <c r="B23" s="8">
        <v>62522000</v>
      </c>
      <c r="C23" t="s">
        <v>118</v>
      </c>
    </row>
    <row r="24" spans="2:3">
      <c r="B24" s="8">
        <v>62582000</v>
      </c>
      <c r="C24" t="s">
        <v>118</v>
      </c>
    </row>
    <row r="25" spans="2:3">
      <c r="B25" s="8">
        <v>62881000</v>
      </c>
      <c r="C25" t="s">
        <v>19</v>
      </c>
    </row>
    <row r="26" spans="2:3">
      <c r="B26" s="8">
        <v>62883000</v>
      </c>
      <c r="C26" t="s">
        <v>113</v>
      </c>
    </row>
    <row r="27" spans="2:3">
      <c r="B27" s="8">
        <v>63280700</v>
      </c>
      <c r="C27" t="s">
        <v>111</v>
      </c>
    </row>
    <row r="28" spans="2:3">
      <c r="B28" s="8">
        <v>63281000</v>
      </c>
      <c r="C28" t="s">
        <v>110</v>
      </c>
    </row>
    <row r="29" spans="2:3">
      <c r="B29" s="8">
        <v>63282000</v>
      </c>
      <c r="C29" t="s">
        <v>111</v>
      </c>
    </row>
    <row r="30" spans="2:3">
      <c r="B30" s="8">
        <v>63284000</v>
      </c>
      <c r="C30" t="s">
        <v>110</v>
      </c>
    </row>
    <row r="31" spans="2:3">
      <c r="B31" s="8">
        <v>63421000</v>
      </c>
      <c r="C31" t="s">
        <v>119</v>
      </c>
    </row>
    <row r="32" spans="2:3">
      <c r="B32" s="8">
        <v>63423100</v>
      </c>
      <c r="C32" t="s">
        <v>119</v>
      </c>
    </row>
    <row r="33" spans="2:3">
      <c r="B33" s="8">
        <v>63423300</v>
      </c>
      <c r="C33" t="s">
        <v>119</v>
      </c>
    </row>
    <row r="34" spans="2:3">
      <c r="B34" s="8">
        <v>63423400</v>
      </c>
      <c r="C34" t="s">
        <v>119</v>
      </c>
    </row>
    <row r="35" spans="2:3">
      <c r="B35" s="8">
        <v>63423910</v>
      </c>
      <c r="C35" t="s">
        <v>119</v>
      </c>
    </row>
    <row r="36" spans="2:3">
      <c r="B36" s="8">
        <v>63712000</v>
      </c>
      <c r="C36" t="s">
        <v>110</v>
      </c>
    </row>
    <row r="37" spans="2:3">
      <c r="B37" s="8">
        <v>63712001</v>
      </c>
      <c r="C37" t="s">
        <v>111</v>
      </c>
    </row>
    <row r="38" spans="2:3">
      <c r="B38" s="8">
        <v>63830060</v>
      </c>
      <c r="C38" t="s">
        <v>120</v>
      </c>
    </row>
    <row r="39" spans="2:3">
      <c r="B39" s="8">
        <v>63831000</v>
      </c>
      <c r="C39" t="s">
        <v>120</v>
      </c>
    </row>
    <row r="40" spans="2:3">
      <c r="B40" s="8">
        <v>63832000</v>
      </c>
      <c r="C40" t="s">
        <v>120</v>
      </c>
    </row>
    <row r="41" spans="2:3">
      <c r="B41" s="8">
        <v>64000000</v>
      </c>
      <c r="C41" t="s">
        <v>121</v>
      </c>
    </row>
    <row r="42" spans="2:3">
      <c r="B42" s="8">
        <v>64112000</v>
      </c>
      <c r="C42" t="s">
        <v>121</v>
      </c>
    </row>
    <row r="43" spans="2:3">
      <c r="B43" s="8">
        <v>64113000</v>
      </c>
      <c r="C43" t="s">
        <v>111</v>
      </c>
    </row>
    <row r="44" spans="2:3">
      <c r="B44" s="8">
        <v>65000000</v>
      </c>
      <c r="C44" t="s">
        <v>111</v>
      </c>
    </row>
    <row r="45" spans="2:3">
      <c r="B45" s="8">
        <v>66110000</v>
      </c>
      <c r="C45" t="s">
        <v>122</v>
      </c>
    </row>
    <row r="46" spans="2:3">
      <c r="B46" s="8">
        <v>66121000</v>
      </c>
      <c r="C46" t="s">
        <v>122</v>
      </c>
    </row>
    <row r="47" spans="2:3">
      <c r="B47" s="8">
        <v>66130000</v>
      </c>
      <c r="C47" t="s">
        <v>122</v>
      </c>
    </row>
    <row r="48" spans="2:3">
      <c r="B48" s="8">
        <v>66220019</v>
      </c>
      <c r="C48" t="s">
        <v>121</v>
      </c>
    </row>
    <row r="49" spans="2:3">
      <c r="B49" s="8">
        <v>66380000</v>
      </c>
      <c r="C49" t="s">
        <v>122</v>
      </c>
    </row>
    <row r="50" spans="2:3">
      <c r="B50" s="8">
        <v>66410000</v>
      </c>
      <c r="C50" t="s">
        <v>122</v>
      </c>
    </row>
    <row r="51" spans="2:3">
      <c r="B51" s="8">
        <v>66411000</v>
      </c>
      <c r="C51" t="s">
        <v>122</v>
      </c>
    </row>
    <row r="52" spans="2:3">
      <c r="B52" s="8">
        <v>66420000</v>
      </c>
      <c r="C52" t="s">
        <v>122</v>
      </c>
    </row>
    <row r="53" spans="2:3">
      <c r="B53" s="8">
        <v>66430000</v>
      </c>
      <c r="C53" t="s">
        <v>121</v>
      </c>
    </row>
    <row r="54" spans="2:3">
      <c r="B54" s="8">
        <v>66840001</v>
      </c>
      <c r="C54" t="s">
        <v>123</v>
      </c>
    </row>
    <row r="55" spans="2:3">
      <c r="B55" s="8">
        <v>68130000</v>
      </c>
      <c r="C55" t="s">
        <v>124</v>
      </c>
    </row>
    <row r="56" spans="2:3">
      <c r="B56" s="8">
        <v>69110000</v>
      </c>
      <c r="C56" t="s">
        <v>111</v>
      </c>
    </row>
    <row r="57" spans="2:3">
      <c r="B57" s="8">
        <v>60151000</v>
      </c>
      <c r="C57" t="s">
        <v>115</v>
      </c>
    </row>
    <row r="58" spans="2:3">
      <c r="B58" s="8">
        <v>60420000</v>
      </c>
      <c r="C58" t="s">
        <v>112</v>
      </c>
    </row>
    <row r="59" spans="2:3">
      <c r="B59" s="8">
        <v>61200000</v>
      </c>
      <c r="C59" t="s">
        <v>115</v>
      </c>
    </row>
    <row r="60" spans="2:3">
      <c r="B60" s="8">
        <v>61821000</v>
      </c>
      <c r="C60" t="s">
        <v>110</v>
      </c>
    </row>
    <row r="61" spans="2:3">
      <c r="B61" s="8">
        <v>63241000</v>
      </c>
      <c r="C61" t="s">
        <v>111</v>
      </c>
    </row>
    <row r="62" spans="2:3">
      <c r="B62" s="8">
        <v>63280000</v>
      </c>
      <c r="C62" t="s">
        <v>111</v>
      </c>
    </row>
    <row r="63" spans="2:3">
      <c r="B63" s="8">
        <v>63830000</v>
      </c>
      <c r="C63" t="s">
        <v>120</v>
      </c>
    </row>
    <row r="64" spans="2:3">
      <c r="B64" s="8">
        <v>64110000</v>
      </c>
      <c r="C64" t="s">
        <v>122</v>
      </c>
    </row>
    <row r="65" spans="2:3">
      <c r="B65" s="8">
        <v>66220029</v>
      </c>
      <c r="C65" t="s">
        <v>121</v>
      </c>
    </row>
    <row r="66" spans="2:3">
      <c r="B66" s="8">
        <v>60563000</v>
      </c>
      <c r="C66" t="s">
        <v>113</v>
      </c>
    </row>
    <row r="67" spans="2:3">
      <c r="B67" s="8">
        <v>66220039</v>
      </c>
      <c r="C67" t="s">
        <v>121</v>
      </c>
    </row>
    <row r="68" spans="2:3">
      <c r="B68" s="8">
        <v>67443000</v>
      </c>
      <c r="C68" t="s">
        <v>125</v>
      </c>
    </row>
    <row r="69" spans="2:3">
      <c r="B69" s="8">
        <v>60531000</v>
      </c>
      <c r="C69" t="s">
        <v>112</v>
      </c>
    </row>
    <row r="70" spans="2:3">
      <c r="B70" s="8">
        <v>61600000</v>
      </c>
      <c r="C70" t="s">
        <v>115</v>
      </c>
    </row>
    <row r="71" spans="2:3">
      <c r="B71" s="8">
        <v>66220049</v>
      </c>
      <c r="C71" t="s">
        <v>121</v>
      </c>
    </row>
    <row r="72" spans="2:3">
      <c r="B72" s="8">
        <v>67445000</v>
      </c>
      <c r="C72" t="s">
        <v>125</v>
      </c>
    </row>
    <row r="73" spans="2:3">
      <c r="B73" s="8">
        <v>66220059</v>
      </c>
      <c r="C73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X105"/>
  <sheetViews>
    <sheetView topLeftCell="A34" zoomScale="59" zoomScaleNormal="59" zoomScaleSheetLayoutView="68" workbookViewId="0">
      <selection activeCell="O61" sqref="O61"/>
    </sheetView>
  </sheetViews>
  <sheetFormatPr baseColWidth="10" defaultRowHeight="15"/>
  <cols>
    <col min="3" max="3" width="14.7109375" customWidth="1"/>
    <col min="4" max="4" width="37.85546875" customWidth="1"/>
    <col min="5" max="5" width="4" style="8" customWidth="1"/>
    <col min="6" max="6" width="44.42578125" customWidth="1"/>
    <col min="7" max="7" width="0.7109375" customWidth="1"/>
    <col min="8" max="8" width="17.5703125" customWidth="1"/>
    <col min="9" max="9" width="0.7109375" style="13" customWidth="1"/>
    <col min="10" max="10" width="17.5703125" style="13" customWidth="1"/>
    <col min="11" max="11" width="11.42578125" style="13" customWidth="1"/>
    <col min="14" max="14" width="25.85546875" bestFit="1" customWidth="1"/>
    <col min="15" max="15" width="16.42578125" bestFit="1" customWidth="1"/>
    <col min="16" max="16" width="15" customWidth="1"/>
    <col min="18" max="18" width="13.42578125" bestFit="1" customWidth="1"/>
    <col min="22" max="22" width="31.85546875" bestFit="1" customWidth="1"/>
    <col min="23" max="24" width="16.42578125" style="7" bestFit="1" customWidth="1"/>
  </cols>
  <sheetData>
    <row r="1" spans="2:16" ht="15.75" thickBot="1"/>
    <row r="2" spans="2:16">
      <c r="B2" s="29"/>
      <c r="C2" s="30"/>
      <c r="D2" s="30"/>
      <c r="E2" s="31"/>
      <c r="F2" s="30"/>
      <c r="G2" s="30"/>
      <c r="H2" s="30"/>
      <c r="I2" s="60"/>
      <c r="J2" s="60"/>
      <c r="K2" s="60"/>
      <c r="L2" s="100"/>
    </row>
    <row r="3" spans="2:16">
      <c r="B3" s="32"/>
      <c r="C3" s="86" t="s">
        <v>487</v>
      </c>
      <c r="D3" s="87"/>
      <c r="E3" s="87"/>
      <c r="F3" s="87"/>
      <c r="G3" s="87"/>
      <c r="H3" s="87"/>
      <c r="I3" s="88"/>
      <c r="J3" s="88"/>
      <c r="K3" s="89"/>
      <c r="L3" s="102"/>
    </row>
    <row r="4" spans="2:16">
      <c r="B4" s="32"/>
      <c r="C4" s="90"/>
      <c r="D4" s="91"/>
      <c r="E4" s="91"/>
      <c r="F4" s="91"/>
      <c r="G4" s="91"/>
      <c r="H4" s="91"/>
      <c r="I4" s="92"/>
      <c r="J4" s="92"/>
      <c r="K4" s="93"/>
      <c r="L4" s="102"/>
    </row>
    <row r="5" spans="2:16">
      <c r="B5" s="32"/>
      <c r="C5" s="1"/>
      <c r="D5" s="1"/>
      <c r="E5" s="33"/>
      <c r="F5" s="1"/>
      <c r="G5" s="1"/>
      <c r="H5" s="1"/>
      <c r="I5" s="52"/>
      <c r="J5" s="52"/>
      <c r="K5" s="52"/>
      <c r="L5" s="102"/>
    </row>
    <row r="6" spans="2:16">
      <c r="B6" s="32"/>
      <c r="C6" s="1"/>
      <c r="D6" s="1"/>
      <c r="E6" s="33"/>
      <c r="F6" s="1"/>
      <c r="G6" s="1"/>
      <c r="H6" s="18" t="s">
        <v>578</v>
      </c>
      <c r="I6" s="115"/>
      <c r="J6" s="98" t="s">
        <v>578</v>
      </c>
      <c r="K6" s="52"/>
      <c r="L6" s="102"/>
    </row>
    <row r="7" spans="2:16">
      <c r="B7" s="32"/>
      <c r="C7" s="152" t="s">
        <v>477</v>
      </c>
      <c r="D7" s="140"/>
      <c r="E7" s="33"/>
      <c r="F7" s="1"/>
      <c r="G7" s="1"/>
      <c r="H7" s="53" t="s">
        <v>1808</v>
      </c>
      <c r="I7" s="52"/>
      <c r="J7" s="53" t="s">
        <v>1784</v>
      </c>
      <c r="K7" s="52"/>
      <c r="L7" s="102"/>
    </row>
    <row r="8" spans="2:16" ht="15.75" thickBot="1">
      <c r="B8" s="32"/>
      <c r="C8" s="6"/>
      <c r="D8" s="3"/>
      <c r="E8" s="118"/>
      <c r="F8" s="3"/>
      <c r="G8" s="3"/>
      <c r="H8" s="3"/>
      <c r="I8" s="153"/>
      <c r="J8" s="153"/>
      <c r="K8" s="154"/>
      <c r="L8" s="102"/>
    </row>
    <row r="9" spans="2:16">
      <c r="B9" s="32"/>
      <c r="C9" s="155"/>
      <c r="D9" s="30"/>
      <c r="E9" s="31"/>
      <c r="F9" s="30"/>
      <c r="G9" s="30"/>
      <c r="H9" s="44"/>
      <c r="I9" s="45"/>
      <c r="J9" s="45"/>
      <c r="K9" s="156"/>
      <c r="L9" s="102"/>
    </row>
    <row r="10" spans="2:16">
      <c r="B10" s="32"/>
      <c r="C10" s="4"/>
      <c r="D10" s="42" t="s">
        <v>423</v>
      </c>
      <c r="E10" s="53"/>
      <c r="F10" s="54"/>
      <c r="G10" s="54"/>
      <c r="H10" s="55">
        <f>H11+H19</f>
        <v>34358437.89760609</v>
      </c>
      <c r="I10" s="56"/>
      <c r="J10" s="55">
        <v>36200448.326643355</v>
      </c>
      <c r="K10" s="157"/>
      <c r="L10" s="102"/>
    </row>
    <row r="11" spans="2:16">
      <c r="B11" s="32"/>
      <c r="C11" s="4"/>
      <c r="D11" s="27" t="s">
        <v>429</v>
      </c>
      <c r="E11" s="33"/>
      <c r="F11" s="1"/>
      <c r="G11" s="1"/>
      <c r="H11" s="47">
        <f>SUM(H12:H17)</f>
        <v>31231467.843166545</v>
      </c>
      <c r="I11" s="46"/>
      <c r="J11" s="47">
        <v>33513530.81985556</v>
      </c>
      <c r="K11" s="158"/>
      <c r="L11" s="102"/>
    </row>
    <row r="12" spans="2:16">
      <c r="B12" s="32"/>
      <c r="C12" s="4"/>
      <c r="D12" s="1"/>
      <c r="E12" s="33">
        <v>1</v>
      </c>
      <c r="F12" s="1" t="s">
        <v>419</v>
      </c>
      <c r="G12" s="1"/>
      <c r="H12" s="46">
        <f>SUMIF('Trial Balance'!$E$9:$E$976,SoFP!F12,'Trial Balance'!$G$9:$G$976)/655.957</f>
        <v>13422405.555547087</v>
      </c>
      <c r="I12" s="46"/>
      <c r="J12" s="46">
        <v>7716161.4282643525</v>
      </c>
      <c r="K12" s="158"/>
      <c r="L12" s="102"/>
      <c r="O12" s="7"/>
      <c r="P12" s="7"/>
    </row>
    <row r="13" spans="2:16">
      <c r="B13" s="32"/>
      <c r="C13" s="4"/>
      <c r="D13" s="1"/>
      <c r="E13" s="33">
        <v>2</v>
      </c>
      <c r="F13" s="1" t="s">
        <v>414</v>
      </c>
      <c r="G13" s="1"/>
      <c r="H13" s="46">
        <f>SUMIF('Trial Balance'!$E$9:$E$976,SoFP!F13,'Trial Balance'!$G$9:$G$976)/655.957</f>
        <v>15637886.157171883</v>
      </c>
      <c r="I13" s="46"/>
      <c r="J13" s="46">
        <v>23328168.98821111</v>
      </c>
      <c r="K13" s="158"/>
      <c r="L13" s="102"/>
      <c r="O13" s="7"/>
      <c r="P13" s="7"/>
    </row>
    <row r="14" spans="2:16">
      <c r="B14" s="32"/>
      <c r="C14" s="4"/>
      <c r="D14" s="1"/>
      <c r="E14" s="33">
        <v>3</v>
      </c>
      <c r="F14" s="1" t="s">
        <v>418</v>
      </c>
      <c r="G14" s="1"/>
      <c r="H14" s="46">
        <f>SUMIF('Trial Balance'!$E$9:$E$976,SoFP!F14,'Trial Balance'!$G$9:$G$976)/655.957</f>
        <v>1448759.3195895462</v>
      </c>
      <c r="I14" s="46"/>
      <c r="J14" s="46">
        <v>1350574.5483316742</v>
      </c>
      <c r="K14" s="158"/>
      <c r="L14" s="102"/>
      <c r="O14" s="7"/>
      <c r="P14" s="7"/>
    </row>
    <row r="15" spans="2:16">
      <c r="B15" s="32"/>
      <c r="C15" s="4"/>
      <c r="D15" s="1"/>
      <c r="E15" s="33">
        <v>4</v>
      </c>
      <c r="F15" s="1" t="s">
        <v>413</v>
      </c>
      <c r="G15" s="1"/>
      <c r="H15" s="46">
        <f>SUMIF('Trial Balance'!$E$9:$E$976,SoFP!F15,'Trial Balance'!$G$9:$G$976)/655.957</f>
        <v>293980.66336665361</v>
      </c>
      <c r="I15" s="46"/>
      <c r="J15" s="46">
        <v>332997.39617078559</v>
      </c>
      <c r="K15" s="158"/>
      <c r="L15" s="102"/>
      <c r="O15" s="7"/>
      <c r="P15" s="7"/>
    </row>
    <row r="16" spans="2:16">
      <c r="B16" s="32"/>
      <c r="C16" s="4"/>
      <c r="D16" s="1"/>
      <c r="E16" s="33">
        <v>5</v>
      </c>
      <c r="F16" s="1" t="s">
        <v>415</v>
      </c>
      <c r="G16" s="1"/>
      <c r="H16" s="46">
        <f>SUMIF('Trial Balance'!$E$9:$E$976,SoFP!F16,'Trial Balance'!$G$9:$G$976)/655.957</f>
        <v>36587.686387979702</v>
      </c>
      <c r="I16" s="46"/>
      <c r="J16" s="46">
        <v>39331.49276553189</v>
      </c>
      <c r="K16" s="158"/>
      <c r="L16" s="102"/>
      <c r="O16" s="7"/>
      <c r="P16" s="7"/>
    </row>
    <row r="17" spans="2:16">
      <c r="B17" s="32"/>
      <c r="C17" s="4"/>
      <c r="D17" s="1"/>
      <c r="E17" s="33">
        <v>6</v>
      </c>
      <c r="F17" s="1" t="s">
        <v>568</v>
      </c>
      <c r="G17" s="1"/>
      <c r="H17" s="46">
        <f>SUMIF('Trial Balance'!$E$9:$E$976,SoFP!F17,'Trial Balance'!$G$9:$G$976)/655.957</f>
        <v>391848.4611033955</v>
      </c>
      <c r="I17" s="46"/>
      <c r="J17" s="46">
        <v>746296.96611210797</v>
      </c>
      <c r="K17" s="158"/>
      <c r="L17" s="102"/>
      <c r="O17" s="7"/>
      <c r="P17" s="7"/>
    </row>
    <row r="18" spans="2:16">
      <c r="B18" s="32"/>
      <c r="C18" s="4"/>
      <c r="D18" s="1"/>
      <c r="E18" s="33"/>
      <c r="F18" s="1"/>
      <c r="G18" s="1"/>
      <c r="H18" s="46"/>
      <c r="I18" s="46"/>
      <c r="J18" s="46"/>
      <c r="K18" s="157"/>
      <c r="L18" s="102"/>
    </row>
    <row r="19" spans="2:16">
      <c r="B19" s="32"/>
      <c r="C19" s="4"/>
      <c r="D19" s="34" t="s">
        <v>422</v>
      </c>
      <c r="E19" s="33"/>
      <c r="F19" s="1"/>
      <c r="G19" s="1"/>
      <c r="H19" s="47">
        <f>SUM(H20:H22)</f>
        <v>3126970.0544395442</v>
      </c>
      <c r="I19" s="46"/>
      <c r="J19" s="47">
        <v>2686917.5067877923</v>
      </c>
      <c r="K19" s="158"/>
      <c r="L19" s="102"/>
    </row>
    <row r="20" spans="2:16">
      <c r="B20" s="32"/>
      <c r="C20" s="4"/>
      <c r="D20" s="3"/>
      <c r="E20" s="33">
        <v>1</v>
      </c>
      <c r="F20" s="1" t="s">
        <v>410</v>
      </c>
      <c r="G20" s="1"/>
      <c r="H20" s="46">
        <f>SUMIF('Trial Balance'!$E$9:$E$976,SoFP!F20,'Trial Balance'!$G$9:$G$976)/655.957</f>
        <v>1582172.8466957437</v>
      </c>
      <c r="I20" s="46"/>
      <c r="J20" s="46">
        <v>920718.24829981232</v>
      </c>
      <c r="K20" s="158"/>
      <c r="L20" s="102"/>
    </row>
    <row r="21" spans="2:16">
      <c r="B21" s="32"/>
      <c r="C21" s="4"/>
      <c r="D21" s="1"/>
      <c r="E21" s="33">
        <v>2</v>
      </c>
      <c r="F21" s="1" t="s">
        <v>408</v>
      </c>
      <c r="G21" s="1"/>
      <c r="H21" s="46">
        <f>SUMIF('Trial Balance'!$E$9:$E$976,SoFP!F21,'Trial Balance'!$G$9:$G$976)/655.957</f>
        <v>1273113.5928117239</v>
      </c>
      <c r="I21" s="46"/>
      <c r="J21" s="46">
        <v>1243391.8686743185</v>
      </c>
      <c r="K21" s="158"/>
      <c r="L21" s="102"/>
    </row>
    <row r="22" spans="2:16">
      <c r="B22" s="32"/>
      <c r="C22" s="4"/>
      <c r="D22" s="1"/>
      <c r="E22" s="33">
        <v>3</v>
      </c>
      <c r="F22" s="1" t="s">
        <v>409</v>
      </c>
      <c r="G22" s="1"/>
      <c r="H22" s="46">
        <f>SUMIF('Trial Balance'!$E$9:$E$976,SoFP!F22,'Trial Balance'!$G$9:$G$976)/655.957</f>
        <v>271683.61493207637</v>
      </c>
      <c r="I22" s="46"/>
      <c r="J22" s="46">
        <v>522807.38981366158</v>
      </c>
      <c r="K22" s="158"/>
      <c r="L22" s="102"/>
    </row>
    <row r="23" spans="2:16">
      <c r="B23" s="32"/>
      <c r="C23" s="4"/>
      <c r="D23" s="1"/>
      <c r="E23" s="33"/>
      <c r="F23" s="1"/>
      <c r="G23" s="1"/>
      <c r="H23" s="46"/>
      <c r="I23" s="46"/>
      <c r="J23" s="46"/>
      <c r="K23" s="157"/>
      <c r="L23" s="102"/>
    </row>
    <row r="24" spans="2:16">
      <c r="B24" s="32"/>
      <c r="C24" s="4"/>
      <c r="D24" s="57" t="s">
        <v>425</v>
      </c>
      <c r="E24" s="53"/>
      <c r="F24" s="54"/>
      <c r="G24" s="54"/>
      <c r="H24" s="55">
        <f ca="1">H25+H37</f>
        <v>5659232.4756043488</v>
      </c>
      <c r="I24" s="56"/>
      <c r="J24" s="55">
        <v>4739782.5665401835</v>
      </c>
      <c r="K24" s="159"/>
      <c r="L24" s="102"/>
    </row>
    <row r="25" spans="2:16">
      <c r="B25" s="32"/>
      <c r="C25" s="4"/>
      <c r="D25" s="58" t="s">
        <v>447</v>
      </c>
      <c r="E25" s="33"/>
      <c r="F25" s="1"/>
      <c r="G25" s="1"/>
      <c r="H25" s="50">
        <f ca="1">SUM(H26:H35)</f>
        <v>5371722.8583580963</v>
      </c>
      <c r="I25" s="46"/>
      <c r="J25" s="50">
        <v>3968668.7359079923</v>
      </c>
      <c r="K25" s="159"/>
      <c r="L25" s="102"/>
    </row>
    <row r="26" spans="2:16">
      <c r="B26" s="32"/>
      <c r="C26" s="4"/>
      <c r="D26" s="36" t="s">
        <v>430</v>
      </c>
      <c r="E26" s="33">
        <v>1</v>
      </c>
      <c r="F26" s="1" t="s">
        <v>431</v>
      </c>
      <c r="G26" s="1"/>
      <c r="H26" s="46">
        <f>'Fixed Assets Schedule'!AI8</f>
        <v>8396989.717313787</v>
      </c>
      <c r="I26" s="46"/>
      <c r="J26" s="46">
        <v>7133827.145681805</v>
      </c>
      <c r="K26" s="157"/>
      <c r="L26" s="102"/>
      <c r="O26" s="7"/>
      <c r="P26" s="7"/>
    </row>
    <row r="27" spans="2:16">
      <c r="B27" s="32"/>
      <c r="C27" s="4"/>
      <c r="D27" s="36"/>
      <c r="E27" s="33"/>
      <c r="F27" s="1" t="s">
        <v>432</v>
      </c>
      <c r="G27" s="1"/>
      <c r="H27" s="46">
        <f ca="1">'Fixed Assets Schedule'!AJ8</f>
        <v>-7154010.7080189707</v>
      </c>
      <c r="I27" s="46"/>
      <c r="J27" s="46">
        <v>-7115160.4968008576</v>
      </c>
      <c r="K27" s="159"/>
      <c r="L27" s="102"/>
    </row>
    <row r="28" spans="2:16">
      <c r="B28" s="32"/>
      <c r="C28" s="4"/>
      <c r="D28" s="36" t="s">
        <v>434</v>
      </c>
      <c r="E28" s="33">
        <v>2</v>
      </c>
      <c r="F28" s="1" t="s">
        <v>431</v>
      </c>
      <c r="G28" s="1"/>
      <c r="H28" s="46">
        <f>'Fixed Assets Schedule'!AI9</f>
        <v>7315169.0842539985</v>
      </c>
      <c r="I28" s="46"/>
      <c r="J28" s="46">
        <v>8021872.2538215155</v>
      </c>
      <c r="K28" s="159"/>
      <c r="L28" s="102"/>
      <c r="O28" s="7"/>
      <c r="P28" s="7"/>
    </row>
    <row r="29" spans="2:16">
      <c r="B29" s="32"/>
      <c r="C29" s="4"/>
      <c r="D29" s="36"/>
      <c r="E29" s="33"/>
      <c r="F29" s="1" t="s">
        <v>432</v>
      </c>
      <c r="G29" s="1"/>
      <c r="H29" s="46">
        <f ca="1">'Fixed Assets Schedule'!AJ9</f>
        <v>-7391691.0712135099</v>
      </c>
      <c r="I29" s="46"/>
      <c r="J29" s="46">
        <v>-7330464.2758595459</v>
      </c>
      <c r="K29" s="159"/>
      <c r="L29" s="102"/>
    </row>
    <row r="30" spans="2:16">
      <c r="B30" s="32"/>
      <c r="C30" s="4"/>
      <c r="D30" s="36" t="s">
        <v>435</v>
      </c>
      <c r="E30" s="33">
        <v>3</v>
      </c>
      <c r="F30" s="1" t="s">
        <v>431</v>
      </c>
      <c r="G30" s="1"/>
      <c r="H30" s="46">
        <f>'Fixed Assets Schedule'!AI10</f>
        <v>10270487.754532691</v>
      </c>
      <c r="I30" s="46"/>
      <c r="J30" s="46">
        <v>9529612.0645103268</v>
      </c>
      <c r="K30" s="159"/>
      <c r="L30" s="102"/>
      <c r="O30" s="7"/>
      <c r="P30" s="7"/>
    </row>
    <row r="31" spans="2:16">
      <c r="B31" s="32"/>
      <c r="C31" s="4"/>
      <c r="D31" s="36"/>
      <c r="E31" s="33"/>
      <c r="F31" s="1" t="s">
        <v>432</v>
      </c>
      <c r="G31" s="1"/>
      <c r="H31" s="46">
        <f ca="1">'Fixed Assets Schedule'!AJ10</f>
        <v>-9086211.5001440644</v>
      </c>
      <c r="I31" s="46"/>
      <c r="J31" s="46">
        <v>-8988300.7544701863</v>
      </c>
      <c r="K31" s="159"/>
      <c r="L31" s="102"/>
    </row>
    <row r="32" spans="2:16">
      <c r="B32" s="32"/>
      <c r="C32" s="4"/>
      <c r="D32" s="36" t="s">
        <v>437</v>
      </c>
      <c r="E32" s="33">
        <v>4</v>
      </c>
      <c r="F32" s="1" t="s">
        <v>431</v>
      </c>
      <c r="G32" s="1"/>
      <c r="H32" s="46">
        <f>'Fixed Assets Schedule'!AI11</f>
        <v>7109342.557515203</v>
      </c>
      <c r="I32" s="46"/>
      <c r="J32" s="46">
        <v>6612412.5575304478</v>
      </c>
      <c r="K32" s="159"/>
      <c r="L32" s="102"/>
      <c r="O32" s="7"/>
      <c r="P32" s="7"/>
    </row>
    <row r="33" spans="2:18">
      <c r="B33" s="32"/>
      <c r="C33" s="4"/>
      <c r="D33" s="36"/>
      <c r="E33" s="33"/>
      <c r="F33" s="1" t="s">
        <v>432</v>
      </c>
      <c r="G33" s="1"/>
      <c r="H33" s="46">
        <f ca="1">'Fixed Assets Schedule'!AJ11</f>
        <v>-6066856.4448584281</v>
      </c>
      <c r="I33" s="46"/>
      <c r="J33" s="46">
        <v>-5944492.948470708</v>
      </c>
      <c r="K33" s="159"/>
      <c r="L33" s="102"/>
    </row>
    <row r="34" spans="2:18">
      <c r="B34" s="32"/>
      <c r="C34" s="4"/>
      <c r="D34" s="36" t="s">
        <v>436</v>
      </c>
      <c r="E34" s="33">
        <v>5</v>
      </c>
      <c r="F34" s="1" t="s">
        <v>431</v>
      </c>
      <c r="G34" s="1"/>
      <c r="H34" s="46">
        <f>'Fixed Assets Schedule'!AI12</f>
        <v>4234617.633472926</v>
      </c>
      <c r="I34" s="46"/>
      <c r="J34" s="46">
        <v>4234617.633472926</v>
      </c>
      <c r="K34" s="159"/>
      <c r="L34" s="102"/>
      <c r="O34" s="7"/>
      <c r="P34" s="7"/>
    </row>
    <row r="35" spans="2:18">
      <c r="B35" s="32"/>
      <c r="C35" s="4"/>
      <c r="D35" s="1"/>
      <c r="E35" s="33"/>
      <c r="F35" s="1" t="s">
        <v>432</v>
      </c>
      <c r="G35" s="1"/>
      <c r="H35" s="46">
        <f ca="1">'Fixed Assets Schedule'!AJ12</f>
        <v>-2256114.1644955385</v>
      </c>
      <c r="I35" s="46"/>
      <c r="J35" s="46">
        <v>-2185254.44350773</v>
      </c>
      <c r="K35" s="159"/>
      <c r="L35" s="102"/>
    </row>
    <row r="36" spans="2:18">
      <c r="B36" s="32"/>
      <c r="C36" s="4"/>
      <c r="D36" s="1"/>
      <c r="E36" s="33"/>
      <c r="F36" s="1"/>
      <c r="G36" s="1"/>
      <c r="H36" s="46"/>
      <c r="I36" s="46"/>
      <c r="J36" s="46"/>
      <c r="K36" s="159"/>
      <c r="L36" s="102"/>
    </row>
    <row r="37" spans="2:18">
      <c r="B37" s="32"/>
      <c r="C37" s="4"/>
      <c r="D37" s="35" t="s">
        <v>451</v>
      </c>
      <c r="E37" s="33"/>
      <c r="F37" s="1"/>
      <c r="G37" s="1"/>
      <c r="H37" s="47">
        <f>SUM(H38:H45)</f>
        <v>287509.61724625243</v>
      </c>
      <c r="I37" s="46"/>
      <c r="J37" s="47">
        <v>771113.83063219092</v>
      </c>
      <c r="K37" s="157"/>
      <c r="L37" s="102"/>
    </row>
    <row r="38" spans="2:18">
      <c r="B38" s="32"/>
      <c r="C38" s="4"/>
      <c r="D38" s="28" t="s">
        <v>420</v>
      </c>
      <c r="E38" s="33">
        <v>6</v>
      </c>
      <c r="F38" s="1" t="s">
        <v>431</v>
      </c>
      <c r="G38" s="1"/>
      <c r="H38" s="46">
        <f>'Fixed Assets Schedule'!AI19</f>
        <v>87203.981358534176</v>
      </c>
      <c r="I38" s="46"/>
      <c r="J38" s="46">
        <v>87203.981358534176</v>
      </c>
      <c r="K38" s="159"/>
      <c r="L38" s="102"/>
      <c r="O38" s="7"/>
      <c r="P38" s="7"/>
    </row>
    <row r="39" spans="2:18">
      <c r="B39" s="32"/>
      <c r="C39" s="4"/>
      <c r="D39" s="35"/>
      <c r="E39" s="33"/>
      <c r="F39" s="1" t="s">
        <v>432</v>
      </c>
      <c r="G39" s="1"/>
      <c r="H39" s="46">
        <f>'Fixed Assets Schedule'!AJ19</f>
        <v>-44051.558257629695</v>
      </c>
      <c r="I39" s="46"/>
      <c r="J39" s="46">
        <v>-43301.196572336296</v>
      </c>
      <c r="K39" s="159"/>
      <c r="L39" s="102"/>
    </row>
    <row r="40" spans="2:18">
      <c r="B40" s="32"/>
      <c r="C40" s="4"/>
      <c r="D40" s="36" t="s">
        <v>450</v>
      </c>
      <c r="E40" s="33">
        <v>7</v>
      </c>
      <c r="F40" s="1" t="s">
        <v>431</v>
      </c>
      <c r="G40" s="1"/>
      <c r="H40" s="46">
        <f>'Fixed Assets Schedule'!AI21</f>
        <v>163523.00684343639</v>
      </c>
      <c r="I40" s="46"/>
      <c r="J40" s="46">
        <v>163523.00684343639</v>
      </c>
      <c r="K40" s="159"/>
      <c r="L40" s="102"/>
      <c r="O40" s="7"/>
      <c r="P40" s="7"/>
    </row>
    <row r="41" spans="2:18">
      <c r="B41" s="32"/>
      <c r="C41" s="4"/>
      <c r="D41" s="1"/>
      <c r="E41" s="33"/>
      <c r="F41" s="1" t="s">
        <v>432</v>
      </c>
      <c r="G41" s="1"/>
      <c r="H41" s="46">
        <f>'Fixed Assets Schedule'!AJ21</f>
        <v>-139651.56862416287</v>
      </c>
      <c r="I41" s="46"/>
      <c r="J41" s="46">
        <v>-137686.90173288799</v>
      </c>
      <c r="K41" s="159"/>
      <c r="L41" s="102"/>
    </row>
    <row r="42" spans="2:18">
      <c r="B42" s="32"/>
      <c r="C42" s="4"/>
      <c r="D42" s="36" t="s">
        <v>451</v>
      </c>
      <c r="E42" s="33">
        <v>8</v>
      </c>
      <c r="F42" s="1" t="s">
        <v>431</v>
      </c>
      <c r="G42" s="1"/>
      <c r="H42" s="46">
        <f>'Fixed Assets Schedule'!AI20</f>
        <v>82876.122977573221</v>
      </c>
      <c r="I42" s="46"/>
      <c r="J42" s="46">
        <v>82876.122977573221</v>
      </c>
      <c r="K42" s="159"/>
      <c r="L42" s="102"/>
      <c r="O42" s="7"/>
      <c r="P42" s="7"/>
    </row>
    <row r="43" spans="2:18">
      <c r="B43" s="32"/>
      <c r="C43" s="4"/>
      <c r="D43" s="35"/>
      <c r="E43" s="33"/>
      <c r="F43" s="1" t="s">
        <v>432</v>
      </c>
      <c r="G43" s="1"/>
      <c r="H43" s="46">
        <f>'Fixed Assets Schedule'!AJ20</f>
        <v>-46747.827982626914</v>
      </c>
      <c r="I43" s="46"/>
      <c r="J43" s="46">
        <v>-46410.845527984304</v>
      </c>
      <c r="K43" s="159"/>
      <c r="L43" s="102"/>
    </row>
    <row r="44" spans="2:18">
      <c r="B44" s="32"/>
      <c r="C44" s="4"/>
      <c r="D44" s="36" t="s">
        <v>482</v>
      </c>
      <c r="E44" s="33">
        <v>9</v>
      </c>
      <c r="F44" s="1" t="s">
        <v>431</v>
      </c>
      <c r="G44" s="1"/>
      <c r="H44" s="46">
        <f>'Fixed Assets Schedule'!AI22</f>
        <v>184357.46093112812</v>
      </c>
      <c r="I44" s="46"/>
      <c r="J44" s="46">
        <v>664909.66328585567</v>
      </c>
      <c r="K44" s="159"/>
      <c r="L44" s="102"/>
      <c r="O44" s="7"/>
      <c r="P44" s="7"/>
      <c r="R44" s="7"/>
    </row>
    <row r="45" spans="2:18">
      <c r="B45" s="32"/>
      <c r="C45" s="4"/>
      <c r="D45" s="35"/>
      <c r="E45" s="33"/>
      <c r="F45" s="1" t="s">
        <v>432</v>
      </c>
      <c r="G45" s="1"/>
      <c r="H45" s="46">
        <f>'Fixed Assets Schedule'!AJ22</f>
        <v>0</v>
      </c>
      <c r="I45" s="46"/>
      <c r="J45" s="46">
        <v>0</v>
      </c>
      <c r="K45" s="159"/>
      <c r="L45" s="102"/>
    </row>
    <row r="46" spans="2:18" ht="15.75" thickBot="1">
      <c r="B46" s="32"/>
      <c r="C46" s="4"/>
      <c r="D46" s="1"/>
      <c r="E46" s="33"/>
      <c r="F46" s="1"/>
      <c r="G46" s="1"/>
      <c r="H46" s="46"/>
      <c r="I46" s="46"/>
      <c r="J46" s="46"/>
      <c r="K46" s="159"/>
      <c r="L46" s="102"/>
    </row>
    <row r="47" spans="2:18">
      <c r="B47" s="32"/>
      <c r="C47" s="5"/>
      <c r="D47" s="2"/>
      <c r="E47" s="97" t="s">
        <v>504</v>
      </c>
      <c r="F47" s="160" t="s">
        <v>462</v>
      </c>
      <c r="G47" s="160"/>
      <c r="H47" s="161">
        <f ca="1">H24+H10</f>
        <v>40017670.373210438</v>
      </c>
      <c r="I47" s="162"/>
      <c r="J47" s="163">
        <v>40940230.893183537</v>
      </c>
      <c r="K47" s="164"/>
      <c r="L47" s="102"/>
    </row>
    <row r="48" spans="2:18">
      <c r="B48" s="32"/>
      <c r="C48" s="1"/>
      <c r="D48" s="1"/>
      <c r="E48" s="33"/>
      <c r="F48" s="1"/>
      <c r="G48" s="1"/>
      <c r="H48" s="21"/>
      <c r="I48" s="21"/>
      <c r="J48" s="21"/>
      <c r="K48" s="21"/>
      <c r="L48" s="102"/>
    </row>
    <row r="49" spans="2:16">
      <c r="B49" s="32"/>
      <c r="C49" s="152" t="s">
        <v>478</v>
      </c>
      <c r="D49" s="140"/>
      <c r="E49" s="33"/>
      <c r="F49" s="1"/>
      <c r="G49" s="1"/>
      <c r="H49" s="21"/>
      <c r="I49" s="21"/>
      <c r="J49" s="52"/>
      <c r="K49" s="52"/>
      <c r="L49" s="102"/>
    </row>
    <row r="50" spans="2:16">
      <c r="B50" s="32"/>
      <c r="C50" s="6"/>
      <c r="D50" s="3"/>
      <c r="E50" s="118"/>
      <c r="F50" s="3"/>
      <c r="G50" s="3"/>
      <c r="H50" s="150"/>
      <c r="I50" s="150"/>
      <c r="J50" s="153"/>
      <c r="K50" s="154"/>
      <c r="L50" s="102"/>
    </row>
    <row r="51" spans="2:16">
      <c r="B51" s="32"/>
      <c r="C51" s="4"/>
      <c r="D51" s="42" t="s">
        <v>424</v>
      </c>
      <c r="E51" s="53"/>
      <c r="F51" s="54"/>
      <c r="G51" s="54"/>
      <c r="H51" s="55">
        <f>SUM(H52:H62)</f>
        <v>17174851.565728381</v>
      </c>
      <c r="I51" s="56"/>
      <c r="J51" s="55">
        <v>15972958.053255761</v>
      </c>
      <c r="K51" s="157"/>
      <c r="L51" s="102"/>
    </row>
    <row r="52" spans="2:16">
      <c r="B52" s="32"/>
      <c r="C52" s="4"/>
      <c r="D52" s="1"/>
      <c r="E52" s="61">
        <v>1</v>
      </c>
      <c r="F52" s="52" t="s">
        <v>438</v>
      </c>
      <c r="G52" s="52"/>
      <c r="H52" s="46">
        <f>(SUMIF('Trial Balance'!$E$9:$E$976,SoFP!F52,'Trial Balance'!$G$9:$G$976)/655.957)*-1</f>
        <v>0</v>
      </c>
      <c r="I52" s="46"/>
      <c r="J52" s="46">
        <v>0</v>
      </c>
      <c r="K52" s="159"/>
      <c r="L52" s="102"/>
    </row>
    <row r="53" spans="2:16">
      <c r="B53" s="32"/>
      <c r="C53" s="4"/>
      <c r="D53" s="1"/>
      <c r="E53" s="61">
        <v>2</v>
      </c>
      <c r="F53" s="52" t="s">
        <v>412</v>
      </c>
      <c r="G53" s="52"/>
      <c r="H53" s="46">
        <f>(SUMIF('Trial Balance'!$E$9:$E$976,SoFP!F53,'Trial Balance'!$G$9:$G$976)/655.957)*-1</f>
        <v>12133218.529568249</v>
      </c>
      <c r="I53" s="110"/>
      <c r="J53" s="110">
        <v>12478166.610006448</v>
      </c>
      <c r="K53" s="159"/>
      <c r="L53" s="102"/>
      <c r="O53" s="7"/>
      <c r="P53" s="7"/>
    </row>
    <row r="54" spans="2:16">
      <c r="B54" s="32"/>
      <c r="C54" s="4"/>
      <c r="D54" s="1"/>
      <c r="E54" s="61">
        <v>3</v>
      </c>
      <c r="F54" s="52" t="s">
        <v>411</v>
      </c>
      <c r="G54" s="52"/>
      <c r="H54" s="46">
        <f>(SUMIF('Trial Balance'!$E$9:$E$976,SoFP!F54,'Trial Balance'!$G$9:$G$976)/655.957)*-1</f>
        <v>1454460.1643095508</v>
      </c>
      <c r="I54" s="110"/>
      <c r="J54" s="110">
        <v>1380155.3333526435</v>
      </c>
      <c r="K54" s="159"/>
      <c r="L54" s="102"/>
      <c r="O54" s="7"/>
      <c r="P54" s="7"/>
    </row>
    <row r="55" spans="2:16">
      <c r="B55" s="32"/>
      <c r="C55" s="4"/>
      <c r="D55" s="1"/>
      <c r="E55" s="61">
        <v>4</v>
      </c>
      <c r="F55" s="52" t="s">
        <v>463</v>
      </c>
      <c r="G55" s="52"/>
      <c r="H55" s="46">
        <f>(SUMIF('Trial Balance'!$E$9:$E$976,SoFP!F55,'Trial Balance'!$G$9:$G$976)/655.957)*-1</f>
        <v>0</v>
      </c>
      <c r="I55" s="110"/>
      <c r="J55" s="110">
        <v>0</v>
      </c>
      <c r="K55" s="159"/>
      <c r="L55" s="102"/>
    </row>
    <row r="56" spans="2:16">
      <c r="B56" s="32"/>
      <c r="C56" s="4"/>
      <c r="D56" s="1"/>
      <c r="E56" s="61">
        <v>5</v>
      </c>
      <c r="F56" s="52" t="s">
        <v>404</v>
      </c>
      <c r="G56" s="52"/>
      <c r="H56" s="110">
        <v>52692</v>
      </c>
      <c r="I56" s="110"/>
      <c r="J56" s="110">
        <v>47919</v>
      </c>
      <c r="K56" s="159"/>
      <c r="L56" s="102"/>
    </row>
    <row r="57" spans="2:16">
      <c r="B57" s="32"/>
      <c r="C57" s="4"/>
      <c r="D57" s="1"/>
      <c r="E57" s="61">
        <v>6</v>
      </c>
      <c r="F57" s="52" t="s">
        <v>416</v>
      </c>
      <c r="G57" s="52"/>
      <c r="H57" s="46">
        <f>(SUMIF('Trial Balance'!$E$9:$E$976,SoFP!F57,'Trial Balance'!$G$9:$G$976)/655.957)*-1</f>
        <v>1115722.5885233332</v>
      </c>
      <c r="I57" s="110"/>
      <c r="J57" s="110">
        <v>948191.33723704447</v>
      </c>
      <c r="K57" s="159"/>
      <c r="L57" s="102"/>
      <c r="O57" s="7"/>
      <c r="P57" s="7"/>
    </row>
    <row r="58" spans="2:16">
      <c r="B58" s="32"/>
      <c r="C58" s="4"/>
      <c r="D58" s="1"/>
      <c r="E58" s="61">
        <v>7</v>
      </c>
      <c r="F58" s="52" t="s">
        <v>417</v>
      </c>
      <c r="G58" s="52"/>
      <c r="H58" s="46">
        <f>(SUMIF('Trial Balance'!$E$9:$E$976,SoFP!F58,'Trial Balance'!$G$9:$G$976)/655.957)*-1</f>
        <v>521468.62980347796</v>
      </c>
      <c r="I58" s="110"/>
      <c r="J58" s="110">
        <v>616392.7483051481</v>
      </c>
      <c r="K58" s="159"/>
      <c r="L58" s="102"/>
      <c r="O58" s="7"/>
      <c r="P58" s="7"/>
    </row>
    <row r="59" spans="2:16">
      <c r="B59" s="32"/>
      <c r="C59" s="4"/>
      <c r="D59" s="1"/>
      <c r="E59" s="61">
        <v>8</v>
      </c>
      <c r="F59" s="52" t="s">
        <v>464</v>
      </c>
      <c r="G59" s="52"/>
      <c r="H59" s="46">
        <f>(SUMIF('Trial Balance'!$E$9:$E$976,SoFP!F59,'Trial Balance'!$G$9:$G$976)/655.957)*-1</f>
        <v>0</v>
      </c>
      <c r="I59" s="110"/>
      <c r="J59" s="110">
        <v>0</v>
      </c>
      <c r="K59" s="159"/>
      <c r="L59" s="102"/>
    </row>
    <row r="60" spans="2:16">
      <c r="B60" s="32"/>
      <c r="C60" s="4"/>
      <c r="D60" s="1"/>
      <c r="E60" s="61">
        <v>9</v>
      </c>
      <c r="F60" s="52" t="s">
        <v>405</v>
      </c>
      <c r="G60" s="52"/>
      <c r="H60" s="46">
        <f>(SUMIF('Trial Balance'!$E$9:$E$976,SoFP!F60,'Trial Balance'!$G$9:$G$976)/655.957)*-1</f>
        <v>217299.41444332479</v>
      </c>
      <c r="I60" s="110"/>
      <c r="J60" s="110">
        <v>217248.34402255027</v>
      </c>
      <c r="K60" s="159"/>
      <c r="L60" s="102"/>
    </row>
    <row r="61" spans="2:16">
      <c r="B61" s="32"/>
      <c r="C61" s="4"/>
      <c r="D61" s="1"/>
      <c r="E61" s="61"/>
      <c r="F61" s="52"/>
      <c r="G61" s="52"/>
      <c r="H61" s="110"/>
      <c r="I61" s="110"/>
      <c r="J61" s="110"/>
      <c r="K61" s="159"/>
      <c r="L61" s="102"/>
      <c r="O61" s="7"/>
      <c r="P61" s="7"/>
    </row>
    <row r="62" spans="2:16">
      <c r="B62" s="32"/>
      <c r="C62" s="4"/>
      <c r="D62" s="1" t="s">
        <v>452</v>
      </c>
      <c r="E62" s="61">
        <v>10</v>
      </c>
      <c r="F62" s="52"/>
      <c r="G62" s="52"/>
      <c r="H62" s="112">
        <f>SUM(H63:H70)</f>
        <v>1679990.2390804428</v>
      </c>
      <c r="I62" s="110"/>
      <c r="J62" s="112">
        <v>284884.68033192726</v>
      </c>
      <c r="K62" s="157"/>
      <c r="L62" s="102"/>
    </row>
    <row r="63" spans="2:16">
      <c r="B63" s="32"/>
      <c r="C63" s="4"/>
      <c r="D63" s="3"/>
      <c r="E63" s="33" t="s">
        <v>467</v>
      </c>
      <c r="F63" s="62" t="s">
        <v>453</v>
      </c>
      <c r="G63" s="62"/>
      <c r="H63" s="111"/>
      <c r="I63" s="110"/>
      <c r="J63" s="110"/>
      <c r="K63" s="157"/>
      <c r="L63" s="102"/>
    </row>
    <row r="64" spans="2:16">
      <c r="B64" s="32"/>
      <c r="C64" s="4"/>
      <c r="D64" s="1"/>
      <c r="E64" s="33"/>
      <c r="F64" s="62" t="s">
        <v>454</v>
      </c>
      <c r="G64" s="62"/>
      <c r="H64" s="111"/>
      <c r="I64" s="110"/>
      <c r="J64" s="110"/>
      <c r="K64" s="157"/>
      <c r="L64" s="102"/>
    </row>
    <row r="65" spans="2:12">
      <c r="B65" s="32"/>
      <c r="C65" s="4"/>
      <c r="D65" s="1"/>
      <c r="E65" s="33" t="s">
        <v>468</v>
      </c>
      <c r="F65" s="62" t="s">
        <v>455</v>
      </c>
      <c r="G65" s="62"/>
      <c r="H65" s="111"/>
      <c r="I65" s="110"/>
      <c r="J65" s="110"/>
      <c r="K65" s="157"/>
      <c r="L65" s="102"/>
    </row>
    <row r="66" spans="2:12">
      <c r="B66" s="32"/>
      <c r="C66" s="4"/>
      <c r="D66" s="1"/>
      <c r="E66" s="33"/>
      <c r="F66" s="62" t="s">
        <v>456</v>
      </c>
      <c r="G66" s="62"/>
      <c r="H66" s="111"/>
      <c r="I66" s="110"/>
      <c r="J66" s="110"/>
      <c r="K66" s="157"/>
      <c r="L66" s="102"/>
    </row>
    <row r="67" spans="2:12">
      <c r="B67" s="32"/>
      <c r="C67" s="4"/>
      <c r="D67" s="1"/>
      <c r="E67" s="33" t="s">
        <v>470</v>
      </c>
      <c r="F67" s="62" t="s">
        <v>457</v>
      </c>
      <c r="G67" s="62"/>
      <c r="H67" s="111">
        <f>'Trial Balance'!G17/655.957*-1</f>
        <v>1680416.6690804427</v>
      </c>
      <c r="I67" s="110"/>
      <c r="J67" s="110">
        <v>285311.11033192725</v>
      </c>
      <c r="K67" s="157"/>
      <c r="L67" s="102"/>
    </row>
    <row r="68" spans="2:12">
      <c r="B68" s="32"/>
      <c r="C68" s="4"/>
      <c r="D68" s="1"/>
      <c r="E68" s="33"/>
      <c r="F68" s="62" t="s">
        <v>458</v>
      </c>
      <c r="G68" s="63"/>
      <c r="H68" s="249">
        <f>'Vessel Loan Schedule'!E90*-1</f>
        <v>-426.43</v>
      </c>
      <c r="I68" s="110"/>
      <c r="J68" s="110">
        <v>-426.43</v>
      </c>
      <c r="K68" s="157"/>
      <c r="L68" s="102"/>
    </row>
    <row r="69" spans="2:12">
      <c r="B69" s="32"/>
      <c r="C69" s="4"/>
      <c r="D69" s="1"/>
      <c r="E69" s="33" t="s">
        <v>469</v>
      </c>
      <c r="F69" s="62" t="s">
        <v>465</v>
      </c>
      <c r="G69" s="62"/>
      <c r="H69" s="110"/>
      <c r="I69" s="110"/>
      <c r="J69" s="110"/>
      <c r="K69" s="157"/>
      <c r="L69" s="102"/>
    </row>
    <row r="70" spans="2:12">
      <c r="B70" s="32"/>
      <c r="C70" s="4"/>
      <c r="D70" s="1"/>
      <c r="E70" s="33"/>
      <c r="F70" s="62" t="s">
        <v>461</v>
      </c>
      <c r="G70" s="62"/>
      <c r="H70" s="110"/>
      <c r="I70" s="110"/>
      <c r="J70" s="110"/>
      <c r="K70" s="157"/>
      <c r="L70" s="102"/>
    </row>
    <row r="71" spans="2:12">
      <c r="B71" s="32"/>
      <c r="C71" s="4"/>
      <c r="D71" s="1"/>
      <c r="E71" s="33"/>
      <c r="F71" s="1"/>
      <c r="G71" s="1"/>
      <c r="H71" s="111"/>
      <c r="I71" s="110"/>
      <c r="J71" s="110"/>
      <c r="K71" s="157"/>
      <c r="L71" s="102"/>
    </row>
    <row r="72" spans="2:12">
      <c r="B72" s="32"/>
      <c r="C72" s="4"/>
      <c r="D72" s="42" t="s">
        <v>428</v>
      </c>
      <c r="E72" s="53"/>
      <c r="F72" s="54"/>
      <c r="G72" s="54"/>
      <c r="H72" s="55">
        <f>SUM(H73:H76)</f>
        <v>253415.14124705287</v>
      </c>
      <c r="I72" s="56"/>
      <c r="J72" s="55">
        <v>1644240.2899955683</v>
      </c>
      <c r="K72" s="157"/>
      <c r="L72" s="102"/>
    </row>
    <row r="73" spans="2:12">
      <c r="B73" s="32"/>
      <c r="C73" s="4"/>
      <c r="D73" s="1"/>
      <c r="E73" s="33">
        <v>1</v>
      </c>
      <c r="F73" s="62" t="s">
        <v>459</v>
      </c>
      <c r="G73" s="62"/>
      <c r="H73" s="49"/>
      <c r="I73" s="46"/>
      <c r="J73" s="46"/>
      <c r="K73" s="157"/>
      <c r="L73" s="102"/>
    </row>
    <row r="74" spans="2:12">
      <c r="B74" s="32"/>
      <c r="C74" s="4"/>
      <c r="D74" s="64"/>
      <c r="E74" s="33"/>
      <c r="F74" s="62" t="s">
        <v>458</v>
      </c>
      <c r="G74" s="62"/>
      <c r="H74" s="49"/>
      <c r="I74" s="46"/>
      <c r="J74" s="46"/>
      <c r="K74" s="157"/>
      <c r="L74" s="102"/>
    </row>
    <row r="75" spans="2:12">
      <c r="B75" s="32"/>
      <c r="C75" s="4"/>
      <c r="D75" s="1"/>
      <c r="E75" s="33">
        <v>2</v>
      </c>
      <c r="F75" s="62" t="s">
        <v>460</v>
      </c>
      <c r="G75" s="62"/>
      <c r="H75" s="49">
        <f>'Trial Balance'!G16/655.957*-1</f>
        <v>285311.11033192725</v>
      </c>
      <c r="I75" s="46"/>
      <c r="J75" s="46">
        <v>1680416.6690804427</v>
      </c>
      <c r="K75" s="157"/>
      <c r="L75" s="102"/>
    </row>
    <row r="76" spans="2:12">
      <c r="B76" s="32"/>
      <c r="C76" s="4"/>
      <c r="D76" s="1"/>
      <c r="E76" s="33"/>
      <c r="F76" s="62" t="s">
        <v>461</v>
      </c>
      <c r="G76" s="62"/>
      <c r="H76" s="46">
        <f>'Vessel Loan Schedule'!M67*-1</f>
        <v>-31895.969084874381</v>
      </c>
      <c r="I76" s="46"/>
      <c r="J76" s="46">
        <v>-36176.379084874381</v>
      </c>
      <c r="K76" s="157"/>
      <c r="L76" s="102"/>
    </row>
    <row r="77" spans="2:12" ht="2.4500000000000002" customHeight="1" thickBot="1">
      <c r="B77" s="32"/>
      <c r="C77" s="4"/>
      <c r="D77" s="1"/>
      <c r="E77" s="33"/>
      <c r="F77" s="62"/>
      <c r="G77" s="62"/>
      <c r="H77" s="49"/>
      <c r="I77" s="46"/>
      <c r="J77" s="46"/>
      <c r="K77" s="157"/>
      <c r="L77" s="102"/>
    </row>
    <row r="78" spans="2:12">
      <c r="B78" s="32"/>
      <c r="C78" s="5"/>
      <c r="D78" s="2"/>
      <c r="E78" s="97" t="s">
        <v>505</v>
      </c>
      <c r="F78" s="160" t="s">
        <v>466</v>
      </c>
      <c r="G78" s="160"/>
      <c r="H78" s="161">
        <f>H51+H72</f>
        <v>17428266.706975434</v>
      </c>
      <c r="I78" s="162"/>
      <c r="J78" s="161">
        <v>17617198.343251329</v>
      </c>
      <c r="K78" s="164"/>
      <c r="L78" s="102"/>
    </row>
    <row r="79" spans="2:12">
      <c r="B79" s="32"/>
      <c r="C79" s="1"/>
      <c r="D79" s="1"/>
      <c r="E79" s="33"/>
      <c r="F79" s="1"/>
      <c r="G79" s="1"/>
      <c r="H79" s="1"/>
      <c r="I79" s="52"/>
      <c r="J79" s="52"/>
      <c r="K79" s="52"/>
      <c r="L79" s="102"/>
    </row>
    <row r="80" spans="2:12">
      <c r="B80" s="32"/>
      <c r="C80" s="42" t="s">
        <v>472</v>
      </c>
      <c r="D80" s="140"/>
      <c r="E80" s="33"/>
      <c r="F80" s="1"/>
      <c r="G80" s="1"/>
      <c r="H80" s="1"/>
      <c r="I80" s="52"/>
      <c r="J80" s="52"/>
      <c r="K80" s="52"/>
      <c r="L80" s="102"/>
    </row>
    <row r="81" spans="2:24" s="13" customFormat="1" ht="2.1" customHeight="1">
      <c r="B81" s="104"/>
      <c r="C81" s="66"/>
      <c r="D81" s="52"/>
      <c r="E81" s="61"/>
      <c r="F81" s="52"/>
      <c r="G81" s="52"/>
      <c r="H81" s="52"/>
      <c r="I81" s="52"/>
      <c r="J81" s="52"/>
      <c r="K81" s="52"/>
      <c r="L81" s="40"/>
      <c r="V81"/>
      <c r="W81" s="16"/>
      <c r="X81" s="16"/>
    </row>
    <row r="82" spans="2:24">
      <c r="B82" s="32"/>
      <c r="C82" s="6"/>
      <c r="D82" s="3"/>
      <c r="E82" s="118"/>
      <c r="F82" s="3"/>
      <c r="G82" s="3"/>
      <c r="H82" s="3"/>
      <c r="I82" s="153"/>
      <c r="J82" s="153"/>
      <c r="K82" s="154"/>
      <c r="L82" s="102"/>
    </row>
    <row r="83" spans="2:24">
      <c r="B83" s="32"/>
      <c r="C83" s="4"/>
      <c r="D83" s="27" t="s">
        <v>426</v>
      </c>
      <c r="E83" s="33"/>
      <c r="F83" s="1"/>
      <c r="G83" s="1"/>
      <c r="H83" s="48">
        <f>H84</f>
        <v>22867.352585611556</v>
      </c>
      <c r="I83" s="46"/>
      <c r="J83" s="47">
        <v>22867.352585611556</v>
      </c>
      <c r="K83" s="157"/>
      <c r="L83" s="102"/>
    </row>
    <row r="84" spans="2:24">
      <c r="B84" s="32"/>
      <c r="C84" s="4"/>
      <c r="D84" s="1"/>
      <c r="E84" s="33">
        <v>1</v>
      </c>
      <c r="F84" s="1" t="s">
        <v>402</v>
      </c>
      <c r="G84" s="1"/>
      <c r="H84" s="46">
        <f>(SUMIF('Trial Balance'!$E$9:$E$976,SoFP!F84,'Trial Balance'!$G$9:$G$976)/655.957)*-1</f>
        <v>22867.352585611556</v>
      </c>
      <c r="I84" s="46"/>
      <c r="J84" s="46">
        <v>22867.352585611556</v>
      </c>
      <c r="K84" s="157"/>
      <c r="L84" s="102"/>
    </row>
    <row r="85" spans="2:24">
      <c r="B85" s="32"/>
      <c r="C85" s="4"/>
      <c r="D85" s="1"/>
      <c r="E85" s="33"/>
      <c r="F85" s="1"/>
      <c r="G85" s="1"/>
      <c r="H85" s="46"/>
      <c r="I85" s="46"/>
      <c r="J85" s="46"/>
      <c r="K85" s="157"/>
      <c r="L85" s="102"/>
    </row>
    <row r="86" spans="2:24">
      <c r="B86" s="32"/>
      <c r="C86" s="4"/>
      <c r="D86" s="34" t="s">
        <v>427</v>
      </c>
      <c r="E86" s="33"/>
      <c r="F86" s="1"/>
      <c r="G86" s="1"/>
      <c r="H86" s="48">
        <f ca="1">SUM(H87:H88)</f>
        <v>22566536.390717685</v>
      </c>
      <c r="I86" s="46"/>
      <c r="J86" s="48">
        <v>23300165.494454667</v>
      </c>
      <c r="K86" s="157"/>
      <c r="L86" s="102"/>
    </row>
    <row r="87" spans="2:24">
      <c r="B87" s="32"/>
      <c r="C87" s="4"/>
      <c r="D87" s="3"/>
      <c r="E87" s="33">
        <v>2</v>
      </c>
      <c r="F87" t="s">
        <v>403</v>
      </c>
      <c r="G87" s="1"/>
      <c r="H87" s="46">
        <f>J86</f>
        <v>23300165.494454667</v>
      </c>
      <c r="I87" s="46"/>
      <c r="J87" s="46">
        <v>23820879.58441788</v>
      </c>
      <c r="K87" s="157"/>
      <c r="L87" s="102"/>
    </row>
    <row r="88" spans="2:24">
      <c r="B88" s="32"/>
      <c r="C88" s="4"/>
      <c r="D88" s="1"/>
      <c r="E88" s="33">
        <v>3</v>
      </c>
      <c r="F88" s="1" t="s">
        <v>471</v>
      </c>
      <c r="G88" s="1"/>
      <c r="H88" s="46">
        <f ca="1">SoCI!F53</f>
        <v>-733629.10373698315</v>
      </c>
      <c r="I88" s="46"/>
      <c r="J88" s="46">
        <v>-520714.08996321383</v>
      </c>
      <c r="K88" s="157"/>
      <c r="L88" s="102"/>
    </row>
    <row r="89" spans="2:24" ht="15.75" thickBot="1">
      <c r="B89" s="32"/>
      <c r="C89" s="4"/>
      <c r="D89" s="1"/>
      <c r="E89" s="33"/>
      <c r="F89" s="1"/>
      <c r="G89" s="1"/>
      <c r="H89" s="49"/>
      <c r="I89" s="46"/>
      <c r="J89" s="46"/>
      <c r="K89" s="157"/>
      <c r="L89" s="102"/>
    </row>
    <row r="90" spans="2:24">
      <c r="B90" s="32"/>
      <c r="C90" s="5"/>
      <c r="D90" s="2"/>
      <c r="E90" s="97" t="s">
        <v>508</v>
      </c>
      <c r="F90" s="160" t="s">
        <v>473</v>
      </c>
      <c r="G90" s="2"/>
      <c r="H90" s="161">
        <f ca="1">H83+H86</f>
        <v>22589403.743303295</v>
      </c>
      <c r="I90" s="165"/>
      <c r="J90" s="161">
        <v>23323032.847040277</v>
      </c>
      <c r="K90" s="93"/>
      <c r="L90" s="102"/>
    </row>
    <row r="91" spans="2:24" ht="15.75" thickBot="1">
      <c r="B91" s="32"/>
      <c r="C91" s="1"/>
      <c r="D91" s="1"/>
      <c r="E91" s="33"/>
      <c r="F91" s="1"/>
      <c r="G91" s="1"/>
      <c r="H91" s="1"/>
      <c r="I91" s="52"/>
      <c r="J91" s="52"/>
      <c r="K91" s="52"/>
      <c r="L91" s="102"/>
    </row>
    <row r="92" spans="2:24" ht="15.75" thickBot="1">
      <c r="B92" s="32"/>
      <c r="C92" s="1"/>
      <c r="D92" s="1"/>
      <c r="E92" s="33"/>
      <c r="F92" s="43" t="s">
        <v>484</v>
      </c>
      <c r="G92" s="38"/>
      <c r="H92" s="51">
        <f ca="1">H78+H90</f>
        <v>40017670.450278729</v>
      </c>
      <c r="I92" s="65"/>
      <c r="J92" s="51">
        <v>40940231.190291606</v>
      </c>
      <c r="K92" s="52"/>
      <c r="L92" s="102"/>
    </row>
    <row r="93" spans="2:24">
      <c r="B93" s="32"/>
      <c r="C93" s="1"/>
      <c r="D93" s="1"/>
      <c r="E93" s="33"/>
      <c r="F93" s="1"/>
      <c r="G93" s="1"/>
      <c r="H93" s="1"/>
      <c r="I93" s="52"/>
      <c r="J93" s="52"/>
      <c r="K93" s="52"/>
      <c r="L93" s="102"/>
    </row>
    <row r="94" spans="2:24">
      <c r="B94" s="32"/>
      <c r="C94" s="84" t="s">
        <v>479</v>
      </c>
      <c r="D94" s="85"/>
      <c r="E94" s="33"/>
      <c r="F94" s="1"/>
      <c r="G94" s="1"/>
      <c r="H94" s="1"/>
      <c r="I94" s="52"/>
      <c r="J94" s="52"/>
      <c r="K94" s="52"/>
      <c r="L94" s="102"/>
    </row>
    <row r="95" spans="2:24" ht="3.6" customHeight="1" thickBot="1">
      <c r="B95" s="32"/>
      <c r="C95" s="1"/>
      <c r="D95" s="1"/>
      <c r="E95" s="33"/>
      <c r="F95" s="1"/>
      <c r="G95" s="1"/>
      <c r="H95" s="1"/>
      <c r="I95" s="52"/>
      <c r="J95" s="52"/>
      <c r="K95" s="52"/>
      <c r="L95" s="102"/>
    </row>
    <row r="96" spans="2:24">
      <c r="B96" s="32"/>
      <c r="C96" s="67"/>
      <c r="D96" s="82" t="s">
        <v>474</v>
      </c>
      <c r="E96" s="69"/>
      <c r="F96" s="94" t="s">
        <v>483</v>
      </c>
      <c r="G96" s="68"/>
      <c r="H96" s="83">
        <f ca="1">IFERROR(H78/H90,"-")</f>
        <v>0.77152398111181231</v>
      </c>
      <c r="I96" s="70"/>
      <c r="J96" s="83">
        <v>0.75535623770675153</v>
      </c>
      <c r="K96" s="71"/>
      <c r="L96" s="102"/>
    </row>
    <row r="97" spans="2:12">
      <c r="B97" s="32"/>
      <c r="C97" s="72"/>
      <c r="D97" s="34" t="s">
        <v>475</v>
      </c>
      <c r="E97" s="33"/>
      <c r="F97" s="95" t="s">
        <v>480</v>
      </c>
      <c r="G97" s="1"/>
      <c r="H97" s="74">
        <f ca="1">IFERROR(H88/((H90+J90)/2),"-")</f>
        <v>-3.1957750806511628E-2</v>
      </c>
      <c r="I97" s="52"/>
      <c r="J97" s="74">
        <v>-2.212024909571397E-2</v>
      </c>
      <c r="K97" s="73"/>
      <c r="L97" s="102"/>
    </row>
    <row r="98" spans="2:12" ht="15.75" thickBot="1">
      <c r="B98" s="32"/>
      <c r="C98" s="75"/>
      <c r="D98" s="76" t="s">
        <v>476</v>
      </c>
      <c r="E98" s="77"/>
      <c r="F98" s="96" t="s">
        <v>481</v>
      </c>
      <c r="G98" s="78"/>
      <c r="H98" s="79">
        <f ca="1">IFERROR(H88/H47,"-")</f>
        <v>-1.8332628983522895E-2</v>
      </c>
      <c r="I98" s="80"/>
      <c r="J98" s="79">
        <v>-1.2718885033203651E-2</v>
      </c>
      <c r="K98" s="81"/>
      <c r="L98" s="102"/>
    </row>
    <row r="99" spans="2:12" ht="15.75" thickBot="1">
      <c r="B99" s="37"/>
      <c r="C99" s="38"/>
      <c r="D99" s="38"/>
      <c r="E99" s="39"/>
      <c r="F99" s="38"/>
      <c r="G99" s="38"/>
      <c r="H99" s="166"/>
      <c r="I99" s="65"/>
      <c r="J99" s="65"/>
      <c r="K99" s="65"/>
      <c r="L99" s="109"/>
    </row>
    <row r="102" spans="2:12">
      <c r="F102" t="s">
        <v>109</v>
      </c>
      <c r="H102" s="235">
        <f ca="1">ROUND(H47-H92,0)</f>
        <v>0</v>
      </c>
    </row>
    <row r="103" spans="2:12">
      <c r="H103" s="234"/>
      <c r="J103" s="315"/>
    </row>
    <row r="104" spans="2:12">
      <c r="H104" s="234"/>
    </row>
    <row r="105" spans="2:12">
      <c r="H105" s="234"/>
      <c r="J105" s="315"/>
    </row>
  </sheetData>
  <sortState ref="V1:X234">
    <sortCondition ref="V1:V234"/>
  </sortState>
  <pageMargins left="0.7" right="0.7" top="0.75" bottom="0.75" header="0.3" footer="0.3"/>
  <pageSetup paperSize="9"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58"/>
  <sheetViews>
    <sheetView view="pageBreakPreview" zoomScale="60" zoomScaleNormal="67" workbookViewId="0">
      <selection activeCell="R31" sqref="R31"/>
    </sheetView>
  </sheetViews>
  <sheetFormatPr baseColWidth="10" defaultRowHeight="15"/>
  <cols>
    <col min="2" max="2" width="1.140625" customWidth="1"/>
    <col min="3" max="3" width="43.140625" bestFit="1" customWidth="1"/>
    <col min="4" max="4" width="5.28515625" style="8" customWidth="1"/>
    <col min="5" max="5" width="43.140625" customWidth="1"/>
    <col min="6" max="6" width="18.7109375" customWidth="1"/>
    <col min="7" max="7" width="1.7109375" customWidth="1"/>
    <col min="8" max="8" width="18.28515625" customWidth="1"/>
    <col min="9" max="9" width="4" customWidth="1"/>
    <col min="11" max="11" width="13.85546875" bestFit="1" customWidth="1"/>
  </cols>
  <sheetData>
    <row r="1" spans="2:11" ht="15.75" thickBot="1"/>
    <row r="2" spans="2:11">
      <c r="B2" s="29"/>
      <c r="C2" s="30"/>
      <c r="D2" s="31"/>
      <c r="E2" s="30"/>
      <c r="F2" s="30"/>
      <c r="G2" s="30"/>
      <c r="H2" s="30"/>
      <c r="I2" s="100"/>
    </row>
    <row r="3" spans="2:11">
      <c r="B3" s="32"/>
      <c r="C3" s="117" t="s">
        <v>513</v>
      </c>
      <c r="D3" s="118"/>
      <c r="E3" s="3"/>
      <c r="F3" s="18" t="s">
        <v>578</v>
      </c>
      <c r="G3" s="53"/>
      <c r="H3" s="18" t="s">
        <v>578</v>
      </c>
      <c r="I3" s="102"/>
    </row>
    <row r="4" spans="2:11">
      <c r="B4" s="32"/>
      <c r="C4" s="119"/>
      <c r="D4" s="120"/>
      <c r="E4" s="2"/>
      <c r="F4" s="97" t="s">
        <v>1784</v>
      </c>
      <c r="G4" s="53"/>
      <c r="H4" s="97" t="s">
        <v>579</v>
      </c>
      <c r="I4" s="102"/>
    </row>
    <row r="5" spans="2:11">
      <c r="B5" s="32"/>
      <c r="C5" s="1"/>
      <c r="D5" s="33"/>
      <c r="E5" s="1"/>
      <c r="F5" s="53"/>
      <c r="G5" s="53"/>
      <c r="H5" s="53"/>
      <c r="I5" s="102"/>
    </row>
    <row r="6" spans="2:11">
      <c r="B6" s="32"/>
      <c r="C6" s="1"/>
      <c r="D6" s="33"/>
      <c r="E6" s="1"/>
      <c r="F6" s="53"/>
      <c r="G6" s="53"/>
      <c r="H6" s="53"/>
      <c r="I6" s="102"/>
    </row>
    <row r="7" spans="2:11">
      <c r="B7" s="32"/>
      <c r="C7" s="42" t="s">
        <v>488</v>
      </c>
      <c r="D7" s="53"/>
      <c r="E7" s="54"/>
      <c r="F7" s="55">
        <f>SUM(F9:F12)</f>
        <v>2769992.8227002681</v>
      </c>
      <c r="G7" s="56"/>
      <c r="H7" s="55">
        <f>SUM(H9:H12)</f>
        <v>4930920</v>
      </c>
      <c r="I7" s="114"/>
    </row>
    <row r="8" spans="2:11">
      <c r="B8" s="32"/>
      <c r="C8" s="54"/>
      <c r="D8" s="53"/>
      <c r="E8" s="54"/>
      <c r="F8" s="20"/>
      <c r="G8" s="20"/>
      <c r="H8" s="20"/>
      <c r="I8" s="114"/>
    </row>
    <row r="9" spans="2:11">
      <c r="B9" s="32"/>
      <c r="C9" s="1"/>
      <c r="D9" s="33">
        <v>1</v>
      </c>
      <c r="E9" s="34" t="s">
        <v>493</v>
      </c>
      <c r="F9" s="20">
        <f>'Trial Balance'!P568*-1</f>
        <v>-137015.75865491183</v>
      </c>
      <c r="G9" s="20"/>
      <c r="H9" s="20">
        <v>2623417</v>
      </c>
      <c r="I9" s="114"/>
    </row>
    <row r="10" spans="2:11">
      <c r="B10" s="32"/>
      <c r="C10" s="1"/>
      <c r="D10" s="33">
        <v>2</v>
      </c>
      <c r="E10" s="34" t="s">
        <v>490</v>
      </c>
      <c r="F10" s="20">
        <f>'Trial Balance'!P567*-1</f>
        <v>2907008.5813551801</v>
      </c>
      <c r="G10" s="20"/>
      <c r="H10" s="20">
        <v>2307503</v>
      </c>
      <c r="I10" s="114"/>
    </row>
    <row r="11" spans="2:11">
      <c r="B11" s="32"/>
      <c r="C11" s="1"/>
      <c r="D11" s="33">
        <v>3</v>
      </c>
      <c r="E11" s="34" t="s">
        <v>491</v>
      </c>
      <c r="F11" s="20">
        <f>SUMIF('Trial Balance'!$E$9:$E$543,SoCI!E11,'Trial Balance'!$G$9:$G$543)/655.957</f>
        <v>0</v>
      </c>
      <c r="G11" s="20"/>
      <c r="H11" s="20">
        <v>0</v>
      </c>
      <c r="I11" s="114"/>
    </row>
    <row r="12" spans="2:11">
      <c r="B12" s="32"/>
      <c r="C12" s="1"/>
      <c r="D12" s="33">
        <v>4</v>
      </c>
      <c r="E12" s="34" t="s">
        <v>492</v>
      </c>
      <c r="F12" s="20">
        <f>SUMIF('Trial Balance'!$E$9:$E$543,SoCI!E12,'Trial Balance'!$G$9:$G$543)/655.957</f>
        <v>0</v>
      </c>
      <c r="G12" s="20"/>
      <c r="H12" s="20">
        <v>0</v>
      </c>
      <c r="I12" s="114"/>
    </row>
    <row r="13" spans="2:11" ht="2.25" customHeight="1">
      <c r="B13" s="32"/>
      <c r="C13" s="1"/>
      <c r="D13" s="33"/>
      <c r="E13" s="1"/>
      <c r="F13" s="20"/>
      <c r="G13" s="20"/>
      <c r="H13" s="20"/>
      <c r="I13" s="114"/>
    </row>
    <row r="14" spans="2:11">
      <c r="B14" s="32"/>
      <c r="C14" s="42" t="s">
        <v>489</v>
      </c>
      <c r="D14" s="53"/>
      <c r="E14" s="54"/>
      <c r="F14" s="55">
        <f>SUM(F16:F22)</f>
        <v>3173401.2305684672</v>
      </c>
      <c r="G14" s="56"/>
      <c r="H14" s="55">
        <f>SUM(H16:H22)</f>
        <v>4220388.4431449017</v>
      </c>
      <c r="I14" s="114"/>
      <c r="K14" s="7"/>
    </row>
    <row r="15" spans="2:11">
      <c r="B15" s="32"/>
      <c r="C15" s="1"/>
      <c r="D15" s="33"/>
      <c r="E15" s="1"/>
      <c r="F15" s="20"/>
      <c r="G15" s="20"/>
      <c r="H15" s="20"/>
      <c r="I15" s="114"/>
      <c r="K15" s="7"/>
    </row>
    <row r="16" spans="2:11">
      <c r="B16" s="32"/>
      <c r="C16" s="1"/>
      <c r="D16" s="33">
        <v>1</v>
      </c>
      <c r="E16" s="34" t="s">
        <v>494</v>
      </c>
      <c r="F16" s="20">
        <f>('FC02'!L9+'FC03'!L9+'FC04'!K9+'FC05'!K9+'FC06'!K9)/655.957</f>
        <v>1711491.4270295156</v>
      </c>
      <c r="G16" s="20"/>
      <c r="H16" s="20">
        <v>972523.68219258275</v>
      </c>
      <c r="I16" s="114"/>
      <c r="K16" s="7"/>
    </row>
    <row r="17" spans="2:11">
      <c r="B17" s="32"/>
      <c r="C17" s="1"/>
      <c r="D17" s="33">
        <v>2</v>
      </c>
      <c r="E17" s="34" t="s">
        <v>495</v>
      </c>
      <c r="F17" s="20">
        <f>('FC02'!L15+'FC03'!L15+'FC04'!K15+'FC05'!K15+'FC06'!K15)/655.957</f>
        <v>1003323.8504962978</v>
      </c>
      <c r="G17" s="20"/>
      <c r="H17" s="20">
        <v>315052.17567614949</v>
      </c>
      <c r="I17" s="114"/>
      <c r="K17" s="7"/>
    </row>
    <row r="18" spans="2:11">
      <c r="B18" s="32"/>
      <c r="C18" s="1"/>
      <c r="D18" s="33">
        <v>3</v>
      </c>
      <c r="E18" s="34" t="s">
        <v>496</v>
      </c>
      <c r="F18" s="20">
        <f>('FC02'!L32+'FC03'!L32+'FC04'!K32+'FC05'!K32+'FC06'!K32)/655.957</f>
        <v>7055.9625097376811</v>
      </c>
      <c r="G18" s="20"/>
      <c r="H18" s="20">
        <v>303401.42112973868</v>
      </c>
      <c r="I18" s="114"/>
      <c r="K18" s="7"/>
    </row>
    <row r="19" spans="2:11">
      <c r="B19" s="32"/>
      <c r="C19" s="1"/>
      <c r="D19" s="33">
        <v>4</v>
      </c>
      <c r="E19" s="34" t="s">
        <v>497</v>
      </c>
      <c r="F19" s="20">
        <f>(('FC02'!L19-'FC02'!L27)+('FC03'!L19-'FC03'!L27)+('FC04'!K19-'FC04'!K27)+('FC05'!K19-'FC05'!K27)+('FC06'!K19-'FC06'!K27))/655.957</f>
        <v>721773.62845430418</v>
      </c>
      <c r="G19" s="20"/>
      <c r="H19" s="20">
        <v>761615.56778874225</v>
      </c>
      <c r="I19" s="114"/>
      <c r="K19" s="7"/>
    </row>
    <row r="20" spans="2:11">
      <c r="B20" s="32"/>
      <c r="C20" s="1"/>
      <c r="D20" s="33">
        <v>5</v>
      </c>
      <c r="E20" s="34" t="s">
        <v>439</v>
      </c>
      <c r="F20" s="20">
        <f>('FC02'!L27+'FC03'!L27+'FC04'!K27+'FC05'!K27+'FC06'!K27)/655.957</f>
        <v>391210.96047454333</v>
      </c>
      <c r="G20" s="20"/>
      <c r="H20" s="20">
        <v>328304.98340592446</v>
      </c>
      <c r="I20" s="114"/>
      <c r="K20" s="7"/>
    </row>
    <row r="21" spans="2:11">
      <c r="B21" s="32"/>
      <c r="C21" s="1"/>
      <c r="D21" s="33">
        <v>6</v>
      </c>
      <c r="E21" s="34" t="s">
        <v>498</v>
      </c>
      <c r="F21" s="20">
        <f>('FC02'!L28+'FC03'!L28+'FC04'!K28+'FC05'!K28+'FC06'!K28)/655.957</f>
        <v>0</v>
      </c>
      <c r="G21" s="20"/>
      <c r="H21" s="20">
        <v>0</v>
      </c>
      <c r="I21" s="114"/>
      <c r="K21" s="7"/>
    </row>
    <row r="22" spans="2:11">
      <c r="B22" s="32"/>
      <c r="C22" s="1"/>
      <c r="D22" s="33">
        <v>7</v>
      </c>
      <c r="E22" s="34" t="s">
        <v>499</v>
      </c>
      <c r="F22" s="20">
        <f>(SUM('Trial Balance'!G583:G587)/655.957)</f>
        <v>-661454.59839593142</v>
      </c>
      <c r="G22" s="20"/>
      <c r="H22" s="20">
        <v>1539490.6129517637</v>
      </c>
      <c r="I22" s="114"/>
      <c r="K22" s="7"/>
    </row>
    <row r="23" spans="2:11" ht="3.75" customHeight="1">
      <c r="B23" s="32"/>
      <c r="C23" s="1"/>
      <c r="D23" s="33"/>
      <c r="E23" s="1"/>
      <c r="F23" s="20"/>
      <c r="G23" s="20"/>
      <c r="H23" s="20"/>
      <c r="I23" s="114"/>
      <c r="K23" s="7"/>
    </row>
    <row r="24" spans="2:11">
      <c r="B24" s="32"/>
      <c r="C24" s="42" t="s">
        <v>500</v>
      </c>
      <c r="D24" s="53" t="s">
        <v>504</v>
      </c>
      <c r="E24" s="54"/>
      <c r="F24" s="55">
        <f>F7-F14</f>
        <v>-403408.40786819905</v>
      </c>
      <c r="G24" s="56"/>
      <c r="H24" s="55">
        <f>H7-H14</f>
        <v>710531.55685509834</v>
      </c>
      <c r="I24" s="114"/>
      <c r="K24" s="7"/>
    </row>
    <row r="25" spans="2:11" ht="3.75" customHeight="1">
      <c r="B25" s="32"/>
      <c r="C25" s="1"/>
      <c r="D25" s="33"/>
      <c r="E25" s="1"/>
      <c r="F25" s="20"/>
      <c r="G25" s="20"/>
      <c r="H25" s="20"/>
      <c r="I25" s="114"/>
      <c r="K25" s="7"/>
    </row>
    <row r="26" spans="2:11">
      <c r="B26" s="32"/>
      <c r="C26" s="42" t="s">
        <v>180</v>
      </c>
      <c r="D26" s="53"/>
      <c r="E26" s="54"/>
      <c r="F26" s="55">
        <f ca="1">SUM(F28:F31)</f>
        <v>321928.59288032597</v>
      </c>
      <c r="G26" s="56"/>
      <c r="H26" s="55">
        <f>SUM(H28:H31)</f>
        <v>96870.192710802687</v>
      </c>
      <c r="I26" s="114"/>
    </row>
    <row r="27" spans="2:11">
      <c r="B27" s="32"/>
      <c r="C27" s="1"/>
      <c r="D27" s="33"/>
      <c r="E27" s="1"/>
      <c r="F27" s="20"/>
      <c r="G27" s="20"/>
      <c r="H27" s="20"/>
      <c r="I27" s="114"/>
    </row>
    <row r="28" spans="2:11">
      <c r="B28" s="32"/>
      <c r="C28" s="1"/>
      <c r="D28" s="33">
        <v>1</v>
      </c>
      <c r="E28" s="34" t="s">
        <v>155</v>
      </c>
      <c r="F28" s="20">
        <f ca="1">'Net Income'!H42</f>
        <v>26739.633847950401</v>
      </c>
      <c r="G28" s="20"/>
      <c r="H28" s="20">
        <v>28593.962714019366</v>
      </c>
      <c r="I28" s="114"/>
    </row>
    <row r="29" spans="2:11">
      <c r="B29" s="32"/>
      <c r="C29" s="1"/>
      <c r="D29" s="33">
        <v>2</v>
      </c>
      <c r="E29" s="34" t="s">
        <v>501</v>
      </c>
      <c r="F29" s="20">
        <f ca="1">'Net Income'!H43</f>
        <v>0</v>
      </c>
      <c r="G29" s="20"/>
      <c r="H29" s="20">
        <v>0</v>
      </c>
      <c r="I29" s="114"/>
    </row>
    <row r="30" spans="2:11">
      <c r="B30" s="32"/>
      <c r="C30" s="1"/>
      <c r="D30" s="33">
        <v>3</v>
      </c>
      <c r="E30" s="34" t="s">
        <v>1809</v>
      </c>
      <c r="F30" s="20">
        <f ca="1">'Net Income'!H45</f>
        <v>194664.95059889596</v>
      </c>
      <c r="G30" s="20"/>
      <c r="H30" s="20"/>
      <c r="I30" s="114"/>
    </row>
    <row r="31" spans="2:11">
      <c r="B31" s="32"/>
      <c r="C31" s="1"/>
      <c r="D31" s="33">
        <v>3</v>
      </c>
      <c r="E31" s="34" t="s">
        <v>497</v>
      </c>
      <c r="F31" s="20">
        <f ca="1">'SA10'!L14/655.957</f>
        <v>100524.00843347964</v>
      </c>
      <c r="G31" s="20"/>
      <c r="H31" s="20">
        <v>68276.229996783324</v>
      </c>
      <c r="I31" s="114"/>
    </row>
    <row r="32" spans="2:11" ht="3.75" customHeight="1">
      <c r="B32" s="32"/>
      <c r="C32" s="1"/>
      <c r="D32" s="33"/>
      <c r="E32" s="1"/>
      <c r="F32" s="20"/>
      <c r="G32" s="20"/>
      <c r="H32" s="20"/>
      <c r="I32" s="114"/>
    </row>
    <row r="33" spans="2:9">
      <c r="B33" s="32"/>
      <c r="C33" s="42" t="s">
        <v>502</v>
      </c>
      <c r="D33" s="53" t="s">
        <v>505</v>
      </c>
      <c r="E33" s="54"/>
      <c r="F33" s="55">
        <f ca="1">F24-F26</f>
        <v>-725337.00074852502</v>
      </c>
      <c r="G33" s="56"/>
      <c r="H33" s="55">
        <f>H24-H26</f>
        <v>613661.36414429569</v>
      </c>
      <c r="I33" s="114"/>
    </row>
    <row r="34" spans="2:9" ht="4.5" customHeight="1">
      <c r="B34" s="32"/>
      <c r="C34" s="1"/>
      <c r="D34" s="33"/>
      <c r="E34" s="1"/>
      <c r="F34" s="20"/>
      <c r="G34" s="20"/>
      <c r="H34" s="20"/>
      <c r="I34" s="114"/>
    </row>
    <row r="35" spans="2:9">
      <c r="B35" s="32"/>
      <c r="C35" s="42" t="s">
        <v>503</v>
      </c>
      <c r="D35" s="53"/>
      <c r="E35" s="54"/>
      <c r="F35" s="55">
        <f>SUM(F37:F40)</f>
        <v>3377.0673992350107</v>
      </c>
      <c r="G35" s="56"/>
      <c r="H35" s="55">
        <f>SUM(H37:H40)</f>
        <v>464.96950257410168</v>
      </c>
      <c r="I35" s="114"/>
    </row>
    <row r="36" spans="2:9" s="13" customFormat="1">
      <c r="B36" s="104"/>
      <c r="C36" s="66"/>
      <c r="D36" s="115"/>
      <c r="E36" s="66"/>
      <c r="F36" s="56"/>
      <c r="G36" s="56"/>
      <c r="H36" s="56"/>
      <c r="I36" s="41"/>
    </row>
    <row r="37" spans="2:9">
      <c r="B37" s="32"/>
      <c r="C37" s="1"/>
      <c r="D37" s="33">
        <v>1</v>
      </c>
      <c r="E37" s="34" t="s">
        <v>138</v>
      </c>
      <c r="F37" s="20">
        <f>'SA10'!L18/655.957</f>
        <v>482.99050090173591</v>
      </c>
      <c r="G37" s="20"/>
      <c r="H37" s="20">
        <v>464.96950257410168</v>
      </c>
      <c r="I37" s="114"/>
    </row>
    <row r="38" spans="2:9">
      <c r="B38" s="32"/>
      <c r="C38" s="1"/>
      <c r="D38" s="33">
        <v>2</v>
      </c>
      <c r="E38" s="34" t="s">
        <v>139</v>
      </c>
      <c r="F38" s="20">
        <f>'SA10'!N19</f>
        <v>2229.7025567224682</v>
      </c>
      <c r="G38" s="20"/>
      <c r="H38" s="20">
        <v>0</v>
      </c>
      <c r="I38" s="114"/>
    </row>
    <row r="39" spans="2:9">
      <c r="B39" s="32"/>
      <c r="C39" s="1"/>
      <c r="D39" s="33">
        <v>3</v>
      </c>
      <c r="E39" s="34" t="s">
        <v>140</v>
      </c>
      <c r="F39" s="20">
        <f>'SA10'!N20</f>
        <v>664.37434161080682</v>
      </c>
      <c r="G39" s="20"/>
      <c r="H39" s="20">
        <v>0</v>
      </c>
      <c r="I39" s="114"/>
    </row>
    <row r="40" spans="2:9">
      <c r="B40" s="32"/>
      <c r="C40" s="1"/>
      <c r="D40" s="33">
        <v>4</v>
      </c>
      <c r="E40" s="34" t="s">
        <v>141</v>
      </c>
      <c r="F40" s="20">
        <v>0</v>
      </c>
      <c r="G40" s="20"/>
      <c r="H40" s="20">
        <v>0</v>
      </c>
      <c r="I40" s="114"/>
    </row>
    <row r="41" spans="2:9">
      <c r="B41" s="32"/>
      <c r="C41" s="1"/>
      <c r="D41" s="33"/>
      <c r="E41" s="34"/>
      <c r="F41" s="20"/>
      <c r="G41" s="20"/>
      <c r="H41" s="20"/>
      <c r="I41" s="114"/>
    </row>
    <row r="42" spans="2:9">
      <c r="B42" s="32"/>
      <c r="C42" s="42" t="s">
        <v>506</v>
      </c>
      <c r="D42" s="53"/>
      <c r="E42" s="121"/>
      <c r="F42" s="55">
        <f ca="1">SUM(F44:F47)</f>
        <v>11669.170387693097</v>
      </c>
      <c r="G42" s="56"/>
      <c r="H42" s="55">
        <f>SUM(H44:H47)</f>
        <v>6513.3019389990504</v>
      </c>
      <c r="I42" s="114"/>
    </row>
    <row r="43" spans="2:9" s="13" customFormat="1">
      <c r="B43" s="104"/>
      <c r="C43" s="66"/>
      <c r="D43" s="115"/>
      <c r="E43" s="122"/>
      <c r="F43" s="56"/>
      <c r="G43" s="56"/>
      <c r="H43" s="56"/>
      <c r="I43" s="41"/>
    </row>
    <row r="44" spans="2:9">
      <c r="B44" s="32"/>
      <c r="C44" s="1"/>
      <c r="D44" s="33">
        <v>1</v>
      </c>
      <c r="E44" s="34" t="s">
        <v>142</v>
      </c>
      <c r="F44" s="20">
        <f ca="1">('SA10'!L24)/655.957</f>
        <v>0</v>
      </c>
      <c r="G44" s="20"/>
      <c r="H44" s="20">
        <v>0</v>
      </c>
      <c r="I44" s="114"/>
    </row>
    <row r="45" spans="2:9">
      <c r="B45" s="32"/>
      <c r="C45" s="1"/>
      <c r="D45" s="33">
        <v>2</v>
      </c>
      <c r="E45" s="34" t="s">
        <v>128</v>
      </c>
      <c r="F45" s="20">
        <f ca="1">('SA10'!L25)/655.957</f>
        <v>2615.5601662913882</v>
      </c>
      <c r="G45" s="20"/>
      <c r="H45" s="20">
        <v>1171.6027117631186</v>
      </c>
      <c r="I45" s="114"/>
    </row>
    <row r="46" spans="2:9">
      <c r="B46" s="32"/>
      <c r="C46" s="1"/>
      <c r="D46" s="33">
        <v>3</v>
      </c>
      <c r="E46" s="34" t="s">
        <v>156</v>
      </c>
      <c r="F46" s="20">
        <f>('FC02'!L34+'FC03'!L34+'FC04'!K34+'FC05'!K34+'FC06'!K34)/655.957</f>
        <v>9053.6102214017083</v>
      </c>
      <c r="G46" s="20"/>
      <c r="H46" s="20">
        <v>5341.6992272359321</v>
      </c>
      <c r="I46" s="114"/>
    </row>
    <row r="47" spans="2:9">
      <c r="B47" s="32"/>
      <c r="C47" s="1"/>
      <c r="D47" s="33">
        <v>4</v>
      </c>
      <c r="E47" s="34" t="s">
        <v>143</v>
      </c>
      <c r="F47" s="20">
        <f ca="1">('SA10'!L27)/655.957</f>
        <v>0</v>
      </c>
      <c r="G47" s="20"/>
      <c r="H47" s="20">
        <v>0</v>
      </c>
      <c r="I47" s="114"/>
    </row>
    <row r="48" spans="2:9">
      <c r="B48" s="32"/>
      <c r="C48" s="1"/>
      <c r="D48" s="33"/>
      <c r="E48" s="1"/>
      <c r="F48" s="20"/>
      <c r="G48" s="20"/>
      <c r="H48" s="20"/>
      <c r="I48" s="114"/>
    </row>
    <row r="49" spans="2:9">
      <c r="B49" s="32"/>
      <c r="C49" s="42" t="s">
        <v>507</v>
      </c>
      <c r="D49" s="53" t="s">
        <v>508</v>
      </c>
      <c r="E49" s="54"/>
      <c r="F49" s="55">
        <f ca="1">F33+F35-F42</f>
        <v>-733629.10373698315</v>
      </c>
      <c r="G49" s="56"/>
      <c r="H49" s="55">
        <f>H33+H35-H42</f>
        <v>607613.03170787066</v>
      </c>
      <c r="I49" s="114"/>
    </row>
    <row r="50" spans="2:9" s="13" customFormat="1" ht="4.5" customHeight="1">
      <c r="B50" s="104"/>
      <c r="C50" s="66"/>
      <c r="D50" s="115"/>
      <c r="E50" s="66"/>
      <c r="F50" s="56"/>
      <c r="G50" s="56"/>
      <c r="H50" s="56"/>
      <c r="I50" s="41"/>
    </row>
    <row r="51" spans="2:9">
      <c r="B51" s="32"/>
      <c r="C51" s="42" t="s">
        <v>509</v>
      </c>
      <c r="D51" s="53" t="s">
        <v>510</v>
      </c>
      <c r="E51" s="54"/>
      <c r="F51" s="55">
        <f ca="1">IF(F49&gt;0,F49*15%,0)</f>
        <v>0</v>
      </c>
      <c r="G51" s="56"/>
      <c r="H51" s="55">
        <f>H49*15%</f>
        <v>91141.954756180596</v>
      </c>
      <c r="I51" s="114"/>
    </row>
    <row r="52" spans="2:9" s="13" customFormat="1" ht="4.5" customHeight="1">
      <c r="B52" s="104"/>
      <c r="C52" s="66"/>
      <c r="D52" s="115"/>
      <c r="E52" s="66"/>
      <c r="F52" s="56"/>
      <c r="G52" s="56"/>
      <c r="H52" s="56"/>
      <c r="I52" s="41"/>
    </row>
    <row r="53" spans="2:9">
      <c r="B53" s="32"/>
      <c r="C53" s="42" t="s">
        <v>511</v>
      </c>
      <c r="D53" s="53" t="s">
        <v>512</v>
      </c>
      <c r="E53" s="54"/>
      <c r="F53" s="55">
        <f ca="1">(F49-F51)</f>
        <v>-733629.10373698315</v>
      </c>
      <c r="G53" s="56"/>
      <c r="H53" s="55">
        <f>H49-H51+8</f>
        <v>516479.07695169008</v>
      </c>
      <c r="I53" s="114"/>
    </row>
    <row r="54" spans="2:9" ht="15.75" thickBot="1">
      <c r="B54" s="37"/>
      <c r="C54" s="38"/>
      <c r="D54" s="39"/>
      <c r="E54" s="38"/>
      <c r="F54" s="107"/>
      <c r="G54" s="107"/>
      <c r="H54" s="107"/>
      <c r="I54" s="116"/>
    </row>
    <row r="55" spans="2:9">
      <c r="F55" s="7"/>
      <c r="G55" s="7"/>
      <c r="H55" s="7"/>
      <c r="I55" s="7"/>
    </row>
    <row r="56" spans="2:9">
      <c r="F56" s="7"/>
      <c r="G56" s="7"/>
      <c r="H56" s="7"/>
      <c r="I56" s="7"/>
    </row>
    <row r="57" spans="2:9">
      <c r="F57" s="7"/>
      <c r="G57" s="7"/>
      <c r="H57" s="7"/>
      <c r="I57" s="7"/>
    </row>
    <row r="58" spans="2:9">
      <c r="F58" s="7"/>
      <c r="G58" s="7"/>
      <c r="H58" s="7"/>
      <c r="I58" s="7"/>
    </row>
  </sheetData>
  <pageMargins left="0.7" right="0.7" top="0.75" bottom="0.75" header="0.3" footer="0.3"/>
  <pageSetup paperSize="9" scale="5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N40"/>
  <sheetViews>
    <sheetView view="pageBreakPreview" topLeftCell="B1" zoomScale="60" zoomScaleNormal="69" workbookViewId="0">
      <selection activeCell="H43" sqref="H43"/>
    </sheetView>
  </sheetViews>
  <sheetFormatPr baseColWidth="10" defaultRowHeight="15"/>
  <cols>
    <col min="3" max="3" width="51.5703125" customWidth="1"/>
    <col min="5" max="5" width="53" bestFit="1" customWidth="1"/>
    <col min="6" max="6" width="17.140625" customWidth="1"/>
    <col min="9" max="11" width="0" hidden="1" customWidth="1"/>
    <col min="12" max="13" width="13.140625" hidden="1" customWidth="1"/>
    <col min="14" max="14" width="13.28515625" hidden="1" customWidth="1"/>
  </cols>
  <sheetData>
    <row r="1" spans="2:14" ht="15.75" thickBot="1"/>
    <row r="2" spans="2:14">
      <c r="B2" s="29"/>
      <c r="C2" s="30"/>
      <c r="D2" s="31"/>
      <c r="E2" s="30"/>
      <c r="F2" s="30"/>
      <c r="G2" s="100"/>
    </row>
    <row r="3" spans="2:14">
      <c r="B3" s="32"/>
      <c r="C3" s="117" t="s">
        <v>1209</v>
      </c>
      <c r="D3" s="118"/>
      <c r="E3" s="3"/>
      <c r="F3" s="18" t="s">
        <v>578</v>
      </c>
      <c r="G3" s="284"/>
      <c r="L3" s="8" t="s">
        <v>1206</v>
      </c>
      <c r="M3" s="8" t="s">
        <v>1207</v>
      </c>
      <c r="N3" s="8" t="s">
        <v>550</v>
      </c>
    </row>
    <row r="4" spans="2:14">
      <c r="B4" s="32"/>
      <c r="C4" s="119"/>
      <c r="D4" s="120"/>
      <c r="E4" s="2"/>
      <c r="F4" s="97" t="s">
        <v>579</v>
      </c>
      <c r="G4" s="284"/>
    </row>
    <row r="5" spans="2:14">
      <c r="B5" s="32"/>
      <c r="C5" s="54"/>
      <c r="D5" s="33"/>
      <c r="E5" s="1"/>
      <c r="F5" s="53"/>
      <c r="G5" s="284"/>
    </row>
    <row r="6" spans="2:14">
      <c r="B6" s="32"/>
      <c r="C6" s="42" t="s">
        <v>471</v>
      </c>
      <c r="D6" s="33"/>
      <c r="E6" s="1"/>
      <c r="F6" s="55">
        <f ca="1">SoFP!H88</f>
        <v>-733629.10373698315</v>
      </c>
      <c r="G6" s="284"/>
    </row>
    <row r="7" spans="2:14">
      <c r="B7" s="32"/>
      <c r="C7" s="54"/>
      <c r="D7" s="33"/>
      <c r="E7" s="1"/>
      <c r="F7" s="53"/>
      <c r="G7" s="284"/>
    </row>
    <row r="8" spans="2:14">
      <c r="B8" s="32"/>
      <c r="C8" s="54"/>
      <c r="D8" s="33"/>
      <c r="E8" s="1"/>
      <c r="F8" s="53"/>
      <c r="G8" s="284"/>
    </row>
    <row r="9" spans="2:14">
      <c r="B9" s="32"/>
      <c r="C9" s="42" t="s">
        <v>1196</v>
      </c>
      <c r="D9" s="53"/>
      <c r="E9" s="54" t="s">
        <v>1210</v>
      </c>
      <c r="F9" s="55">
        <f>SUM(F11:F14)</f>
        <v>8750148.0687926188</v>
      </c>
      <c r="G9" s="285"/>
    </row>
    <row r="10" spans="2:14">
      <c r="B10" s="32"/>
      <c r="C10" s="54"/>
      <c r="D10" s="53"/>
      <c r="E10" s="54"/>
      <c r="F10" s="20"/>
      <c r="G10" s="114"/>
    </row>
    <row r="11" spans="2:14">
      <c r="B11" s="32"/>
      <c r="C11" s="1"/>
      <c r="D11" s="33">
        <v>1</v>
      </c>
      <c r="E11" s="34" t="s">
        <v>529</v>
      </c>
      <c r="F11" s="20">
        <f>N11*-1</f>
        <v>7988307.1039717495</v>
      </c>
      <c r="G11" s="114"/>
      <c r="K11" s="273">
        <v>1</v>
      </c>
      <c r="L11" s="274">
        <f>SUM(SoFP!J13:J17)</f>
        <v>25797369.391591206</v>
      </c>
      <c r="M11" s="274">
        <f>SUM(SoFP!H13:H17)</f>
        <v>17809062.287619457</v>
      </c>
      <c r="N11" s="275">
        <f>M11-L11</f>
        <v>-7988307.1039717495</v>
      </c>
    </row>
    <row r="12" spans="2:14">
      <c r="B12" s="32"/>
      <c r="C12" s="1"/>
      <c r="D12" s="33">
        <v>2</v>
      </c>
      <c r="E12" s="34" t="s">
        <v>422</v>
      </c>
      <c r="F12" s="20">
        <f>N12*-1</f>
        <v>-440052.5476517519</v>
      </c>
      <c r="G12" s="114"/>
      <c r="K12" s="276">
        <v>2</v>
      </c>
      <c r="L12" s="277">
        <f>SoFP!J19</f>
        <v>2686917.5067877923</v>
      </c>
      <c r="M12" s="277">
        <f>SoFP!H19</f>
        <v>3126970.0544395442</v>
      </c>
      <c r="N12" s="278">
        <f>M12-L12</f>
        <v>440052.5476517519</v>
      </c>
    </row>
    <row r="13" spans="2:14">
      <c r="B13" s="32"/>
      <c r="C13" s="1"/>
      <c r="D13" s="33">
        <v>3</v>
      </c>
      <c r="E13" s="34" t="s">
        <v>1197</v>
      </c>
      <c r="F13" s="20">
        <f>N13</f>
        <v>1201893.5124726202</v>
      </c>
      <c r="G13" s="114"/>
      <c r="K13" s="279">
        <v>3</v>
      </c>
      <c r="L13" s="280">
        <f>SoFP!J51</f>
        <v>15972958.053255761</v>
      </c>
      <c r="M13" s="280">
        <f>SoFP!H51</f>
        <v>17174851.565728381</v>
      </c>
      <c r="N13" s="281">
        <f>M13-L13</f>
        <v>1201893.5124726202</v>
      </c>
    </row>
    <row r="14" spans="2:14">
      <c r="B14" s="32"/>
      <c r="C14" s="1"/>
      <c r="D14" s="33"/>
      <c r="E14" s="34"/>
      <c r="F14" s="20"/>
      <c r="G14" s="114"/>
    </row>
    <row r="15" spans="2:14">
      <c r="B15" s="32"/>
      <c r="C15" s="1"/>
      <c r="D15" s="33"/>
      <c r="E15" s="1"/>
      <c r="F15" s="20"/>
      <c r="G15" s="114"/>
    </row>
    <row r="16" spans="2:14">
      <c r="B16" s="32"/>
      <c r="C16" s="42" t="s">
        <v>1198</v>
      </c>
      <c r="D16" s="53"/>
      <c r="E16" s="54" t="s">
        <v>1199</v>
      </c>
      <c r="F16" s="55">
        <f ca="1">SUM(F18:F20)</f>
        <v>-919449.90906416625</v>
      </c>
      <c r="G16" s="285"/>
    </row>
    <row r="17" spans="2:14">
      <c r="B17" s="32"/>
      <c r="C17" s="1"/>
      <c r="D17" s="33"/>
      <c r="E17" s="1"/>
      <c r="F17" s="20"/>
      <c r="G17" s="114"/>
    </row>
    <row r="18" spans="2:14">
      <c r="B18" s="32"/>
      <c r="C18" s="1"/>
      <c r="D18" s="33">
        <v>1</v>
      </c>
      <c r="E18" s="34" t="s">
        <v>1200</v>
      </c>
      <c r="F18" s="20">
        <f>N18*-1</f>
        <v>-1313712.8897168562</v>
      </c>
      <c r="G18" s="114"/>
      <c r="K18" s="273">
        <v>1</v>
      </c>
      <c r="L18" s="282">
        <f>SoFP!J26+SoFP!J28+SoFP!J30+SoFP!J32+SoFP!J34+SoFP!J38+SoFP!J40+SoFP!J42+SoFP!J44</f>
        <v>36530854.429482415</v>
      </c>
      <c r="M18" s="282">
        <f>SoFP!H26+SoFP!H28+SoFP!H30+SoFP!H32+SoFP!H34+SoFP!H38+SoFP!H40+SoFP!H42+SoFP!H44</f>
        <v>37844567.319199272</v>
      </c>
      <c r="N18" s="275">
        <f>M18-L18</f>
        <v>1313712.8897168562</v>
      </c>
    </row>
    <row r="19" spans="2:14">
      <c r="B19" s="32"/>
      <c r="C19" s="1"/>
      <c r="D19" s="33">
        <v>2</v>
      </c>
      <c r="E19" s="34" t="s">
        <v>439</v>
      </c>
      <c r="F19" s="20">
        <f ca="1">N19*-1</f>
        <v>394262.98065268993</v>
      </c>
      <c r="G19" s="114"/>
      <c r="K19" s="279">
        <v>2</v>
      </c>
      <c r="L19" s="280">
        <f>SoFP!J27+SoFP!J29+SoFP!J31+SoFP!J33+SoFP!J35+SoFP!J39+SoFP!J41+SoFP!J43</f>
        <v>-31791071.862942237</v>
      </c>
      <c r="M19" s="280">
        <f ca="1">SoFP!H27+SoFP!H29+SoFP!H31+SoFP!H33+SoFP!H35+SoFP!H39+SoFP!H41+SoFP!H43</f>
        <v>-32185334.843594927</v>
      </c>
      <c r="N19" s="281">
        <f ca="1">M19-L19</f>
        <v>-394262.98065268993</v>
      </c>
    </row>
    <row r="20" spans="2:14">
      <c r="B20" s="32"/>
      <c r="C20" s="1"/>
      <c r="D20" s="33"/>
      <c r="E20" s="34"/>
      <c r="F20" s="20"/>
      <c r="G20" s="114"/>
    </row>
    <row r="21" spans="2:14">
      <c r="B21" s="32"/>
      <c r="C21" s="1"/>
      <c r="D21" s="33"/>
      <c r="E21" s="1"/>
      <c r="F21" s="20"/>
      <c r="G21" s="114"/>
    </row>
    <row r="22" spans="2:14">
      <c r="B22" s="32"/>
      <c r="C22" s="42" t="s">
        <v>1201</v>
      </c>
      <c r="D22" s="53"/>
      <c r="E22" s="54" t="s">
        <v>1202</v>
      </c>
      <c r="F22" s="55">
        <f ca="1">SUM(F24:F25)</f>
        <v>-1390825.148748514</v>
      </c>
      <c r="G22" s="285"/>
    </row>
    <row r="23" spans="2:14">
      <c r="B23" s="32"/>
      <c r="C23" s="1"/>
      <c r="D23" s="33"/>
      <c r="E23" s="1"/>
      <c r="F23" s="20"/>
      <c r="G23" s="114"/>
    </row>
    <row r="24" spans="2:14">
      <c r="B24" s="32"/>
      <c r="C24" s="1"/>
      <c r="D24" s="33">
        <v>1</v>
      </c>
      <c r="E24" s="34" t="s">
        <v>1786</v>
      </c>
      <c r="F24" s="20">
        <f>N24</f>
        <v>-1390825.1487485154</v>
      </c>
      <c r="G24" s="114"/>
      <c r="K24" s="273">
        <v>1</v>
      </c>
      <c r="L24" s="282">
        <f>SoFP!J72</f>
        <v>1644240.2899955683</v>
      </c>
      <c r="M24" s="282">
        <f>SoFP!H72</f>
        <v>253415.14124705287</v>
      </c>
      <c r="N24" s="275">
        <f>M24-L24</f>
        <v>-1390825.1487485154</v>
      </c>
    </row>
    <row r="25" spans="2:14">
      <c r="B25" s="32"/>
      <c r="C25" s="1"/>
      <c r="D25" s="33">
        <v>2</v>
      </c>
      <c r="E25" s="34" t="s">
        <v>427</v>
      </c>
      <c r="F25" s="20">
        <f ca="1">N26-F6</f>
        <v>1.3969838619232178E-9</v>
      </c>
      <c r="G25" s="114"/>
      <c r="K25" s="276">
        <v>2</v>
      </c>
      <c r="L25" s="277">
        <f>SoFP!J62</f>
        <v>284884.68033192726</v>
      </c>
      <c r="M25" s="277">
        <f>SoFP!H62</f>
        <v>1679990.2390804428</v>
      </c>
      <c r="N25" s="278">
        <f>M25-L25</f>
        <v>1395105.5587485156</v>
      </c>
    </row>
    <row r="26" spans="2:14">
      <c r="B26" s="32"/>
      <c r="C26" s="1"/>
      <c r="D26" s="1"/>
      <c r="E26" s="1"/>
      <c r="F26" s="1"/>
      <c r="G26" s="114"/>
      <c r="K26" s="283"/>
      <c r="L26" s="280">
        <f>SoFP!J86</f>
        <v>23300165.494454667</v>
      </c>
      <c r="M26" s="280">
        <f ca="1">SoFP!H86</f>
        <v>22566536.390717685</v>
      </c>
      <c r="N26" s="281">
        <f ca="1">M26-L26</f>
        <v>-733629.10373698175</v>
      </c>
    </row>
    <row r="27" spans="2:14">
      <c r="B27" s="32"/>
      <c r="C27" s="1"/>
      <c r="D27" s="33"/>
      <c r="E27" s="1"/>
      <c r="F27" s="20"/>
      <c r="G27" s="114"/>
      <c r="L27" s="243"/>
      <c r="M27" s="243"/>
    </row>
    <row r="28" spans="2:14">
      <c r="B28" s="32"/>
      <c r="C28" s="1"/>
      <c r="D28" s="33"/>
      <c r="E28" s="1"/>
      <c r="F28" s="20"/>
      <c r="G28" s="114"/>
      <c r="L28" s="243"/>
      <c r="M28" s="243"/>
    </row>
    <row r="29" spans="2:14">
      <c r="B29" s="32"/>
      <c r="C29" s="42" t="s">
        <v>1203</v>
      </c>
      <c r="D29" s="53"/>
      <c r="E29" s="54"/>
      <c r="F29" s="55">
        <f ca="1">F6+F9+F16+F22</f>
        <v>5706243.9072429547</v>
      </c>
      <c r="G29" s="285"/>
      <c r="L29" s="243"/>
      <c r="M29" s="243"/>
    </row>
    <row r="30" spans="2:14">
      <c r="B30" s="32"/>
      <c r="C30" s="1"/>
      <c r="D30" s="33"/>
      <c r="E30" s="1"/>
      <c r="F30" s="20"/>
      <c r="G30" s="114"/>
      <c r="L30" s="243"/>
      <c r="M30" s="243"/>
    </row>
    <row r="31" spans="2:14">
      <c r="B31" s="32"/>
      <c r="C31" s="42" t="s">
        <v>1204</v>
      </c>
      <c r="D31" s="53"/>
      <c r="E31" s="54"/>
      <c r="F31" s="55">
        <f>SoFP!J12</f>
        <v>7716161.4282643525</v>
      </c>
      <c r="G31" s="285"/>
    </row>
    <row r="32" spans="2:14">
      <c r="B32" s="32"/>
      <c r="C32" s="1"/>
      <c r="D32" s="33"/>
      <c r="E32" s="34"/>
      <c r="F32" s="20"/>
      <c r="G32" s="114"/>
    </row>
    <row r="33" spans="2:8">
      <c r="B33" s="32"/>
      <c r="C33" s="42" t="s">
        <v>1205</v>
      </c>
      <c r="D33" s="53"/>
      <c r="E33" s="121"/>
      <c r="F33" s="55">
        <f ca="1">F29+F31</f>
        <v>13422405.335507307</v>
      </c>
      <c r="G33" s="285"/>
    </row>
    <row r="34" spans="2:8">
      <c r="B34" s="32"/>
      <c r="C34" s="66"/>
      <c r="D34" s="115"/>
      <c r="E34" s="122"/>
      <c r="F34" s="56"/>
      <c r="G34" s="285"/>
    </row>
    <row r="35" spans="2:8" ht="15.75" thickBot="1">
      <c r="B35" s="37"/>
      <c r="C35" s="38"/>
      <c r="D35" s="39"/>
      <c r="E35" s="38"/>
      <c r="F35" s="107"/>
      <c r="G35" s="116"/>
    </row>
    <row r="36" spans="2:8">
      <c r="F36" s="7"/>
    </row>
    <row r="37" spans="2:8">
      <c r="E37" s="288" t="s">
        <v>1208</v>
      </c>
      <c r="F37" s="235">
        <f ca="1">ROUNDDOWN(SoFP!H12-SoCF!F33,0)</f>
        <v>0</v>
      </c>
      <c r="H37" s="7"/>
    </row>
    <row r="38" spans="2:8">
      <c r="F38" s="7"/>
    </row>
    <row r="39" spans="2:8">
      <c r="F39" s="7"/>
    </row>
    <row r="40" spans="2:8">
      <c r="F40" s="7"/>
    </row>
  </sheetData>
  <pageMargins left="0.7" right="0.7" top="0.75" bottom="0.75" header="0.3" footer="0.3"/>
  <pageSetup paperSize="9" scale="5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F234"/>
  <sheetViews>
    <sheetView zoomScale="60" zoomScaleNormal="60" workbookViewId="0">
      <pane xSplit="3" ySplit="8" topLeftCell="AE180" activePane="bottomRight" state="frozen"/>
      <selection pane="topRight" activeCell="D1" sqref="D1"/>
      <selection pane="bottomLeft" activeCell="A9" sqref="A9"/>
      <selection pane="bottomRight" activeCell="AB61" sqref="AB61"/>
    </sheetView>
  </sheetViews>
  <sheetFormatPr baseColWidth="10" defaultRowHeight="15"/>
  <cols>
    <col min="3" max="3" width="58.7109375" bestFit="1" customWidth="1"/>
    <col min="4" max="4" width="1.5703125" style="1" customWidth="1"/>
    <col min="6" max="6" width="12.85546875" customWidth="1"/>
    <col min="7" max="7" width="1" customWidth="1"/>
    <col min="11" max="11" width="1.28515625" customWidth="1"/>
    <col min="13" max="13" width="1" customWidth="1"/>
    <col min="16" max="16" width="11.42578125" customWidth="1"/>
    <col min="17" max="17" width="1" customWidth="1"/>
    <col min="20" max="20" width="1.5703125" style="1" customWidth="1"/>
    <col min="21" max="21" width="11.42578125" style="1"/>
    <col min="22" max="22" width="12.85546875" customWidth="1"/>
    <col min="23" max="23" width="1" customWidth="1"/>
    <col min="24" max="24" width="21.28515625" customWidth="1"/>
    <col min="27" max="27" width="1.28515625" customWidth="1"/>
    <col min="29" max="29" width="1" customWidth="1"/>
    <col min="33" max="33" width="1" customWidth="1"/>
    <col min="38" max="38" width="31" bestFit="1" customWidth="1"/>
    <col min="39" max="39" width="12.85546875" customWidth="1"/>
    <col min="40" max="40" width="53.5703125" customWidth="1"/>
    <col min="41" max="41" width="0.7109375" style="1" customWidth="1"/>
    <col min="42" max="42" width="12.5703125" bestFit="1" customWidth="1"/>
  </cols>
  <sheetData>
    <row r="2" spans="2:58" ht="15.75" thickBot="1"/>
    <row r="3" spans="2:58" ht="15.75" thickBot="1">
      <c r="B3" s="29"/>
      <c r="C3" s="30"/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100"/>
      <c r="U3" s="29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100"/>
      <c r="AM3" s="29"/>
      <c r="AN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100"/>
    </row>
    <row r="4" spans="2:58" ht="15.75" thickBot="1">
      <c r="B4" s="32"/>
      <c r="C4" s="54"/>
      <c r="D4" s="54"/>
      <c r="E4" s="32"/>
      <c r="F4" s="219" t="s">
        <v>599</v>
      </c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1"/>
      <c r="S4" s="102"/>
      <c r="U4" s="32"/>
      <c r="V4" s="219" t="s">
        <v>599</v>
      </c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1"/>
      <c r="AI4" s="272">
        <v>3</v>
      </c>
      <c r="AM4" s="32"/>
      <c r="AN4" s="1"/>
      <c r="AP4" s="74">
        <v>0.19909427188015899</v>
      </c>
      <c r="AQ4" s="74"/>
      <c r="AR4" s="74"/>
      <c r="AS4" s="74">
        <v>0.18347362333334274</v>
      </c>
      <c r="AT4" s="74">
        <v>3.9861351067155777E-2</v>
      </c>
      <c r="AU4" s="74">
        <v>6.3599314675968202E-2</v>
      </c>
      <c r="AV4" s="74">
        <v>0.235795218150367</v>
      </c>
      <c r="AW4" s="74">
        <v>0.23960543929264741</v>
      </c>
      <c r="AX4" s="74">
        <v>0.19129129738462289</v>
      </c>
      <c r="AY4" s="74">
        <v>0.1750168699895929</v>
      </c>
      <c r="AZ4" s="74">
        <v>0.24215110127317735</v>
      </c>
      <c r="BA4" s="74">
        <v>0.27914552320041514</v>
      </c>
      <c r="BB4" s="74">
        <v>0.2690833273913788</v>
      </c>
      <c r="BC4" s="74">
        <v>0.13646383189512545</v>
      </c>
      <c r="BD4" s="74">
        <v>0.18990830895322922</v>
      </c>
      <c r="BE4" s="74"/>
      <c r="BF4" s="102"/>
    </row>
    <row r="5" spans="2:58">
      <c r="B5" s="32"/>
      <c r="C5" s="1"/>
      <c r="E5" s="3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2"/>
      <c r="U5" s="3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02"/>
      <c r="AM5" s="32"/>
      <c r="AN5" s="1"/>
      <c r="AP5" s="74">
        <v>0.15635485105803801</v>
      </c>
      <c r="AQ5" s="74"/>
      <c r="AR5" s="74"/>
      <c r="AS5" s="74">
        <v>0.15274517834404738</v>
      </c>
      <c r="AT5" s="74">
        <v>5.2706544766121296E-3</v>
      </c>
      <c r="AU5" s="74">
        <v>-2.8185911782786024E-2</v>
      </c>
      <c r="AV5" s="74">
        <v>0.21733799406270585</v>
      </c>
      <c r="AW5" s="74">
        <v>0.22114824944215628</v>
      </c>
      <c r="AX5" s="74">
        <v>0.10283478637767318</v>
      </c>
      <c r="AY5" s="74">
        <v>0.15355583688358732</v>
      </c>
      <c r="AZ5" s="74">
        <v>0.22446417455961643</v>
      </c>
      <c r="BA5" s="74">
        <v>0.20126470202000554</v>
      </c>
      <c r="BB5" s="74">
        <v>0.25105165733336843</v>
      </c>
      <c r="BC5" s="74">
        <v>0.11501373409926678</v>
      </c>
      <c r="BD5" s="74">
        <v>0.10651862773224043</v>
      </c>
      <c r="BE5" s="74"/>
      <c r="BF5" s="102"/>
    </row>
    <row r="6" spans="2:58" ht="15.75" thickBot="1">
      <c r="B6" s="32"/>
      <c r="C6" s="1"/>
      <c r="E6" s="32"/>
      <c r="F6" s="19" t="s">
        <v>1810</v>
      </c>
      <c r="G6" s="19"/>
      <c r="H6" s="19"/>
      <c r="I6" s="19"/>
      <c r="J6" s="19"/>
      <c r="K6" s="19"/>
      <c r="L6" s="19"/>
      <c r="M6" s="19"/>
      <c r="N6" s="19"/>
      <c r="O6" s="54"/>
      <c r="P6" s="19" t="s">
        <v>581</v>
      </c>
      <c r="Q6" s="19"/>
      <c r="R6" s="19"/>
      <c r="S6" s="102"/>
      <c r="U6" s="32"/>
      <c r="V6" s="19" t="s">
        <v>644</v>
      </c>
      <c r="W6" s="19"/>
      <c r="X6" s="19"/>
      <c r="Y6" s="19"/>
      <c r="Z6" s="19"/>
      <c r="AA6" s="19"/>
      <c r="AB6" s="19"/>
      <c r="AC6" s="19"/>
      <c r="AD6" s="19"/>
      <c r="AE6" s="54"/>
      <c r="AF6" s="19" t="s">
        <v>581</v>
      </c>
      <c r="AG6" s="19"/>
      <c r="AH6" s="19"/>
      <c r="AI6" s="102"/>
      <c r="AM6" s="32"/>
      <c r="AN6" s="1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102"/>
    </row>
    <row r="7" spans="2:58" ht="15.75" thickBot="1">
      <c r="B7" s="32"/>
      <c r="C7" s="1"/>
      <c r="E7" s="32"/>
      <c r="F7" s="97" t="s">
        <v>580</v>
      </c>
      <c r="G7" s="53"/>
      <c r="H7" s="97" t="s">
        <v>643</v>
      </c>
      <c r="I7" s="54"/>
      <c r="J7" s="97" t="s">
        <v>582</v>
      </c>
      <c r="K7" s="53"/>
      <c r="L7" s="97" t="s">
        <v>583</v>
      </c>
      <c r="M7" s="53"/>
      <c r="N7" s="97" t="s">
        <v>584</v>
      </c>
      <c r="O7" s="54"/>
      <c r="P7" s="262" t="s">
        <v>642</v>
      </c>
      <c r="Q7" s="54"/>
      <c r="R7" s="54" t="s">
        <v>582</v>
      </c>
      <c r="S7" s="102"/>
      <c r="U7" s="32"/>
      <c r="V7" s="97" t="s">
        <v>580</v>
      </c>
      <c r="W7" s="53"/>
      <c r="X7" s="97" t="s">
        <v>643</v>
      </c>
      <c r="Y7" s="54"/>
      <c r="Z7" s="97" t="s">
        <v>582</v>
      </c>
      <c r="AA7" s="53"/>
      <c r="AB7" s="97" t="s">
        <v>583</v>
      </c>
      <c r="AC7" s="53"/>
      <c r="AD7" s="97" t="s">
        <v>584</v>
      </c>
      <c r="AE7" s="54"/>
      <c r="AF7" s="262" t="s">
        <v>642</v>
      </c>
      <c r="AG7" s="54"/>
      <c r="AH7" s="54" t="s">
        <v>582</v>
      </c>
      <c r="AI7" s="102"/>
      <c r="AM7" s="32"/>
      <c r="AN7" s="1"/>
      <c r="AP7" s="254" t="s">
        <v>187</v>
      </c>
      <c r="AQ7" s="33"/>
      <c r="AR7" s="258"/>
      <c r="AS7" s="220" t="s">
        <v>638</v>
      </c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1"/>
      <c r="BE7" s="259"/>
      <c r="BF7" s="102"/>
    </row>
    <row r="8" spans="2:58">
      <c r="B8" s="32"/>
      <c r="C8" s="1"/>
      <c r="E8" s="32"/>
      <c r="F8" s="3"/>
      <c r="G8" s="1"/>
      <c r="H8" s="3"/>
      <c r="I8" s="1"/>
      <c r="J8" s="3"/>
      <c r="K8" s="1"/>
      <c r="L8" s="3"/>
      <c r="M8" s="1"/>
      <c r="N8" s="3"/>
      <c r="O8" s="1"/>
      <c r="P8" s="3"/>
      <c r="Q8" s="1"/>
      <c r="R8" s="3"/>
      <c r="S8" s="102"/>
      <c r="U8" s="32"/>
      <c r="V8" s="3"/>
      <c r="W8" s="1"/>
      <c r="X8" s="3"/>
      <c r="Y8" s="1"/>
      <c r="Z8" s="3"/>
      <c r="AA8" s="1"/>
      <c r="AB8" s="3"/>
      <c r="AC8" s="1"/>
      <c r="AD8" s="3"/>
      <c r="AE8" s="1"/>
      <c r="AF8" s="3"/>
      <c r="AG8" s="1"/>
      <c r="AH8" s="3"/>
      <c r="AI8" s="102"/>
      <c r="AM8" s="32"/>
      <c r="AN8" s="1"/>
      <c r="AP8" s="33"/>
      <c r="AQ8" s="33"/>
      <c r="AR8" s="33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2"/>
    </row>
    <row r="9" spans="2:58">
      <c r="B9" s="32"/>
      <c r="C9" s="54"/>
      <c r="D9" s="54"/>
      <c r="E9" s="185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02"/>
      <c r="U9" s="3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02"/>
      <c r="AM9" s="32"/>
      <c r="AN9" s="1"/>
      <c r="AP9" s="1"/>
      <c r="AQ9" s="1"/>
      <c r="AR9" s="6"/>
      <c r="AS9" s="18" t="s">
        <v>600</v>
      </c>
      <c r="AT9" s="18" t="s">
        <v>601</v>
      </c>
      <c r="AU9" s="18" t="s">
        <v>602</v>
      </c>
      <c r="AV9" s="18" t="s">
        <v>603</v>
      </c>
      <c r="AW9" s="18" t="s">
        <v>604</v>
      </c>
      <c r="AX9" s="18" t="s">
        <v>605</v>
      </c>
      <c r="AY9" s="18" t="s">
        <v>606</v>
      </c>
      <c r="AZ9" s="18" t="s">
        <v>607</v>
      </c>
      <c r="BA9" s="18" t="s">
        <v>608</v>
      </c>
      <c r="BB9" s="18" t="s">
        <v>609</v>
      </c>
      <c r="BC9" s="18" t="s">
        <v>610</v>
      </c>
      <c r="BD9" s="18" t="s">
        <v>611</v>
      </c>
      <c r="BE9" s="130"/>
      <c r="BF9" s="102"/>
    </row>
    <row r="10" spans="2:58">
      <c r="B10" s="32"/>
      <c r="C10" s="167" t="s">
        <v>585</v>
      </c>
      <c r="D10" s="54"/>
      <c r="E10" s="185"/>
      <c r="F10" s="207">
        <f ca="1">OFFSET(AR11,0,$AI$4)</f>
        <v>2387.9500000000003</v>
      </c>
      <c r="G10" s="1"/>
      <c r="H10" s="207">
        <f ca="1">OFFSET(AR70,0,$AI$4)</f>
        <v>1837</v>
      </c>
      <c r="I10" s="1"/>
      <c r="J10" s="1"/>
      <c r="K10" s="1"/>
      <c r="L10" s="216">
        <f ca="1">IFERROR(IF((H10/F10)&gt;0,(H10/F10),ABS(H10/F10)+100%),"")</f>
        <v>0.76927908875813977</v>
      </c>
      <c r="M10" s="215"/>
      <c r="N10" s="216">
        <f ca="1">H10/P10</f>
        <v>0.76679049964519752</v>
      </c>
      <c r="O10" s="1"/>
      <c r="P10" s="207">
        <f ca="1">OFFSET(AR129,0,3)</f>
        <v>2395.7000000000003</v>
      </c>
      <c r="Q10" s="132"/>
      <c r="R10" s="207">
        <f ca="1">H10</f>
        <v>1837</v>
      </c>
      <c r="S10" s="102"/>
      <c r="U10" s="32"/>
      <c r="V10" s="207">
        <f ca="1">SUM((AS11):OFFSET(AR11,0,$AI$4))</f>
        <v>5664.35</v>
      </c>
      <c r="W10" s="1"/>
      <c r="X10" s="207">
        <f ca="1">SUM(AS70:OFFSET(AR70,0,$AI$4))</f>
        <v>4711</v>
      </c>
      <c r="Y10" s="1"/>
      <c r="Z10" s="1"/>
      <c r="AA10" s="1"/>
      <c r="AB10" s="216">
        <f ca="1">IFERROR(IF((X10/V10)&gt;0,(X10/V10),ABS(X10/V10)+100%),"")</f>
        <v>0.83169295682646727</v>
      </c>
      <c r="AC10" s="215"/>
      <c r="AD10" s="216">
        <f ca="1">X10/AF10</f>
        <v>1.1550229030915926</v>
      </c>
      <c r="AE10" s="1"/>
      <c r="AF10" s="207">
        <f>AT129+AS129</f>
        <v>4078.7069999999999</v>
      </c>
      <c r="AG10" s="132"/>
      <c r="AH10" s="207">
        <f>AP70</f>
        <v>4711</v>
      </c>
      <c r="AI10" s="102"/>
      <c r="AM10" s="32"/>
      <c r="AN10" s="1"/>
      <c r="AP10" s="1"/>
      <c r="AQ10" s="1"/>
      <c r="AR10" s="4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257"/>
      <c r="BF10" s="102"/>
    </row>
    <row r="11" spans="2:58">
      <c r="B11" s="32"/>
      <c r="C11" s="167" t="s">
        <v>586</v>
      </c>
      <c r="D11" s="54"/>
      <c r="E11" s="185"/>
      <c r="F11" s="207">
        <f t="shared" ref="F11:F54" ca="1" si="0">OFFSET(AR12,0,$AI$4)</f>
        <v>2387.9499999999998</v>
      </c>
      <c r="G11" s="1"/>
      <c r="H11" s="207">
        <f t="shared" ref="H11:H54" ca="1" si="1">OFFSET(AR71,0,$AI$4)</f>
        <v>2036</v>
      </c>
      <c r="I11" s="1"/>
      <c r="J11" s="1"/>
      <c r="K11" s="1"/>
      <c r="L11" s="216">
        <f ca="1">IFERROR(IF((H11/F11)&gt;0,(H11/F11),ABS(H11/F11)+100%),"")</f>
        <v>0.85261416696329495</v>
      </c>
      <c r="M11" s="215"/>
      <c r="N11" s="216">
        <f ca="1">H11/P11</f>
        <v>0.81364103564195323</v>
      </c>
      <c r="O11" s="1"/>
      <c r="P11" s="207">
        <f t="shared" ref="P11:P52" ca="1" si="2">OFFSET(AR130,0,3)</f>
        <v>2502.3319999999999</v>
      </c>
      <c r="Q11" s="132"/>
      <c r="R11" s="207">
        <f ca="1">H11</f>
        <v>2036</v>
      </c>
      <c r="S11" s="102"/>
      <c r="U11" s="32"/>
      <c r="V11" s="207">
        <f ca="1">SUM((AS12):OFFSET(AR12,0,$AI$4))</f>
        <v>5664.35</v>
      </c>
      <c r="W11" s="1"/>
      <c r="X11" s="207">
        <f ca="1">SUM(AS71:OFFSET(AR71,0,$AI$4))</f>
        <v>7285</v>
      </c>
      <c r="Y11" s="1"/>
      <c r="Z11" s="1"/>
      <c r="AA11" s="1"/>
      <c r="AB11" s="216">
        <f ca="1">IFERROR(IF((X11/V11)&gt;0,(X11/V11),ABS(X11/V11)+100%),"")</f>
        <v>1.2861140289706674</v>
      </c>
      <c r="AC11" s="215"/>
      <c r="AD11" s="216">
        <f ca="1">X11/AF11</f>
        <v>1.7462833648591214</v>
      </c>
      <c r="AE11" s="1"/>
      <c r="AF11" s="207">
        <f t="shared" ref="AF11:AF54" si="3">AT130+AS130</f>
        <v>4171.7170000000006</v>
      </c>
      <c r="AG11" s="132"/>
      <c r="AH11" s="207">
        <f>AP71</f>
        <v>7285</v>
      </c>
      <c r="AI11" s="102"/>
      <c r="AM11" s="32"/>
      <c r="AN11" s="167" t="s">
        <v>585</v>
      </c>
      <c r="AP11" s="207">
        <f>SUM(AS11:BD11)</f>
        <v>40999.549999999996</v>
      </c>
      <c r="AQ11" s="20"/>
      <c r="AR11" s="132"/>
      <c r="AS11" s="207">
        <v>1687.9</v>
      </c>
      <c r="AT11" s="207">
        <v>1588.5000000000002</v>
      </c>
      <c r="AU11" s="207">
        <v>2387.9500000000003</v>
      </c>
      <c r="AV11" s="207">
        <v>3843</v>
      </c>
      <c r="AW11" s="207">
        <v>4025</v>
      </c>
      <c r="AX11" s="207">
        <v>4254.45</v>
      </c>
      <c r="AY11" s="207">
        <v>3931.9000000000005</v>
      </c>
      <c r="AZ11" s="207">
        <v>4007.5</v>
      </c>
      <c r="BA11" s="207">
        <v>4013.5</v>
      </c>
      <c r="BB11" s="207">
        <v>4033.25</v>
      </c>
      <c r="BC11" s="207">
        <v>3804</v>
      </c>
      <c r="BD11" s="207">
        <v>3422.6</v>
      </c>
      <c r="BE11" s="133"/>
      <c r="BF11" s="102"/>
    </row>
    <row r="12" spans="2:58">
      <c r="B12" s="32"/>
      <c r="C12" s="1"/>
      <c r="E12" s="32"/>
      <c r="F12" s="113">
        <f t="shared" ca="1" si="0"/>
        <v>0</v>
      </c>
      <c r="G12" s="1"/>
      <c r="H12" s="113">
        <f t="shared" ca="1" si="1"/>
        <v>0</v>
      </c>
      <c r="I12" s="1"/>
      <c r="J12" s="1"/>
      <c r="K12" s="1"/>
      <c r="L12" s="217"/>
      <c r="M12" s="215"/>
      <c r="N12" s="1"/>
      <c r="O12" s="1"/>
      <c r="P12" s="113">
        <f t="shared" ca="1" si="2"/>
        <v>0</v>
      </c>
      <c r="Q12" s="20"/>
      <c r="R12" s="1"/>
      <c r="S12" s="102"/>
      <c r="U12" s="32"/>
      <c r="V12" s="113"/>
      <c r="W12" s="1"/>
      <c r="X12" s="113"/>
      <c r="Y12" s="1"/>
      <c r="Z12" s="1"/>
      <c r="AA12" s="1"/>
      <c r="AB12" s="217" t="str">
        <f t="shared" ref="AB12:AB52" si="4">IFERROR(IF((X12/V12)&gt;0,(X12/V12),ABS(X12/V12)+100%),"")</f>
        <v/>
      </c>
      <c r="AC12" s="215"/>
      <c r="AD12" s="1"/>
      <c r="AE12" s="1"/>
      <c r="AF12" s="113">
        <f t="shared" si="3"/>
        <v>0</v>
      </c>
      <c r="AG12" s="20"/>
      <c r="AH12" s="1"/>
      <c r="AI12" s="102"/>
      <c r="AM12" s="32"/>
      <c r="AN12" s="260" t="s">
        <v>586</v>
      </c>
      <c r="AO12" s="128"/>
      <c r="AP12" s="207">
        <f>SUM(AS12:BD12)</f>
        <v>40999.75</v>
      </c>
      <c r="AQ12" s="20"/>
      <c r="AR12" s="132"/>
      <c r="AS12" s="207">
        <v>1687.9</v>
      </c>
      <c r="AT12" s="207">
        <v>1588.5000000000002</v>
      </c>
      <c r="AU12" s="207">
        <v>2387.9499999999998</v>
      </c>
      <c r="AV12" s="207">
        <v>3843</v>
      </c>
      <c r="AW12" s="207">
        <v>4025.2</v>
      </c>
      <c r="AX12" s="207">
        <v>4254.45</v>
      </c>
      <c r="AY12" s="207">
        <v>3931.8999999999996</v>
      </c>
      <c r="AZ12" s="207">
        <v>4007.5</v>
      </c>
      <c r="BA12" s="207">
        <v>4013.5</v>
      </c>
      <c r="BB12" s="207">
        <v>4033.25</v>
      </c>
      <c r="BC12" s="207">
        <v>3804</v>
      </c>
      <c r="BD12" s="207">
        <v>3422.6</v>
      </c>
      <c r="BE12" s="133"/>
      <c r="BF12" s="102"/>
    </row>
    <row r="13" spans="2:58">
      <c r="B13" s="32"/>
      <c r="C13" s="119" t="s">
        <v>164</v>
      </c>
      <c r="D13" s="54"/>
      <c r="E13" s="185"/>
      <c r="F13" s="17">
        <f t="shared" ca="1" si="0"/>
        <v>3249334.3000000003</v>
      </c>
      <c r="G13" s="1"/>
      <c r="H13" s="17">
        <f t="shared" ca="1" si="1"/>
        <v>2769992.8227002686</v>
      </c>
      <c r="I13" s="1"/>
      <c r="J13" s="218"/>
      <c r="K13" s="1"/>
      <c r="L13" s="218">
        <f t="shared" ref="L13:L52" ca="1" si="5">IFERROR(IF((H13/F13)&gt;0,(H13/F13),ABS(H13/F13)+100%),"")</f>
        <v>0.85248009806201486</v>
      </c>
      <c r="M13" s="215"/>
      <c r="N13" s="218">
        <f t="shared" ref="N13:N54" ca="1" si="6">IFERROR(IF((H13/P13)&gt;0,(H13/P13),ABS(H13/P13)+100%),"")</f>
        <v>0.80354383565269583</v>
      </c>
      <c r="O13" s="1"/>
      <c r="P13" s="17">
        <f t="shared" ca="1" si="2"/>
        <v>3447220.5495177275</v>
      </c>
      <c r="Q13" s="20"/>
      <c r="R13" s="218"/>
      <c r="S13" s="102"/>
      <c r="U13" s="32"/>
      <c r="V13" s="20">
        <f ca="1">SUM((AS14):OFFSET(AR14,0,$AI$4))</f>
        <v>7310485.4000000004</v>
      </c>
      <c r="W13" s="1"/>
      <c r="X13" s="17">
        <f ca="1">SUM(AS73:OFFSET(AR73,0,$AI$4))</f>
        <v>9730541.2123050746</v>
      </c>
      <c r="Y13" s="1"/>
      <c r="Z13" s="218"/>
      <c r="AA13" s="1"/>
      <c r="AB13" s="218">
        <f ca="1">IFERROR(IF((X13/V13)&gt;0,(X13/V13),ABS(X13/V13)+100%),"")</f>
        <v>1.331039004920942</v>
      </c>
      <c r="AC13" s="215"/>
      <c r="AD13" s="218">
        <f t="shared" ref="AD13:AD54" ca="1" si="7">IFERROR(IF((X13/AF13)&gt;0,(X13/AF13),ABS(X13/AF13)+100%),"")</f>
        <v>2.0044572447716811</v>
      </c>
      <c r="AE13" s="1"/>
      <c r="AF13" s="17">
        <f t="shared" si="3"/>
        <v>4854451.866052866</v>
      </c>
      <c r="AG13" s="20"/>
      <c r="AH13" s="218"/>
      <c r="AI13" s="102"/>
      <c r="AM13" s="32"/>
      <c r="AN13" s="62"/>
      <c r="AO13" s="62"/>
      <c r="AP13" s="20"/>
      <c r="AQ13" s="20"/>
      <c r="AR13" s="132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133"/>
      <c r="BF13" s="102"/>
    </row>
    <row r="14" spans="2:58">
      <c r="B14" s="32"/>
      <c r="C14" s="34" t="s">
        <v>165</v>
      </c>
      <c r="D14" s="34"/>
      <c r="E14" s="263"/>
      <c r="F14" s="113">
        <f t="shared" ca="1" si="0"/>
        <v>3249334.3000000003</v>
      </c>
      <c r="G14" s="1"/>
      <c r="H14" s="113">
        <f t="shared" ca="1" si="1"/>
        <v>2769992.8227002686</v>
      </c>
      <c r="I14" s="1"/>
      <c r="J14" s="217">
        <f ca="1">IF(H14/$H$13&lt;&gt;0,(H14/$H$13),"")</f>
        <v>1</v>
      </c>
      <c r="K14" s="1"/>
      <c r="L14" s="217">
        <f t="shared" ca="1" si="5"/>
        <v>0.85248009806201486</v>
      </c>
      <c r="M14" s="215"/>
      <c r="N14" s="217">
        <f t="shared" ca="1" si="6"/>
        <v>0.80354383565269583</v>
      </c>
      <c r="O14" s="1"/>
      <c r="P14" s="113">
        <f t="shared" ca="1" si="2"/>
        <v>3447220.5495177275</v>
      </c>
      <c r="Q14" s="20"/>
      <c r="R14" s="217">
        <f ca="1">IF(P14/$P$13&lt;&gt;0,(P14/$P$13),"")</f>
        <v>1</v>
      </c>
      <c r="S14" s="102"/>
      <c r="U14" s="32"/>
      <c r="V14" s="20">
        <f ca="1">SUM((AS15):OFFSET(AR15,0,$AI$4))</f>
        <v>7310485.4000000004</v>
      </c>
      <c r="W14" s="1"/>
      <c r="X14" s="113">
        <f ca="1">SUM(AS74:OFFSET(AR74,0,$AI$4))</f>
        <v>9730541.2123050746</v>
      </c>
      <c r="Y14" s="1"/>
      <c r="Z14" s="217">
        <f ca="1">IF(X14/$H$13&lt;&gt;0,(X14/$H$13),"")</f>
        <v>3.5128398646244374</v>
      </c>
      <c r="AA14" s="1"/>
      <c r="AB14" s="217">
        <f ca="1">IFERROR(IF((X14/V14)&gt;0,(X14/V14),ABS(X14/V14)+100%),"")</f>
        <v>1.331039004920942</v>
      </c>
      <c r="AC14" s="215"/>
      <c r="AD14" s="217">
        <f t="shared" ca="1" si="7"/>
        <v>2.0044572447716811</v>
      </c>
      <c r="AE14" s="1"/>
      <c r="AF14" s="113">
        <f t="shared" si="3"/>
        <v>4854451.866052866</v>
      </c>
      <c r="AG14" s="20"/>
      <c r="AH14" s="217">
        <f ca="1">IF(AF14/$P$13&lt;&gt;0,(AF14/$P$13),"")</f>
        <v>1.4082220143216577</v>
      </c>
      <c r="AI14" s="102"/>
      <c r="AM14" s="32"/>
      <c r="AN14" s="251" t="s">
        <v>164</v>
      </c>
      <c r="AO14" s="251"/>
      <c r="AP14" s="17">
        <f>SUM(AS14:BD14)</f>
        <v>53901724.719999999</v>
      </c>
      <c r="AQ14" s="20"/>
      <c r="AR14" s="132"/>
      <c r="AS14" s="17">
        <f>SUM(AS15:AS19)</f>
        <v>2034763.5</v>
      </c>
      <c r="AT14" s="17">
        <f t="shared" ref="AT14:BD14" si="8">SUM(AT15:AT19)</f>
        <v>2026387.6</v>
      </c>
      <c r="AU14" s="17">
        <f t="shared" si="8"/>
        <v>3249334.3000000003</v>
      </c>
      <c r="AV14" s="17">
        <f t="shared" si="8"/>
        <v>4707245</v>
      </c>
      <c r="AW14" s="17">
        <f t="shared" si="8"/>
        <v>4698625.1999999993</v>
      </c>
      <c r="AX14" s="17">
        <f t="shared" si="8"/>
        <v>5466244.6899999995</v>
      </c>
      <c r="AY14" s="17">
        <f t="shared" si="8"/>
        <v>5547822.6900000004</v>
      </c>
      <c r="AZ14" s="17">
        <f t="shared" si="8"/>
        <v>6137864.4500000011</v>
      </c>
      <c r="BA14" s="17">
        <f t="shared" si="8"/>
        <v>5654658.8600000003</v>
      </c>
      <c r="BB14" s="17">
        <f t="shared" si="8"/>
        <v>5521514.1800000006</v>
      </c>
      <c r="BC14" s="17">
        <f t="shared" si="8"/>
        <v>4732459.1999999993</v>
      </c>
      <c r="BD14" s="17">
        <f t="shared" si="8"/>
        <v>4124805.05</v>
      </c>
      <c r="BE14" s="133"/>
      <c r="BF14" s="102"/>
    </row>
    <row r="15" spans="2:58">
      <c r="B15" s="32"/>
      <c r="C15" s="34" t="s">
        <v>166</v>
      </c>
      <c r="D15" s="34"/>
      <c r="E15" s="263"/>
      <c r="F15" s="20">
        <f t="shared" ca="1" si="0"/>
        <v>0</v>
      </c>
      <c r="G15" s="1"/>
      <c r="H15" s="20">
        <f t="shared" ca="1" si="1"/>
        <v>0</v>
      </c>
      <c r="I15" s="1"/>
      <c r="J15" s="215" t="str">
        <f ca="1">IF(H15/$H$13&lt;&gt;0,(H15/$H$13),"")</f>
        <v/>
      </c>
      <c r="K15" s="1"/>
      <c r="L15" s="215" t="str">
        <f t="shared" ca="1" si="5"/>
        <v/>
      </c>
      <c r="M15" s="215"/>
      <c r="N15" s="215" t="str">
        <f t="shared" ca="1" si="6"/>
        <v/>
      </c>
      <c r="O15" s="1"/>
      <c r="P15" s="20">
        <f t="shared" ca="1" si="2"/>
        <v>0</v>
      </c>
      <c r="Q15" s="20"/>
      <c r="R15" s="215" t="str">
        <f ca="1">IF(P15/$P$13&lt;&gt;0,(P15/$P$13),"")</f>
        <v/>
      </c>
      <c r="S15" s="102"/>
      <c r="U15" s="32"/>
      <c r="V15" s="20">
        <f ca="1">SUM((AS16):OFFSET(AR16,0,$AI$4))</f>
        <v>0</v>
      </c>
      <c r="W15" s="1"/>
      <c r="X15" s="20">
        <f ca="1">SUM(AS75:OFFSET(AR75,0,$AI$4))</f>
        <v>0</v>
      </c>
      <c r="Y15" s="1"/>
      <c r="Z15" s="215" t="str">
        <f ca="1">IF(X15/$H$13&lt;&gt;0,(X15/$H$13),"")</f>
        <v/>
      </c>
      <c r="AA15" s="1"/>
      <c r="AB15" s="215" t="str">
        <f t="shared" ca="1" si="4"/>
        <v/>
      </c>
      <c r="AC15" s="215"/>
      <c r="AD15" s="215" t="str">
        <f t="shared" ca="1" si="7"/>
        <v/>
      </c>
      <c r="AE15" s="1"/>
      <c r="AF15" s="20">
        <f t="shared" si="3"/>
        <v>0</v>
      </c>
      <c r="AG15" s="20"/>
      <c r="AH15" s="215" t="str">
        <f ca="1">IF(AF15/$P$13&lt;&gt;0,(AF15/$P$13),"")</f>
        <v/>
      </c>
      <c r="AI15" s="102"/>
      <c r="AM15" s="32"/>
      <c r="AN15" s="36" t="s">
        <v>612</v>
      </c>
      <c r="AO15" s="36"/>
      <c r="AP15" s="20">
        <f>SUM(AS15:BD15)</f>
        <v>53901724.719999999</v>
      </c>
      <c r="AQ15" s="20"/>
      <c r="AR15" s="132"/>
      <c r="AS15" s="20">
        <v>2034763.5</v>
      </c>
      <c r="AT15" s="20">
        <v>2026387.6</v>
      </c>
      <c r="AU15" s="20">
        <v>3249334.3000000003</v>
      </c>
      <c r="AV15" s="20">
        <v>4707245</v>
      </c>
      <c r="AW15" s="20">
        <v>4698625.1999999993</v>
      </c>
      <c r="AX15" s="20">
        <v>5466244.6899999995</v>
      </c>
      <c r="AY15" s="20">
        <v>5547822.6900000004</v>
      </c>
      <c r="AZ15" s="20">
        <v>6137864.4500000011</v>
      </c>
      <c r="BA15" s="20">
        <v>5654658.8600000003</v>
      </c>
      <c r="BB15" s="20">
        <v>5521514.1800000006</v>
      </c>
      <c r="BC15" s="20">
        <v>4732459.1999999993</v>
      </c>
      <c r="BD15" s="20">
        <v>4124805.05</v>
      </c>
      <c r="BE15" s="133"/>
      <c r="BF15" s="102"/>
    </row>
    <row r="16" spans="2:58">
      <c r="B16" s="32"/>
      <c r="C16" s="34" t="s">
        <v>167</v>
      </c>
      <c r="D16" s="34"/>
      <c r="E16" s="263"/>
      <c r="F16" s="20">
        <f t="shared" ca="1" si="0"/>
        <v>0</v>
      </c>
      <c r="G16" s="1"/>
      <c r="H16" s="20">
        <f t="shared" ca="1" si="1"/>
        <v>0</v>
      </c>
      <c r="I16" s="1"/>
      <c r="J16" s="215" t="str">
        <f ca="1">IF(H16/$H$13&lt;&gt;0,(H16/$H$13),"")</f>
        <v/>
      </c>
      <c r="K16" s="1"/>
      <c r="L16" s="215" t="str">
        <f t="shared" ca="1" si="5"/>
        <v/>
      </c>
      <c r="M16" s="215"/>
      <c r="N16" s="215" t="str">
        <f t="shared" ca="1" si="6"/>
        <v/>
      </c>
      <c r="O16" s="1"/>
      <c r="P16" s="20">
        <f t="shared" ca="1" si="2"/>
        <v>0</v>
      </c>
      <c r="Q16" s="20"/>
      <c r="R16" s="215" t="str">
        <f ca="1">IF(P16/$P$13&lt;&gt;0,(P16/$P$13),"")</f>
        <v/>
      </c>
      <c r="S16" s="102"/>
      <c r="U16" s="32"/>
      <c r="V16" s="20">
        <f ca="1">SUM((AS17):OFFSET(AR17,0,$AI$4))</f>
        <v>0</v>
      </c>
      <c r="W16" s="1"/>
      <c r="X16" s="20">
        <f ca="1">SUM(AS76:OFFSET(AR76,0,$AI$4))</f>
        <v>0</v>
      </c>
      <c r="Y16" s="1"/>
      <c r="Z16" s="215" t="str">
        <f ca="1">IF(X16/$H$13&lt;&gt;0,(X16/$H$13),"")</f>
        <v/>
      </c>
      <c r="AA16" s="1"/>
      <c r="AB16" s="215" t="str">
        <f t="shared" ca="1" si="4"/>
        <v/>
      </c>
      <c r="AC16" s="215"/>
      <c r="AD16" s="215" t="str">
        <f t="shared" ca="1" si="7"/>
        <v/>
      </c>
      <c r="AE16" s="1"/>
      <c r="AF16" s="20">
        <f t="shared" si="3"/>
        <v>0</v>
      </c>
      <c r="AG16" s="20"/>
      <c r="AH16" s="215" t="str">
        <f ca="1">IF(AF16/$P$13&lt;&gt;0,(AF16/$P$13),"")</f>
        <v/>
      </c>
      <c r="AI16" s="102"/>
      <c r="AM16" s="32"/>
      <c r="AN16" s="36" t="s">
        <v>613</v>
      </c>
      <c r="AO16" s="36"/>
      <c r="AP16" s="20">
        <v>0</v>
      </c>
      <c r="AQ16" s="20"/>
      <c r="AR16" s="132"/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133"/>
      <c r="BF16" s="102"/>
    </row>
    <row r="17" spans="2:58">
      <c r="B17" s="32"/>
      <c r="C17" s="34" t="s">
        <v>168</v>
      </c>
      <c r="D17" s="34"/>
      <c r="E17" s="263"/>
      <c r="F17" s="20">
        <f t="shared" ca="1" si="0"/>
        <v>0</v>
      </c>
      <c r="G17" s="1"/>
      <c r="H17" s="20">
        <f t="shared" ca="1" si="1"/>
        <v>0</v>
      </c>
      <c r="I17" s="1"/>
      <c r="J17" s="215" t="str">
        <f ca="1">IF(H17/$H$13&lt;&gt;0,(H17/$H$13),"")</f>
        <v/>
      </c>
      <c r="K17" s="1"/>
      <c r="L17" s="215" t="str">
        <f t="shared" ca="1" si="5"/>
        <v/>
      </c>
      <c r="M17" s="215"/>
      <c r="N17" s="215" t="str">
        <f t="shared" ca="1" si="6"/>
        <v/>
      </c>
      <c r="O17" s="1"/>
      <c r="P17" s="20">
        <f t="shared" ca="1" si="2"/>
        <v>0</v>
      </c>
      <c r="Q17" s="20"/>
      <c r="R17" s="215" t="str">
        <f ca="1">IF(P17/$P$13&lt;&gt;0,(P17/$P$13),"")</f>
        <v/>
      </c>
      <c r="S17" s="102"/>
      <c r="U17" s="32"/>
      <c r="V17" s="20">
        <f ca="1">SUM((AS18):OFFSET(AR18,0,$AI$4))</f>
        <v>0</v>
      </c>
      <c r="W17" s="1"/>
      <c r="X17" s="20">
        <f ca="1">SUM(AS77:OFFSET(AR77,0,$AI$4))</f>
        <v>0</v>
      </c>
      <c r="Y17" s="1"/>
      <c r="Z17" s="215" t="str">
        <f ca="1">IF(X17/$H$13&lt;&gt;0,(X17/$H$13),"")</f>
        <v/>
      </c>
      <c r="AA17" s="1"/>
      <c r="AB17" s="215" t="str">
        <f t="shared" ca="1" si="4"/>
        <v/>
      </c>
      <c r="AC17" s="215"/>
      <c r="AD17" s="215" t="str">
        <f t="shared" ca="1" si="7"/>
        <v/>
      </c>
      <c r="AE17" s="1"/>
      <c r="AF17" s="20">
        <f t="shared" si="3"/>
        <v>0</v>
      </c>
      <c r="AG17" s="20"/>
      <c r="AH17" s="215" t="str">
        <f ca="1">IF(AF17/$P$13&lt;&gt;0,(AF17/$P$13),"")</f>
        <v/>
      </c>
      <c r="AI17" s="102"/>
      <c r="AM17" s="32"/>
      <c r="AN17" s="36" t="s">
        <v>614</v>
      </c>
      <c r="AO17" s="36"/>
      <c r="AP17" s="20">
        <v>0</v>
      </c>
      <c r="AQ17" s="20"/>
      <c r="AR17" s="132"/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133"/>
      <c r="BF17" s="102"/>
    </row>
    <row r="18" spans="2:58">
      <c r="B18" s="32"/>
      <c r="C18" s="34" t="s">
        <v>169</v>
      </c>
      <c r="D18" s="34"/>
      <c r="E18" s="263"/>
      <c r="F18" s="20">
        <f t="shared" ca="1" si="0"/>
        <v>0</v>
      </c>
      <c r="G18" s="1"/>
      <c r="H18" s="20">
        <f t="shared" ca="1" si="1"/>
        <v>0</v>
      </c>
      <c r="I18" s="1"/>
      <c r="J18" s="215" t="str">
        <f ca="1">IF(H18/$H$13&lt;&gt;0,(H18/$H$13),"")</f>
        <v/>
      </c>
      <c r="K18" s="1"/>
      <c r="L18" s="215" t="str">
        <f t="shared" ca="1" si="5"/>
        <v/>
      </c>
      <c r="M18" s="215"/>
      <c r="N18" s="215" t="str">
        <f t="shared" ca="1" si="6"/>
        <v/>
      </c>
      <c r="O18" s="1"/>
      <c r="P18" s="20">
        <f t="shared" ca="1" si="2"/>
        <v>0</v>
      </c>
      <c r="Q18" s="20"/>
      <c r="R18" s="215" t="str">
        <f ca="1">IF(P18/$P$13&lt;&gt;0,(P18/$P$13),"")</f>
        <v/>
      </c>
      <c r="S18" s="102"/>
      <c r="U18" s="32"/>
      <c r="V18" s="20">
        <f ca="1">SUM((AS19):OFFSET(AR19,0,$AI$4))</f>
        <v>0</v>
      </c>
      <c r="W18" s="1"/>
      <c r="X18" s="20">
        <f ca="1">SUM(AS78:OFFSET(AR78,0,$AI$4))</f>
        <v>0</v>
      </c>
      <c r="Y18" s="1"/>
      <c r="Z18" s="215" t="str">
        <f ca="1">IF(X18/$H$13&lt;&gt;0,(X18/$H$13),"")</f>
        <v/>
      </c>
      <c r="AA18" s="1"/>
      <c r="AB18" s="215" t="str">
        <f t="shared" ca="1" si="4"/>
        <v/>
      </c>
      <c r="AC18" s="215"/>
      <c r="AD18" s="215" t="str">
        <f t="shared" ca="1" si="7"/>
        <v/>
      </c>
      <c r="AE18" s="1"/>
      <c r="AF18" s="20">
        <f t="shared" si="3"/>
        <v>0</v>
      </c>
      <c r="AG18" s="20"/>
      <c r="AH18" s="215" t="str">
        <f ca="1">IF(AF18/$P$13&lt;&gt;0,(AF18/$P$13),"")</f>
        <v/>
      </c>
      <c r="AI18" s="102"/>
      <c r="AM18" s="32"/>
      <c r="AN18" s="36" t="s">
        <v>615</v>
      </c>
      <c r="AO18" s="36"/>
      <c r="AP18" s="20">
        <v>0</v>
      </c>
      <c r="AQ18" s="20"/>
      <c r="AR18" s="132"/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133"/>
      <c r="BF18" s="102"/>
    </row>
    <row r="19" spans="2:58">
      <c r="B19" s="32"/>
      <c r="C19" s="34"/>
      <c r="D19" s="34"/>
      <c r="E19" s="263"/>
      <c r="F19" s="20"/>
      <c r="G19" s="1"/>
      <c r="H19" s="20"/>
      <c r="I19" s="1"/>
      <c r="J19" s="215"/>
      <c r="K19" s="1"/>
      <c r="L19" s="215"/>
      <c r="M19" s="215"/>
      <c r="N19" s="215"/>
      <c r="O19" s="1"/>
      <c r="P19" s="20"/>
      <c r="Q19" s="20"/>
      <c r="R19" s="215"/>
      <c r="S19" s="102"/>
      <c r="U19" s="32"/>
      <c r="V19" s="20"/>
      <c r="W19" s="1"/>
      <c r="X19" s="20"/>
      <c r="Y19" s="1"/>
      <c r="Z19" s="215"/>
      <c r="AA19" s="1"/>
      <c r="AB19" s="215"/>
      <c r="AC19" s="215"/>
      <c r="AD19" s="215"/>
      <c r="AE19" s="1"/>
      <c r="AF19" s="20"/>
      <c r="AG19" s="20"/>
      <c r="AH19" s="215"/>
      <c r="AI19" s="102"/>
      <c r="AM19" s="32"/>
      <c r="AN19" s="36" t="s">
        <v>616</v>
      </c>
      <c r="AO19" s="36"/>
      <c r="AP19" s="20">
        <v>0</v>
      </c>
      <c r="AQ19" s="20"/>
      <c r="AR19" s="132"/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133"/>
      <c r="BF19" s="102"/>
    </row>
    <row r="20" spans="2:58">
      <c r="B20" s="32"/>
      <c r="C20" s="119" t="s">
        <v>170</v>
      </c>
      <c r="D20" s="54"/>
      <c r="E20" s="185"/>
      <c r="F20" s="17">
        <f t="shared" ca="1" si="0"/>
        <v>3446756.5483457963</v>
      </c>
      <c r="G20" s="1"/>
      <c r="H20" s="17">
        <f t="shared" ca="1" si="1"/>
        <v>3173401.2336174473</v>
      </c>
      <c r="I20" s="1"/>
      <c r="J20" s="218">
        <f t="shared" ref="J20:J54" ca="1" si="9">IF(H20/$H$13&lt;&gt;0,(H20/$H$13),"")</f>
        <v>1.1456351827380999</v>
      </c>
      <c r="K20" s="215"/>
      <c r="L20" s="218">
        <f t="shared" ca="1" si="5"/>
        <v>0.92069201555313196</v>
      </c>
      <c r="M20" s="215"/>
      <c r="N20" s="218">
        <f t="shared" ca="1" si="6"/>
        <v>1.0426614701090131</v>
      </c>
      <c r="O20" s="1"/>
      <c r="P20" s="17">
        <f t="shared" ca="1" si="2"/>
        <v>3043558.5514497426</v>
      </c>
      <c r="Q20" s="20"/>
      <c r="R20" s="218">
        <f t="shared" ref="R20:R54" ca="1" si="10">IF(P20/$P$13&lt;&gt;0,(P20/$P$13),"")</f>
        <v>0.88290218386970976</v>
      </c>
      <c r="S20" s="102"/>
      <c r="U20" s="32"/>
      <c r="V20" s="17">
        <f ca="1">SUM((AS21):OFFSET(AR21,0,$AI$4))</f>
        <v>8293280.0242286753</v>
      </c>
      <c r="W20" s="1"/>
      <c r="X20" s="17">
        <f ca="1">SUM(AS80:OFFSET(AR80,0,$AI$4))</f>
        <v>9850609.2228606455</v>
      </c>
      <c r="Y20" s="1"/>
      <c r="Z20" s="218">
        <f t="shared" ref="Z20:Z54" ca="1" si="11">IF(X20/$H$13&lt;&gt;0,(X20/$H$13),"")</f>
        <v>3.5561858291235531</v>
      </c>
      <c r="AA20" s="215"/>
      <c r="AB20" s="218">
        <f ca="1">IFERROR(IF((X20/V20)&gt;0,(X20/V20),ABS(X20/V20)+100%),"")</f>
        <v>1.1877820589781438</v>
      </c>
      <c r="AC20" s="215"/>
      <c r="AD20" s="218">
        <f t="shared" ca="1" si="7"/>
        <v>2.3991021196863542</v>
      </c>
      <c r="AE20" s="1"/>
      <c r="AF20" s="17">
        <f t="shared" si="3"/>
        <v>4105956.6168648386</v>
      </c>
      <c r="AG20" s="20"/>
      <c r="AH20" s="218">
        <f t="shared" ref="AH20:AH54" ca="1" si="12">IF(AF20/$P$13&lt;&gt;0,(AF20/$P$13),"")</f>
        <v>1.1910919414306895</v>
      </c>
      <c r="AI20" s="102"/>
      <c r="AM20" s="32"/>
      <c r="AN20" s="36"/>
      <c r="AO20" s="36"/>
      <c r="AP20" s="20"/>
      <c r="AQ20" s="20"/>
      <c r="AR20" s="132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133"/>
      <c r="BF20" s="102"/>
    </row>
    <row r="21" spans="2:58">
      <c r="B21" s="32"/>
      <c r="C21" s="1" t="s">
        <v>165</v>
      </c>
      <c r="E21" s="32"/>
      <c r="F21" s="113">
        <f t="shared" ca="1" si="0"/>
        <v>3415329.9015305098</v>
      </c>
      <c r="G21" s="1"/>
      <c r="H21" s="113">
        <f t="shared" ca="1" si="1"/>
        <v>3166345.2711077095</v>
      </c>
      <c r="I21" s="1"/>
      <c r="J21" s="217">
        <f t="shared" ca="1" si="9"/>
        <v>1.1430878972534901</v>
      </c>
      <c r="K21" s="1"/>
      <c r="L21" s="217">
        <f t="shared" ca="1" si="5"/>
        <v>0.92709792681778036</v>
      </c>
      <c r="M21" s="215"/>
      <c r="N21" s="217">
        <f t="shared" ca="1" si="6"/>
        <v>1.1553717916124693</v>
      </c>
      <c r="O21" s="1"/>
      <c r="P21" s="113">
        <f t="shared" ca="1" si="2"/>
        <v>2740542.3034334853</v>
      </c>
      <c r="Q21" s="20"/>
      <c r="R21" s="217">
        <f t="shared" ca="1" si="10"/>
        <v>0.79500057047898842</v>
      </c>
      <c r="S21" s="102"/>
      <c r="U21" s="32"/>
      <c r="V21" s="20">
        <f ca="1">SUM((AS22):OFFSET(AR22,0,$AI$4))</f>
        <v>8249689.5774133895</v>
      </c>
      <c r="W21" s="1"/>
      <c r="X21" s="113">
        <f ca="1">SUM(AS81:OFFSET(AR81,0,$AI$4))</f>
        <v>9528416.6492620707</v>
      </c>
      <c r="Y21" s="1"/>
      <c r="Z21" s="217">
        <f t="shared" ca="1" si="11"/>
        <v>3.4398705192215973</v>
      </c>
      <c r="AA21" s="1"/>
      <c r="AB21" s="217">
        <f ca="1">IFERROR(IF((X21/V21)&gt;0,(X21/V21),ABS(X21/V21)+100%),"")</f>
        <v>1.1550030531269533</v>
      </c>
      <c r="AC21" s="215"/>
      <c r="AD21" s="217">
        <f t="shared" ca="1" si="7"/>
        <v>2.3421937297827324</v>
      </c>
      <c r="AE21" s="1"/>
      <c r="AF21" s="113">
        <f t="shared" si="3"/>
        <v>4068159.0630617691</v>
      </c>
      <c r="AG21" s="20"/>
      <c r="AH21" s="217">
        <f t="shared" ca="1" si="12"/>
        <v>1.1801272952004513</v>
      </c>
      <c r="AI21" s="102"/>
      <c r="AM21" s="32"/>
      <c r="AN21" s="251" t="s">
        <v>170</v>
      </c>
      <c r="AO21" s="251"/>
      <c r="AP21" s="17">
        <f t="shared" ref="AP21:AP26" si="13">SUM(AS21:BD21)</f>
        <v>40494764.594818853</v>
      </c>
      <c r="AQ21" s="20"/>
      <c r="AR21" s="132"/>
      <c r="AS21" s="17">
        <f>AS22+AS28</f>
        <v>2248766.5008791401</v>
      </c>
      <c r="AT21" s="17">
        <f t="shared" ref="AT21:AY21" si="14">AT22+AT28</f>
        <v>2597756.9750037394</v>
      </c>
      <c r="AU21" s="17">
        <f t="shared" si="14"/>
        <v>3446756.5483457963</v>
      </c>
      <c r="AV21" s="17">
        <f t="shared" si="14"/>
        <v>3906600.8640869022</v>
      </c>
      <c r="AW21" s="17">
        <f t="shared" si="14"/>
        <v>3876965.1308148713</v>
      </c>
      <c r="AX21" s="17">
        <f t="shared" si="14"/>
        <v>3744567.9915669952</v>
      </c>
      <c r="AY21" s="17">
        <f t="shared" si="14"/>
        <v>3552094.897094206</v>
      </c>
      <c r="AZ21" s="17">
        <f>AZ22+AZ28</f>
        <v>3635399.8755217809</v>
      </c>
      <c r="BA21" s="17">
        <f>BA22+BA28</f>
        <v>3463987.8685864503</v>
      </c>
      <c r="BB21" s="17">
        <f>BB22+BB28</f>
        <v>3469916.9719112595</v>
      </c>
      <c r="BC21" s="17">
        <f>BC22+BC28</f>
        <v>3525532.5515972404</v>
      </c>
      <c r="BD21" s="17">
        <f>BD22+BD28</f>
        <v>3026418.4194104723</v>
      </c>
      <c r="BE21" s="133"/>
      <c r="BF21" s="102"/>
    </row>
    <row r="22" spans="2:58">
      <c r="B22" s="32"/>
      <c r="C22" s="64" t="s">
        <v>171</v>
      </c>
      <c r="D22" s="64"/>
      <c r="E22" s="264"/>
      <c r="F22" s="20">
        <f t="shared" ca="1" si="0"/>
        <v>1956878.9915461005</v>
      </c>
      <c r="G22" s="1"/>
      <c r="H22" s="20">
        <f t="shared" ca="1" si="1"/>
        <v>920718.2498243025</v>
      </c>
      <c r="I22" s="1"/>
      <c r="J22" s="215">
        <f t="shared" ca="1" si="9"/>
        <v>0.33239012111473987</v>
      </c>
      <c r="K22" s="1"/>
      <c r="L22" s="215">
        <f t="shared" ca="1" si="5"/>
        <v>0.47050341579724198</v>
      </c>
      <c r="M22" s="215"/>
      <c r="N22" s="215">
        <f t="shared" ca="1" si="6"/>
        <v>0.63719354763614566</v>
      </c>
      <c r="O22" s="1"/>
      <c r="P22" s="20">
        <f t="shared" ca="1" si="2"/>
        <v>1444958.5267144872</v>
      </c>
      <c r="Q22" s="20"/>
      <c r="R22" s="215">
        <f t="shared" ca="1" si="10"/>
        <v>0.41916625465598351</v>
      </c>
      <c r="S22" s="102"/>
      <c r="U22" s="32"/>
      <c r="V22" s="20">
        <f ca="1">SUM((AS23):OFFSET(AR23,0,$AI$4))</f>
        <v>5839564.7846197654</v>
      </c>
      <c r="W22" s="1"/>
      <c r="X22" s="20">
        <f ca="1">SUM(AS82:OFFSET(AR82,0,$AI$4))</f>
        <v>4444422.4590941174</v>
      </c>
      <c r="Y22" s="1"/>
      <c r="Z22" s="215">
        <f t="shared" ca="1" si="11"/>
        <v>1.6044887996357935</v>
      </c>
      <c r="AA22" s="1"/>
      <c r="AB22" s="215">
        <f ca="1">IFERROR(IF((X22/V22)&gt;0,(X22/V22),ABS(X22/V22)+100%),"")</f>
        <v>0.76108796169191051</v>
      </c>
      <c r="AC22" s="215"/>
      <c r="AD22" s="215">
        <f t="shared" ca="1" si="7"/>
        <v>1.6015010064341848</v>
      </c>
      <c r="AE22" s="1"/>
      <c r="AF22" s="20">
        <f t="shared" si="3"/>
        <v>2775160.5782564115</v>
      </c>
      <c r="AG22" s="20"/>
      <c r="AH22" s="215">
        <f t="shared" ca="1" si="12"/>
        <v>0.80504294355191797</v>
      </c>
      <c r="AI22" s="102"/>
      <c r="AM22" s="32"/>
      <c r="AN22" s="36" t="s">
        <v>612</v>
      </c>
      <c r="AO22" s="36"/>
      <c r="AP22" s="20">
        <f t="shared" si="13"/>
        <v>38286258.841188282</v>
      </c>
      <c r="AQ22" s="20"/>
      <c r="AR22" s="132"/>
      <c r="AS22" s="20">
        <v>2248766.5008791401</v>
      </c>
      <c r="AT22" s="20">
        <v>2585593.1750037395</v>
      </c>
      <c r="AU22" s="20">
        <v>3415329.9015305098</v>
      </c>
      <c r="AV22" s="20">
        <v>3858876.8640869022</v>
      </c>
      <c r="AW22" s="20">
        <v>3606966.9839995848</v>
      </c>
      <c r="AX22" s="20">
        <v>3466517.4915669952</v>
      </c>
      <c r="AY22" s="20">
        <v>3276532.5871579</v>
      </c>
      <c r="AZ22" s="20">
        <v>3362115.955521781</v>
      </c>
      <c r="BA22" s="20">
        <v>3174084.2829813547</v>
      </c>
      <c r="BB22" s="20">
        <v>3197152.9719112595</v>
      </c>
      <c r="BC22" s="20">
        <v>3277260.7471386418</v>
      </c>
      <c r="BD22" s="20">
        <v>2817061.3794104722</v>
      </c>
      <c r="BE22" s="133"/>
      <c r="BF22" s="102"/>
    </row>
    <row r="23" spans="2:58">
      <c r="B23" s="32"/>
      <c r="C23" s="64" t="s">
        <v>172</v>
      </c>
      <c r="D23" s="64"/>
      <c r="E23" s="264"/>
      <c r="F23" s="20">
        <f t="shared" ca="1" si="0"/>
        <v>3046941.2500750255</v>
      </c>
      <c r="G23" s="1"/>
      <c r="H23" s="20">
        <f t="shared" ca="1" si="1"/>
        <v>3827799.8664546614</v>
      </c>
      <c r="I23" s="1"/>
      <c r="J23" s="215">
        <f t="shared" ca="1" si="9"/>
        <v>1.3818807886741065</v>
      </c>
      <c r="K23" s="1"/>
      <c r="L23" s="215">
        <f t="shared" ca="1" si="5"/>
        <v>1.2562762299274424</v>
      </c>
      <c r="M23" s="215"/>
      <c r="N23" s="215">
        <f t="shared" ca="1" si="6"/>
        <v>1.70033053104705</v>
      </c>
      <c r="O23" s="1"/>
      <c r="P23" s="20">
        <f t="shared" ca="1" si="2"/>
        <v>2251209.2775853015</v>
      </c>
      <c r="Q23" s="20"/>
      <c r="R23" s="215">
        <f t="shared" ca="1" si="10"/>
        <v>0.65305055050807526</v>
      </c>
      <c r="S23" s="102"/>
      <c r="U23" s="32"/>
      <c r="V23" s="20">
        <f ca="1">SUM((AS24):OFFSET(AR24,0,$AI$4))</f>
        <v>8045973.0417026673</v>
      </c>
      <c r="W23" s="1"/>
      <c r="X23" s="20">
        <f ca="1">SUM(AS83:OFFSET(AR83,0,$AI$4))</f>
        <v>8578992.0833225343</v>
      </c>
      <c r="Y23" s="1"/>
      <c r="Z23" s="215">
        <f t="shared" ca="1" si="11"/>
        <v>3.0971170802383114</v>
      </c>
      <c r="AA23" s="1"/>
      <c r="AB23" s="215">
        <f ca="1">IFERROR(IF((X23/V23)&gt;0,(X23/V23),ABS(X23/V23)+100%),"")</f>
        <v>1.0662466850009569</v>
      </c>
      <c r="AC23" s="215"/>
      <c r="AD23" s="215">
        <f t="shared" ca="1" si="7"/>
        <v>2.0698304557220224</v>
      </c>
      <c r="AE23" s="1"/>
      <c r="AF23" s="20">
        <f t="shared" si="3"/>
        <v>4144780.1000347682</v>
      </c>
      <c r="AG23" s="20"/>
      <c r="AH23" s="215">
        <f t="shared" ca="1" si="12"/>
        <v>1.2023541982582548</v>
      </c>
      <c r="AI23" s="102"/>
      <c r="AM23" s="32"/>
      <c r="AN23" s="252" t="s">
        <v>617</v>
      </c>
      <c r="AO23" s="252"/>
      <c r="AP23" s="20">
        <f t="shared" si="13"/>
        <v>14578289.148344588</v>
      </c>
      <c r="AQ23" s="20"/>
      <c r="AR23" s="132"/>
      <c r="AS23" s="20">
        <v>1792206.8758013383</v>
      </c>
      <c r="AT23" s="20">
        <v>2090478.9172723258</v>
      </c>
      <c r="AU23" s="20">
        <v>1956878.9915461005</v>
      </c>
      <c r="AV23" s="20">
        <v>1588490.3400906157</v>
      </c>
      <c r="AW23" s="20">
        <v>1083720.3567848566</v>
      </c>
      <c r="AX23" s="20">
        <v>929145.98256176105</v>
      </c>
      <c r="AY23" s="20">
        <v>834030.4063237058</v>
      </c>
      <c r="AZ23" s="20">
        <v>878979.66097200755</v>
      </c>
      <c r="BA23" s="20">
        <v>877411.52234668611</v>
      </c>
      <c r="BB23" s="20">
        <v>829565.44699926267</v>
      </c>
      <c r="BC23" s="20">
        <v>819457.65612631547</v>
      </c>
      <c r="BD23" s="20">
        <v>897922.99151961319</v>
      </c>
      <c r="BE23" s="133"/>
      <c r="BF23" s="102"/>
    </row>
    <row r="24" spans="2:58">
      <c r="B24" s="32"/>
      <c r="C24" s="64" t="s">
        <v>173</v>
      </c>
      <c r="D24" s="64"/>
      <c r="E24" s="264"/>
      <c r="F24" s="20">
        <f t="shared" ca="1" si="0"/>
        <v>1588490.3400906157</v>
      </c>
      <c r="G24" s="1"/>
      <c r="H24" s="20">
        <f t="shared" ca="1" si="1"/>
        <v>1582172.8451712537</v>
      </c>
      <c r="I24" s="1"/>
      <c r="J24" s="215">
        <f t="shared" ca="1" si="9"/>
        <v>0.57118301253535597</v>
      </c>
      <c r="K24" s="1"/>
      <c r="L24" s="215">
        <f t="shared" ca="1" si="5"/>
        <v>0.99602295666525642</v>
      </c>
      <c r="M24" s="215"/>
      <c r="N24" s="215">
        <f t="shared" ca="1" si="6"/>
        <v>1.7298035693239968</v>
      </c>
      <c r="O24" s="1"/>
      <c r="P24" s="20">
        <f t="shared" ca="1" si="2"/>
        <v>914654.63086630299</v>
      </c>
      <c r="Q24" s="20"/>
      <c r="R24" s="215">
        <f t="shared" ca="1" si="10"/>
        <v>0.26533104503402455</v>
      </c>
      <c r="S24" s="102"/>
      <c r="U24" s="32"/>
      <c r="V24" s="20">
        <f ca="1">SUM((AS25):OFFSET(AR25,0,$AI$4))</f>
        <v>5635848.2489090422</v>
      </c>
      <c r="W24" s="1"/>
      <c r="X24" s="20">
        <f ca="1">SUM(AS84:OFFSET(AR84,0,$AI$4))</f>
        <v>3494997.893154582</v>
      </c>
      <c r="Y24" s="1"/>
      <c r="Z24" s="215">
        <f t="shared" ca="1" si="11"/>
        <v>1.2617353606525079</v>
      </c>
      <c r="AA24" s="1"/>
      <c r="AB24" s="215">
        <f ca="1">IFERROR(IF((X24/V24)&gt;0,(X24/V24),ABS(X24/V24)+100%),"")</f>
        <v>0.62013697651123334</v>
      </c>
      <c r="AC24" s="215"/>
      <c r="AD24" s="215">
        <f t="shared" ca="1" si="7"/>
        <v>1.2255489250965763</v>
      </c>
      <c r="AE24" s="1"/>
      <c r="AF24" s="20">
        <f t="shared" si="3"/>
        <v>2851781.6152294101</v>
      </c>
      <c r="AG24" s="20"/>
      <c r="AH24" s="215">
        <f t="shared" ca="1" si="12"/>
        <v>0.82726984660972147</v>
      </c>
      <c r="AI24" s="102"/>
      <c r="AM24" s="32"/>
      <c r="AN24" s="252" t="s">
        <v>618</v>
      </c>
      <c r="AO24" s="252"/>
      <c r="AP24" s="20">
        <f t="shared" si="13"/>
        <v>37362256.160175391</v>
      </c>
      <c r="AQ24" s="20"/>
      <c r="AR24" s="132"/>
      <c r="AS24" s="20">
        <v>2547038.5423501278</v>
      </c>
      <c r="AT24" s="20">
        <v>2451993.2492775139</v>
      </c>
      <c r="AU24" s="20">
        <v>3046941.2500750255</v>
      </c>
      <c r="AV24" s="20">
        <v>3354106.8807811439</v>
      </c>
      <c r="AW24" s="20">
        <v>3452392.6097764894</v>
      </c>
      <c r="AX24" s="20">
        <v>3371401.9153289399</v>
      </c>
      <c r="AY24" s="20">
        <v>3321481.8418062022</v>
      </c>
      <c r="AZ24" s="20">
        <v>3360547.8168964591</v>
      </c>
      <c r="BA24" s="20">
        <v>3126238.2076339312</v>
      </c>
      <c r="BB24" s="20">
        <v>3187045.1810383121</v>
      </c>
      <c r="BC24" s="20">
        <v>3355726.0825319393</v>
      </c>
      <c r="BD24" s="20">
        <v>2787342.5826793015</v>
      </c>
      <c r="BE24" s="133"/>
      <c r="BF24" s="102"/>
    </row>
    <row r="25" spans="2:58">
      <c r="B25" s="32"/>
      <c r="C25" s="64" t="s">
        <v>620</v>
      </c>
      <c r="D25" s="64"/>
      <c r="E25" s="32"/>
      <c r="F25" s="20">
        <f t="shared" ca="1" si="0"/>
        <v>0</v>
      </c>
      <c r="G25" s="1"/>
      <c r="H25" s="20">
        <f t="shared" ca="1" si="1"/>
        <v>0</v>
      </c>
      <c r="I25" s="1"/>
      <c r="J25" s="215" t="str">
        <f t="shared" ca="1" si="9"/>
        <v/>
      </c>
      <c r="K25" s="1"/>
      <c r="L25" s="215" t="str">
        <f t="shared" ca="1" si="5"/>
        <v/>
      </c>
      <c r="M25" s="215"/>
      <c r="N25" s="215">
        <f t="shared" ca="1" si="6"/>
        <v>1</v>
      </c>
      <c r="O25" s="1"/>
      <c r="P25" s="20">
        <f t="shared" ca="1" si="2"/>
        <v>-40970.870000000003</v>
      </c>
      <c r="Q25" s="20"/>
      <c r="R25" s="215">
        <f t="shared" ca="1" si="10"/>
        <v>-1.1885189651045652E-2</v>
      </c>
      <c r="S25" s="102"/>
      <c r="U25" s="32"/>
      <c r="V25" s="20">
        <f ca="1">SUM((AS26):OFFSET(AR26,0,$AI$4))</f>
        <v>0</v>
      </c>
      <c r="W25" s="1"/>
      <c r="X25" s="20">
        <f ca="1">SUM(AS85:OFFSET(AR85,0,$AI$4))</f>
        <v>0</v>
      </c>
      <c r="Y25" s="1"/>
      <c r="Z25" s="215" t="str">
        <f t="shared" ca="1" si="11"/>
        <v/>
      </c>
      <c r="AA25" s="1"/>
      <c r="AB25" s="215" t="str">
        <f t="shared" ca="1" si="4"/>
        <v/>
      </c>
      <c r="AC25" s="215"/>
      <c r="AD25" s="215" t="str">
        <f t="shared" ca="1" si="7"/>
        <v/>
      </c>
      <c r="AE25" s="1"/>
      <c r="AF25" s="20">
        <f t="shared" si="3"/>
        <v>0</v>
      </c>
      <c r="AG25" s="20"/>
      <c r="AH25" s="215" t="str">
        <f t="shared" ca="1" si="12"/>
        <v/>
      </c>
      <c r="AI25" s="102"/>
      <c r="AM25" s="32"/>
      <c r="AN25" s="252" t="s">
        <v>619</v>
      </c>
      <c r="AO25" s="252"/>
      <c r="AP25" s="20">
        <f t="shared" si="13"/>
        <v>13654286.467331694</v>
      </c>
      <c r="AQ25" s="20"/>
      <c r="AR25" s="132"/>
      <c r="AS25" s="20">
        <v>2090478.9172723258</v>
      </c>
      <c r="AT25" s="20">
        <v>1956878.9915461005</v>
      </c>
      <c r="AU25" s="20">
        <v>1588490.3400906157</v>
      </c>
      <c r="AV25" s="20">
        <v>1083720.3567848566</v>
      </c>
      <c r="AW25" s="20">
        <v>929145.98256176105</v>
      </c>
      <c r="AX25" s="20">
        <v>834030.4063237058</v>
      </c>
      <c r="AY25" s="20">
        <v>878979.66097200755</v>
      </c>
      <c r="AZ25" s="20">
        <v>877411.52234668611</v>
      </c>
      <c r="BA25" s="20">
        <v>829565.44699926267</v>
      </c>
      <c r="BB25" s="20">
        <v>819457.65612631547</v>
      </c>
      <c r="BC25" s="20">
        <v>897922.99151961319</v>
      </c>
      <c r="BD25" s="20">
        <v>868204.19478844223</v>
      </c>
      <c r="BE25" s="133"/>
      <c r="BF25" s="102"/>
    </row>
    <row r="26" spans="2:58">
      <c r="B26" s="32"/>
      <c r="C26" s="1"/>
      <c r="E26" s="32"/>
      <c r="F26" s="1"/>
      <c r="G26" s="1"/>
      <c r="H26" s="1"/>
      <c r="I26" s="1"/>
      <c r="J26" s="215"/>
      <c r="K26" s="1"/>
      <c r="L26" s="215"/>
      <c r="M26" s="215"/>
      <c r="N26" s="215"/>
      <c r="O26" s="1"/>
      <c r="P26" s="1"/>
      <c r="Q26" s="1"/>
      <c r="R26" s="215"/>
      <c r="S26" s="102"/>
      <c r="U26" s="32"/>
      <c r="V26" s="20"/>
      <c r="W26" s="1"/>
      <c r="X26" s="20"/>
      <c r="Y26" s="1"/>
      <c r="Z26" s="215"/>
      <c r="AA26" s="1"/>
      <c r="AB26" s="215"/>
      <c r="AC26" s="215"/>
      <c r="AD26" s="215"/>
      <c r="AE26" s="1"/>
      <c r="AF26" s="1"/>
      <c r="AG26" s="1"/>
      <c r="AH26" s="215"/>
      <c r="AI26" s="102"/>
      <c r="AM26" s="32"/>
      <c r="AN26" s="252" t="s">
        <v>620</v>
      </c>
      <c r="AO26" s="252"/>
      <c r="AP26" s="20">
        <f t="shared" si="13"/>
        <v>0</v>
      </c>
      <c r="AQ26" s="20"/>
      <c r="AR26" s="132"/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133"/>
      <c r="BF26" s="102"/>
    </row>
    <row r="27" spans="2:58">
      <c r="B27" s="32"/>
      <c r="C27" s="62" t="s">
        <v>174</v>
      </c>
      <c r="D27" s="62"/>
      <c r="E27" s="265"/>
      <c r="F27" s="17">
        <f t="shared" ca="1" si="0"/>
        <v>31426.646815286625</v>
      </c>
      <c r="G27" s="1"/>
      <c r="H27" s="17">
        <f t="shared" ca="1" si="1"/>
        <v>7055.9625097376811</v>
      </c>
      <c r="I27" s="1"/>
      <c r="J27" s="218">
        <f t="shared" ca="1" si="9"/>
        <v>2.5472854846097853E-3</v>
      </c>
      <c r="K27" s="1"/>
      <c r="L27" s="218">
        <f t="shared" ca="1" si="5"/>
        <v>0.22452164722535725</v>
      </c>
      <c r="M27" s="215"/>
      <c r="N27" s="218">
        <f t="shared" ca="1" si="6"/>
        <v>2.3285756311520037E-2</v>
      </c>
      <c r="O27" s="1"/>
      <c r="P27" s="17">
        <f t="shared" ca="1" si="2"/>
        <v>303016.24801625719</v>
      </c>
      <c r="Q27" s="20"/>
      <c r="R27" s="218">
        <f t="shared" ca="1" si="10"/>
        <v>8.790161339072132E-2</v>
      </c>
      <c r="S27" s="102"/>
      <c r="U27" s="32"/>
      <c r="V27" s="17">
        <f ca="1">SUM((AS28):OFFSET(AR28,0,$AI$4))</f>
        <v>43590.446815286625</v>
      </c>
      <c r="W27" s="1"/>
      <c r="X27" s="17">
        <f ca="1">SUM(AS87:OFFSET(AR87,0,$AI$4))</f>
        <v>322192.57359857432</v>
      </c>
      <c r="Y27" s="1"/>
      <c r="Z27" s="218">
        <f t="shared" ca="1" si="11"/>
        <v>0.11631530990195554</v>
      </c>
      <c r="AA27" s="1"/>
      <c r="AB27" s="218">
        <f ca="1">IFERROR(IF((X27/V27)&gt;0,(X27/V27),ABS(X27/V27)+100%),"")</f>
        <v>7.391357444989195</v>
      </c>
      <c r="AC27" s="215"/>
      <c r="AD27" s="218">
        <f t="shared" ca="1" si="7"/>
        <v>8.5241646927005679</v>
      </c>
      <c r="AE27" s="1"/>
      <c r="AF27" s="17">
        <f t="shared" si="3"/>
        <v>37797.553803069408</v>
      </c>
      <c r="AG27" s="20"/>
      <c r="AH27" s="218">
        <f t="shared" ca="1" si="12"/>
        <v>1.0964646230238259E-2</v>
      </c>
      <c r="AI27" s="102"/>
      <c r="AM27" s="32"/>
      <c r="AN27" s="252"/>
      <c r="AO27" s="252"/>
      <c r="AP27" s="20"/>
      <c r="AQ27" s="20"/>
      <c r="AR27" s="132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133"/>
      <c r="BF27" s="102"/>
    </row>
    <row r="28" spans="2:58">
      <c r="B28" s="32"/>
      <c r="C28" s="62" t="s">
        <v>175</v>
      </c>
      <c r="D28" s="62"/>
      <c r="E28" s="265"/>
      <c r="F28" s="113">
        <f t="shared" ca="1" si="0"/>
        <v>0</v>
      </c>
      <c r="G28" s="1"/>
      <c r="H28" s="113">
        <f t="shared" ca="1" si="1"/>
        <v>0</v>
      </c>
      <c r="I28" s="1"/>
      <c r="J28" s="217" t="str">
        <f t="shared" ca="1" si="9"/>
        <v/>
      </c>
      <c r="K28" s="1"/>
      <c r="L28" s="217" t="str">
        <f t="shared" ca="1" si="5"/>
        <v/>
      </c>
      <c r="M28" s="215"/>
      <c r="N28" s="217" t="str">
        <f t="shared" ca="1" si="6"/>
        <v/>
      </c>
      <c r="O28" s="1"/>
      <c r="P28" s="113">
        <f t="shared" ca="1" si="2"/>
        <v>0</v>
      </c>
      <c r="Q28" s="20"/>
      <c r="R28" s="217" t="str">
        <f t="shared" ca="1" si="10"/>
        <v/>
      </c>
      <c r="S28" s="102"/>
      <c r="U28" s="32"/>
      <c r="V28" s="113">
        <f ca="1">SUM((AS29):OFFSET(AR29,0,$AI$4))</f>
        <v>0</v>
      </c>
      <c r="W28" s="1"/>
      <c r="X28" s="113">
        <f ca="1">SUM(AS88:OFFSET(AR88,0,$AI$4))</f>
        <v>0</v>
      </c>
      <c r="Y28" s="1"/>
      <c r="Z28" s="217" t="str">
        <f t="shared" ca="1" si="11"/>
        <v/>
      </c>
      <c r="AA28" s="1"/>
      <c r="AB28" s="217" t="str">
        <f t="shared" ca="1" si="4"/>
        <v/>
      </c>
      <c r="AC28" s="215"/>
      <c r="AD28" s="217" t="str">
        <f t="shared" ca="1" si="7"/>
        <v/>
      </c>
      <c r="AE28" s="1"/>
      <c r="AF28" s="113">
        <f t="shared" si="3"/>
        <v>0</v>
      </c>
      <c r="AG28" s="20"/>
      <c r="AH28" s="217" t="str">
        <f t="shared" ca="1" si="12"/>
        <v/>
      </c>
      <c r="AI28" s="102"/>
      <c r="AM28" s="32"/>
      <c r="AN28" s="36" t="s">
        <v>621</v>
      </c>
      <c r="AO28" s="36"/>
      <c r="AP28" s="20">
        <v>2208505.7536305729</v>
      </c>
      <c r="AQ28" s="20"/>
      <c r="AR28" s="132"/>
      <c r="AS28" s="20">
        <v>0</v>
      </c>
      <c r="AT28" s="20">
        <v>12163.800000000001</v>
      </c>
      <c r="AU28" s="20">
        <v>31426.646815286625</v>
      </c>
      <c r="AV28" s="20">
        <v>47724</v>
      </c>
      <c r="AW28" s="20">
        <v>269998.1468152866</v>
      </c>
      <c r="AX28" s="20">
        <v>278050.5</v>
      </c>
      <c r="AY28" s="20">
        <v>275562.30993630574</v>
      </c>
      <c r="AZ28" s="20">
        <v>273283.92000000004</v>
      </c>
      <c r="BA28" s="20">
        <v>289903.58560509561</v>
      </c>
      <c r="BB28" s="20">
        <v>272764</v>
      </c>
      <c r="BC28" s="20">
        <v>248271.80445859875</v>
      </c>
      <c r="BD28" s="20">
        <v>209357.03999999998</v>
      </c>
      <c r="BE28" s="133"/>
      <c r="BF28" s="102"/>
    </row>
    <row r="29" spans="2:58">
      <c r="B29" s="32"/>
      <c r="C29" s="62" t="s">
        <v>176</v>
      </c>
      <c r="D29" s="62"/>
      <c r="E29" s="265"/>
      <c r="F29" s="20">
        <f t="shared" ca="1" si="0"/>
        <v>0</v>
      </c>
      <c r="G29" s="1"/>
      <c r="H29" s="20">
        <f t="shared" ca="1" si="1"/>
        <v>0</v>
      </c>
      <c r="I29" s="1"/>
      <c r="J29" s="215" t="str">
        <f t="shared" ca="1" si="9"/>
        <v/>
      </c>
      <c r="K29" s="1"/>
      <c r="L29" s="215" t="str">
        <f t="shared" ca="1" si="5"/>
        <v/>
      </c>
      <c r="M29" s="215"/>
      <c r="N29" s="215" t="str">
        <f t="shared" ca="1" si="6"/>
        <v/>
      </c>
      <c r="O29" s="1"/>
      <c r="P29" s="20">
        <f t="shared" ca="1" si="2"/>
        <v>0</v>
      </c>
      <c r="Q29" s="20"/>
      <c r="R29" s="215" t="str">
        <f t="shared" ca="1" si="10"/>
        <v/>
      </c>
      <c r="S29" s="102"/>
      <c r="U29" s="32"/>
      <c r="V29" s="20">
        <f ca="1">SUM((AS30):OFFSET(AR30,0,$AI$4))</f>
        <v>0</v>
      </c>
      <c r="W29" s="1"/>
      <c r="X29" s="20">
        <f ca="1">SUM(AS89:OFFSET(AR89,0,$AI$4))</f>
        <v>0</v>
      </c>
      <c r="Y29" s="1"/>
      <c r="Z29" s="215" t="str">
        <f t="shared" ca="1" si="11"/>
        <v/>
      </c>
      <c r="AA29" s="1"/>
      <c r="AB29" s="215" t="str">
        <f t="shared" ca="1" si="4"/>
        <v/>
      </c>
      <c r="AC29" s="215"/>
      <c r="AD29" s="215" t="str">
        <f t="shared" ca="1" si="7"/>
        <v/>
      </c>
      <c r="AE29" s="1"/>
      <c r="AF29" s="20">
        <f t="shared" si="3"/>
        <v>0</v>
      </c>
      <c r="AG29" s="20"/>
      <c r="AH29" s="215" t="str">
        <f t="shared" ca="1" si="12"/>
        <v/>
      </c>
      <c r="AI29" s="102"/>
      <c r="AM29" s="32"/>
      <c r="AN29" s="36" t="s">
        <v>622</v>
      </c>
      <c r="AO29" s="36"/>
      <c r="AP29" s="20">
        <v>0</v>
      </c>
      <c r="AQ29" s="20"/>
      <c r="AR29" s="132"/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133"/>
      <c r="BF29" s="102"/>
    </row>
    <row r="30" spans="2:58">
      <c r="B30" s="32"/>
      <c r="C30" s="62" t="s">
        <v>177</v>
      </c>
      <c r="D30" s="62"/>
      <c r="E30" s="265"/>
      <c r="F30" s="20">
        <f t="shared" ca="1" si="0"/>
        <v>0</v>
      </c>
      <c r="G30" s="1"/>
      <c r="H30" s="20">
        <f t="shared" ca="1" si="1"/>
        <v>0</v>
      </c>
      <c r="I30" s="1"/>
      <c r="J30" s="215" t="str">
        <f t="shared" ca="1" si="9"/>
        <v/>
      </c>
      <c r="K30" s="1"/>
      <c r="L30" s="215" t="str">
        <f t="shared" ca="1" si="5"/>
        <v/>
      </c>
      <c r="M30" s="215"/>
      <c r="N30" s="215" t="str">
        <f t="shared" ca="1" si="6"/>
        <v/>
      </c>
      <c r="O30" s="1"/>
      <c r="P30" s="20">
        <f t="shared" ca="1" si="2"/>
        <v>0</v>
      </c>
      <c r="Q30" s="20"/>
      <c r="R30" s="215" t="str">
        <f t="shared" ca="1" si="10"/>
        <v/>
      </c>
      <c r="S30" s="102"/>
      <c r="U30" s="32"/>
      <c r="V30" s="20">
        <f ca="1">SUM((AS31):OFFSET(AR31,0,$AI$4))</f>
        <v>0</v>
      </c>
      <c r="W30" s="1"/>
      <c r="X30" s="20">
        <f ca="1">SUM(AS90:OFFSET(AR90,0,$AI$4))</f>
        <v>0</v>
      </c>
      <c r="Y30" s="1"/>
      <c r="Z30" s="215" t="str">
        <f t="shared" ca="1" si="11"/>
        <v/>
      </c>
      <c r="AA30" s="1"/>
      <c r="AB30" s="215" t="str">
        <f t="shared" ca="1" si="4"/>
        <v/>
      </c>
      <c r="AC30" s="215"/>
      <c r="AD30" s="215" t="str">
        <f t="shared" ca="1" si="7"/>
        <v/>
      </c>
      <c r="AE30" s="1"/>
      <c r="AF30" s="20">
        <f t="shared" si="3"/>
        <v>0</v>
      </c>
      <c r="AG30" s="20"/>
      <c r="AH30" s="215" t="str">
        <f t="shared" ca="1" si="12"/>
        <v/>
      </c>
      <c r="AI30" s="102"/>
      <c r="AM30" s="32"/>
      <c r="AN30" s="36" t="s">
        <v>623</v>
      </c>
      <c r="AO30" s="36"/>
      <c r="AP30" s="20">
        <v>0</v>
      </c>
      <c r="AQ30" s="20"/>
      <c r="AR30" s="132"/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133"/>
      <c r="BF30" s="102"/>
    </row>
    <row r="31" spans="2:58">
      <c r="B31" s="32"/>
      <c r="C31" s="62" t="s">
        <v>178</v>
      </c>
      <c r="D31" s="62"/>
      <c r="E31" s="265"/>
      <c r="F31" s="20">
        <f t="shared" ca="1" si="0"/>
        <v>0</v>
      </c>
      <c r="G31" s="1"/>
      <c r="H31" s="20">
        <f t="shared" ca="1" si="1"/>
        <v>0</v>
      </c>
      <c r="I31" s="1"/>
      <c r="J31" s="215" t="str">
        <f t="shared" ca="1" si="9"/>
        <v/>
      </c>
      <c r="K31" s="1"/>
      <c r="L31" s="215" t="str">
        <f t="shared" ca="1" si="5"/>
        <v/>
      </c>
      <c r="M31" s="215"/>
      <c r="N31" s="215" t="str">
        <f t="shared" ca="1" si="6"/>
        <v/>
      </c>
      <c r="O31" s="1"/>
      <c r="P31" s="20">
        <f t="shared" ca="1" si="2"/>
        <v>0</v>
      </c>
      <c r="Q31" s="20"/>
      <c r="R31" s="215" t="str">
        <f t="shared" ca="1" si="10"/>
        <v/>
      </c>
      <c r="S31" s="102"/>
      <c r="U31" s="32"/>
      <c r="V31" s="20">
        <f ca="1">SUM((AS32):OFFSET(AR32,0,$AI$4))</f>
        <v>0</v>
      </c>
      <c r="W31" s="1"/>
      <c r="X31" s="20">
        <f ca="1">SUM(AS91:OFFSET(AR91,0,$AI$4))</f>
        <v>0</v>
      </c>
      <c r="Y31" s="1"/>
      <c r="Z31" s="215" t="str">
        <f t="shared" ca="1" si="11"/>
        <v/>
      </c>
      <c r="AA31" s="1"/>
      <c r="AB31" s="215" t="str">
        <f t="shared" ca="1" si="4"/>
        <v/>
      </c>
      <c r="AC31" s="215"/>
      <c r="AD31" s="215" t="str">
        <f t="shared" ca="1" si="7"/>
        <v/>
      </c>
      <c r="AE31" s="1"/>
      <c r="AF31" s="20">
        <f t="shared" si="3"/>
        <v>0</v>
      </c>
      <c r="AG31" s="20"/>
      <c r="AH31" s="215" t="str">
        <f t="shared" ca="1" si="12"/>
        <v/>
      </c>
      <c r="AI31" s="102"/>
      <c r="AM31" s="32"/>
      <c r="AN31" s="36" t="s">
        <v>624</v>
      </c>
      <c r="AO31" s="36"/>
      <c r="AP31" s="20">
        <v>0</v>
      </c>
      <c r="AQ31" s="20"/>
      <c r="AR31" s="132"/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133"/>
      <c r="BF31" s="102"/>
    </row>
    <row r="32" spans="2:58">
      <c r="B32" s="32"/>
      <c r="C32" s="62"/>
      <c r="D32" s="62"/>
      <c r="E32" s="265"/>
      <c r="F32" s="20">
        <f t="shared" ca="1" si="0"/>
        <v>0</v>
      </c>
      <c r="G32" s="1"/>
      <c r="H32" s="20">
        <f t="shared" ca="1" si="1"/>
        <v>0</v>
      </c>
      <c r="I32" s="1"/>
      <c r="J32" s="215" t="str">
        <f t="shared" ca="1" si="9"/>
        <v/>
      </c>
      <c r="K32" s="1"/>
      <c r="L32" s="215" t="str">
        <f t="shared" ca="1" si="5"/>
        <v/>
      </c>
      <c r="M32" s="215"/>
      <c r="N32" s="215" t="str">
        <f t="shared" ca="1" si="6"/>
        <v/>
      </c>
      <c r="O32" s="1"/>
      <c r="P32" s="20">
        <f t="shared" ca="1" si="2"/>
        <v>0</v>
      </c>
      <c r="Q32" s="20"/>
      <c r="R32" s="215" t="str">
        <f t="shared" ca="1" si="10"/>
        <v/>
      </c>
      <c r="S32" s="102"/>
      <c r="U32" s="32"/>
      <c r="V32" s="20">
        <f ca="1">SUM((AS33):OFFSET(AR33,0,$AI$4))</f>
        <v>0</v>
      </c>
      <c r="W32" s="1"/>
      <c r="X32" s="20">
        <f ca="1">SUM(AS92:OFFSET(AR92,0,$AI$4))</f>
        <v>0</v>
      </c>
      <c r="Y32" s="1"/>
      <c r="Z32" s="215" t="str">
        <f t="shared" ca="1" si="11"/>
        <v/>
      </c>
      <c r="AA32" s="1"/>
      <c r="AB32" s="215" t="str">
        <f t="shared" ca="1" si="4"/>
        <v/>
      </c>
      <c r="AC32" s="215"/>
      <c r="AD32" s="215" t="str">
        <f t="shared" ca="1" si="7"/>
        <v/>
      </c>
      <c r="AE32" s="1"/>
      <c r="AF32" s="20">
        <f t="shared" si="3"/>
        <v>0</v>
      </c>
      <c r="AG32" s="20"/>
      <c r="AH32" s="215" t="str">
        <f t="shared" ca="1" si="12"/>
        <v/>
      </c>
      <c r="AI32" s="102"/>
      <c r="AM32" s="32"/>
      <c r="AN32" s="36" t="s">
        <v>625</v>
      </c>
      <c r="AO32" s="36"/>
      <c r="AP32" s="20">
        <v>0</v>
      </c>
      <c r="AQ32" s="20"/>
      <c r="AR32" s="132"/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133"/>
      <c r="BF32" s="102"/>
    </row>
    <row r="33" spans="2:58">
      <c r="B33" s="32"/>
      <c r="C33" s="260" t="s">
        <v>179</v>
      </c>
      <c r="D33" s="54"/>
      <c r="E33" s="185"/>
      <c r="F33" s="123">
        <f t="shared" ca="1" si="0"/>
        <v>-197422.24834579602</v>
      </c>
      <c r="G33" s="1"/>
      <c r="H33" s="123">
        <f t="shared" ca="1" si="1"/>
        <v>-403408.41091717873</v>
      </c>
      <c r="I33" s="1"/>
      <c r="J33" s="261">
        <f t="shared" ca="1" si="9"/>
        <v>-0.14563518273809989</v>
      </c>
      <c r="K33" s="1"/>
      <c r="L33" s="261">
        <f t="shared" ca="1" si="5"/>
        <v>2.0433786682977417</v>
      </c>
      <c r="M33" s="215"/>
      <c r="N33" s="261">
        <f t="shared" ca="1" si="6"/>
        <v>1.999371783442534</v>
      </c>
      <c r="O33" s="1"/>
      <c r="P33" s="123">
        <f t="shared" ca="1" si="2"/>
        <v>403661.99806798482</v>
      </c>
      <c r="Q33" s="20"/>
      <c r="R33" s="261">
        <f t="shared" ca="1" si="10"/>
        <v>0.1170978161302902</v>
      </c>
      <c r="S33" s="102"/>
      <c r="U33" s="32"/>
      <c r="V33" s="123">
        <f ca="1">SUM((AS34):OFFSET(AR34,0,$AI$4))</f>
        <v>-982794.62422867538</v>
      </c>
      <c r="W33" s="1"/>
      <c r="X33" s="123">
        <f ca="1">SUM(AS93:OFFSET(AR93,0,$AI$4))</f>
        <v>-120068.01055557048</v>
      </c>
      <c r="Y33" s="1"/>
      <c r="Z33" s="261">
        <f t="shared" ca="1" si="11"/>
        <v>-4.3345964499115465E-2</v>
      </c>
      <c r="AA33" s="1"/>
      <c r="AB33" s="261">
        <f ca="1">IFERROR(IF((X33/V33)&gt;0,(X33/V33),ABS(X33/V33)+100%),"")</f>
        <v>0.12216999116148321</v>
      </c>
      <c r="AC33" s="215"/>
      <c r="AD33" s="261">
        <f t="shared" ca="1" si="7"/>
        <v>1.1604125219042085</v>
      </c>
      <c r="AE33" s="1"/>
      <c r="AF33" s="123">
        <f t="shared" si="3"/>
        <v>748495.24918802758</v>
      </c>
      <c r="AG33" s="20"/>
      <c r="AH33" s="261">
        <f t="shared" ca="1" si="12"/>
        <v>0.2171300728909682</v>
      </c>
      <c r="AI33" s="102"/>
      <c r="AM33" s="32"/>
      <c r="AN33" s="36"/>
      <c r="AO33" s="36"/>
      <c r="AP33" s="20"/>
      <c r="AQ33" s="20"/>
      <c r="AR33" s="132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133"/>
      <c r="BF33" s="102"/>
    </row>
    <row r="34" spans="2:58">
      <c r="B34" s="32"/>
      <c r="C34" s="62"/>
      <c r="D34" s="62"/>
      <c r="E34" s="265"/>
      <c r="F34" s="20">
        <f t="shared" ca="1" si="0"/>
        <v>0</v>
      </c>
      <c r="G34" s="1"/>
      <c r="H34" s="20">
        <f t="shared" ca="1" si="1"/>
        <v>0</v>
      </c>
      <c r="I34" s="1"/>
      <c r="J34" s="215"/>
      <c r="K34" s="1"/>
      <c r="L34" s="215"/>
      <c r="M34" s="215"/>
      <c r="N34" s="215"/>
      <c r="O34" s="1"/>
      <c r="P34" s="20">
        <f t="shared" ca="1" si="2"/>
        <v>0</v>
      </c>
      <c r="Q34" s="20"/>
      <c r="R34" s="215"/>
      <c r="S34" s="102"/>
      <c r="U34" s="32"/>
      <c r="V34" s="20"/>
      <c r="W34" s="1"/>
      <c r="X34" s="20"/>
      <c r="Y34" s="1"/>
      <c r="Z34" s="215"/>
      <c r="AA34" s="1"/>
      <c r="AB34" s="215"/>
      <c r="AC34" s="215"/>
      <c r="AD34" s="215"/>
      <c r="AE34" s="1"/>
      <c r="AF34" s="20"/>
      <c r="AG34" s="20"/>
      <c r="AH34" s="215"/>
      <c r="AI34" s="102"/>
      <c r="AM34" s="32"/>
      <c r="AN34" s="255" t="s">
        <v>179</v>
      </c>
      <c r="AO34" s="256"/>
      <c r="AP34" s="123">
        <f>SUM(AS34:BD34)</f>
        <v>13406960.125181148</v>
      </c>
      <c r="AQ34" s="20"/>
      <c r="AR34" s="132"/>
      <c r="AS34" s="123">
        <f>AS14-AS21</f>
        <v>-214003.00087914011</v>
      </c>
      <c r="AT34" s="123">
        <f t="shared" ref="AT34:BD34" si="15">AT14-AT21</f>
        <v>-571369.37500373926</v>
      </c>
      <c r="AU34" s="123">
        <f t="shared" si="15"/>
        <v>-197422.24834579602</v>
      </c>
      <c r="AV34" s="123">
        <f t="shared" si="15"/>
        <v>800644.13591309777</v>
      </c>
      <c r="AW34" s="123">
        <f t="shared" si="15"/>
        <v>821660.06918512797</v>
      </c>
      <c r="AX34" s="123">
        <f t="shared" si="15"/>
        <v>1721676.6984330043</v>
      </c>
      <c r="AY34" s="123">
        <f t="shared" si="15"/>
        <v>1995727.7929057945</v>
      </c>
      <c r="AZ34" s="123">
        <f t="shared" si="15"/>
        <v>2502464.5744782202</v>
      </c>
      <c r="BA34" s="123">
        <f t="shared" si="15"/>
        <v>2190670.99141355</v>
      </c>
      <c r="BB34" s="123">
        <f t="shared" si="15"/>
        <v>2051597.2080887412</v>
      </c>
      <c r="BC34" s="123">
        <f t="shared" si="15"/>
        <v>1206926.6484027589</v>
      </c>
      <c r="BD34" s="123">
        <f t="shared" si="15"/>
        <v>1098386.6305895275</v>
      </c>
      <c r="BE34" s="133"/>
      <c r="BF34" s="102"/>
    </row>
    <row r="35" spans="2:58">
      <c r="B35" s="32"/>
      <c r="C35" s="54" t="s">
        <v>180</v>
      </c>
      <c r="D35" s="54"/>
      <c r="E35" s="185"/>
      <c r="F35" s="17">
        <f t="shared" ca="1" si="0"/>
        <v>243250.68307153671</v>
      </c>
      <c r="G35" s="1"/>
      <c r="H35" s="17">
        <f t="shared" ca="1" si="1"/>
        <v>321928.59288032603</v>
      </c>
      <c r="I35" s="1"/>
      <c r="J35" s="218">
        <f t="shared" ca="1" si="9"/>
        <v>0.11622000975674038</v>
      </c>
      <c r="K35" s="1"/>
      <c r="L35" s="218">
        <f t="shared" ca="1" si="5"/>
        <v>1.3234437363764822</v>
      </c>
      <c r="M35" s="215"/>
      <c r="N35" s="218">
        <f t="shared" ca="1" si="6"/>
        <v>1.269785474575565</v>
      </c>
      <c r="O35" s="1"/>
      <c r="P35" s="17">
        <f t="shared" ca="1" si="2"/>
        <v>253529.90668595655</v>
      </c>
      <c r="Q35" s="20"/>
      <c r="R35" s="218">
        <f t="shared" ca="1" si="10"/>
        <v>7.3546181059237964E-2</v>
      </c>
      <c r="S35" s="102"/>
      <c r="U35" s="32"/>
      <c r="V35" s="17">
        <f ca="1">SUM((AS36):OFFSET(AR36,0,$AI$4))</f>
        <v>412822.95813936379</v>
      </c>
      <c r="W35" s="1"/>
      <c r="X35" s="17">
        <f ca="1">SUM(AS95:OFFSET(AR95,0,$AI$4))</f>
        <v>536379.86573815055</v>
      </c>
      <c r="Y35" s="1"/>
      <c r="Z35" s="218">
        <f t="shared" ca="1" si="11"/>
        <v>0.19363944243554829</v>
      </c>
      <c r="AA35" s="1"/>
      <c r="AB35" s="218">
        <f ca="1">IFERROR(IF((X35/V35)&gt;0,(X35/V35),ABS(X35/V35)+100%),"")</f>
        <v>1.2992975685162247</v>
      </c>
      <c r="AC35" s="215"/>
      <c r="AD35" s="218">
        <f t="shared" ca="1" si="7"/>
        <v>3.0452883758039735</v>
      </c>
      <c r="AE35" s="1"/>
      <c r="AF35" s="17">
        <f t="shared" si="3"/>
        <v>176134.34248129069</v>
      </c>
      <c r="AG35" s="20"/>
      <c r="AH35" s="218">
        <f t="shared" ca="1" si="12"/>
        <v>5.1094596342532307E-2</v>
      </c>
      <c r="AI35" s="102"/>
      <c r="AM35" s="32"/>
      <c r="AN35" s="251"/>
      <c r="AO35" s="251"/>
      <c r="AP35" s="20"/>
      <c r="AQ35" s="20"/>
      <c r="AR35" s="132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133"/>
      <c r="BF35" s="102"/>
    </row>
    <row r="36" spans="2:58">
      <c r="B36" s="32"/>
      <c r="C36" s="62" t="s">
        <v>181</v>
      </c>
      <c r="D36" s="62"/>
      <c r="E36" s="265"/>
      <c r="F36" s="20">
        <f t="shared" ca="1" si="0"/>
        <v>25230.958736624507</v>
      </c>
      <c r="G36" s="1"/>
      <c r="H36" s="20">
        <f t="shared" ca="1" si="1"/>
        <v>26739.633847950397</v>
      </c>
      <c r="I36" s="1"/>
      <c r="J36" s="215">
        <f t="shared" ca="1" si="9"/>
        <v>9.653322430591655E-3</v>
      </c>
      <c r="K36" s="1"/>
      <c r="L36" s="215">
        <f t="shared" ca="1" si="5"/>
        <v>1.0597946010325776</v>
      </c>
      <c r="M36" s="215"/>
      <c r="N36" s="215">
        <f t="shared" ca="1" si="6"/>
        <v>0.91021950446421429</v>
      </c>
      <c r="O36" s="1"/>
      <c r="P36" s="20">
        <f t="shared" ca="1" si="2"/>
        <v>29377.126854351733</v>
      </c>
      <c r="Q36" s="20"/>
      <c r="R36" s="215">
        <f t="shared" ca="1" si="10"/>
        <v>8.5219748584005293E-3</v>
      </c>
      <c r="S36" s="102"/>
      <c r="U36" s="32"/>
      <c r="V36" s="20">
        <f ca="1">SUM((AS37):OFFSET(AR37,0,$AI$4))</f>
        <v>77608.59172171347</v>
      </c>
      <c r="W36" s="1"/>
      <c r="X36" s="20">
        <f ca="1">SUM(AS96:OFFSET(AR96,0,$AI$4))</f>
        <v>81288.853473627096</v>
      </c>
      <c r="Y36" s="1"/>
      <c r="Z36" s="215">
        <f t="shared" ca="1" si="11"/>
        <v>2.9346232527196366E-2</v>
      </c>
      <c r="AA36" s="1"/>
      <c r="AB36" s="215">
        <f ca="1">IFERROR(IF((X36/V36)&gt;0,(X36/V36),ABS(X36/V36)+100%),"")</f>
        <v>1.0474208031645542</v>
      </c>
      <c r="AC36" s="215"/>
      <c r="AD36" s="215">
        <f t="shared" ca="1" si="7"/>
        <v>1.6995688973811744</v>
      </c>
      <c r="AE36" s="1"/>
      <c r="AF36" s="20">
        <f t="shared" si="3"/>
        <v>47829.101602696523</v>
      </c>
      <c r="AG36" s="20"/>
      <c r="AH36" s="215">
        <f t="shared" ca="1" si="12"/>
        <v>1.3874685682466097E-2</v>
      </c>
      <c r="AI36" s="102"/>
      <c r="AM36" s="32"/>
      <c r="AN36" s="251" t="s">
        <v>632</v>
      </c>
      <c r="AO36" s="251"/>
      <c r="AP36" s="17">
        <f t="shared" ref="AP36:AP41" si="16">SUM(AS36:BD36)</f>
        <v>2016756.6641509645</v>
      </c>
      <c r="AQ36" s="20"/>
      <c r="AR36" s="132"/>
      <c r="AS36" s="17">
        <f>SUM(AS37:AS41)</f>
        <v>90172.989924136287</v>
      </c>
      <c r="AT36" s="17">
        <f t="shared" ref="AT36:BD36" si="17">SUM(AT37:AT41)</f>
        <v>79399.285143690824</v>
      </c>
      <c r="AU36" s="17">
        <f t="shared" si="17"/>
        <v>243250.68307153671</v>
      </c>
      <c r="AV36" s="17">
        <f t="shared" si="17"/>
        <v>69182.134197312727</v>
      </c>
      <c r="AW36" s="17">
        <f t="shared" si="17"/>
        <v>69898.64457832856</v>
      </c>
      <c r="AX36" s="17">
        <f t="shared" si="17"/>
        <v>387711.59040352941</v>
      </c>
      <c r="AY36" s="17">
        <f t="shared" si="17"/>
        <v>70168.736901453405</v>
      </c>
      <c r="AZ36" s="17">
        <f t="shared" si="17"/>
        <v>68644.246729079285</v>
      </c>
      <c r="BA36" s="17">
        <f t="shared" si="17"/>
        <v>425738.47992186487</v>
      </c>
      <c r="BB36" s="17">
        <f t="shared" si="17"/>
        <v>67967.658324656426</v>
      </c>
      <c r="BC36" s="17">
        <f t="shared" si="17"/>
        <v>68724.400001321235</v>
      </c>
      <c r="BD36" s="17">
        <f t="shared" si="17"/>
        <v>375897.81495405466</v>
      </c>
      <c r="BE36" s="133"/>
      <c r="BF36" s="102"/>
    </row>
    <row r="37" spans="2:58">
      <c r="B37" s="32"/>
      <c r="C37" s="62" t="s">
        <v>174</v>
      </c>
      <c r="D37" s="62"/>
      <c r="E37" s="265"/>
      <c r="F37" s="20">
        <f t="shared" ca="1" si="0"/>
        <v>0</v>
      </c>
      <c r="G37" s="1"/>
      <c r="H37" s="20">
        <f t="shared" ca="1" si="1"/>
        <v>0</v>
      </c>
      <c r="I37" s="1"/>
      <c r="J37" s="215" t="str">
        <f t="shared" ca="1" si="9"/>
        <v/>
      </c>
      <c r="K37" s="1"/>
      <c r="L37" s="215" t="str">
        <f t="shared" ca="1" si="5"/>
        <v/>
      </c>
      <c r="M37" s="215"/>
      <c r="N37" s="215" t="str">
        <f t="shared" ca="1" si="6"/>
        <v/>
      </c>
      <c r="O37" s="1"/>
      <c r="P37" s="20">
        <f t="shared" ca="1" si="2"/>
        <v>0</v>
      </c>
      <c r="Q37" s="20"/>
      <c r="R37" s="215" t="str">
        <f t="shared" ca="1" si="10"/>
        <v/>
      </c>
      <c r="S37" s="102"/>
      <c r="U37" s="32"/>
      <c r="V37" s="20">
        <f ca="1">SUM((AS38):OFFSET(AR38,0,$AI$4))</f>
        <v>0</v>
      </c>
      <c r="W37" s="1"/>
      <c r="X37" s="20">
        <f ca="1">SUM(AS97:OFFSET(AR97,0,$AI$4))</f>
        <v>0</v>
      </c>
      <c r="Y37" s="1"/>
      <c r="Z37" s="215" t="str">
        <f t="shared" ca="1" si="11"/>
        <v/>
      </c>
      <c r="AA37" s="1"/>
      <c r="AB37" s="215" t="str">
        <f t="shared" ca="1" si="4"/>
        <v/>
      </c>
      <c r="AC37" s="215"/>
      <c r="AD37" s="215" t="str">
        <f t="shared" ca="1" si="7"/>
        <v/>
      </c>
      <c r="AE37" s="1"/>
      <c r="AF37" s="20">
        <f t="shared" si="3"/>
        <v>0</v>
      </c>
      <c r="AG37" s="20"/>
      <c r="AH37" s="215" t="str">
        <f t="shared" ca="1" si="12"/>
        <v/>
      </c>
      <c r="AI37" s="102"/>
      <c r="AM37" s="32"/>
      <c r="AN37" s="36" t="s">
        <v>626</v>
      </c>
      <c r="AO37" s="36"/>
      <c r="AP37" s="20">
        <f t="shared" si="16"/>
        <v>326026.78529232857</v>
      </c>
      <c r="AQ37" s="20"/>
      <c r="AR37" s="132"/>
      <c r="AS37" s="20">
        <v>27451.57228293928</v>
      </c>
      <c r="AT37" s="20">
        <v>24926.060702149683</v>
      </c>
      <c r="AU37" s="20">
        <v>25230.958736624507</v>
      </c>
      <c r="AV37" s="20">
        <v>24743.121881464791</v>
      </c>
      <c r="AW37" s="20">
        <v>25688.305788336736</v>
      </c>
      <c r="AX37" s="20">
        <v>36692.232112775688</v>
      </c>
      <c r="AY37" s="20">
        <v>25993.203822811556</v>
      </c>
      <c r="AZ37" s="20">
        <v>24240.040124581334</v>
      </c>
      <c r="BA37" s="20">
        <v>25916.979314192849</v>
      </c>
      <c r="BB37" s="20">
        <v>24240.040124581334</v>
      </c>
      <c r="BC37" s="20">
        <v>25398.652655585662</v>
      </c>
      <c r="BD37" s="20">
        <v>35505.617746285192</v>
      </c>
      <c r="BE37" s="133"/>
      <c r="BF37" s="102"/>
    </row>
    <row r="38" spans="2:58">
      <c r="B38" s="32"/>
      <c r="C38" s="62" t="s">
        <v>182</v>
      </c>
      <c r="D38" s="62"/>
      <c r="E38" s="265"/>
      <c r="F38" s="20">
        <f t="shared" ca="1" si="0"/>
        <v>0</v>
      </c>
      <c r="G38" s="1"/>
      <c r="H38" s="20">
        <f t="shared" ca="1" si="1"/>
        <v>0</v>
      </c>
      <c r="I38" s="1"/>
      <c r="J38" s="215" t="str">
        <f t="shared" ca="1" si="9"/>
        <v/>
      </c>
      <c r="K38" s="1"/>
      <c r="L38" s="215" t="str">
        <f t="shared" ca="1" si="5"/>
        <v/>
      </c>
      <c r="M38" s="215"/>
      <c r="N38" s="215" t="str">
        <f t="shared" ca="1" si="6"/>
        <v/>
      </c>
      <c r="O38" s="1"/>
      <c r="P38" s="20">
        <f t="shared" ca="1" si="2"/>
        <v>0</v>
      </c>
      <c r="Q38" s="20"/>
      <c r="R38" s="215" t="str">
        <f t="shared" ca="1" si="10"/>
        <v/>
      </c>
      <c r="S38" s="102"/>
      <c r="U38" s="32"/>
      <c r="V38" s="20">
        <f ca="1">SUM((AS39):OFFSET(AR39,0,$AI$4))</f>
        <v>0</v>
      </c>
      <c r="W38" s="1"/>
      <c r="X38" s="20">
        <f ca="1">SUM(AS98:OFFSET(AR98,0,$AI$4))</f>
        <v>0</v>
      </c>
      <c r="Y38" s="1"/>
      <c r="Z38" s="215" t="str">
        <f t="shared" ca="1" si="11"/>
        <v/>
      </c>
      <c r="AA38" s="1"/>
      <c r="AB38" s="215" t="str">
        <f t="shared" ca="1" si="4"/>
        <v/>
      </c>
      <c r="AC38" s="215"/>
      <c r="AD38" s="215" t="str">
        <f t="shared" ca="1" si="7"/>
        <v/>
      </c>
      <c r="AE38" s="1"/>
      <c r="AF38" s="20">
        <f t="shared" si="3"/>
        <v>0</v>
      </c>
      <c r="AG38" s="20"/>
      <c r="AH38" s="215" t="str">
        <f t="shared" ca="1" si="12"/>
        <v/>
      </c>
      <c r="AI38" s="102"/>
      <c r="AM38" s="32"/>
      <c r="AN38" s="36" t="s">
        <v>621</v>
      </c>
      <c r="AO38" s="36"/>
      <c r="AP38" s="20">
        <f t="shared" si="16"/>
        <v>0</v>
      </c>
      <c r="AQ38" s="20"/>
      <c r="AR38" s="132"/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133"/>
      <c r="BF38" s="102"/>
    </row>
    <row r="39" spans="2:58">
      <c r="B39" s="32"/>
      <c r="C39" s="62" t="s">
        <v>188</v>
      </c>
      <c r="D39" s="62"/>
      <c r="E39" s="265"/>
      <c r="F39" s="20">
        <f t="shared" ca="1" si="0"/>
        <v>146209.70800000001</v>
      </c>
      <c r="G39" s="1"/>
      <c r="H39" s="20">
        <f t="shared" ca="1" si="1"/>
        <v>194664.95059889596</v>
      </c>
      <c r="I39" s="1"/>
      <c r="J39" s="215">
        <f t="shared" ca="1" si="9"/>
        <v>7.0276337542683948E-2</v>
      </c>
      <c r="K39" s="1"/>
      <c r="L39" s="215">
        <f t="shared" ca="1" si="5"/>
        <v>1.331409201630414</v>
      </c>
      <c r="M39" s="215"/>
      <c r="N39" s="215">
        <f t="shared" ca="1" si="6"/>
        <v>1.172151686675299</v>
      </c>
      <c r="O39" s="1"/>
      <c r="P39" s="20">
        <f t="shared" ca="1" si="2"/>
        <v>166074.87990828668</v>
      </c>
      <c r="Q39" s="20"/>
      <c r="R39" s="215">
        <f t="shared" ca="1" si="10"/>
        <v>4.8176459127780742E-2</v>
      </c>
      <c r="S39" s="102"/>
      <c r="U39" s="32"/>
      <c r="V39" s="20">
        <f ca="1">SUM((AS40):OFFSET(AR40,0,$AI$4))</f>
        <v>146209.70800000001</v>
      </c>
      <c r="W39" s="1"/>
      <c r="X39" s="20">
        <f ca="1">SUM(AS99:OFFSET(AR99,0,$AI$4))</f>
        <v>194664.95059889596</v>
      </c>
      <c r="Y39" s="1"/>
      <c r="Z39" s="215">
        <f t="shared" ca="1" si="11"/>
        <v>7.0276337542683948E-2</v>
      </c>
      <c r="AA39" s="1"/>
      <c r="AB39" s="215">
        <f t="shared" ca="1" si="4"/>
        <v>1.331409201630414</v>
      </c>
      <c r="AC39" s="215"/>
      <c r="AD39" s="215" t="str">
        <f t="shared" ca="1" si="7"/>
        <v/>
      </c>
      <c r="AE39" s="1"/>
      <c r="AF39" s="20">
        <f t="shared" si="3"/>
        <v>0</v>
      </c>
      <c r="AG39" s="20"/>
      <c r="AH39" s="215" t="str">
        <f t="shared" ca="1" si="12"/>
        <v/>
      </c>
      <c r="AI39" s="102"/>
      <c r="AM39" s="32"/>
      <c r="AN39" s="36" t="s">
        <v>627</v>
      </c>
      <c r="AO39" s="36"/>
      <c r="AP39" s="20">
        <f t="shared" si="16"/>
        <v>0</v>
      </c>
      <c r="AQ39" s="20"/>
      <c r="AR39" s="132"/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133"/>
      <c r="BF39" s="102"/>
    </row>
    <row r="40" spans="2:58">
      <c r="B40" s="32"/>
      <c r="C40" s="62" t="s">
        <v>183</v>
      </c>
      <c r="D40" s="62"/>
      <c r="E40" s="265"/>
      <c r="F40" s="20">
        <f t="shared" ca="1" si="0"/>
        <v>71810.016334912187</v>
      </c>
      <c r="G40" s="1"/>
      <c r="H40" s="20">
        <f t="shared" ca="1" si="1"/>
        <v>100524.00843347964</v>
      </c>
      <c r="I40" s="1"/>
      <c r="J40" s="215">
        <f t="shared" ca="1" si="9"/>
        <v>3.6290349783464765E-2</v>
      </c>
      <c r="K40" s="1"/>
      <c r="L40" s="215">
        <f t="shared" ca="1" si="5"/>
        <v>1.3998605426386381</v>
      </c>
      <c r="M40" s="215"/>
      <c r="N40" s="215">
        <f t="shared" ca="1" si="6"/>
        <v>1.7308478537654473</v>
      </c>
      <c r="O40" s="1"/>
      <c r="P40" s="20">
        <f t="shared" ca="1" si="2"/>
        <v>58077.899923318146</v>
      </c>
      <c r="Q40" s="20"/>
      <c r="R40" s="215">
        <f t="shared" ca="1" si="10"/>
        <v>1.6847747073056685E-2</v>
      </c>
      <c r="S40" s="102"/>
      <c r="U40" s="32"/>
      <c r="V40" s="20">
        <f ca="1">SUM((AS41):OFFSET(AR41,0,$AI$4))</f>
        <v>189004.65841765035</v>
      </c>
      <c r="W40" s="1"/>
      <c r="X40" s="20">
        <f ca="1">SUM(AS100:OFFSET(AR100,0,$AI$4))</f>
        <v>260426.06166562747</v>
      </c>
      <c r="Y40" s="1"/>
      <c r="Z40" s="215">
        <f t="shared" ca="1" si="11"/>
        <v>9.4016872365667956E-2</v>
      </c>
      <c r="AA40" s="1"/>
      <c r="AB40" s="215">
        <f ca="1">IFERROR(IF((X40/V40)&gt;0,(X40/V40),ABS(X40/V40)+100%),"")</f>
        <v>1.3778817085563821</v>
      </c>
      <c r="AC40" s="215"/>
      <c r="AD40" s="215">
        <f t="shared" ca="1" si="7"/>
        <v>2.0297383012752337</v>
      </c>
      <c r="AE40" s="1"/>
      <c r="AF40" s="20">
        <f t="shared" si="3"/>
        <v>128305.2408785942</v>
      </c>
      <c r="AG40" s="20"/>
      <c r="AH40" s="215">
        <f t="shared" ca="1" si="12"/>
        <v>3.7219910660066219E-2</v>
      </c>
      <c r="AI40" s="102"/>
      <c r="AM40" s="32"/>
      <c r="AN40" s="36" t="s">
        <v>628</v>
      </c>
      <c r="AO40" s="36"/>
      <c r="AP40" s="20">
        <f t="shared" si="16"/>
        <v>1078034.4944000002</v>
      </c>
      <c r="AQ40" s="20"/>
      <c r="AR40" s="132"/>
      <c r="AS40" s="20">
        <v>0</v>
      </c>
      <c r="AT40" s="20">
        <v>0</v>
      </c>
      <c r="AU40" s="20">
        <v>146209.70800000001</v>
      </c>
      <c r="AV40" s="20">
        <v>0</v>
      </c>
      <c r="AW40" s="20">
        <v>0</v>
      </c>
      <c r="AX40" s="20">
        <v>297442.2978</v>
      </c>
      <c r="AY40" s="20">
        <v>0</v>
      </c>
      <c r="AZ40" s="20">
        <v>0</v>
      </c>
      <c r="BA40" s="20">
        <v>346806.9200000001</v>
      </c>
      <c r="BB40" s="20">
        <v>0</v>
      </c>
      <c r="BC40" s="20">
        <v>0</v>
      </c>
      <c r="BD40" s="20">
        <v>287575.5686</v>
      </c>
      <c r="BE40" s="133"/>
      <c r="BF40" s="102"/>
    </row>
    <row r="41" spans="2:58">
      <c r="B41" s="32"/>
      <c r="C41" s="1"/>
      <c r="E41" s="32"/>
      <c r="F41" s="20"/>
      <c r="G41" s="1"/>
      <c r="H41" s="20"/>
      <c r="I41" s="1"/>
      <c r="J41" s="215"/>
      <c r="K41" s="1"/>
      <c r="L41" s="215"/>
      <c r="M41" s="215"/>
      <c r="N41" s="215"/>
      <c r="O41" s="1"/>
      <c r="P41" s="20"/>
      <c r="Q41" s="20"/>
      <c r="R41" s="215"/>
      <c r="S41" s="102"/>
      <c r="U41" s="32"/>
      <c r="V41" s="20"/>
      <c r="W41" s="1"/>
      <c r="X41" s="20"/>
      <c r="Y41" s="1"/>
      <c r="Z41" s="215"/>
      <c r="AA41" s="1"/>
      <c r="AB41" s="215"/>
      <c r="AC41" s="215"/>
      <c r="AD41" s="215"/>
      <c r="AE41" s="1"/>
      <c r="AF41" s="20"/>
      <c r="AG41" s="20"/>
      <c r="AH41" s="215"/>
      <c r="AI41" s="102"/>
      <c r="AM41" s="32"/>
      <c r="AN41" s="36" t="s">
        <v>629</v>
      </c>
      <c r="AO41" s="36"/>
      <c r="AP41" s="20">
        <f t="shared" si="16"/>
        <v>612695.38445863582</v>
      </c>
      <c r="AQ41" s="20"/>
      <c r="AR41" s="132"/>
      <c r="AS41" s="20">
        <v>62721.417641197011</v>
      </c>
      <c r="AT41" s="20">
        <v>54473.224441541148</v>
      </c>
      <c r="AU41" s="20">
        <v>71810.016334912187</v>
      </c>
      <c r="AV41" s="20">
        <v>44439.01231584794</v>
      </c>
      <c r="AW41" s="20">
        <v>44210.338789991831</v>
      </c>
      <c r="AX41" s="20">
        <v>53577.06049075372</v>
      </c>
      <c r="AY41" s="20">
        <v>44175.533078641849</v>
      </c>
      <c r="AZ41" s="20">
        <v>44404.206604497958</v>
      </c>
      <c r="BA41" s="20">
        <v>53014.580607671953</v>
      </c>
      <c r="BB41" s="20">
        <v>43727.6182000751</v>
      </c>
      <c r="BC41" s="20">
        <v>43325.747345735574</v>
      </c>
      <c r="BD41" s="20">
        <v>52816.628607769511</v>
      </c>
      <c r="BE41" s="133"/>
      <c r="BF41" s="102"/>
    </row>
    <row r="42" spans="2:58">
      <c r="B42" s="32"/>
      <c r="C42" s="54" t="s">
        <v>184</v>
      </c>
      <c r="D42" s="54"/>
      <c r="E42" s="185"/>
      <c r="F42" s="123">
        <f t="shared" ca="1" si="0"/>
        <v>-440672.93141733273</v>
      </c>
      <c r="G42" s="1"/>
      <c r="H42" s="123">
        <f t="shared" ca="1" si="1"/>
        <v>-725337.00379750493</v>
      </c>
      <c r="I42" s="1"/>
      <c r="J42" s="261">
        <f t="shared" ca="1" si="9"/>
        <v>-0.26185519249484035</v>
      </c>
      <c r="K42" s="1"/>
      <c r="L42" s="261">
        <f t="shared" ca="1" si="5"/>
        <v>1.6459758521237269</v>
      </c>
      <c r="M42" s="215"/>
      <c r="N42" s="261">
        <f t="shared" ca="1" si="6"/>
        <v>5.8313255155541794</v>
      </c>
      <c r="O42" s="1"/>
      <c r="P42" s="123">
        <f t="shared" ca="1" si="2"/>
        <v>150132.09138202827</v>
      </c>
      <c r="Q42" s="20"/>
      <c r="R42" s="261">
        <f t="shared" ca="1" si="10"/>
        <v>4.3551635071052253E-2</v>
      </c>
      <c r="S42" s="102"/>
      <c r="U42" s="32"/>
      <c r="V42" s="123">
        <f ca="1">SUM((AS43):OFFSET(AR43,0,$AI$4))</f>
        <v>-1395617.5823680393</v>
      </c>
      <c r="W42" s="1"/>
      <c r="X42" s="123">
        <f ca="1">SUM(AS102:OFFSET(AR102,0,$AI$4))</f>
        <v>-656447.98580242298</v>
      </c>
      <c r="Y42" s="1"/>
      <c r="Z42" s="261">
        <f t="shared" ca="1" si="11"/>
        <v>-0.2369854464685936</v>
      </c>
      <c r="AA42" s="1"/>
      <c r="AB42" s="261">
        <f t="shared" ca="1" si="4"/>
        <v>0.47036379742979667</v>
      </c>
      <c r="AC42" s="215"/>
      <c r="AD42" s="261">
        <f t="shared" ca="1" si="7"/>
        <v>2.1469126876248561</v>
      </c>
      <c r="AE42" s="1"/>
      <c r="AF42" s="123">
        <f t="shared" si="3"/>
        <v>572360.90670673689</v>
      </c>
      <c r="AG42" s="20"/>
      <c r="AH42" s="261">
        <f t="shared" ca="1" si="12"/>
        <v>0.16603547654843587</v>
      </c>
      <c r="AI42" s="102"/>
      <c r="AM42" s="32"/>
      <c r="AN42" s="36"/>
      <c r="AO42" s="36"/>
      <c r="AP42" s="20"/>
      <c r="AQ42" s="20"/>
      <c r="AR42" s="132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133"/>
      <c r="BF42" s="102"/>
    </row>
    <row r="43" spans="2:58">
      <c r="B43" s="104"/>
      <c r="C43" s="66"/>
      <c r="D43" s="66"/>
      <c r="E43" s="266"/>
      <c r="F43" s="20">
        <f t="shared" ca="1" si="0"/>
        <v>0</v>
      </c>
      <c r="G43" s="1"/>
      <c r="H43" s="20">
        <f t="shared" ca="1" si="1"/>
        <v>0</v>
      </c>
      <c r="I43" s="1"/>
      <c r="J43" s="215"/>
      <c r="K43" s="1"/>
      <c r="L43" s="215"/>
      <c r="M43" s="215"/>
      <c r="N43" s="215"/>
      <c r="O43" s="1"/>
      <c r="P43" s="20">
        <f t="shared" ca="1" si="2"/>
        <v>0</v>
      </c>
      <c r="Q43" s="20"/>
      <c r="R43" s="215"/>
      <c r="S43" s="102"/>
      <c r="U43" s="32"/>
      <c r="V43" s="20"/>
      <c r="W43" s="1"/>
      <c r="X43" s="20"/>
      <c r="Y43" s="1"/>
      <c r="Z43" s="215"/>
      <c r="AA43" s="1"/>
      <c r="AB43" s="215"/>
      <c r="AC43" s="215"/>
      <c r="AD43" s="215"/>
      <c r="AE43" s="1"/>
      <c r="AF43" s="20"/>
      <c r="AG43" s="20"/>
      <c r="AH43" s="215"/>
      <c r="AI43" s="102"/>
      <c r="AM43" s="32"/>
      <c r="AN43" s="251" t="s">
        <v>184</v>
      </c>
      <c r="AO43" s="251"/>
      <c r="AP43" s="123">
        <f>SUM(AS43:BD43)</f>
        <v>11390203.461030181</v>
      </c>
      <c r="AQ43" s="20"/>
      <c r="AR43" s="132"/>
      <c r="AS43" s="123">
        <f>AS34-AS36</f>
        <v>-304175.99080327642</v>
      </c>
      <c r="AT43" s="123">
        <f t="shared" ref="AT43:BD43" si="18">AT34-AT36</f>
        <v>-650768.66014743014</v>
      </c>
      <c r="AU43" s="123">
        <f t="shared" si="18"/>
        <v>-440672.93141733273</v>
      </c>
      <c r="AV43" s="123">
        <f t="shared" si="18"/>
        <v>731462.00171578501</v>
      </c>
      <c r="AW43" s="123">
        <f t="shared" si="18"/>
        <v>751761.42460679938</v>
      </c>
      <c r="AX43" s="123">
        <f t="shared" si="18"/>
        <v>1333965.108029475</v>
      </c>
      <c r="AY43" s="123">
        <f t="shared" si="18"/>
        <v>1925559.056004341</v>
      </c>
      <c r="AZ43" s="123">
        <f t="shared" si="18"/>
        <v>2433820.327749141</v>
      </c>
      <c r="BA43" s="123">
        <f t="shared" si="18"/>
        <v>1764932.5114916852</v>
      </c>
      <c r="BB43" s="123">
        <f t="shared" si="18"/>
        <v>1983629.5497640846</v>
      </c>
      <c r="BC43" s="123">
        <f t="shared" si="18"/>
        <v>1138202.2484014377</v>
      </c>
      <c r="BD43" s="123">
        <f t="shared" si="18"/>
        <v>722488.81563547289</v>
      </c>
      <c r="BE43" s="133"/>
      <c r="BF43" s="102"/>
    </row>
    <row r="44" spans="2:58">
      <c r="B44" s="32"/>
      <c r="C44" s="251" t="s">
        <v>633</v>
      </c>
      <c r="D44" s="251"/>
      <c r="E44" s="185"/>
      <c r="F44" s="17">
        <f t="shared" ca="1" si="0"/>
        <v>80959.898608744363</v>
      </c>
      <c r="G44" s="1"/>
      <c r="H44" s="17">
        <f t="shared" ca="1" si="1"/>
        <v>74574.774428811637</v>
      </c>
      <c r="I44" s="1"/>
      <c r="J44" s="218">
        <f t="shared" ca="1" si="9"/>
        <v>2.6922370995934208E-2</v>
      </c>
      <c r="K44" s="1"/>
      <c r="L44" s="218">
        <f t="shared" ca="1" si="5"/>
        <v>0.9211322606666027</v>
      </c>
      <c r="M44" s="215"/>
      <c r="N44" s="218">
        <f t="shared" ca="1" si="6"/>
        <v>0.82471579954193264</v>
      </c>
      <c r="O44" s="1"/>
      <c r="P44" s="17">
        <f t="shared" ca="1" si="2"/>
        <v>90424.81600356425</v>
      </c>
      <c r="Q44" s="20"/>
      <c r="R44" s="218">
        <f t="shared" ca="1" si="10"/>
        <v>2.6231224461752193E-2</v>
      </c>
      <c r="S44" s="102"/>
      <c r="U44" s="32"/>
      <c r="V44" s="17">
        <f ca="1">SUM((AS45):OFFSET(AR45,0,$AI$4))</f>
        <v>233766.08159304009</v>
      </c>
      <c r="W44" s="1"/>
      <c r="X44" s="17">
        <f ca="1">SUM(AS104:OFFSET(AR104,0,$AI$4))</f>
        <v>239234.46464049217</v>
      </c>
      <c r="Y44" s="1"/>
      <c r="Z44" s="218">
        <f t="shared" ca="1" si="11"/>
        <v>8.6366456504850989E-2</v>
      </c>
      <c r="AA44" s="1"/>
      <c r="AB44" s="218">
        <f t="shared" ca="1" si="4"/>
        <v>1.0233925427084496</v>
      </c>
      <c r="AC44" s="215"/>
      <c r="AD44" s="218">
        <f t="shared" ca="1" si="7"/>
        <v>1.2646582061381921</v>
      </c>
      <c r="AE44" s="1"/>
      <c r="AF44" s="17">
        <f t="shared" si="3"/>
        <v>189169.26603515074</v>
      </c>
      <c r="AG44" s="20"/>
      <c r="AH44" s="218">
        <f t="shared" ca="1" si="12"/>
        <v>5.4875881400050217E-2</v>
      </c>
      <c r="AI44" s="102"/>
      <c r="AM44" s="32"/>
      <c r="AN44" s="251"/>
      <c r="AO44" s="251"/>
      <c r="AP44" s="20"/>
      <c r="AQ44" s="20"/>
      <c r="AR44" s="132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133"/>
      <c r="BF44" s="102"/>
    </row>
    <row r="45" spans="2:58">
      <c r="B45" s="32"/>
      <c r="C45" s="36" t="s">
        <v>630</v>
      </c>
      <c r="D45" s="36"/>
      <c r="E45" s="267"/>
      <c r="F45" s="20">
        <f t="shared" ca="1" si="0"/>
        <v>67791.376637175839</v>
      </c>
      <c r="G45" s="1"/>
      <c r="H45" s="20">
        <f t="shared" ca="1" si="1"/>
        <v>62273.14359528647</v>
      </c>
      <c r="I45" s="1"/>
      <c r="J45" s="215">
        <f t="shared" ca="1" si="9"/>
        <v>2.2481337527286739E-2</v>
      </c>
      <c r="K45" s="1"/>
      <c r="L45" s="215">
        <f t="shared" ca="1" si="5"/>
        <v>0.91859977897449496</v>
      </c>
      <c r="M45" s="215"/>
      <c r="N45" s="215">
        <f t="shared" ca="1" si="6"/>
        <v>0.774679445879076</v>
      </c>
      <c r="O45" s="1"/>
      <c r="P45" s="20">
        <f t="shared" ca="1" si="2"/>
        <v>80385.692335778105</v>
      </c>
      <c r="Q45" s="20"/>
      <c r="R45" s="215">
        <f t="shared" ca="1" si="10"/>
        <v>2.3318987335180574E-2</v>
      </c>
      <c r="S45" s="102"/>
      <c r="U45" s="32"/>
      <c r="V45" s="20">
        <f ca="1">SUM((AS46):OFFSET(AR46,0,$AI$4))</f>
        <v>191278.48199486086</v>
      </c>
      <c r="W45" s="1"/>
      <c r="X45" s="20">
        <f ca="1">SUM(AS105:OFFSET(AR105,0,$AI$4))</f>
        <v>204347.23922785081</v>
      </c>
      <c r="Y45" s="1"/>
      <c r="Z45" s="215">
        <f t="shared" ca="1" si="11"/>
        <v>7.3771757656991774E-2</v>
      </c>
      <c r="AA45" s="1"/>
      <c r="AB45" s="215">
        <f t="shared" ca="1" si="4"/>
        <v>1.0683231960892552</v>
      </c>
      <c r="AC45" s="215"/>
      <c r="AD45" s="215">
        <f t="shared" ca="1" si="7"/>
        <v>1.2715723619861401</v>
      </c>
      <c r="AE45" s="1"/>
      <c r="AF45" s="20">
        <f t="shared" si="3"/>
        <v>160704.37305563124</v>
      </c>
      <c r="AG45" s="20"/>
      <c r="AH45" s="215">
        <f t="shared" ca="1" si="12"/>
        <v>4.6618535352521633E-2</v>
      </c>
      <c r="AI45" s="102"/>
      <c r="AM45" s="32"/>
      <c r="AN45" s="251" t="s">
        <v>633</v>
      </c>
      <c r="AO45" s="251"/>
      <c r="AP45" s="17">
        <f>SUM(AS45:BD45)</f>
        <v>868076.4275568719</v>
      </c>
      <c r="AQ45" s="20"/>
      <c r="AR45" s="132"/>
      <c r="AS45" s="17">
        <f>SUM(AS46:AS47)</f>
        <v>75005.605480634491</v>
      </c>
      <c r="AT45" s="17">
        <f t="shared" ref="AT45:BD45" si="19">SUM(AT46:AT47)</f>
        <v>77800.577503661232</v>
      </c>
      <c r="AU45" s="17">
        <f t="shared" si="19"/>
        <v>80959.898608744363</v>
      </c>
      <c r="AV45" s="17">
        <f t="shared" si="19"/>
        <v>84509.198291420296</v>
      </c>
      <c r="AW45" s="17">
        <f t="shared" si="19"/>
        <v>87283.842682280854</v>
      </c>
      <c r="AX45" s="17">
        <f t="shared" si="19"/>
        <v>84540.666522176078</v>
      </c>
      <c r="AY45" s="17">
        <f t="shared" si="19"/>
        <v>70889.446918198082</v>
      </c>
      <c r="AZ45" s="17">
        <f t="shared" si="19"/>
        <v>64311.438488548578</v>
      </c>
      <c r="BA45" s="17">
        <f t="shared" si="19"/>
        <v>70842.601706851114</v>
      </c>
      <c r="BB45" s="17">
        <f t="shared" si="19"/>
        <v>64335.002358100479</v>
      </c>
      <c r="BC45" s="17">
        <f t="shared" si="19"/>
        <v>53969.675222123689</v>
      </c>
      <c r="BD45" s="17">
        <f t="shared" si="19"/>
        <v>53628.47377413261</v>
      </c>
      <c r="BE45" s="133"/>
      <c r="BF45" s="102"/>
    </row>
    <row r="46" spans="2:58">
      <c r="B46" s="32"/>
      <c r="C46" s="36" t="s">
        <v>631</v>
      </c>
      <c r="D46" s="36"/>
      <c r="E46" s="185"/>
      <c r="F46" s="20">
        <f t="shared" ca="1" si="0"/>
        <v>13168.521971568523</v>
      </c>
      <c r="G46" s="1"/>
      <c r="H46" s="20">
        <f t="shared" ca="1" si="1"/>
        <v>12301.630833525167</v>
      </c>
      <c r="I46" s="1"/>
      <c r="J46" s="215">
        <f t="shared" ca="1" si="9"/>
        <v>4.4410334686474685E-3</v>
      </c>
      <c r="K46" s="1"/>
      <c r="L46" s="215">
        <f t="shared" ca="1" si="5"/>
        <v>0.93416944286420178</v>
      </c>
      <c r="M46" s="215"/>
      <c r="N46" s="215">
        <f t="shared" ca="1" si="6"/>
        <v>1.2253689904228413</v>
      </c>
      <c r="O46" s="1"/>
      <c r="P46" s="20">
        <f t="shared" ca="1" si="2"/>
        <v>10039.123667786151</v>
      </c>
      <c r="Q46" s="20"/>
      <c r="R46" s="215">
        <f t="shared" ca="1" si="10"/>
        <v>2.9122371265716211E-3</v>
      </c>
      <c r="S46" s="102"/>
      <c r="U46" s="32"/>
      <c r="V46" s="20">
        <f ca="1">SUM((AS47):OFFSET(AR47,0,$AI$4))</f>
        <v>42487.599598179244</v>
      </c>
      <c r="W46" s="1"/>
      <c r="X46" s="20">
        <f ca="1">SUM(AS106:OFFSET(AR106,0,$AI$4))</f>
        <v>34887.225412641383</v>
      </c>
      <c r="Y46" s="1"/>
      <c r="Z46" s="215">
        <f t="shared" ca="1" si="11"/>
        <v>1.259469884785922E-2</v>
      </c>
      <c r="AA46" s="1"/>
      <c r="AB46" s="215">
        <f t="shared" ca="1" si="4"/>
        <v>0.82111547233975613</v>
      </c>
      <c r="AC46" s="215"/>
      <c r="AD46" s="215">
        <f t="shared" ca="1" si="7"/>
        <v>1.2256229256770004</v>
      </c>
      <c r="AE46" s="1"/>
      <c r="AF46" s="20">
        <f t="shared" si="3"/>
        <v>28464.892979519489</v>
      </c>
      <c r="AG46" s="20"/>
      <c r="AH46" s="215">
        <f t="shared" ca="1" si="12"/>
        <v>8.2573460475285753E-3</v>
      </c>
      <c r="AI46" s="102"/>
      <c r="AM46" s="32"/>
      <c r="AN46" s="36" t="s">
        <v>630</v>
      </c>
      <c r="AO46" s="36"/>
      <c r="AP46" s="20">
        <f>SUM(AS46:BD46)</f>
        <v>732735.91003152682</v>
      </c>
      <c r="AQ46" s="20"/>
      <c r="AR46" s="132"/>
      <c r="AS46" s="20">
        <v>59839.780439259164</v>
      </c>
      <c r="AT46" s="20">
        <v>63647.324918425838</v>
      </c>
      <c r="AU46" s="20">
        <v>67791.376637175839</v>
      </c>
      <c r="AV46" s="20">
        <v>72690.267366342494</v>
      </c>
      <c r="AW46" s="20">
        <v>77151.137100717518</v>
      </c>
      <c r="AX46" s="20">
        <v>74791.089090300855</v>
      </c>
      <c r="AY46" s="20">
        <v>61114.176371550857</v>
      </c>
      <c r="AZ46" s="20">
        <v>54756.115595509204</v>
      </c>
      <c r="BA46" s="20">
        <v>60577.039053842534</v>
      </c>
      <c r="BB46" s="20">
        <v>53417.650189259199</v>
      </c>
      <c r="BC46" s="20">
        <v>43447.475319467536</v>
      </c>
      <c r="BD46" s="20">
        <v>43512.477949675864</v>
      </c>
      <c r="BE46" s="133"/>
      <c r="BF46" s="102"/>
    </row>
    <row r="47" spans="2:58">
      <c r="B47" s="32"/>
      <c r="C47" s="36"/>
      <c r="D47" s="36"/>
      <c r="E47" s="268"/>
      <c r="F47" s="20"/>
      <c r="G47" s="1"/>
      <c r="H47" s="20"/>
      <c r="I47" s="1"/>
      <c r="J47" s="215"/>
      <c r="K47" s="1"/>
      <c r="L47" s="215"/>
      <c r="M47" s="215"/>
      <c r="N47" s="215"/>
      <c r="O47" s="1"/>
      <c r="P47" s="20"/>
      <c r="Q47" s="20"/>
      <c r="R47" s="215"/>
      <c r="S47" s="102"/>
      <c r="U47" s="32"/>
      <c r="V47" s="20"/>
      <c r="W47" s="1"/>
      <c r="X47" s="20"/>
      <c r="Y47" s="1"/>
      <c r="Z47" s="215"/>
      <c r="AA47" s="1"/>
      <c r="AB47" s="215"/>
      <c r="AC47" s="215"/>
      <c r="AD47" s="215"/>
      <c r="AE47" s="1"/>
      <c r="AF47" s="20"/>
      <c r="AG47" s="20"/>
      <c r="AH47" s="215"/>
      <c r="AI47" s="102"/>
      <c r="AM47" s="32"/>
      <c r="AN47" s="36" t="s">
        <v>631</v>
      </c>
      <c r="AO47" s="36"/>
      <c r="AP47" s="20">
        <f>SUM(AS47:BD47)</f>
        <v>135340.51752534494</v>
      </c>
      <c r="AQ47" s="20"/>
      <c r="AR47" s="132"/>
      <c r="AS47" s="20">
        <v>15165.825041375329</v>
      </c>
      <c r="AT47" s="20">
        <v>14153.252585235394</v>
      </c>
      <c r="AU47" s="20">
        <v>13168.521971568523</v>
      </c>
      <c r="AV47" s="20">
        <v>11818.930925077808</v>
      </c>
      <c r="AW47" s="20">
        <v>10132.705581563332</v>
      </c>
      <c r="AX47" s="20">
        <v>9749.5774318752174</v>
      </c>
      <c r="AY47" s="20">
        <v>9775.270546647218</v>
      </c>
      <c r="AZ47" s="20">
        <v>9555.3228930393707</v>
      </c>
      <c r="BA47" s="20">
        <v>10265.562653008576</v>
      </c>
      <c r="BB47" s="20">
        <v>10917.352168841278</v>
      </c>
      <c r="BC47" s="20">
        <v>10522.199902656155</v>
      </c>
      <c r="BD47" s="20">
        <v>10115.995824456744</v>
      </c>
      <c r="BE47" s="133"/>
      <c r="BF47" s="102"/>
    </row>
    <row r="48" spans="2:58">
      <c r="B48" s="32"/>
      <c r="C48" s="251" t="s">
        <v>634</v>
      </c>
      <c r="D48" s="251"/>
      <c r="E48" s="268"/>
      <c r="F48" s="17">
        <f t="shared" ca="1" si="0"/>
        <v>-521632.83002607711</v>
      </c>
      <c r="G48" s="1"/>
      <c r="H48" s="17">
        <f t="shared" ca="1" si="1"/>
        <v>-799911.77822631656</v>
      </c>
      <c r="I48" s="1"/>
      <c r="J48" s="218">
        <f t="shared" ca="1" si="9"/>
        <v>-0.28877756349077455</v>
      </c>
      <c r="K48" s="1"/>
      <c r="L48" s="218">
        <f t="shared" ca="1" si="5"/>
        <v>1.5334766758954339</v>
      </c>
      <c r="M48" s="215"/>
      <c r="N48" s="218">
        <f t="shared" ca="1" si="6"/>
        <v>14.397224595427426</v>
      </c>
      <c r="O48" s="1"/>
      <c r="P48" s="17">
        <f t="shared" ca="1" si="2"/>
        <v>59707.275378464023</v>
      </c>
      <c r="Q48" s="20"/>
      <c r="R48" s="218">
        <f t="shared" ca="1" si="10"/>
        <v>1.732041060930006E-2</v>
      </c>
      <c r="S48" s="102"/>
      <c r="U48" s="32"/>
      <c r="V48" s="17">
        <f ca="1">SUM((AS49):OFFSET(AR49,0,$AI$4))</f>
        <v>-1629383.6639610794</v>
      </c>
      <c r="W48" s="1"/>
      <c r="X48" s="17">
        <f ca="1">SUM(AS108:OFFSET(AR108,0,$AI$4))</f>
        <v>-895682.24838620005</v>
      </c>
      <c r="Y48" s="1"/>
      <c r="Z48" s="218">
        <f t="shared" ca="1" si="11"/>
        <v>-0.32335183002859308</v>
      </c>
      <c r="AA48" s="1"/>
      <c r="AB48" s="218">
        <f t="shared" ca="1" si="4"/>
        <v>0.5497061669372395</v>
      </c>
      <c r="AC48" s="215"/>
      <c r="AD48" s="218">
        <f t="shared" ca="1" si="7"/>
        <v>3.3374263770901078</v>
      </c>
      <c r="AE48" s="1"/>
      <c r="AF48" s="17">
        <f t="shared" si="3"/>
        <v>383191.64067158615</v>
      </c>
      <c r="AG48" s="20"/>
      <c r="AH48" s="218">
        <f t="shared" ca="1" si="12"/>
        <v>0.11115959514838566</v>
      </c>
      <c r="AI48" s="102"/>
      <c r="AM48" s="32"/>
      <c r="AN48" s="36"/>
      <c r="AO48" s="36"/>
      <c r="AP48" s="20"/>
      <c r="AQ48" s="20"/>
      <c r="AR48" s="132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133"/>
      <c r="BF48" s="102"/>
    </row>
    <row r="49" spans="2:58">
      <c r="B49" s="32"/>
      <c r="C49" s="251"/>
      <c r="D49" s="251"/>
      <c r="E49" s="268"/>
      <c r="F49" s="20">
        <f t="shared" ca="1" si="0"/>
        <v>0</v>
      </c>
      <c r="G49" s="1"/>
      <c r="H49" s="20">
        <f t="shared" ca="1" si="1"/>
        <v>0</v>
      </c>
      <c r="I49" s="1"/>
      <c r="J49" s="215"/>
      <c r="K49" s="1"/>
      <c r="L49" s="215"/>
      <c r="M49" s="215"/>
      <c r="N49" s="215"/>
      <c r="O49" s="1"/>
      <c r="P49" s="20">
        <f t="shared" ca="1" si="2"/>
        <v>0</v>
      </c>
      <c r="Q49" s="20"/>
      <c r="R49" s="215"/>
      <c r="S49" s="102"/>
      <c r="U49" s="32"/>
      <c r="V49" s="20"/>
      <c r="W49" s="1"/>
      <c r="X49" s="20"/>
      <c r="Y49" s="1"/>
      <c r="Z49" s="215"/>
      <c r="AA49" s="1"/>
      <c r="AB49" s="215"/>
      <c r="AC49" s="215"/>
      <c r="AD49" s="215"/>
      <c r="AE49" s="1"/>
      <c r="AF49" s="20"/>
      <c r="AG49" s="20"/>
      <c r="AH49" s="215"/>
      <c r="AI49" s="102"/>
      <c r="AM49" s="32"/>
      <c r="AN49" s="251" t="s">
        <v>634</v>
      </c>
      <c r="AP49" s="17">
        <f>SUM(AS49:BD49)</f>
        <v>10522127.033473309</v>
      </c>
      <c r="AQ49" s="20"/>
      <c r="AR49" s="132"/>
      <c r="AS49" s="17">
        <f t="shared" ref="AS49:BD49" si="20">AS43-AS45</f>
        <v>-379181.59628391091</v>
      </c>
      <c r="AT49" s="17">
        <f t="shared" si="20"/>
        <v>-728569.23765109142</v>
      </c>
      <c r="AU49" s="17">
        <f t="shared" si="20"/>
        <v>-521632.83002607711</v>
      </c>
      <c r="AV49" s="17">
        <f t="shared" si="20"/>
        <v>646952.80342436465</v>
      </c>
      <c r="AW49" s="17">
        <f t="shared" si="20"/>
        <v>664477.58192451857</v>
      </c>
      <c r="AX49" s="17">
        <f t="shared" si="20"/>
        <v>1249424.441507299</v>
      </c>
      <c r="AY49" s="17">
        <f t="shared" si="20"/>
        <v>1854669.6090861429</v>
      </c>
      <c r="AZ49" s="17">
        <f t="shared" si="20"/>
        <v>2369508.8892605924</v>
      </c>
      <c r="BA49" s="17">
        <f t="shared" si="20"/>
        <v>1694089.9097848341</v>
      </c>
      <c r="BB49" s="17">
        <f t="shared" si="20"/>
        <v>1919294.5474059843</v>
      </c>
      <c r="BC49" s="17">
        <f t="shared" si="20"/>
        <v>1084232.5731793139</v>
      </c>
      <c r="BD49" s="17">
        <f t="shared" si="20"/>
        <v>668860.34186134022</v>
      </c>
      <c r="BE49" s="133"/>
      <c r="BF49" s="102"/>
    </row>
    <row r="50" spans="2:58">
      <c r="B50" s="32"/>
      <c r="C50" s="251" t="s">
        <v>635</v>
      </c>
      <c r="D50" s="251"/>
      <c r="E50" s="268"/>
      <c r="F50" s="17">
        <f t="shared" ca="1" si="0"/>
        <v>74277.734221358289</v>
      </c>
      <c r="G50" s="1"/>
      <c r="H50" s="17">
        <f t="shared" ca="1" si="1"/>
        <v>98133.956316242286</v>
      </c>
      <c r="I50" s="1"/>
      <c r="J50" s="218">
        <f t="shared" ca="1" si="9"/>
        <v>3.5427512848419038E-2</v>
      </c>
      <c r="K50" s="1"/>
      <c r="L50" s="218">
        <f t="shared" ca="1" si="5"/>
        <v>1.3211759532646625</v>
      </c>
      <c r="M50" s="215"/>
      <c r="N50" s="218">
        <f t="shared" ca="1" si="6"/>
        <v>1.3862336274208755</v>
      </c>
      <c r="O50" s="1"/>
      <c r="P50" s="17">
        <f t="shared" ca="1" si="2"/>
        <v>70791.787455642028</v>
      </c>
      <c r="Q50" s="20"/>
      <c r="R50" s="218">
        <f t="shared" ca="1" si="10"/>
        <v>2.0535903183086422E-2</v>
      </c>
      <c r="S50" s="102"/>
      <c r="U50" s="32"/>
      <c r="V50" s="17">
        <f ca="1">SUM((AS51):OFFSET(AR51,0,$AI$4))</f>
        <v>222833.60279082635</v>
      </c>
      <c r="W50" s="1"/>
      <c r="X50" s="17">
        <f ca="1">SUM(AS110:OFFSET(AR110,0,$AI$4))</f>
        <v>263057.84104496689</v>
      </c>
      <c r="Y50" s="1"/>
      <c r="Z50" s="218">
        <f t="shared" ca="1" si="11"/>
        <v>9.4966975686431754E-2</v>
      </c>
      <c r="AA50" s="1"/>
      <c r="AB50" s="218">
        <f t="shared" ca="1" si="4"/>
        <v>1.180512444040583</v>
      </c>
      <c r="AC50" s="215"/>
      <c r="AD50" s="218">
        <f t="shared" ca="1" si="7"/>
        <v>1.8411661560144643</v>
      </c>
      <c r="AE50" s="1"/>
      <c r="AF50" s="17">
        <f t="shared" si="3"/>
        <v>142875.6661562816</v>
      </c>
      <c r="AG50" s="20"/>
      <c r="AH50" s="218">
        <f t="shared" ca="1" si="12"/>
        <v>4.1446627537733309E-2</v>
      </c>
      <c r="AI50" s="102"/>
      <c r="AM50" s="32"/>
      <c r="AN50" s="251"/>
      <c r="AP50" s="20"/>
      <c r="AQ50" s="20"/>
      <c r="AR50" s="132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133"/>
      <c r="BF50" s="102"/>
    </row>
    <row r="51" spans="2:58">
      <c r="B51" s="32"/>
      <c r="C51" s="36" t="s">
        <v>636</v>
      </c>
      <c r="D51" s="36"/>
      <c r="E51" s="268"/>
      <c r="F51" s="113">
        <f t="shared" ca="1" si="0"/>
        <v>66642.98304854102</v>
      </c>
      <c r="G51" s="1"/>
      <c r="H51" s="113">
        <f t="shared" ca="1" si="1"/>
        <v>54712.516028743754</v>
      </c>
      <c r="I51" s="1"/>
      <c r="J51" s="217">
        <f t="shared" ca="1" si="9"/>
        <v>1.975186201941434E-2</v>
      </c>
      <c r="K51" s="1"/>
      <c r="L51" s="217">
        <f t="shared" ca="1" si="5"/>
        <v>0.82097939686902333</v>
      </c>
      <c r="M51" s="215"/>
      <c r="N51" s="217">
        <f t="shared" ca="1" si="6"/>
        <v>0.8188864567275671</v>
      </c>
      <c r="O51" s="1"/>
      <c r="P51" s="113">
        <f t="shared" ca="1" si="2"/>
        <v>66813.311637105144</v>
      </c>
      <c r="Q51" s="20"/>
      <c r="R51" s="217">
        <f t="shared" ca="1" si="10"/>
        <v>1.9381791990782965E-2</v>
      </c>
      <c r="S51" s="102"/>
      <c r="U51" s="32"/>
      <c r="V51" s="113">
        <f ca="1">SUM((AS52):OFFSET(AR52,0,$AI$4))</f>
        <v>200541.77433838003</v>
      </c>
      <c r="W51" s="1"/>
      <c r="X51" s="113">
        <f ca="1">SUM(AS111:OFFSET(AR111,0,$AI$4))</f>
        <v>165478.91057645547</v>
      </c>
      <c r="Y51" s="1"/>
      <c r="Z51" s="217">
        <f t="shared" ca="1" si="11"/>
        <v>5.9739833699331349E-2</v>
      </c>
      <c r="AA51" s="1"/>
      <c r="AB51" s="217">
        <f t="shared" ca="1" si="4"/>
        <v>0.82515930220722011</v>
      </c>
      <c r="AC51" s="215"/>
      <c r="AD51" s="217">
        <f t="shared" ca="1" si="7"/>
        <v>1.1955718973303666</v>
      </c>
      <c r="AE51" s="1"/>
      <c r="AF51" s="113">
        <f t="shared" si="3"/>
        <v>138409.83628501053</v>
      </c>
      <c r="AG51" s="20"/>
      <c r="AH51" s="217">
        <f t="shared" ca="1" si="12"/>
        <v>4.0151140403353165E-2</v>
      </c>
      <c r="AI51" s="102"/>
      <c r="AM51" s="32"/>
      <c r="AN51" s="251" t="s">
        <v>635</v>
      </c>
      <c r="AP51" s="17">
        <f>SUM(AS51:BD51)</f>
        <v>863532.13453580125</v>
      </c>
      <c r="AQ51" s="20"/>
      <c r="AR51" s="132"/>
      <c r="AS51" s="17">
        <f>SUM(AS52:AS53)</f>
        <v>74732.449673101903</v>
      </c>
      <c r="AT51" s="17">
        <f t="shared" ref="AT51:BD51" si="21">SUM(AT52:AT53)</f>
        <v>73823.418896366158</v>
      </c>
      <c r="AU51" s="17">
        <f t="shared" si="21"/>
        <v>74277.734221358289</v>
      </c>
      <c r="AV51" s="17">
        <f t="shared" si="21"/>
        <v>74389.036104725004</v>
      </c>
      <c r="AW51" s="17">
        <f t="shared" si="21"/>
        <v>72680.552747190668</v>
      </c>
      <c r="AX51" s="17">
        <f t="shared" si="21"/>
        <v>70556.267324861677</v>
      </c>
      <c r="AY51" s="17">
        <f t="shared" si="21"/>
        <v>68944.116178339071</v>
      </c>
      <c r="AZ51" s="17">
        <f t="shared" si="21"/>
        <v>70668.788507705089</v>
      </c>
      <c r="BA51" s="17">
        <f t="shared" si="21"/>
        <v>72469.84711342612</v>
      </c>
      <c r="BB51" s="17">
        <f t="shared" si="21"/>
        <v>71122.086024181423</v>
      </c>
      <c r="BC51" s="17">
        <f t="shared" si="21"/>
        <v>69987.703672793825</v>
      </c>
      <c r="BD51" s="17">
        <f t="shared" si="21"/>
        <v>69880.134071752123</v>
      </c>
      <c r="BE51" s="133"/>
      <c r="BF51" s="102"/>
    </row>
    <row r="52" spans="2:58">
      <c r="B52" s="32"/>
      <c r="C52" s="36" t="s">
        <v>637</v>
      </c>
      <c r="D52" s="36"/>
      <c r="E52" s="185"/>
      <c r="F52" s="20">
        <f t="shared" ca="1" si="0"/>
        <v>7634.7511728172713</v>
      </c>
      <c r="G52" s="1"/>
      <c r="H52" s="20">
        <f t="shared" ca="1" si="1"/>
        <v>43421.440287498524</v>
      </c>
      <c r="I52" s="1"/>
      <c r="J52" s="215">
        <f t="shared" ca="1" si="9"/>
        <v>1.5675650829004698E-2</v>
      </c>
      <c r="K52" s="1"/>
      <c r="L52" s="215">
        <f t="shared" ca="1" si="5"/>
        <v>5.6873419060592303</v>
      </c>
      <c r="M52" s="215"/>
      <c r="N52" s="215">
        <f t="shared" ca="1" si="6"/>
        <v>10.914089281424133</v>
      </c>
      <c r="O52" s="1"/>
      <c r="P52" s="20">
        <f t="shared" ca="1" si="2"/>
        <v>3978.4758185368855</v>
      </c>
      <c r="Q52" s="20"/>
      <c r="R52" s="215">
        <f t="shared" ca="1" si="10"/>
        <v>1.1541111923034579E-3</v>
      </c>
      <c r="S52" s="102"/>
      <c r="U52" s="32"/>
      <c r="V52" s="20">
        <f ca="1">SUM((AS53):OFFSET(AR53,0,$AI$4))</f>
        <v>22291.828452446323</v>
      </c>
      <c r="W52" s="1"/>
      <c r="X52" s="20">
        <f ca="1">SUM(AS112:OFFSET(AR112,0,$AI$4))</f>
        <v>97578.930468511404</v>
      </c>
      <c r="Y52" s="1"/>
      <c r="Z52" s="215">
        <f t="shared" ca="1" si="11"/>
        <v>3.5227141987100405E-2</v>
      </c>
      <c r="AA52" s="1"/>
      <c r="AB52" s="215">
        <f t="shared" ca="1" si="4"/>
        <v>4.3773408124268522</v>
      </c>
      <c r="AC52" s="215"/>
      <c r="AD52" s="215">
        <f t="shared" ca="1" si="7"/>
        <v>21.850122660570221</v>
      </c>
      <c r="AE52" s="1"/>
      <c r="AF52" s="20">
        <f t="shared" si="3"/>
        <v>4465.8298712710703</v>
      </c>
      <c r="AG52" s="20"/>
      <c r="AH52" s="215">
        <f t="shared" ca="1" si="12"/>
        <v>1.2954871343801451E-3</v>
      </c>
      <c r="AI52" s="102"/>
      <c r="AM52" s="32"/>
      <c r="AN52" s="36" t="s">
        <v>636</v>
      </c>
      <c r="AP52" s="20">
        <f>SUM(AS52:BD52)</f>
        <v>799945.12963259872</v>
      </c>
      <c r="AQ52" s="20"/>
      <c r="AR52" s="132"/>
      <c r="AS52" s="20">
        <v>67244.585590164686</v>
      </c>
      <c r="AT52" s="20">
        <v>66654.205699674319</v>
      </c>
      <c r="AU52" s="20">
        <v>66642.98304854102</v>
      </c>
      <c r="AV52" s="20">
        <v>66633.434264537907</v>
      </c>
      <c r="AW52" s="20">
        <v>66623.93946564314</v>
      </c>
      <c r="AX52" s="20">
        <v>66614.444666748386</v>
      </c>
      <c r="AY52" s="20">
        <v>66604.949867853618</v>
      </c>
      <c r="AZ52" s="20">
        <v>66597.225455902415</v>
      </c>
      <c r="BA52" s="20">
        <v>66591.271430894776</v>
      </c>
      <c r="BB52" s="20">
        <v>66585.317405887108</v>
      </c>
      <c r="BC52" s="20">
        <v>66579.363380879469</v>
      </c>
      <c r="BD52" s="20">
        <v>66573.409355871816</v>
      </c>
      <c r="BE52" s="133"/>
      <c r="BF52" s="102"/>
    </row>
    <row r="53" spans="2:58">
      <c r="B53" s="32"/>
      <c r="C53" s="1"/>
      <c r="E53" s="32"/>
      <c r="F53" s="20"/>
      <c r="G53" s="1"/>
      <c r="H53" s="20"/>
      <c r="I53" s="1"/>
      <c r="J53" s="215"/>
      <c r="K53" s="1"/>
      <c r="L53" s="215"/>
      <c r="M53" s="215"/>
      <c r="N53" s="215"/>
      <c r="O53" s="1"/>
      <c r="P53" s="20"/>
      <c r="Q53" s="20"/>
      <c r="R53" s="215"/>
      <c r="S53" s="102"/>
      <c r="U53" s="32"/>
      <c r="V53" s="20"/>
      <c r="W53" s="1"/>
      <c r="X53" s="20"/>
      <c r="Y53" s="1"/>
      <c r="Z53" s="215"/>
      <c r="AA53" s="1"/>
      <c r="AB53" s="215"/>
      <c r="AC53" s="215"/>
      <c r="AD53" s="215"/>
      <c r="AE53" s="1"/>
      <c r="AF53" s="20"/>
      <c r="AG53" s="20"/>
      <c r="AH53" s="215"/>
      <c r="AI53" s="102"/>
      <c r="AM53" s="32"/>
      <c r="AN53" s="36" t="s">
        <v>637</v>
      </c>
      <c r="AP53" s="20">
        <f>SUM(AS53:BD53)</f>
        <v>63587.004903202716</v>
      </c>
      <c r="AQ53" s="20"/>
      <c r="AR53" s="132"/>
      <c r="AS53" s="20">
        <v>7487.8640829372116</v>
      </c>
      <c r="AT53" s="20">
        <v>7169.2131966918396</v>
      </c>
      <c r="AU53" s="20">
        <v>7634.7511728172713</v>
      </c>
      <c r="AV53" s="20">
        <v>7755.6018401871033</v>
      </c>
      <c r="AW53" s="20">
        <v>6056.6132815475321</v>
      </c>
      <c r="AX53" s="20">
        <v>3941.8226581132972</v>
      </c>
      <c r="AY53" s="20">
        <v>2339.166310485451</v>
      </c>
      <c r="AZ53" s="20">
        <v>4071.5630518026751</v>
      </c>
      <c r="BA53" s="20">
        <v>5878.5756825313501</v>
      </c>
      <c r="BB53" s="20">
        <v>4536.7686182943171</v>
      </c>
      <c r="BC53" s="20">
        <v>3408.3402919143577</v>
      </c>
      <c r="BD53" s="20">
        <v>3306.7247158803098</v>
      </c>
      <c r="BE53" s="133"/>
      <c r="BF53" s="102"/>
    </row>
    <row r="54" spans="2:58">
      <c r="B54" s="32"/>
      <c r="C54" s="260" t="s">
        <v>576</v>
      </c>
      <c r="D54" s="251"/>
      <c r="E54" s="32"/>
      <c r="F54" s="207">
        <f t="shared" ca="1" si="0"/>
        <v>-595910.56424743542</v>
      </c>
      <c r="G54" s="1"/>
      <c r="H54" s="207">
        <f t="shared" ca="1" si="1"/>
        <v>-898045.7345425589</v>
      </c>
      <c r="I54" s="1"/>
      <c r="J54" s="216">
        <f t="shared" ca="1" si="9"/>
        <v>-0.3242050763391936</v>
      </c>
      <c r="K54" s="1"/>
      <c r="L54" s="216">
        <f ca="1">IFERROR(IF((H54/F54)&gt;0,(H54/F54),ABS(H54/F54)+100%),"")</f>
        <v>1.5070142877508548</v>
      </c>
      <c r="M54" s="215"/>
      <c r="N54" s="216">
        <f t="shared" ca="1" si="6"/>
        <v>81.018066315390897</v>
      </c>
      <c r="O54" s="1"/>
      <c r="P54" s="207">
        <f ca="1">OFFSET(AR173,0,3)</f>
        <v>-11084.512077178006</v>
      </c>
      <c r="Q54" s="137"/>
      <c r="R54" s="216">
        <f t="shared" ca="1" si="10"/>
        <v>-3.2154925737863651E-3</v>
      </c>
      <c r="S54" s="102"/>
      <c r="U54" s="32"/>
      <c r="V54" s="207">
        <f ca="1">SUM((AS55):OFFSET(AR55,0,$AI$4))</f>
        <v>-1852217.2667519059</v>
      </c>
      <c r="W54" s="1"/>
      <c r="X54" s="207">
        <f ca="1">SUM(AS114:OFFSET(AR114,0,$AI$4))</f>
        <v>-1158740.3747318801</v>
      </c>
      <c r="Y54" s="1"/>
      <c r="Z54" s="216">
        <f t="shared" ca="1" si="11"/>
        <v>-0.41831890871193911</v>
      </c>
      <c r="AA54" s="1"/>
      <c r="AB54" s="216">
        <f ca="1">IFERROR(IF((X54/V54)&gt;0,(X54/V54),ABS(X54/V54)+100%),"")</f>
        <v>0.62559635715084116</v>
      </c>
      <c r="AC54" s="215"/>
      <c r="AD54" s="216">
        <f t="shared" ca="1" si="7"/>
        <v>5.8217367866158458</v>
      </c>
      <c r="AE54" s="1"/>
      <c r="AF54" s="207">
        <f t="shared" si="3"/>
        <v>240315.97451530455</v>
      </c>
      <c r="AG54" s="137"/>
      <c r="AH54" s="216">
        <f t="shared" ca="1" si="12"/>
        <v>6.9712967610652363E-2</v>
      </c>
      <c r="AI54" s="102"/>
      <c r="AM54" s="32"/>
      <c r="AN54" s="1"/>
      <c r="AP54" s="20"/>
      <c r="AQ54" s="20"/>
      <c r="AR54" s="132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133"/>
      <c r="BF54" s="102"/>
    </row>
    <row r="55" spans="2:58" ht="15.75" thickBot="1">
      <c r="B55" s="37"/>
      <c r="C55" s="253"/>
      <c r="D55" s="251"/>
      <c r="E55" s="37"/>
      <c r="F55" s="107"/>
      <c r="G55" s="107"/>
      <c r="H55" s="107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109"/>
      <c r="U55" s="37"/>
      <c r="V55" s="107"/>
      <c r="W55" s="107"/>
      <c r="X55" s="107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109"/>
      <c r="AM55" s="32"/>
      <c r="AN55" s="255" t="s">
        <v>576</v>
      </c>
      <c r="AO55" s="251"/>
      <c r="AP55" s="123">
        <f>SUM(AS55:BD55)</f>
        <v>9658594.8989375085</v>
      </c>
      <c r="AQ55" s="20"/>
      <c r="AR55" s="132"/>
      <c r="AS55" s="123">
        <f>AS49-AS51</f>
        <v>-453914.0459570128</v>
      </c>
      <c r="AT55" s="123">
        <f t="shared" ref="AT55:BD55" si="22">AT49-AT51</f>
        <v>-802392.65654745756</v>
      </c>
      <c r="AU55" s="123">
        <f t="shared" si="22"/>
        <v>-595910.56424743542</v>
      </c>
      <c r="AV55" s="123">
        <f t="shared" si="22"/>
        <v>572563.76731963968</v>
      </c>
      <c r="AW55" s="123">
        <f t="shared" si="22"/>
        <v>591797.02917732787</v>
      </c>
      <c r="AX55" s="123">
        <f t="shared" si="22"/>
        <v>1178868.1741824374</v>
      </c>
      <c r="AY55" s="123">
        <f t="shared" si="22"/>
        <v>1785725.4929078037</v>
      </c>
      <c r="AZ55" s="123">
        <f t="shared" si="22"/>
        <v>2298840.1007528873</v>
      </c>
      <c r="BA55" s="123">
        <f t="shared" si="22"/>
        <v>1621620.0626714081</v>
      </c>
      <c r="BB55" s="123">
        <f t="shared" si="22"/>
        <v>1848172.4613818028</v>
      </c>
      <c r="BC55" s="123">
        <f t="shared" si="22"/>
        <v>1014244.8695065201</v>
      </c>
      <c r="BD55" s="123">
        <f t="shared" si="22"/>
        <v>598980.20778958814</v>
      </c>
      <c r="BE55" s="133"/>
      <c r="BF55" s="102"/>
    </row>
    <row r="56" spans="2:58">
      <c r="B56" s="1"/>
      <c r="C56" s="54"/>
      <c r="D56" s="54"/>
      <c r="E56" s="54"/>
      <c r="F56" s="20"/>
      <c r="G56" s="20"/>
      <c r="H56" s="20"/>
      <c r="I56" s="1"/>
      <c r="J56" s="215"/>
      <c r="K56" s="215"/>
      <c r="L56" s="1"/>
      <c r="M56" s="1"/>
      <c r="N56" s="1"/>
      <c r="O56" s="1"/>
      <c r="P56" s="1"/>
      <c r="Q56" s="1"/>
      <c r="R56" s="1"/>
      <c r="S56" s="1"/>
      <c r="V56" s="20"/>
      <c r="W56" s="20"/>
      <c r="X56" s="20"/>
      <c r="Y56" s="1"/>
      <c r="Z56" s="215"/>
      <c r="AA56" s="215"/>
      <c r="AB56" s="1"/>
      <c r="AC56" s="1"/>
      <c r="AD56" s="1"/>
      <c r="AE56" s="1"/>
      <c r="AF56" s="1"/>
      <c r="AG56" s="1"/>
      <c r="AH56" s="1"/>
      <c r="AI56" s="30"/>
      <c r="AM56" s="32"/>
      <c r="AN56" s="251"/>
      <c r="AO56" s="251"/>
      <c r="AP56" s="20"/>
      <c r="AQ56" s="20"/>
      <c r="AR56" s="134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31"/>
      <c r="BF56" s="102"/>
    </row>
    <row r="57" spans="2:58" ht="15.75" thickBot="1">
      <c r="B57" s="1"/>
      <c r="C57" s="62"/>
      <c r="D57" s="62"/>
      <c r="E57" s="62"/>
      <c r="F57" s="20"/>
      <c r="G57" s="20"/>
      <c r="H57" s="20"/>
      <c r="I57" s="1"/>
      <c r="J57" s="215"/>
      <c r="K57" s="215"/>
      <c r="L57" s="1"/>
      <c r="M57" s="1"/>
      <c r="N57" s="1"/>
      <c r="O57" s="1"/>
      <c r="P57" s="1"/>
      <c r="Q57" s="1"/>
      <c r="R57" s="1"/>
      <c r="S57" s="1"/>
      <c r="V57" s="20"/>
      <c r="W57" s="20"/>
      <c r="X57" s="20"/>
      <c r="Y57" s="1"/>
      <c r="Z57" s="215"/>
      <c r="AA57" s="215"/>
      <c r="AB57" s="1"/>
      <c r="AC57" s="1"/>
      <c r="AD57" s="1"/>
      <c r="AE57" s="1"/>
      <c r="AF57" s="1"/>
      <c r="AG57" s="1"/>
      <c r="AH57" s="1"/>
      <c r="AI57" s="1"/>
      <c r="AM57" s="37"/>
      <c r="AN57" s="253"/>
      <c r="AO57" s="251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9"/>
    </row>
    <row r="58" spans="2:58">
      <c r="B58" s="1"/>
      <c r="C58" s="62"/>
      <c r="D58" s="62"/>
      <c r="E58" s="62"/>
      <c r="F58" s="20"/>
      <c r="G58" s="20"/>
      <c r="H58" s="20"/>
      <c r="I58" s="1"/>
      <c r="J58" s="215"/>
      <c r="K58" s="215"/>
      <c r="L58" s="1"/>
      <c r="M58" s="1"/>
      <c r="N58" s="1"/>
      <c r="O58" s="1"/>
      <c r="P58" s="1"/>
      <c r="Q58" s="1"/>
      <c r="R58" s="1"/>
      <c r="S58" s="1"/>
      <c r="V58" s="20"/>
      <c r="W58" s="20"/>
      <c r="X58" s="20"/>
      <c r="Y58" s="1"/>
      <c r="Z58" s="215"/>
      <c r="AA58" s="215"/>
      <c r="AB58" s="1"/>
      <c r="AC58" s="1"/>
      <c r="AD58" s="1"/>
      <c r="AE58" s="1"/>
      <c r="AF58" s="1"/>
      <c r="AG58" s="1"/>
      <c r="AH58" s="1"/>
      <c r="AI58" s="1"/>
      <c r="AN58" s="250"/>
      <c r="AO58" s="251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 spans="2:58">
      <c r="B59" s="1"/>
      <c r="C59" s="1"/>
      <c r="E59" s="1"/>
      <c r="F59" s="20"/>
      <c r="G59" s="20"/>
      <c r="H59" s="20"/>
      <c r="I59" s="1"/>
      <c r="J59" s="215"/>
      <c r="K59" s="215"/>
      <c r="L59" s="1"/>
      <c r="M59" s="1"/>
      <c r="N59" s="1"/>
      <c r="O59" s="1"/>
      <c r="P59" s="1"/>
      <c r="Q59" s="1"/>
      <c r="R59" s="1"/>
      <c r="S59" s="1"/>
      <c r="V59" s="20"/>
      <c r="W59" s="20"/>
      <c r="X59" s="20"/>
      <c r="Y59" s="1"/>
      <c r="Z59" s="215"/>
      <c r="AA59" s="215"/>
      <c r="AB59" s="1"/>
      <c r="AC59" s="1"/>
      <c r="AD59" s="1"/>
      <c r="AE59" s="1"/>
      <c r="AF59" s="1"/>
      <c r="AG59" s="1"/>
      <c r="AH59" s="1"/>
      <c r="AI59" s="1"/>
      <c r="AN59" s="250"/>
      <c r="AO59" s="251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 spans="2:58">
      <c r="B60" s="1"/>
      <c r="C60" s="54"/>
      <c r="D60" s="54"/>
      <c r="E60" s="54"/>
      <c r="F60" s="20"/>
      <c r="G60" s="20"/>
      <c r="H60" s="20"/>
      <c r="I60" s="1"/>
      <c r="J60" s="215"/>
      <c r="K60" s="215"/>
      <c r="L60" s="1"/>
      <c r="M60" s="1"/>
      <c r="N60" s="1"/>
      <c r="O60" s="1"/>
      <c r="P60" s="1"/>
      <c r="Q60" s="1"/>
      <c r="R60" s="1"/>
      <c r="S60" s="1"/>
      <c r="V60" s="20"/>
      <c r="W60" s="20"/>
      <c r="X60" s="20"/>
      <c r="Y60" s="1"/>
      <c r="Z60" s="215"/>
      <c r="AA60" s="215"/>
      <c r="AB60" s="1"/>
      <c r="AC60" s="1"/>
      <c r="AD60" s="1"/>
      <c r="AE60" s="1"/>
      <c r="AF60" s="1"/>
      <c r="AG60" s="1"/>
      <c r="AH60" s="1"/>
      <c r="AI60" s="1"/>
      <c r="AN60" s="250"/>
      <c r="AO60" s="251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  <row r="61" spans="2:58" ht="15.75" thickBot="1">
      <c r="B61" s="1"/>
      <c r="C61" s="1"/>
      <c r="E61" s="1"/>
      <c r="F61" s="20"/>
      <c r="G61" s="20"/>
      <c r="H61" s="20"/>
      <c r="I61" s="1"/>
      <c r="J61" s="215"/>
      <c r="K61" s="215"/>
      <c r="L61" s="1"/>
      <c r="M61" s="1"/>
      <c r="N61" s="1"/>
      <c r="O61" s="1"/>
      <c r="P61" s="1"/>
      <c r="Q61" s="1"/>
      <c r="R61" s="1"/>
      <c r="S61" s="1"/>
      <c r="V61" s="20"/>
      <c r="W61" s="20"/>
      <c r="X61" s="20"/>
      <c r="Y61" s="1"/>
      <c r="Z61" s="215"/>
      <c r="AA61" s="215"/>
      <c r="AB61" s="1"/>
      <c r="AC61" s="1"/>
      <c r="AD61" s="1"/>
      <c r="AE61" s="1"/>
      <c r="AF61" s="1"/>
      <c r="AG61" s="1"/>
      <c r="AH61" s="1"/>
      <c r="AI61" s="1"/>
      <c r="AN61" s="250"/>
      <c r="AO61" s="251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</row>
    <row r="62" spans="2:58">
      <c r="B62" s="1"/>
      <c r="C62" s="54"/>
      <c r="D62" s="54"/>
      <c r="E62" s="54"/>
      <c r="F62" s="20"/>
      <c r="G62" s="20"/>
      <c r="H62" s="20"/>
      <c r="I62" s="1"/>
      <c r="J62" s="215"/>
      <c r="K62" s="215"/>
      <c r="L62" s="1"/>
      <c r="M62" s="1"/>
      <c r="N62" s="1"/>
      <c r="O62" s="1"/>
      <c r="P62" s="1"/>
      <c r="Q62" s="1"/>
      <c r="R62" s="1"/>
      <c r="S62" s="1"/>
      <c r="V62" s="20"/>
      <c r="W62" s="20"/>
      <c r="X62" s="20"/>
      <c r="Y62" s="1"/>
      <c r="Z62" s="215"/>
      <c r="AA62" s="215"/>
      <c r="AB62" s="1"/>
      <c r="AC62" s="1"/>
      <c r="AD62" s="1"/>
      <c r="AE62" s="1"/>
      <c r="AF62" s="1"/>
      <c r="AG62" s="1"/>
      <c r="AH62" s="1"/>
      <c r="AI62" s="1"/>
      <c r="AM62" s="29"/>
      <c r="AN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100"/>
    </row>
    <row r="63" spans="2:58">
      <c r="B63" s="1"/>
      <c r="C63" s="62"/>
      <c r="D63" s="62"/>
      <c r="E63" s="62"/>
      <c r="F63" s="20"/>
      <c r="G63" s="20"/>
      <c r="H63" s="20"/>
      <c r="I63" s="1"/>
      <c r="J63" s="215"/>
      <c r="K63" s="215"/>
      <c r="L63" s="1"/>
      <c r="M63" s="1"/>
      <c r="N63" s="1"/>
      <c r="O63" s="1"/>
      <c r="P63" s="1"/>
      <c r="Q63" s="1"/>
      <c r="R63" s="1"/>
      <c r="S63" s="1"/>
      <c r="V63" s="20"/>
      <c r="W63" s="20"/>
      <c r="X63" s="20"/>
      <c r="Y63" s="1"/>
      <c r="Z63" s="215"/>
      <c r="AA63" s="215"/>
      <c r="AB63" s="1"/>
      <c r="AC63" s="1"/>
      <c r="AD63" s="1"/>
      <c r="AE63" s="1"/>
      <c r="AF63" s="1"/>
      <c r="AG63" s="1"/>
      <c r="AH63" s="1"/>
      <c r="AI63" s="1"/>
      <c r="AM63" s="32"/>
      <c r="AN63" s="1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102"/>
    </row>
    <row r="64" spans="2:58">
      <c r="B64" s="1"/>
      <c r="C64" s="62"/>
      <c r="D64" s="62"/>
      <c r="E64" s="62"/>
      <c r="F64" s="20"/>
      <c r="G64" s="20"/>
      <c r="H64" s="20"/>
      <c r="I64" s="1"/>
      <c r="J64" s="215"/>
      <c r="K64" s="215"/>
      <c r="L64" s="1"/>
      <c r="M64" s="1"/>
      <c r="N64" s="1"/>
      <c r="O64" s="1"/>
      <c r="P64" s="1"/>
      <c r="Q64" s="1"/>
      <c r="R64" s="1"/>
      <c r="S64" s="1"/>
      <c r="V64" s="20"/>
      <c r="W64" s="20"/>
      <c r="X64" s="20"/>
      <c r="Y64" s="1"/>
      <c r="Z64" s="215"/>
      <c r="AA64" s="215"/>
      <c r="AB64" s="1"/>
      <c r="AC64" s="1"/>
      <c r="AD64" s="1"/>
      <c r="AE64" s="1"/>
      <c r="AF64" s="1"/>
      <c r="AG64" s="1"/>
      <c r="AH64" s="1"/>
      <c r="AI64" s="1"/>
      <c r="AM64" s="32"/>
      <c r="AN64" s="1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102"/>
    </row>
    <row r="65" spans="2:58" ht="15.75" thickBot="1">
      <c r="B65" s="1"/>
      <c r="C65" s="1"/>
      <c r="E65" s="1"/>
      <c r="F65" s="20"/>
      <c r="G65" s="20"/>
      <c r="H65" s="20"/>
      <c r="I65" s="1"/>
      <c r="J65" s="215"/>
      <c r="K65" s="215"/>
      <c r="L65" s="1"/>
      <c r="M65" s="1"/>
      <c r="N65" s="1"/>
      <c r="O65" s="1"/>
      <c r="P65" s="1"/>
      <c r="Q65" s="1"/>
      <c r="R65" s="1"/>
      <c r="S65" s="1"/>
      <c r="V65" s="20"/>
      <c r="W65" s="20"/>
      <c r="X65" s="20"/>
      <c r="Y65" s="1"/>
      <c r="Z65" s="215"/>
      <c r="AA65" s="215"/>
      <c r="AB65" s="1"/>
      <c r="AC65" s="1"/>
      <c r="AD65" s="1"/>
      <c r="AE65" s="1"/>
      <c r="AF65" s="1"/>
      <c r="AG65" s="1"/>
      <c r="AH65" s="1"/>
      <c r="AI65" s="1"/>
      <c r="AM65" s="32"/>
      <c r="AN65" s="1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102"/>
    </row>
    <row r="66" spans="2:58" ht="15.75" thickBot="1">
      <c r="B66" s="1"/>
      <c r="C66" s="54"/>
      <c r="D66" s="54"/>
      <c r="E66" s="54"/>
      <c r="F66" s="20"/>
      <c r="G66" s="20"/>
      <c r="H66" s="20"/>
      <c r="I66" s="1"/>
      <c r="J66" s="215"/>
      <c r="K66" s="215"/>
      <c r="L66" s="1"/>
      <c r="M66" s="1"/>
      <c r="N66" s="1"/>
      <c r="O66" s="1"/>
      <c r="P66" s="1"/>
      <c r="Q66" s="1"/>
      <c r="R66" s="1"/>
      <c r="S66" s="1"/>
      <c r="V66" s="20"/>
      <c r="W66" s="20"/>
      <c r="X66" s="20"/>
      <c r="Y66" s="1"/>
      <c r="Z66" s="215"/>
      <c r="AA66" s="215"/>
      <c r="AB66" s="1"/>
      <c r="AC66" s="1"/>
      <c r="AD66" s="1"/>
      <c r="AE66" s="1"/>
      <c r="AF66" s="1"/>
      <c r="AG66" s="1"/>
      <c r="AH66" s="1"/>
      <c r="AI66" s="1"/>
      <c r="AM66" s="32"/>
      <c r="AN66" s="1"/>
      <c r="AP66" s="254" t="s">
        <v>187</v>
      </c>
      <c r="AQ66" s="33"/>
      <c r="AR66" s="258"/>
      <c r="AS66" s="220" t="s">
        <v>639</v>
      </c>
      <c r="AT66" s="220"/>
      <c r="AU66" s="220"/>
      <c r="AV66" s="220"/>
      <c r="AW66" s="220"/>
      <c r="AX66" s="220"/>
      <c r="AY66" s="220"/>
      <c r="AZ66" s="220"/>
      <c r="BA66" s="220"/>
      <c r="BB66" s="220"/>
      <c r="BC66" s="220"/>
      <c r="BD66" s="221"/>
      <c r="BE66" s="259"/>
      <c r="BF66" s="102"/>
    </row>
    <row r="67" spans="2:58">
      <c r="B67" s="1"/>
      <c r="C67" s="1"/>
      <c r="E67" s="1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V67" s="20"/>
      <c r="W67" s="20"/>
      <c r="X67" s="2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M67" s="32"/>
      <c r="AN67" s="1"/>
      <c r="AP67" s="33"/>
      <c r="AQ67" s="33"/>
      <c r="AR67" s="33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2"/>
    </row>
    <row r="68" spans="2:58">
      <c r="AI68" s="1"/>
      <c r="AM68" s="32"/>
      <c r="AN68" s="1"/>
      <c r="AP68" s="1"/>
      <c r="AQ68" s="1"/>
      <c r="AR68" s="6"/>
      <c r="AS68" s="18" t="s">
        <v>600</v>
      </c>
      <c r="AT68" s="18" t="s">
        <v>601</v>
      </c>
      <c r="AU68" s="18" t="s">
        <v>602</v>
      </c>
      <c r="AV68" s="18" t="s">
        <v>603</v>
      </c>
      <c r="AW68" s="18" t="s">
        <v>604</v>
      </c>
      <c r="AX68" s="18" t="s">
        <v>605</v>
      </c>
      <c r="AY68" s="18" t="s">
        <v>606</v>
      </c>
      <c r="AZ68" s="18" t="s">
        <v>607</v>
      </c>
      <c r="BA68" s="18" t="s">
        <v>608</v>
      </c>
      <c r="BB68" s="18" t="s">
        <v>609</v>
      </c>
      <c r="BC68" s="18" t="s">
        <v>610</v>
      </c>
      <c r="BD68" s="18" t="s">
        <v>611</v>
      </c>
      <c r="BE68" s="130"/>
      <c r="BF68" s="102"/>
    </row>
    <row r="69" spans="2:58">
      <c r="AM69" s="32"/>
      <c r="AN69" s="1"/>
      <c r="AP69" s="1"/>
      <c r="AQ69" s="1"/>
      <c r="AR69" s="4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257"/>
      <c r="BF69" s="102"/>
    </row>
    <row r="70" spans="2:58">
      <c r="AM70" s="32"/>
      <c r="AN70" s="167" t="s">
        <v>585</v>
      </c>
      <c r="AP70" s="207">
        <f>SUM(AS70:BD70)</f>
        <v>4711</v>
      </c>
      <c r="AQ70" s="20"/>
      <c r="AR70" s="132"/>
      <c r="AS70" s="207">
        <v>1185</v>
      </c>
      <c r="AT70" s="207">
        <v>1689</v>
      </c>
      <c r="AU70" s="207">
        <v>1837</v>
      </c>
      <c r="AV70" s="207"/>
      <c r="AW70" s="207"/>
      <c r="AX70" s="207"/>
      <c r="AY70" s="207"/>
      <c r="AZ70" s="207"/>
      <c r="BA70" s="207"/>
      <c r="BB70" s="207"/>
      <c r="BC70" s="207"/>
      <c r="BD70" s="207"/>
      <c r="BE70" s="133"/>
      <c r="BF70" s="102"/>
    </row>
    <row r="71" spans="2:58">
      <c r="AM71" s="32"/>
      <c r="AN71" s="260" t="s">
        <v>586</v>
      </c>
      <c r="AO71" s="128"/>
      <c r="AP71" s="207">
        <f>SUM(AS71:BD71)</f>
        <v>7285</v>
      </c>
      <c r="AQ71" s="20"/>
      <c r="AR71" s="132"/>
      <c r="AS71" s="207">
        <v>3524</v>
      </c>
      <c r="AT71" s="207">
        <v>1725</v>
      </c>
      <c r="AU71" s="207">
        <v>2036</v>
      </c>
      <c r="AV71" s="207"/>
      <c r="AW71" s="207"/>
      <c r="AX71" s="207"/>
      <c r="AY71" s="207"/>
      <c r="AZ71" s="207"/>
      <c r="BA71" s="207"/>
      <c r="BB71" s="207"/>
      <c r="BC71" s="207"/>
      <c r="BD71" s="207"/>
      <c r="BE71" s="133"/>
      <c r="BF71" s="102"/>
    </row>
    <row r="72" spans="2:58">
      <c r="AM72" s="32"/>
      <c r="AN72" s="62"/>
      <c r="AO72" s="62"/>
      <c r="AP72" s="20"/>
      <c r="AQ72" s="20"/>
      <c r="AR72" s="132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133"/>
      <c r="BF72" s="102"/>
    </row>
    <row r="73" spans="2:58">
      <c r="AM73" s="32"/>
      <c r="AN73" s="251" t="s">
        <v>164</v>
      </c>
      <c r="AO73" s="251"/>
      <c r="AP73" s="17">
        <f>SUM(AS73:BD73)</f>
        <v>9730541.2123050746</v>
      </c>
      <c r="AQ73" s="20"/>
      <c r="AR73" s="132"/>
      <c r="AS73" s="17">
        <v>4930919.5526536033</v>
      </c>
      <c r="AT73" s="17">
        <v>2029628.8369512027</v>
      </c>
      <c r="AU73" s="17">
        <v>2769992.8227002686</v>
      </c>
      <c r="AV73" s="17">
        <f t="shared" ref="AV73:BD73" si="23">SUM(AV74:AV78)</f>
        <v>0</v>
      </c>
      <c r="AW73" s="17">
        <f t="shared" si="23"/>
        <v>0</v>
      </c>
      <c r="AX73" s="17">
        <f t="shared" si="23"/>
        <v>0</v>
      </c>
      <c r="AY73" s="17">
        <f t="shared" si="23"/>
        <v>0</v>
      </c>
      <c r="AZ73" s="17">
        <f t="shared" si="23"/>
        <v>0</v>
      </c>
      <c r="BA73" s="17">
        <f t="shared" si="23"/>
        <v>0</v>
      </c>
      <c r="BB73" s="17">
        <f t="shared" si="23"/>
        <v>0</v>
      </c>
      <c r="BC73" s="17">
        <f t="shared" si="23"/>
        <v>0</v>
      </c>
      <c r="BD73" s="17">
        <f t="shared" si="23"/>
        <v>0</v>
      </c>
      <c r="BE73" s="133"/>
      <c r="BF73" s="102"/>
    </row>
    <row r="74" spans="2:58">
      <c r="AM74" s="32"/>
      <c r="AN74" s="36" t="s">
        <v>612</v>
      </c>
      <c r="AO74" s="36"/>
      <c r="AP74" s="20">
        <f>SUM(AS74:BD74)</f>
        <v>9730541.2123050746</v>
      </c>
      <c r="AQ74" s="20"/>
      <c r="AR74" s="132"/>
      <c r="AS74" s="20">
        <v>4930919.5526536033</v>
      </c>
      <c r="AT74" s="113">
        <v>2029628.8369512027</v>
      </c>
      <c r="AU74" s="20">
        <v>2769992.8227002686</v>
      </c>
      <c r="AV74" s="20"/>
      <c r="AW74" s="20"/>
      <c r="AX74" s="20"/>
      <c r="AY74" s="20"/>
      <c r="AZ74" s="20"/>
      <c r="BA74" s="20"/>
      <c r="BB74" s="20"/>
      <c r="BC74" s="20"/>
      <c r="BD74" s="20"/>
      <c r="BE74" s="133"/>
      <c r="BF74" s="102"/>
    </row>
    <row r="75" spans="2:58">
      <c r="AM75" s="32"/>
      <c r="AN75" s="36" t="s">
        <v>613</v>
      </c>
      <c r="AO75" s="36"/>
      <c r="AP75" s="20">
        <v>0</v>
      </c>
      <c r="AQ75" s="20"/>
      <c r="AR75" s="132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133"/>
      <c r="BF75" s="102"/>
    </row>
    <row r="76" spans="2:58">
      <c r="AM76" s="32"/>
      <c r="AN76" s="36" t="s">
        <v>614</v>
      </c>
      <c r="AO76" s="36"/>
      <c r="AP76" s="20">
        <v>0</v>
      </c>
      <c r="AQ76" s="20"/>
      <c r="AR76" s="132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133"/>
      <c r="BF76" s="102"/>
    </row>
    <row r="77" spans="2:58">
      <c r="AM77" s="32"/>
      <c r="AN77" s="36" t="s">
        <v>615</v>
      </c>
      <c r="AO77" s="36"/>
      <c r="AP77" s="20">
        <v>0</v>
      </c>
      <c r="AQ77" s="20"/>
      <c r="AR77" s="132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133"/>
      <c r="BF77" s="102"/>
    </row>
    <row r="78" spans="2:58">
      <c r="AM78" s="32"/>
      <c r="AN78" s="36" t="s">
        <v>616</v>
      </c>
      <c r="AO78" s="36"/>
      <c r="AP78" s="20">
        <v>0</v>
      </c>
      <c r="AQ78" s="20"/>
      <c r="AR78" s="132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133"/>
      <c r="BF78" s="102"/>
    </row>
    <row r="79" spans="2:58">
      <c r="AM79" s="32"/>
      <c r="AN79" s="36"/>
      <c r="AO79" s="36"/>
      <c r="AP79" s="20"/>
      <c r="AQ79" s="20"/>
      <c r="AR79" s="132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133"/>
      <c r="BF79" s="102"/>
    </row>
    <row r="80" spans="2:58">
      <c r="AM80" s="32"/>
      <c r="AN80" s="251" t="s">
        <v>170</v>
      </c>
      <c r="AO80" s="251"/>
      <c r="AP80" s="17">
        <f t="shared" ref="AP80:AP85" si="24">SUM(AS80:BD80)</f>
        <v>9850609.2228606455</v>
      </c>
      <c r="AQ80" s="20"/>
      <c r="AR80" s="132"/>
      <c r="AS80" s="17">
        <v>4220388.4431449017</v>
      </c>
      <c r="AT80" s="17">
        <v>2456819.5460982961</v>
      </c>
      <c r="AU80" s="17">
        <v>3173401.2336174473</v>
      </c>
      <c r="AV80" s="17">
        <f t="shared" ref="AV80:BD80" si="25">AV81+AV87</f>
        <v>0</v>
      </c>
      <c r="AW80" s="17">
        <f t="shared" si="25"/>
        <v>0</v>
      </c>
      <c r="AX80" s="17">
        <f t="shared" si="25"/>
        <v>0</v>
      </c>
      <c r="AY80" s="17">
        <f t="shared" si="25"/>
        <v>0</v>
      </c>
      <c r="AZ80" s="17">
        <f t="shared" si="25"/>
        <v>0</v>
      </c>
      <c r="BA80" s="17">
        <f t="shared" si="25"/>
        <v>0</v>
      </c>
      <c r="BB80" s="17">
        <f t="shared" si="25"/>
        <v>0</v>
      </c>
      <c r="BC80" s="17">
        <f t="shared" si="25"/>
        <v>0</v>
      </c>
      <c r="BD80" s="17">
        <f t="shared" si="25"/>
        <v>0</v>
      </c>
      <c r="BE80" s="133"/>
      <c r="BF80" s="102"/>
    </row>
    <row r="81" spans="39:58">
      <c r="AM81" s="32"/>
      <c r="AN81" s="36" t="s">
        <v>612</v>
      </c>
      <c r="AO81" s="36"/>
      <c r="AP81" s="20">
        <f t="shared" si="24"/>
        <v>9528416.6492620707</v>
      </c>
      <c r="AQ81" s="20"/>
      <c r="AR81" s="132"/>
      <c r="AS81" s="20">
        <v>3916987.0220151627</v>
      </c>
      <c r="AT81" s="20">
        <v>2445084.3561391979</v>
      </c>
      <c r="AU81" s="20">
        <v>3166345.2711077095</v>
      </c>
      <c r="AV81" s="20">
        <f t="shared" ref="AV81:BD81" si="26">AV82+AV83-AV84</f>
        <v>0</v>
      </c>
      <c r="AW81" s="20">
        <f t="shared" si="26"/>
        <v>0</v>
      </c>
      <c r="AX81" s="20">
        <f t="shared" si="26"/>
        <v>0</v>
      </c>
      <c r="AY81" s="20">
        <f t="shared" si="26"/>
        <v>0</v>
      </c>
      <c r="AZ81" s="20">
        <f t="shared" si="26"/>
        <v>0</v>
      </c>
      <c r="BA81" s="20">
        <f t="shared" si="26"/>
        <v>0</v>
      </c>
      <c r="BB81" s="20">
        <f t="shared" si="26"/>
        <v>0</v>
      </c>
      <c r="BC81" s="20">
        <f t="shared" si="26"/>
        <v>0</v>
      </c>
      <c r="BD81" s="20">
        <f t="shared" si="26"/>
        <v>0</v>
      </c>
      <c r="BE81" s="133"/>
      <c r="BF81" s="102"/>
    </row>
    <row r="82" spans="39:58">
      <c r="AM82" s="32"/>
      <c r="AN82" s="252" t="s">
        <v>617</v>
      </c>
      <c r="AO82" s="252"/>
      <c r="AP82" s="20">
        <f t="shared" si="24"/>
        <v>4444422.4590941174</v>
      </c>
      <c r="AQ82" s="20"/>
      <c r="AR82" s="132"/>
      <c r="AS82" s="20">
        <v>2531597.4111107895</v>
      </c>
      <c r="AT82" s="20">
        <v>992106.79815902561</v>
      </c>
      <c r="AU82" s="20">
        <v>920718.2498243025</v>
      </c>
      <c r="AV82" s="20"/>
      <c r="AW82" s="20"/>
      <c r="AX82" s="20"/>
      <c r="AY82" s="20"/>
      <c r="AZ82" s="20"/>
      <c r="BA82" s="20"/>
      <c r="BB82" s="20"/>
      <c r="BC82" s="20"/>
      <c r="BD82" s="20"/>
      <c r="BE82" s="133"/>
      <c r="BF82" s="102"/>
    </row>
    <row r="83" spans="39:58">
      <c r="AM83" s="32"/>
      <c r="AN83" s="252" t="s">
        <v>618</v>
      </c>
      <c r="AO83" s="252"/>
      <c r="AP83" s="20">
        <f t="shared" si="24"/>
        <v>8578992.0833225343</v>
      </c>
      <c r="AQ83" s="20"/>
      <c r="AR83" s="132"/>
      <c r="AS83" s="20">
        <v>2377496.4090633988</v>
      </c>
      <c r="AT83" s="20">
        <v>2373695.8078044751</v>
      </c>
      <c r="AU83" s="20">
        <v>3827799.8664546614</v>
      </c>
      <c r="AV83" s="20"/>
      <c r="AW83" s="20"/>
      <c r="AX83" s="20"/>
      <c r="AY83" s="20"/>
      <c r="AZ83" s="20"/>
      <c r="BA83" s="20"/>
      <c r="BB83" s="20"/>
      <c r="BC83" s="20"/>
      <c r="BD83" s="20"/>
      <c r="BE83" s="133"/>
      <c r="BF83" s="102"/>
    </row>
    <row r="84" spans="39:58">
      <c r="AM84" s="32"/>
      <c r="AN84" s="252" t="s">
        <v>619</v>
      </c>
      <c r="AO84" s="252"/>
      <c r="AP84" s="20">
        <f t="shared" si="24"/>
        <v>3494997.893154582</v>
      </c>
      <c r="AQ84" s="20"/>
      <c r="AR84" s="132"/>
      <c r="AS84" s="20">
        <v>992106.79815902561</v>
      </c>
      <c r="AT84" s="20">
        <v>920718.2498243025</v>
      </c>
      <c r="AU84" s="20">
        <v>1582172.8451712537</v>
      </c>
      <c r="AV84" s="20"/>
      <c r="AW84" s="20"/>
      <c r="AX84" s="20"/>
      <c r="AY84" s="20"/>
      <c r="AZ84" s="20"/>
      <c r="BA84" s="20"/>
      <c r="BB84" s="20"/>
      <c r="BC84" s="20"/>
      <c r="BD84" s="20"/>
      <c r="BE84" s="133"/>
      <c r="BF84" s="102"/>
    </row>
    <row r="85" spans="39:58">
      <c r="AM85" s="32"/>
      <c r="AN85" s="252" t="s">
        <v>620</v>
      </c>
      <c r="AO85" s="252"/>
      <c r="AP85" s="20">
        <f t="shared" si="24"/>
        <v>0</v>
      </c>
      <c r="AQ85" s="20"/>
      <c r="AR85" s="132"/>
      <c r="AS85" s="20">
        <v>0</v>
      </c>
      <c r="AT85" s="20">
        <v>0</v>
      </c>
      <c r="AU85" s="20">
        <v>0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133"/>
      <c r="BF85" s="102"/>
    </row>
    <row r="86" spans="39:58">
      <c r="AM86" s="32"/>
      <c r="AN86" s="252"/>
      <c r="AO86" s="252"/>
      <c r="AP86" s="20"/>
      <c r="AQ86" s="20"/>
      <c r="AR86" s="132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133"/>
      <c r="BF86" s="102"/>
    </row>
    <row r="87" spans="39:58">
      <c r="AM87" s="32"/>
      <c r="AN87" s="36" t="s">
        <v>621</v>
      </c>
      <c r="AO87" s="36"/>
      <c r="AP87" s="20">
        <f>SUM(AS87:BD87)</f>
        <v>322192.57359857432</v>
      </c>
      <c r="AQ87" s="20"/>
      <c r="AR87" s="132"/>
      <c r="AS87" s="20">
        <v>303401.42112973868</v>
      </c>
      <c r="AT87" s="20">
        <v>11735.18995909793</v>
      </c>
      <c r="AU87" s="20">
        <v>7055.9625097376811</v>
      </c>
      <c r="AV87" s="20"/>
      <c r="AW87" s="20"/>
      <c r="AX87" s="20"/>
      <c r="AY87" s="20"/>
      <c r="AZ87" s="20"/>
      <c r="BA87" s="20"/>
      <c r="BB87" s="20"/>
      <c r="BC87" s="20"/>
      <c r="BD87" s="20"/>
      <c r="BE87" s="133"/>
      <c r="BF87" s="102"/>
    </row>
    <row r="88" spans="39:58">
      <c r="AM88" s="32"/>
      <c r="AN88" s="36" t="s">
        <v>622</v>
      </c>
      <c r="AO88" s="36"/>
      <c r="AP88" s="20">
        <v>0</v>
      </c>
      <c r="AQ88" s="20"/>
      <c r="AR88" s="132"/>
      <c r="AS88" s="20">
        <v>0</v>
      </c>
      <c r="AT88" s="20">
        <v>0</v>
      </c>
      <c r="AU88" s="20">
        <v>0</v>
      </c>
      <c r="AV88" s="20"/>
      <c r="AW88" s="20"/>
      <c r="AX88" s="20"/>
      <c r="AY88" s="20"/>
      <c r="AZ88" s="20"/>
      <c r="BA88" s="20"/>
      <c r="BB88" s="20"/>
      <c r="BC88" s="20"/>
      <c r="BD88" s="20"/>
      <c r="BE88" s="133"/>
      <c r="BF88" s="102"/>
    </row>
    <row r="89" spans="39:58">
      <c r="AM89" s="32"/>
      <c r="AN89" s="36" t="s">
        <v>623</v>
      </c>
      <c r="AO89" s="36"/>
      <c r="AP89" s="20">
        <v>0</v>
      </c>
      <c r="AQ89" s="20"/>
      <c r="AR89" s="132"/>
      <c r="AS89" s="20">
        <v>0</v>
      </c>
      <c r="AT89" s="20">
        <v>0</v>
      </c>
      <c r="AU89" s="20">
        <v>0</v>
      </c>
      <c r="AV89" s="20"/>
      <c r="AW89" s="20"/>
      <c r="AX89" s="20"/>
      <c r="AY89" s="20"/>
      <c r="AZ89" s="20"/>
      <c r="BA89" s="20"/>
      <c r="BB89" s="20"/>
      <c r="BC89" s="20"/>
      <c r="BD89" s="20"/>
      <c r="BE89" s="133"/>
      <c r="BF89" s="102"/>
    </row>
    <row r="90" spans="39:58">
      <c r="AM90" s="32"/>
      <c r="AN90" s="36" t="s">
        <v>624</v>
      </c>
      <c r="AO90" s="36"/>
      <c r="AP90" s="20">
        <v>0</v>
      </c>
      <c r="AQ90" s="20"/>
      <c r="AR90" s="132"/>
      <c r="AS90" s="20">
        <v>0</v>
      </c>
      <c r="AT90" s="20">
        <v>0</v>
      </c>
      <c r="AU90" s="20">
        <v>0</v>
      </c>
      <c r="AV90" s="20"/>
      <c r="AW90" s="20"/>
      <c r="AX90" s="20"/>
      <c r="AY90" s="20"/>
      <c r="AZ90" s="20"/>
      <c r="BA90" s="20"/>
      <c r="BB90" s="20"/>
      <c r="BC90" s="20"/>
      <c r="BD90" s="20"/>
      <c r="BE90" s="133"/>
      <c r="BF90" s="102"/>
    </row>
    <row r="91" spans="39:58">
      <c r="AM91" s="32"/>
      <c r="AN91" s="36" t="s">
        <v>625</v>
      </c>
      <c r="AO91" s="36"/>
      <c r="AP91" s="20">
        <v>0</v>
      </c>
      <c r="AQ91" s="20"/>
      <c r="AR91" s="132"/>
      <c r="AS91" s="20">
        <v>0</v>
      </c>
      <c r="AT91" s="20">
        <v>0</v>
      </c>
      <c r="AU91" s="20">
        <v>0</v>
      </c>
      <c r="AV91" s="20"/>
      <c r="AW91" s="20"/>
      <c r="AX91" s="20"/>
      <c r="AY91" s="20"/>
      <c r="AZ91" s="20"/>
      <c r="BA91" s="20"/>
      <c r="BB91" s="20"/>
      <c r="BC91" s="20"/>
      <c r="BD91" s="20"/>
      <c r="BE91" s="133"/>
      <c r="BF91" s="102"/>
    </row>
    <row r="92" spans="39:58">
      <c r="AM92" s="32"/>
      <c r="AN92" s="36"/>
      <c r="AO92" s="36"/>
      <c r="AP92" s="20"/>
      <c r="AQ92" s="20"/>
      <c r="AR92" s="132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133"/>
      <c r="BF92" s="102"/>
    </row>
    <row r="93" spans="39:58">
      <c r="AM93" s="32"/>
      <c r="AN93" s="255" t="s">
        <v>179</v>
      </c>
      <c r="AO93" s="256"/>
      <c r="AP93" s="123">
        <f>SUM(AS93:BD93)</f>
        <v>-120068.01055557048</v>
      </c>
      <c r="AQ93" s="20"/>
      <c r="AR93" s="132"/>
      <c r="AS93" s="123">
        <v>710531.1095087016</v>
      </c>
      <c r="AT93" s="123">
        <v>-427190.70914709335</v>
      </c>
      <c r="AU93" s="123">
        <v>-403408.41091717873</v>
      </c>
      <c r="AV93" s="123">
        <f t="shared" ref="AV93:BD93" si="27">AV73-AV80</f>
        <v>0</v>
      </c>
      <c r="AW93" s="123">
        <f t="shared" si="27"/>
        <v>0</v>
      </c>
      <c r="AX93" s="123">
        <f t="shared" si="27"/>
        <v>0</v>
      </c>
      <c r="AY93" s="123">
        <f t="shared" si="27"/>
        <v>0</v>
      </c>
      <c r="AZ93" s="123">
        <f t="shared" si="27"/>
        <v>0</v>
      </c>
      <c r="BA93" s="123">
        <f t="shared" si="27"/>
        <v>0</v>
      </c>
      <c r="BB93" s="123">
        <f t="shared" si="27"/>
        <v>0</v>
      </c>
      <c r="BC93" s="123">
        <f t="shared" si="27"/>
        <v>0</v>
      </c>
      <c r="BD93" s="123">
        <f t="shared" si="27"/>
        <v>0</v>
      </c>
      <c r="BE93" s="133"/>
      <c r="BF93" s="102"/>
    </row>
    <row r="94" spans="39:58">
      <c r="AM94" s="32"/>
      <c r="AN94" s="251"/>
      <c r="AO94" s="251"/>
      <c r="AP94" s="20"/>
      <c r="AQ94" s="20"/>
      <c r="AR94" s="132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133"/>
      <c r="BF94" s="102"/>
    </row>
    <row r="95" spans="39:58">
      <c r="AM95" s="32"/>
      <c r="AN95" s="251" t="s">
        <v>632</v>
      </c>
      <c r="AO95" s="251"/>
      <c r="AP95" s="17">
        <f t="shared" ref="AP95:AP100" si="28">SUM(AS95:BD95)</f>
        <v>536379.86573815055</v>
      </c>
      <c r="AQ95" s="20"/>
      <c r="AR95" s="132"/>
      <c r="AS95" s="17">
        <v>96870</v>
      </c>
      <c r="AT95" s="17">
        <v>117581.27285782454</v>
      </c>
      <c r="AU95" s="17">
        <v>321928.59288032603</v>
      </c>
      <c r="AV95" s="17">
        <f t="shared" ref="AV95:BD95" si="29">SUM(AV96:AV100)</f>
        <v>0</v>
      </c>
      <c r="AW95" s="17">
        <f t="shared" si="29"/>
        <v>0</v>
      </c>
      <c r="AX95" s="17">
        <f t="shared" si="29"/>
        <v>0</v>
      </c>
      <c r="AY95" s="17">
        <f t="shared" si="29"/>
        <v>0</v>
      </c>
      <c r="AZ95" s="17">
        <f t="shared" si="29"/>
        <v>0</v>
      </c>
      <c r="BA95" s="17">
        <f t="shared" si="29"/>
        <v>0</v>
      </c>
      <c r="BB95" s="17">
        <f t="shared" si="29"/>
        <v>0</v>
      </c>
      <c r="BC95" s="17">
        <f t="shared" si="29"/>
        <v>0</v>
      </c>
      <c r="BD95" s="17">
        <f t="shared" si="29"/>
        <v>0</v>
      </c>
      <c r="BE95" s="133"/>
      <c r="BF95" s="102"/>
    </row>
    <row r="96" spans="39:58">
      <c r="AM96" s="32"/>
      <c r="AN96" s="36" t="s">
        <v>626</v>
      </c>
      <c r="AO96" s="36"/>
      <c r="AP96" s="20">
        <f t="shared" si="28"/>
        <v>81288.853473627096</v>
      </c>
      <c r="AQ96" s="20"/>
      <c r="AR96" s="132"/>
      <c r="AS96" s="20">
        <v>28594</v>
      </c>
      <c r="AT96" s="20">
        <v>25955.219625676687</v>
      </c>
      <c r="AU96" s="20">
        <v>26739.633847950397</v>
      </c>
      <c r="AV96" s="20"/>
      <c r="AW96" s="20"/>
      <c r="AX96" s="20"/>
      <c r="AY96" s="20"/>
      <c r="AZ96" s="20"/>
      <c r="BA96" s="20"/>
      <c r="BB96" s="20"/>
      <c r="BC96" s="20"/>
      <c r="BD96" s="20"/>
      <c r="BE96" s="133"/>
      <c r="BF96" s="102"/>
    </row>
    <row r="97" spans="39:58">
      <c r="AM97" s="32"/>
      <c r="AN97" s="36" t="s">
        <v>621</v>
      </c>
      <c r="AO97" s="36"/>
      <c r="AP97" s="20">
        <f t="shared" si="28"/>
        <v>0</v>
      </c>
      <c r="AQ97" s="20"/>
      <c r="AR97" s="132"/>
      <c r="AS97" s="20">
        <v>0</v>
      </c>
      <c r="AT97" s="20">
        <v>0</v>
      </c>
      <c r="AU97" s="20">
        <v>0</v>
      </c>
      <c r="AV97" s="20"/>
      <c r="AW97" s="20"/>
      <c r="AX97" s="20"/>
      <c r="AY97" s="20"/>
      <c r="AZ97" s="20"/>
      <c r="BA97" s="20"/>
      <c r="BB97" s="20"/>
      <c r="BC97" s="20"/>
      <c r="BD97" s="20"/>
      <c r="BE97" s="133"/>
      <c r="BF97" s="102"/>
    </row>
    <row r="98" spans="39:58">
      <c r="AM98" s="32"/>
      <c r="AN98" s="36" t="s">
        <v>627</v>
      </c>
      <c r="AO98" s="36"/>
      <c r="AP98" s="20">
        <f t="shared" si="28"/>
        <v>0</v>
      </c>
      <c r="AQ98" s="20"/>
      <c r="AR98" s="132"/>
      <c r="AS98" s="20">
        <v>0</v>
      </c>
      <c r="AT98" s="20">
        <v>0</v>
      </c>
      <c r="AU98" s="20">
        <v>0</v>
      </c>
      <c r="AV98" s="20"/>
      <c r="AW98" s="20"/>
      <c r="AX98" s="20"/>
      <c r="AY98" s="20"/>
      <c r="AZ98" s="20"/>
      <c r="BA98" s="20"/>
      <c r="BB98" s="20"/>
      <c r="BC98" s="20"/>
      <c r="BD98" s="20"/>
      <c r="BE98" s="133"/>
      <c r="BF98" s="102"/>
    </row>
    <row r="99" spans="39:58">
      <c r="AM99" s="32"/>
      <c r="AN99" s="36" t="s">
        <v>628</v>
      </c>
      <c r="AO99" s="36"/>
      <c r="AP99" s="20">
        <f t="shared" si="28"/>
        <v>194664.95059889596</v>
      </c>
      <c r="AQ99" s="20"/>
      <c r="AR99" s="132"/>
      <c r="AS99" s="20">
        <v>0</v>
      </c>
      <c r="AT99" s="20">
        <v>0</v>
      </c>
      <c r="AU99" s="20">
        <v>194664.95059889596</v>
      </c>
      <c r="AV99" s="20"/>
      <c r="AW99" s="20"/>
      <c r="AX99" s="20"/>
      <c r="AY99" s="20"/>
      <c r="AZ99" s="20"/>
      <c r="BA99" s="20"/>
      <c r="BB99" s="20"/>
      <c r="BC99" s="20"/>
      <c r="BD99" s="20"/>
      <c r="BE99" s="133"/>
      <c r="BF99" s="102"/>
    </row>
    <row r="100" spans="39:58">
      <c r="AM100" s="32"/>
      <c r="AN100" s="36" t="s">
        <v>629</v>
      </c>
      <c r="AO100" s="36"/>
      <c r="AP100" s="20">
        <f t="shared" si="28"/>
        <v>260426.06166562747</v>
      </c>
      <c r="AQ100" s="20"/>
      <c r="AR100" s="132"/>
      <c r="AS100" s="20">
        <v>68276</v>
      </c>
      <c r="AT100" s="20">
        <v>91626.053232147839</v>
      </c>
      <c r="AU100" s="20">
        <v>100524.00843347964</v>
      </c>
      <c r="AV100" s="20"/>
      <c r="AW100" s="20"/>
      <c r="AX100" s="20"/>
      <c r="AY100" s="20"/>
      <c r="AZ100" s="20"/>
      <c r="BA100" s="20"/>
      <c r="BB100" s="20"/>
      <c r="BC100" s="20"/>
      <c r="BD100" s="20"/>
      <c r="BE100" s="133"/>
      <c r="BF100" s="102"/>
    </row>
    <row r="101" spans="39:58">
      <c r="AM101" s="32"/>
      <c r="AN101" s="36"/>
      <c r="AO101" s="36"/>
      <c r="AP101" s="20"/>
      <c r="AQ101" s="20"/>
      <c r="AR101" s="132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133"/>
      <c r="BF101" s="102"/>
    </row>
    <row r="102" spans="39:58">
      <c r="AM102" s="32"/>
      <c r="AN102" s="251" t="s">
        <v>184</v>
      </c>
      <c r="AO102" s="251"/>
      <c r="AP102" s="123">
        <f>SUM(AS102:BD102)</f>
        <v>-656447.98580242298</v>
      </c>
      <c r="AQ102" s="20"/>
      <c r="AR102" s="132"/>
      <c r="AS102" s="123">
        <v>613661</v>
      </c>
      <c r="AT102" s="123">
        <v>-544771.98200491804</v>
      </c>
      <c r="AU102" s="123">
        <v>-725337.00379750493</v>
      </c>
      <c r="AV102" s="123">
        <f t="shared" ref="AV102:BD102" si="30">AV93-AV95</f>
        <v>0</v>
      </c>
      <c r="AW102" s="123">
        <f t="shared" si="30"/>
        <v>0</v>
      </c>
      <c r="AX102" s="123">
        <f t="shared" si="30"/>
        <v>0</v>
      </c>
      <c r="AY102" s="123">
        <f t="shared" si="30"/>
        <v>0</v>
      </c>
      <c r="AZ102" s="123">
        <f t="shared" si="30"/>
        <v>0</v>
      </c>
      <c r="BA102" s="123">
        <f t="shared" si="30"/>
        <v>0</v>
      </c>
      <c r="BB102" s="123">
        <f t="shared" si="30"/>
        <v>0</v>
      </c>
      <c r="BC102" s="123">
        <f t="shared" si="30"/>
        <v>0</v>
      </c>
      <c r="BD102" s="123">
        <f t="shared" si="30"/>
        <v>0</v>
      </c>
      <c r="BE102" s="133"/>
      <c r="BF102" s="102"/>
    </row>
    <row r="103" spans="39:58">
      <c r="AM103" s="32"/>
      <c r="AN103" s="251"/>
      <c r="AO103" s="251"/>
      <c r="AP103" s="20"/>
      <c r="AQ103" s="20"/>
      <c r="AR103" s="132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133"/>
      <c r="BF103" s="102"/>
    </row>
    <row r="104" spans="39:58">
      <c r="AM104" s="32"/>
      <c r="AN104" s="251" t="s">
        <v>633</v>
      </c>
      <c r="AO104" s="251"/>
      <c r="AP104" s="17">
        <f>SUM(AS104:BD104)</f>
        <v>239234.46464049217</v>
      </c>
      <c r="AQ104" s="20"/>
      <c r="AR104" s="132"/>
      <c r="AS104" s="17">
        <v>78370.202056715119</v>
      </c>
      <c r="AT104" s="17">
        <v>86289.488154965438</v>
      </c>
      <c r="AU104" s="17">
        <v>74574.774428811637</v>
      </c>
      <c r="AV104" s="17">
        <f t="shared" ref="AV104:BD104" si="31">SUM(AV105:AV106)</f>
        <v>0</v>
      </c>
      <c r="AW104" s="17">
        <f t="shared" si="31"/>
        <v>0</v>
      </c>
      <c r="AX104" s="17">
        <f t="shared" si="31"/>
        <v>0</v>
      </c>
      <c r="AY104" s="17">
        <f t="shared" si="31"/>
        <v>0</v>
      </c>
      <c r="AZ104" s="17">
        <f t="shared" si="31"/>
        <v>0</v>
      </c>
      <c r="BA104" s="17">
        <f t="shared" si="31"/>
        <v>0</v>
      </c>
      <c r="BB104" s="17">
        <f t="shared" si="31"/>
        <v>0</v>
      </c>
      <c r="BC104" s="17">
        <f t="shared" si="31"/>
        <v>0</v>
      </c>
      <c r="BD104" s="17">
        <f t="shared" si="31"/>
        <v>0</v>
      </c>
      <c r="BE104" s="133"/>
      <c r="BF104" s="102"/>
    </row>
    <row r="105" spans="39:58">
      <c r="AM105" s="32"/>
      <c r="AN105" s="36" t="s">
        <v>630</v>
      </c>
      <c r="AO105" s="36"/>
      <c r="AP105" s="20">
        <f>SUM(AS105:BD105)</f>
        <v>204347.23922785081</v>
      </c>
      <c r="AQ105" s="20"/>
      <c r="AR105" s="132"/>
      <c r="AS105" s="20">
        <v>66983.813985545814</v>
      </c>
      <c r="AT105" s="20">
        <v>75090.281647018521</v>
      </c>
      <c r="AU105" s="20">
        <v>62273.14359528647</v>
      </c>
      <c r="AV105" s="20"/>
      <c r="AW105" s="20"/>
      <c r="AX105" s="20"/>
      <c r="AY105" s="20"/>
      <c r="AZ105" s="20"/>
      <c r="BA105" s="20"/>
      <c r="BB105" s="20"/>
      <c r="BC105" s="20"/>
      <c r="BD105" s="20"/>
      <c r="BE105" s="133"/>
      <c r="BF105" s="102"/>
    </row>
    <row r="106" spans="39:58">
      <c r="AM106" s="32"/>
      <c r="AN106" s="36" t="s">
        <v>631</v>
      </c>
      <c r="AO106" s="36"/>
      <c r="AP106" s="20">
        <f>SUM(AS106:BD106)</f>
        <v>34887.225412641383</v>
      </c>
      <c r="AQ106" s="20"/>
      <c r="AR106" s="132"/>
      <c r="AS106" s="20">
        <v>11386.3880711693</v>
      </c>
      <c r="AT106" s="20">
        <v>11199.206507946916</v>
      </c>
      <c r="AU106" s="20">
        <v>12301.630833525167</v>
      </c>
      <c r="AV106" s="20"/>
      <c r="AW106" s="20"/>
      <c r="AX106" s="20"/>
      <c r="AY106" s="20"/>
      <c r="AZ106" s="20"/>
      <c r="BA106" s="20"/>
      <c r="BB106" s="20"/>
      <c r="BC106" s="20"/>
      <c r="BD106" s="20"/>
      <c r="BE106" s="133"/>
      <c r="BF106" s="102"/>
    </row>
    <row r="107" spans="39:58">
      <c r="AM107" s="32"/>
      <c r="AN107" s="36"/>
      <c r="AO107" s="36"/>
      <c r="AP107" s="20"/>
      <c r="AQ107" s="20"/>
      <c r="AR107" s="132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133"/>
      <c r="BF107" s="102"/>
    </row>
    <row r="108" spans="39:58">
      <c r="AM108" s="32"/>
      <c r="AN108" s="251" t="s">
        <v>634</v>
      </c>
      <c r="AP108" s="17">
        <f>SUM(AS108:BD108)</f>
        <v>-895682.24838620005</v>
      </c>
      <c r="AQ108" s="20"/>
      <c r="AR108" s="132"/>
      <c r="AS108" s="17">
        <v>535291</v>
      </c>
      <c r="AT108" s="17">
        <v>-631061.47015988349</v>
      </c>
      <c r="AU108" s="17">
        <v>-799911.77822631656</v>
      </c>
      <c r="AV108" s="17">
        <f t="shared" ref="AV108:BD108" si="32">AV102-AV104</f>
        <v>0</v>
      </c>
      <c r="AW108" s="17">
        <f t="shared" si="32"/>
        <v>0</v>
      </c>
      <c r="AX108" s="17">
        <f t="shared" si="32"/>
        <v>0</v>
      </c>
      <c r="AY108" s="17">
        <f t="shared" si="32"/>
        <v>0</v>
      </c>
      <c r="AZ108" s="17">
        <f t="shared" si="32"/>
        <v>0</v>
      </c>
      <c r="BA108" s="17">
        <f t="shared" si="32"/>
        <v>0</v>
      </c>
      <c r="BB108" s="17">
        <f t="shared" si="32"/>
        <v>0</v>
      </c>
      <c r="BC108" s="17">
        <f t="shared" si="32"/>
        <v>0</v>
      </c>
      <c r="BD108" s="17">
        <f t="shared" si="32"/>
        <v>0</v>
      </c>
      <c r="BE108" s="133"/>
      <c r="BF108" s="102"/>
    </row>
    <row r="109" spans="39:58">
      <c r="AM109" s="32"/>
      <c r="AN109" s="251"/>
      <c r="AP109" s="20"/>
      <c r="AQ109" s="20"/>
      <c r="AR109" s="132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133"/>
      <c r="BF109" s="102"/>
    </row>
    <row r="110" spans="39:58">
      <c r="AM110" s="32"/>
      <c r="AN110" s="251" t="s">
        <v>635</v>
      </c>
      <c r="AP110" s="17">
        <f>SUM(AS110:BD110)</f>
        <v>263057.84104496689</v>
      </c>
      <c r="AQ110" s="20"/>
      <c r="AR110" s="132"/>
      <c r="AS110" s="17">
        <v>76804.714699286691</v>
      </c>
      <c r="AT110" s="17">
        <v>88119.170029437897</v>
      </c>
      <c r="AU110" s="17">
        <v>98133.956316242286</v>
      </c>
      <c r="AV110" s="17">
        <f t="shared" ref="AV110:BD110" si="33">SUM(AV111:AV112)</f>
        <v>0</v>
      </c>
      <c r="AW110" s="17">
        <f t="shared" si="33"/>
        <v>0</v>
      </c>
      <c r="AX110" s="17">
        <f t="shared" si="33"/>
        <v>0</v>
      </c>
      <c r="AY110" s="17">
        <f t="shared" si="33"/>
        <v>0</v>
      </c>
      <c r="AZ110" s="17">
        <f t="shared" si="33"/>
        <v>0</v>
      </c>
      <c r="BA110" s="17">
        <f t="shared" si="33"/>
        <v>0</v>
      </c>
      <c r="BB110" s="17">
        <f t="shared" si="33"/>
        <v>0</v>
      </c>
      <c r="BC110" s="17">
        <f t="shared" si="33"/>
        <v>0</v>
      </c>
      <c r="BD110" s="17">
        <f t="shared" si="33"/>
        <v>0</v>
      </c>
      <c r="BE110" s="133"/>
      <c r="BF110" s="102"/>
    </row>
    <row r="111" spans="39:58">
      <c r="AM111" s="32"/>
      <c r="AN111" s="36" t="s">
        <v>636</v>
      </c>
      <c r="AP111" s="20">
        <f>SUM(AS111:BD111)</f>
        <v>165478.91057645547</v>
      </c>
      <c r="AQ111" s="20"/>
      <c r="AR111" s="132"/>
      <c r="AS111" s="20">
        <v>55247.871496658066</v>
      </c>
      <c r="AT111" s="20">
        <v>55518.523051053649</v>
      </c>
      <c r="AU111" s="20">
        <v>54712.516028743754</v>
      </c>
      <c r="AV111" s="20"/>
      <c r="AW111" s="20"/>
      <c r="AX111" s="20"/>
      <c r="AY111" s="20"/>
      <c r="AZ111" s="20"/>
      <c r="BA111" s="20"/>
      <c r="BB111" s="20"/>
      <c r="BC111" s="20"/>
      <c r="BD111" s="20"/>
      <c r="BE111" s="133"/>
      <c r="BF111" s="102"/>
    </row>
    <row r="112" spans="39:58">
      <c r="AM112" s="32"/>
      <c r="AN112" s="36" t="s">
        <v>637</v>
      </c>
      <c r="AP112" s="20">
        <f>SUM(AS112:BD112)</f>
        <v>97578.930468511404</v>
      </c>
      <c r="AQ112" s="20"/>
      <c r="AR112" s="132"/>
      <c r="AS112" s="20">
        <v>21556.843202628628</v>
      </c>
      <c r="AT112" s="20">
        <v>32600.646978384255</v>
      </c>
      <c r="AU112" s="20">
        <v>43421.440287498524</v>
      </c>
      <c r="AV112" s="20"/>
      <c r="AW112" s="20"/>
      <c r="AX112" s="20"/>
      <c r="AY112" s="20"/>
      <c r="AZ112" s="20"/>
      <c r="BA112" s="20"/>
      <c r="BB112" s="20"/>
      <c r="BC112" s="20"/>
      <c r="BD112" s="20"/>
      <c r="BE112" s="133"/>
      <c r="BF112" s="102"/>
    </row>
    <row r="113" spans="39:58">
      <c r="AM113" s="32"/>
      <c r="AN113" s="1"/>
      <c r="AP113" s="20"/>
      <c r="AQ113" s="20"/>
      <c r="AR113" s="132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133"/>
      <c r="BF113" s="102"/>
    </row>
    <row r="114" spans="39:58">
      <c r="AM114" s="32"/>
      <c r="AN114" s="255" t="s">
        <v>576</v>
      </c>
      <c r="AO114" s="251"/>
      <c r="AP114" s="123">
        <f>SUM(AS114:BD114)</f>
        <v>-1158740.3747318801</v>
      </c>
      <c r="AQ114" s="20"/>
      <c r="AR114" s="132"/>
      <c r="AS114" s="123">
        <v>458486</v>
      </c>
      <c r="AT114" s="123">
        <v>-719180.64018932136</v>
      </c>
      <c r="AU114" s="123">
        <v>-898045.7345425589</v>
      </c>
      <c r="AV114" s="123">
        <f t="shared" ref="AV114:BD114" si="34">AV108-AV110</f>
        <v>0</v>
      </c>
      <c r="AW114" s="123">
        <f t="shared" si="34"/>
        <v>0</v>
      </c>
      <c r="AX114" s="123">
        <f t="shared" si="34"/>
        <v>0</v>
      </c>
      <c r="AY114" s="123">
        <f t="shared" si="34"/>
        <v>0</v>
      </c>
      <c r="AZ114" s="123">
        <f t="shared" si="34"/>
        <v>0</v>
      </c>
      <c r="BA114" s="123">
        <f t="shared" si="34"/>
        <v>0</v>
      </c>
      <c r="BB114" s="123">
        <f t="shared" si="34"/>
        <v>0</v>
      </c>
      <c r="BC114" s="123">
        <f t="shared" si="34"/>
        <v>0</v>
      </c>
      <c r="BD114" s="123">
        <f t="shared" si="34"/>
        <v>0</v>
      </c>
      <c r="BE114" s="133"/>
      <c r="BF114" s="102"/>
    </row>
    <row r="115" spans="39:58">
      <c r="AM115" s="32"/>
      <c r="AN115" s="251"/>
      <c r="AO115" s="251"/>
      <c r="AP115" s="20"/>
      <c r="AQ115" s="20"/>
      <c r="AR115" s="134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31"/>
      <c r="BF115" s="102"/>
    </row>
    <row r="116" spans="39:58" ht="15.75" thickBot="1">
      <c r="AM116" s="37"/>
      <c r="AN116" s="253"/>
      <c r="AO116" s="251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9"/>
    </row>
    <row r="117" spans="39:58">
      <c r="AN117" s="250"/>
      <c r="AO117" s="251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 spans="39:58"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20" spans="39:58" ht="15.75" thickBot="1"/>
    <row r="121" spans="39:58">
      <c r="AM121" s="29"/>
      <c r="AN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100"/>
    </row>
    <row r="122" spans="39:58">
      <c r="AM122" s="32"/>
      <c r="AN122" s="1"/>
      <c r="AP122" s="74">
        <v>0.29197549187983712</v>
      </c>
      <c r="AQ122" s="74"/>
      <c r="AR122" s="74"/>
      <c r="AS122" s="74">
        <v>0.15161617636800637</v>
      </c>
      <c r="AT122" s="74">
        <v>0.15690841652777868</v>
      </c>
      <c r="AU122" s="74">
        <v>0.11709781613029016</v>
      </c>
      <c r="AV122" s="74">
        <v>0.42110648577783305</v>
      </c>
      <c r="AW122" s="74">
        <v>0.5248109375994463</v>
      </c>
      <c r="AX122" s="74">
        <v>0.19993827982979404</v>
      </c>
      <c r="AY122" s="74">
        <v>0.22034200882184982</v>
      </c>
      <c r="AZ122" s="74">
        <v>0.21161616339581246</v>
      </c>
      <c r="BA122" s="74">
        <v>8.4400164108209857E-2</v>
      </c>
      <c r="BB122" s="74">
        <v>0.24694525579750662</v>
      </c>
      <c r="BC122" s="74">
        <v>0.26621179846602244</v>
      </c>
      <c r="BD122" s="74">
        <v>0.50539400200426243</v>
      </c>
      <c r="BE122" s="74"/>
      <c r="BF122" s="102"/>
    </row>
    <row r="123" spans="39:58">
      <c r="AM123" s="32"/>
      <c r="AN123" s="1"/>
      <c r="AP123" s="74">
        <v>0.25012917826583747</v>
      </c>
      <c r="AQ123" s="74"/>
      <c r="AR123" s="74"/>
      <c r="AS123" s="74">
        <v>0.10769396213737167</v>
      </c>
      <c r="AT123" s="74">
        <v>0.1287096379384006</v>
      </c>
      <c r="AU123" s="74">
        <v>4.3551635071052211E-2</v>
      </c>
      <c r="AV123" s="74">
        <v>0.40524232227469981</v>
      </c>
      <c r="AW123" s="74">
        <v>0.51555447526557796</v>
      </c>
      <c r="AX123" s="74">
        <v>0.10654514552783834</v>
      </c>
      <c r="AY123" s="74">
        <v>0.20011584552267622</v>
      </c>
      <c r="AZ123" s="74">
        <v>0.19786299443144584</v>
      </c>
      <c r="BA123" s="74">
        <v>-2.6057806125765647E-2</v>
      </c>
      <c r="BB123" s="74">
        <v>0.22385308291227907</v>
      </c>
      <c r="BC123" s="74">
        <v>0.24292061772711171</v>
      </c>
      <c r="BD123" s="74">
        <v>0.41794986553345909</v>
      </c>
      <c r="BE123" s="74"/>
      <c r="BF123" s="102"/>
    </row>
    <row r="124" spans="39:58" ht="15.75" thickBot="1">
      <c r="AM124" s="32"/>
      <c r="AN124" s="1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102"/>
    </row>
    <row r="125" spans="39:58" ht="15.75" thickBot="1">
      <c r="AM125" s="32"/>
      <c r="AN125" s="1"/>
      <c r="AP125" s="254" t="s">
        <v>187</v>
      </c>
      <c r="AQ125" s="33"/>
      <c r="AR125" s="258"/>
      <c r="AS125" s="220" t="s">
        <v>640</v>
      </c>
      <c r="AT125" s="220"/>
      <c r="AU125" s="220"/>
      <c r="AV125" s="220"/>
      <c r="AW125" s="220"/>
      <c r="AX125" s="220"/>
      <c r="AY125" s="220"/>
      <c r="AZ125" s="220"/>
      <c r="BA125" s="220"/>
      <c r="BB125" s="220"/>
      <c r="BC125" s="220"/>
      <c r="BD125" s="221"/>
      <c r="BE125" s="259"/>
      <c r="BF125" s="102"/>
    </row>
    <row r="126" spans="39:58">
      <c r="AM126" s="32"/>
      <c r="AN126" s="1"/>
      <c r="AP126" s="33"/>
      <c r="AQ126" s="33"/>
      <c r="AR126" s="33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2"/>
    </row>
    <row r="127" spans="39:58">
      <c r="AM127" s="32"/>
      <c r="AN127" s="1"/>
      <c r="AP127" s="1"/>
      <c r="AQ127" s="1"/>
      <c r="AR127" s="6"/>
      <c r="AS127" s="18" t="s">
        <v>600</v>
      </c>
      <c r="AT127" s="18" t="s">
        <v>601</v>
      </c>
      <c r="AU127" s="18" t="s">
        <v>602</v>
      </c>
      <c r="AV127" s="18" t="s">
        <v>603</v>
      </c>
      <c r="AW127" s="18" t="s">
        <v>604</v>
      </c>
      <c r="AX127" s="18" t="s">
        <v>605</v>
      </c>
      <c r="AY127" s="18" t="s">
        <v>606</v>
      </c>
      <c r="AZ127" s="18" t="s">
        <v>607</v>
      </c>
      <c r="BA127" s="18" t="s">
        <v>608</v>
      </c>
      <c r="BB127" s="18" t="s">
        <v>609</v>
      </c>
      <c r="BC127" s="18" t="s">
        <v>610</v>
      </c>
      <c r="BD127" s="18" t="s">
        <v>611</v>
      </c>
      <c r="BE127" s="130"/>
      <c r="BF127" s="102"/>
    </row>
    <row r="128" spans="39:58">
      <c r="AM128" s="32"/>
      <c r="AN128" s="1"/>
      <c r="AP128" s="1"/>
      <c r="AQ128" s="1"/>
      <c r="AR128" s="4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257"/>
      <c r="BF128" s="102"/>
    </row>
    <row r="129" spans="39:58">
      <c r="AM129" s="32"/>
      <c r="AN129" s="167" t="s">
        <v>585</v>
      </c>
      <c r="AP129" s="207">
        <f>SUM(AS129:BD129)</f>
        <v>42253.963000000003</v>
      </c>
      <c r="AQ129" s="20"/>
      <c r="AR129" s="132"/>
      <c r="AS129" s="207">
        <v>2025.35</v>
      </c>
      <c r="AT129" s="207">
        <v>2053.357</v>
      </c>
      <c r="AU129" s="207">
        <v>2395.7000000000003</v>
      </c>
      <c r="AV129" s="207">
        <v>4653.6189999999988</v>
      </c>
      <c r="AW129" s="207">
        <v>3955.6429999999991</v>
      </c>
      <c r="AX129" s="207">
        <v>3279.1440000000002</v>
      </c>
      <c r="AY129" s="207">
        <v>4426.38</v>
      </c>
      <c r="AZ129" s="207">
        <v>2990.9039999999995</v>
      </c>
      <c r="BA129" s="207">
        <v>3074.1980000000003</v>
      </c>
      <c r="BB129" s="207">
        <v>3955.99</v>
      </c>
      <c r="BC129" s="207">
        <v>4202.8400000000011</v>
      </c>
      <c r="BD129" s="207">
        <v>5240.8380000000006</v>
      </c>
      <c r="BE129" s="133"/>
      <c r="BF129" s="102"/>
    </row>
    <row r="130" spans="39:58">
      <c r="AM130" s="32"/>
      <c r="AN130" s="260" t="s">
        <v>586</v>
      </c>
      <c r="AO130" s="128"/>
      <c r="AP130" s="207">
        <f>SUM(AS130:BD130)</f>
        <v>40539.862000000001</v>
      </c>
      <c r="AQ130" s="20"/>
      <c r="AR130" s="132"/>
      <c r="AS130" s="207">
        <v>2234.7599999999998</v>
      </c>
      <c r="AT130" s="207">
        <v>1936.9570000000003</v>
      </c>
      <c r="AU130" s="207">
        <v>2502.3319999999999</v>
      </c>
      <c r="AV130" s="207">
        <v>3584.2310000000002</v>
      </c>
      <c r="AW130" s="207">
        <v>4389.5790000000006</v>
      </c>
      <c r="AX130" s="207">
        <v>3618.1359999999995</v>
      </c>
      <c r="AY130" s="207">
        <v>3776.2460000000001</v>
      </c>
      <c r="AZ130" s="207">
        <v>3640.3709999999996</v>
      </c>
      <c r="BA130" s="207">
        <v>2321.1669999999999</v>
      </c>
      <c r="BB130" s="207">
        <v>4296.2719999999999</v>
      </c>
      <c r="BC130" s="207">
        <v>3695.8219999999997</v>
      </c>
      <c r="BD130" s="207">
        <v>4543.9890000000005</v>
      </c>
      <c r="BE130" s="133"/>
      <c r="BF130" s="102"/>
    </row>
    <row r="131" spans="39:58">
      <c r="AM131" s="32"/>
      <c r="AN131" s="62"/>
      <c r="AO131" s="62"/>
      <c r="AP131" s="20"/>
      <c r="AQ131" s="20"/>
      <c r="AR131" s="132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133"/>
      <c r="BF131" s="102"/>
    </row>
    <row r="132" spans="39:58">
      <c r="AM132" s="32"/>
      <c r="AN132" s="251" t="s">
        <v>164</v>
      </c>
      <c r="AO132" s="251"/>
      <c r="AP132" s="17">
        <f>SUM(AS132:BD132)</f>
        <v>56128184.52688276</v>
      </c>
      <c r="AQ132" s="20"/>
      <c r="AR132" s="132"/>
      <c r="AS132" s="17">
        <f t="shared" ref="AS132" si="35">SUM(AS133:AS137)</f>
        <v>2495938.5488689654</v>
      </c>
      <c r="AT132" s="17">
        <f t="shared" ref="AT132" si="36">SUM(AT133:AT137)</f>
        <v>2358513.3171839011</v>
      </c>
      <c r="AU132" s="17">
        <f t="shared" ref="AU132" si="37">SUM(AU133:AU137)</f>
        <v>3447220.5495177275</v>
      </c>
      <c r="AV132" s="17">
        <f t="shared" ref="AV132" si="38">SUM(AV133:AV137)</f>
        <v>5689723.1678295983</v>
      </c>
      <c r="AW132" s="17">
        <f t="shared" ref="AW132" si="39">SUM(AW133:AW137)</f>
        <v>6958953.6631212104</v>
      </c>
      <c r="AX132" s="17">
        <f t="shared" ref="AX132" si="40">SUM(AX133:AX137)</f>
        <v>4771810.0759653449</v>
      </c>
      <c r="AY132" s="17">
        <f t="shared" ref="AY132" si="41">SUM(AY133:AY137)</f>
        <v>5407193.7962396927</v>
      </c>
      <c r="AZ132" s="17">
        <f t="shared" ref="AZ132" si="42">SUM(AZ133:AZ137)</f>
        <v>5290123.9669673471</v>
      </c>
      <c r="BA132" s="17">
        <f t="shared" ref="BA132" si="43">SUM(BA133:BA137)</f>
        <v>3437120.0048173885</v>
      </c>
      <c r="BB132" s="17">
        <f t="shared" ref="BB132" si="44">SUM(BB133:BB137)</f>
        <v>5844308.2366679516</v>
      </c>
      <c r="BC132" s="17">
        <f t="shared" ref="BC132" si="45">SUM(BC133:BC137)</f>
        <v>4517035.546537349</v>
      </c>
      <c r="BD132" s="17">
        <f t="shared" ref="BD132" si="46">SUM(BD133:BD137)</f>
        <v>5910243.6531662894</v>
      </c>
      <c r="BE132" s="133"/>
      <c r="BF132" s="102"/>
    </row>
    <row r="133" spans="39:58">
      <c r="AM133" s="32"/>
      <c r="AN133" s="36" t="s">
        <v>612</v>
      </c>
      <c r="AO133" s="36"/>
      <c r="AP133" s="20">
        <f>SUM(AS133:BD133)</f>
        <v>56128184.52688276</v>
      </c>
      <c r="AQ133" s="20"/>
      <c r="AR133" s="132"/>
      <c r="AS133" s="20">
        <v>2495938.5488689654</v>
      </c>
      <c r="AT133" s="20">
        <v>2358513.3171839011</v>
      </c>
      <c r="AU133" s="20">
        <v>3447220.5495177275</v>
      </c>
      <c r="AV133" s="20">
        <v>5689723.1678295983</v>
      </c>
      <c r="AW133" s="20">
        <v>6958953.6631212104</v>
      </c>
      <c r="AX133" s="20">
        <v>4771810.0759653449</v>
      </c>
      <c r="AY133" s="20">
        <v>5407193.7962396927</v>
      </c>
      <c r="AZ133" s="20">
        <v>5290123.9669673471</v>
      </c>
      <c r="BA133" s="20">
        <v>3437120.0048173885</v>
      </c>
      <c r="BB133" s="20">
        <v>5844308.2366679516</v>
      </c>
      <c r="BC133" s="20">
        <v>4517035.546537349</v>
      </c>
      <c r="BD133" s="20">
        <v>5910243.6531662894</v>
      </c>
      <c r="BE133" s="133"/>
      <c r="BF133" s="102"/>
    </row>
    <row r="134" spans="39:58">
      <c r="AM134" s="32"/>
      <c r="AN134" s="36" t="s">
        <v>613</v>
      </c>
      <c r="AO134" s="36"/>
      <c r="AP134" s="20">
        <v>0</v>
      </c>
      <c r="AQ134" s="20"/>
      <c r="AR134" s="132"/>
      <c r="AS134" s="20">
        <v>0</v>
      </c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133"/>
      <c r="BF134" s="102"/>
    </row>
    <row r="135" spans="39:58">
      <c r="AM135" s="32"/>
      <c r="AN135" s="36" t="s">
        <v>614</v>
      </c>
      <c r="AO135" s="36"/>
      <c r="AP135" s="20">
        <v>0</v>
      </c>
      <c r="AQ135" s="20"/>
      <c r="AR135" s="132"/>
      <c r="AS135" s="20">
        <v>0</v>
      </c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133"/>
      <c r="BF135" s="102"/>
    </row>
    <row r="136" spans="39:58">
      <c r="AM136" s="32"/>
      <c r="AN136" s="36" t="s">
        <v>615</v>
      </c>
      <c r="AO136" s="36"/>
      <c r="AP136" s="20">
        <v>0</v>
      </c>
      <c r="AQ136" s="20"/>
      <c r="AR136" s="132"/>
      <c r="AS136" s="20">
        <v>0</v>
      </c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133"/>
      <c r="BF136" s="102"/>
    </row>
    <row r="137" spans="39:58">
      <c r="AM137" s="32"/>
      <c r="AN137" s="36" t="s">
        <v>616</v>
      </c>
      <c r="AO137" s="36"/>
      <c r="AP137" s="20">
        <v>0</v>
      </c>
      <c r="AQ137" s="20"/>
      <c r="AR137" s="132"/>
      <c r="AS137" s="20">
        <v>0</v>
      </c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133"/>
      <c r="BF137" s="102"/>
    </row>
    <row r="138" spans="39:58">
      <c r="AM138" s="32"/>
      <c r="AN138" s="36"/>
      <c r="AO138" s="36"/>
      <c r="AP138" s="20"/>
      <c r="AQ138" s="20"/>
      <c r="AR138" s="132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133"/>
      <c r="BF138" s="102"/>
    </row>
    <row r="139" spans="39:58">
      <c r="AM139" s="32"/>
      <c r="AN139" s="251" t="s">
        <v>170</v>
      </c>
      <c r="AO139" s="251"/>
      <c r="AP139" s="17">
        <f>SUM(AS139:BD139)</f>
        <v>39740130.240968198</v>
      </c>
      <c r="AQ139" s="20"/>
      <c r="AR139" s="132"/>
      <c r="AS139" s="17">
        <f>AS140+AS146</f>
        <v>2117513.8896399424</v>
      </c>
      <c r="AT139" s="17">
        <f t="shared" ref="AT139" si="47">AT140+AT146</f>
        <v>1988442.7272248964</v>
      </c>
      <c r="AU139" s="17">
        <f t="shared" ref="AU139" si="48">AU140+AU146</f>
        <v>3043558.5514497426</v>
      </c>
      <c r="AV139" s="17">
        <f t="shared" ref="AV139" si="49">AV140+AV146</f>
        <v>3293743.8395761568</v>
      </c>
      <c r="AW139" s="17">
        <f t="shared" ref="AW139" si="50">AW140+AW146</f>
        <v>3306818.6661117533</v>
      </c>
      <c r="AX139" s="17">
        <f t="shared" ref="AX139" si="51">AX140+AX146</f>
        <v>3817742.5777023556</v>
      </c>
      <c r="AY139" s="17">
        <f t="shared" ref="AY139" si="52">AY140+AY146</f>
        <v>4215761.8530871952</v>
      </c>
      <c r="AZ139" s="17">
        <f t="shared" ref="AZ139" si="53">AZ140+AZ146</f>
        <v>4170648.2291894816</v>
      </c>
      <c r="BA139" s="17">
        <f t="shared" ref="BA139" si="54">BA140+BA146</f>
        <v>3147026.5123511902</v>
      </c>
      <c r="BB139" s="17">
        <f t="shared" ref="BB139" si="55">BB140+BB146</f>
        <v>4401084.0442045098</v>
      </c>
      <c r="BC139" s="17">
        <f t="shared" ref="BC139" si="56">BC140+BC146</f>
        <v>3314547.3899586895</v>
      </c>
      <c r="BD139" s="17">
        <f t="shared" ref="BD139" si="57">BD140+BD146</f>
        <v>2923241.9604722871</v>
      </c>
      <c r="BE139" s="133"/>
      <c r="BF139" s="102"/>
    </row>
    <row r="140" spans="39:58">
      <c r="AM140" s="32"/>
      <c r="AN140" s="36" t="s">
        <v>612</v>
      </c>
      <c r="AO140" s="36"/>
      <c r="AP140" s="20">
        <f t="shared" ref="AP140:AP144" si="58">SUM(AS140:BD140)</f>
        <v>36891512.913917802</v>
      </c>
      <c r="AQ140" s="20"/>
      <c r="AR140" s="132"/>
      <c r="AS140" s="20">
        <f>AS141+AS142-AS143+AS144</f>
        <v>2100906.5571471113</v>
      </c>
      <c r="AT140" s="20">
        <f t="shared" ref="AT140:BD140" si="59">AT141+AT142-AT143+AT144</f>
        <v>1967252.5059146581</v>
      </c>
      <c r="AU140" s="20">
        <f t="shared" si="59"/>
        <v>2740542.3034334853</v>
      </c>
      <c r="AV140" s="20">
        <f t="shared" si="59"/>
        <v>2926906.1185060255</v>
      </c>
      <c r="AW140" s="20">
        <f t="shared" si="59"/>
        <v>2944790.0575291784</v>
      </c>
      <c r="AX140" s="20">
        <f t="shared" si="59"/>
        <v>3250906.0152447554</v>
      </c>
      <c r="AY140" s="20">
        <f t="shared" si="59"/>
        <v>3965438.2541317749</v>
      </c>
      <c r="AZ140" s="20">
        <f t="shared" si="59"/>
        <v>3890336.079155257</v>
      </c>
      <c r="BA140" s="20">
        <f t="shared" si="59"/>
        <v>2885470.6527445391</v>
      </c>
      <c r="BB140" s="20">
        <f t="shared" si="59"/>
        <v>4242950.6543634078</v>
      </c>
      <c r="BC140" s="20">
        <f t="shared" si="59"/>
        <v>3285458.722561284</v>
      </c>
      <c r="BD140" s="20">
        <f t="shared" si="59"/>
        <v>2690554.9931863216</v>
      </c>
      <c r="BE140" s="133"/>
      <c r="BF140" s="102"/>
    </row>
    <row r="141" spans="39:58">
      <c r="AM141" s="32"/>
      <c r="AN141" s="252" t="s">
        <v>617</v>
      </c>
      <c r="AO141" s="252"/>
      <c r="AP141" s="20">
        <f t="shared" si="58"/>
        <v>19736551.624034695</v>
      </c>
      <c r="AQ141" s="20"/>
      <c r="AR141" s="132"/>
      <c r="AS141" s="20">
        <v>1368337.4897414886</v>
      </c>
      <c r="AT141" s="20">
        <v>1406823.0885149227</v>
      </c>
      <c r="AU141" s="20">
        <v>1444958.5267144872</v>
      </c>
      <c r="AV141" s="20">
        <v>914654.63086630299</v>
      </c>
      <c r="AW141" s="20">
        <v>1588398.1412926605</v>
      </c>
      <c r="AX141" s="20">
        <v>1197841.9049473375</v>
      </c>
      <c r="AY141" s="20">
        <v>1703739.486686328</v>
      </c>
      <c r="AZ141" s="20">
        <v>1834514.5697092754</v>
      </c>
      <c r="BA141" s="20">
        <v>1824402.785744101</v>
      </c>
      <c r="BB141" s="20">
        <v>2492612.389479789</v>
      </c>
      <c r="BC141" s="20">
        <v>1761637.0517477645</v>
      </c>
      <c r="BD141" s="20">
        <v>2198631.558590238</v>
      </c>
      <c r="BE141" s="133"/>
      <c r="BF141" s="102"/>
    </row>
    <row r="142" spans="39:58">
      <c r="AM142" s="32"/>
      <c r="AN142" s="252" t="s">
        <v>618</v>
      </c>
      <c r="AO142" s="252"/>
      <c r="AP142" s="20">
        <f t="shared" si="58"/>
        <v>38159927.704752043</v>
      </c>
      <c r="AQ142" s="20"/>
      <c r="AR142" s="132"/>
      <c r="AS142" s="20">
        <v>2139392.1559205456</v>
      </c>
      <c r="AT142" s="20">
        <v>2005387.9441142227</v>
      </c>
      <c r="AU142" s="20">
        <v>2251209.2775853015</v>
      </c>
      <c r="AV142" s="20">
        <v>3600649.6289323829</v>
      </c>
      <c r="AW142" s="20">
        <v>2618417.8197148093</v>
      </c>
      <c r="AX142" s="20">
        <v>3756803.5969837457</v>
      </c>
      <c r="AY142" s="20">
        <v>4096213.3371547218</v>
      </c>
      <c r="AZ142" s="20">
        <v>3880224.2951900819</v>
      </c>
      <c r="BA142" s="20">
        <v>3553680.2564802268</v>
      </c>
      <c r="BB142" s="20">
        <v>3511975.3166313837</v>
      </c>
      <c r="BC142" s="20">
        <v>3722453.2294037575</v>
      </c>
      <c r="BD142" s="20">
        <v>3023520.8466408625</v>
      </c>
      <c r="BE142" s="133"/>
      <c r="BF142" s="102"/>
    </row>
    <row r="143" spans="39:58">
      <c r="AM143" s="32"/>
      <c r="AN143" s="252" t="s">
        <v>619</v>
      </c>
      <c r="AO143" s="252"/>
      <c r="AP143" s="20">
        <f t="shared" si="58"/>
        <v>20899811.546337985</v>
      </c>
      <c r="AQ143" s="20"/>
      <c r="AR143" s="132"/>
      <c r="AS143" s="20">
        <v>1406823.0885149227</v>
      </c>
      <c r="AT143" s="20">
        <v>1444958.5267144872</v>
      </c>
      <c r="AU143" s="20">
        <v>914654.63086630299</v>
      </c>
      <c r="AV143" s="20">
        <v>1588398.1412926605</v>
      </c>
      <c r="AW143" s="20">
        <v>1197841.9049473375</v>
      </c>
      <c r="AX143" s="20">
        <v>1703739.486686328</v>
      </c>
      <c r="AY143" s="20">
        <v>1834514.5697092754</v>
      </c>
      <c r="AZ143" s="20">
        <v>1824402.785744101</v>
      </c>
      <c r="BA143" s="20">
        <v>2492612.389479789</v>
      </c>
      <c r="BB143" s="20">
        <v>1761637.0517477645</v>
      </c>
      <c r="BC143" s="20">
        <v>2198631.558590238</v>
      </c>
      <c r="BD143" s="20">
        <v>2531597.4120447789</v>
      </c>
      <c r="BE143" s="133"/>
      <c r="BF143" s="102"/>
    </row>
    <row r="144" spans="39:58">
      <c r="AM144" s="32"/>
      <c r="AN144" s="252" t="s">
        <v>620</v>
      </c>
      <c r="AO144" s="252"/>
      <c r="AP144" s="20">
        <f t="shared" si="58"/>
        <v>-105154.86853095423</v>
      </c>
      <c r="AQ144" s="20"/>
      <c r="AR144" s="132"/>
      <c r="AS144" s="20">
        <v>0</v>
      </c>
      <c r="AT144" s="20">
        <v>0</v>
      </c>
      <c r="AU144" s="20">
        <v>-40970.870000000003</v>
      </c>
      <c r="AV144" s="20">
        <v>0</v>
      </c>
      <c r="AW144" s="20">
        <v>-64183.998530954232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133"/>
      <c r="BF144" s="102"/>
    </row>
    <row r="145" spans="39:58">
      <c r="AM145" s="32"/>
      <c r="AN145" s="252"/>
      <c r="AO145" s="252"/>
      <c r="AP145" s="20"/>
      <c r="AQ145" s="20"/>
      <c r="AR145" s="132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133"/>
      <c r="BF145" s="102"/>
    </row>
    <row r="146" spans="39:58">
      <c r="AM146" s="32"/>
      <c r="AN146" s="36" t="s">
        <v>621</v>
      </c>
      <c r="AO146" s="36"/>
      <c r="AP146" s="20">
        <v>2208505.7536305729</v>
      </c>
      <c r="AQ146" s="20"/>
      <c r="AR146" s="132"/>
      <c r="AS146" s="20">
        <v>16607.332492831083</v>
      </c>
      <c r="AT146" s="20">
        <v>21190.221310238325</v>
      </c>
      <c r="AU146" s="20">
        <v>303016.24801625719</v>
      </c>
      <c r="AV146" s="20">
        <v>366837.72107013117</v>
      </c>
      <c r="AW146" s="20">
        <v>362028.60858257476</v>
      </c>
      <c r="AX146" s="20">
        <v>566836.56245760014</v>
      </c>
      <c r="AY146" s="20">
        <v>250323.5989554199</v>
      </c>
      <c r="AZ146" s="20">
        <v>280312.15003422479</v>
      </c>
      <c r="BA146" s="20">
        <v>261555.85960665107</v>
      </c>
      <c r="BB146" s="20">
        <v>158133.38984110238</v>
      </c>
      <c r="BC146" s="20">
        <v>29088.667397405621</v>
      </c>
      <c r="BD146" s="20">
        <v>232686.96728596539</v>
      </c>
      <c r="BE146" s="133"/>
      <c r="BF146" s="102"/>
    </row>
    <row r="147" spans="39:58">
      <c r="AM147" s="32"/>
      <c r="AN147" s="36" t="s">
        <v>622</v>
      </c>
      <c r="AO147" s="36"/>
      <c r="AP147" s="20">
        <v>0</v>
      </c>
      <c r="AQ147" s="20"/>
      <c r="AR147" s="132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133"/>
      <c r="BF147" s="102"/>
    </row>
    <row r="148" spans="39:58">
      <c r="AM148" s="32"/>
      <c r="AN148" s="36" t="s">
        <v>623</v>
      </c>
      <c r="AO148" s="36"/>
      <c r="AP148" s="20">
        <v>0</v>
      </c>
      <c r="AQ148" s="20"/>
      <c r="AR148" s="132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133"/>
      <c r="BF148" s="102"/>
    </row>
    <row r="149" spans="39:58">
      <c r="AM149" s="32"/>
      <c r="AN149" s="36" t="s">
        <v>624</v>
      </c>
      <c r="AO149" s="36"/>
      <c r="AP149" s="20">
        <v>0</v>
      </c>
      <c r="AQ149" s="20"/>
      <c r="AR149" s="132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133"/>
      <c r="BF149" s="102"/>
    </row>
    <row r="150" spans="39:58">
      <c r="AM150" s="32"/>
      <c r="AN150" s="36" t="s">
        <v>625</v>
      </c>
      <c r="AO150" s="36"/>
      <c r="AP150" s="20">
        <v>0</v>
      </c>
      <c r="AQ150" s="20"/>
      <c r="AR150" s="132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133"/>
      <c r="BF150" s="102"/>
    </row>
    <row r="151" spans="39:58">
      <c r="AM151" s="32"/>
      <c r="AN151" s="36"/>
      <c r="AO151" s="36"/>
      <c r="AP151" s="20"/>
      <c r="AQ151" s="20"/>
      <c r="AR151" s="132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133"/>
      <c r="BF151" s="102"/>
    </row>
    <row r="152" spans="39:58">
      <c r="AM152" s="32"/>
      <c r="AN152" s="255" t="s">
        <v>179</v>
      </c>
      <c r="AO152" s="256"/>
      <c r="AP152" s="123">
        <f>SUM(AS152:BD152)</f>
        <v>16388054.285914565</v>
      </c>
      <c r="AQ152" s="20"/>
      <c r="AR152" s="132"/>
      <c r="AS152" s="123">
        <f>AS132-AS139</f>
        <v>378424.65922902292</v>
      </c>
      <c r="AT152" s="123">
        <f t="shared" ref="AT152:BD152" si="60">AT132-AT139</f>
        <v>370070.58995900466</v>
      </c>
      <c r="AU152" s="123">
        <f t="shared" si="60"/>
        <v>403661.99806798482</v>
      </c>
      <c r="AV152" s="123">
        <f t="shared" si="60"/>
        <v>2395979.3282534415</v>
      </c>
      <c r="AW152" s="123">
        <f t="shared" si="60"/>
        <v>3652134.9970094571</v>
      </c>
      <c r="AX152" s="123">
        <f t="shared" si="60"/>
        <v>954067.49826298933</v>
      </c>
      <c r="AY152" s="123">
        <f t="shared" si="60"/>
        <v>1191431.9431524975</v>
      </c>
      <c r="AZ152" s="123">
        <f t="shared" si="60"/>
        <v>1119475.7377778655</v>
      </c>
      <c r="BA152" s="123">
        <f t="shared" si="60"/>
        <v>290093.49246619828</v>
      </c>
      <c r="BB152" s="123">
        <f t="shared" si="60"/>
        <v>1443224.1924634418</v>
      </c>
      <c r="BC152" s="123">
        <f t="shared" si="60"/>
        <v>1202488.1565786595</v>
      </c>
      <c r="BD152" s="123">
        <f t="shared" si="60"/>
        <v>2987001.6926940023</v>
      </c>
      <c r="BE152" s="133"/>
      <c r="BF152" s="102"/>
    </row>
    <row r="153" spans="39:58">
      <c r="AM153" s="32"/>
      <c r="AN153" s="251"/>
      <c r="AO153" s="251"/>
      <c r="AP153" s="20"/>
      <c r="AQ153" s="20"/>
      <c r="AR153" s="132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133"/>
      <c r="BF153" s="102"/>
    </row>
    <row r="154" spans="39:58">
      <c r="AM154" s="32"/>
      <c r="AN154" s="251" t="s">
        <v>632</v>
      </c>
      <c r="AO154" s="251"/>
      <c r="AP154" s="17">
        <f>SUM(AS154:BD154)</f>
        <v>2348757.6122963792</v>
      </c>
      <c r="AQ154" s="20"/>
      <c r="AR154" s="132"/>
      <c r="AS154" s="17">
        <f t="shared" ref="AS154" si="61">SUM(AS155:AS159)</f>
        <v>109627.14764992219</v>
      </c>
      <c r="AT154" s="17">
        <f t="shared" ref="AT154" si="62">SUM(AT155:AT159)</f>
        <v>66507.194831368513</v>
      </c>
      <c r="AU154" s="17">
        <f t="shared" ref="AU154" si="63">SUM(AU155:AU159)</f>
        <v>253529.90668595655</v>
      </c>
      <c r="AV154" s="17">
        <f t="shared" ref="AV154" si="64">SUM(AV155:AV159)</f>
        <v>90262.698622013326</v>
      </c>
      <c r="AW154" s="17">
        <f t="shared" ref="AW154" si="65">SUM(AW155:AW159)</f>
        <v>64415.292465817125</v>
      </c>
      <c r="AX154" s="17">
        <f t="shared" ref="AX154" si="66">SUM(AX155:AX159)</f>
        <v>445654.29928805697</v>
      </c>
      <c r="AY154" s="17">
        <f t="shared" ref="AY154" si="67">SUM(AY155:AY159)</f>
        <v>109366.78471302235</v>
      </c>
      <c r="AZ154" s="17">
        <f t="shared" ref="AZ154" si="68">SUM(AZ155:AZ159)</f>
        <v>72755.9687601474</v>
      </c>
      <c r="BA154" s="17">
        <f t="shared" ref="BA154" si="69">SUM(BA155:BA159)</f>
        <v>379657.29918272077</v>
      </c>
      <c r="BB154" s="17">
        <f t="shared" ref="BB154" si="70">SUM(BB155:BB159)</f>
        <v>134957.77619569577</v>
      </c>
      <c r="BC154" s="17">
        <f t="shared" ref="BC154" si="71">SUM(BC155:BC159)</f>
        <v>105207.09131848581</v>
      </c>
      <c r="BD154" s="17">
        <f t="shared" ref="BD154" si="72">SUM(BD155:BD159)</f>
        <v>516816.15258317243</v>
      </c>
      <c r="BE154" s="133"/>
      <c r="BF154" s="102"/>
    </row>
    <row r="155" spans="39:58">
      <c r="AM155" s="32"/>
      <c r="AN155" s="36" t="s">
        <v>626</v>
      </c>
      <c r="AO155" s="36"/>
      <c r="AP155" s="20">
        <f t="shared" ref="AP155:AP159" si="73">SUM(AS155:BD155)</f>
        <v>353748.40423991205</v>
      </c>
      <c r="AQ155" s="20"/>
      <c r="AR155" s="132"/>
      <c r="AS155" s="20">
        <v>24253.884019836667</v>
      </c>
      <c r="AT155" s="20">
        <v>23575.217582859856</v>
      </c>
      <c r="AU155" s="20">
        <v>29377.126854351733</v>
      </c>
      <c r="AV155" s="20">
        <v>26662.691304460503</v>
      </c>
      <c r="AW155" s="20">
        <v>23082.493212207508</v>
      </c>
      <c r="AX155" s="20">
        <v>24993.696233137234</v>
      </c>
      <c r="AY155" s="20">
        <v>46710.298083563408</v>
      </c>
      <c r="AZ155" s="20">
        <v>23196.270487242306</v>
      </c>
      <c r="BA155" s="20">
        <v>28394.749960744375</v>
      </c>
      <c r="BB155" s="20">
        <v>24001.623582033579</v>
      </c>
      <c r="BC155" s="20">
        <v>28242.34667821214</v>
      </c>
      <c r="BD155" s="20">
        <v>51258.006241262767</v>
      </c>
      <c r="BE155" s="133"/>
      <c r="BF155" s="102"/>
    </row>
    <row r="156" spans="39:58">
      <c r="AM156" s="32"/>
      <c r="AN156" s="36" t="s">
        <v>621</v>
      </c>
      <c r="AO156" s="36"/>
      <c r="AP156" s="20">
        <f t="shared" si="73"/>
        <v>0</v>
      </c>
      <c r="AQ156" s="20"/>
      <c r="AR156" s="132"/>
      <c r="AS156" s="20">
        <v>0</v>
      </c>
      <c r="AT156" s="20">
        <v>0</v>
      </c>
      <c r="AU156" s="20">
        <v>0</v>
      </c>
      <c r="AV156" s="20">
        <v>0</v>
      </c>
      <c r="AW156" s="20">
        <v>0</v>
      </c>
      <c r="AX156" s="20">
        <v>0</v>
      </c>
      <c r="AY156" s="20">
        <v>0</v>
      </c>
      <c r="AZ156" s="20">
        <v>0</v>
      </c>
      <c r="BA156" s="20">
        <v>0</v>
      </c>
      <c r="BB156" s="20">
        <v>0</v>
      </c>
      <c r="BC156" s="20">
        <v>0</v>
      </c>
      <c r="BD156" s="20">
        <v>0</v>
      </c>
      <c r="BE156" s="133"/>
      <c r="BF156" s="102"/>
    </row>
    <row r="157" spans="39:58">
      <c r="AM157" s="32"/>
      <c r="AN157" s="36" t="s">
        <v>627</v>
      </c>
      <c r="AO157" s="36"/>
      <c r="AP157" s="20">
        <f t="shared" si="73"/>
        <v>0</v>
      </c>
      <c r="AQ157" s="20"/>
      <c r="AR157" s="132"/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  <c r="BA157" s="20">
        <v>0</v>
      </c>
      <c r="BB157" s="20">
        <v>0</v>
      </c>
      <c r="BC157" s="20">
        <v>0</v>
      </c>
      <c r="BD157" s="20">
        <v>0</v>
      </c>
      <c r="BE157" s="133"/>
      <c r="BF157" s="102"/>
    </row>
    <row r="158" spans="39:58">
      <c r="AM158" s="32"/>
      <c r="AN158" s="36" t="s">
        <v>628</v>
      </c>
      <c r="AO158" s="36"/>
      <c r="AP158" s="20">
        <f t="shared" si="73"/>
        <v>1123094.2653253186</v>
      </c>
      <c r="AQ158" s="20"/>
      <c r="AR158" s="132"/>
      <c r="AS158" s="20">
        <v>0</v>
      </c>
      <c r="AT158" s="20">
        <v>0</v>
      </c>
      <c r="AU158" s="20">
        <v>166074.87990828668</v>
      </c>
      <c r="AV158" s="20">
        <v>0</v>
      </c>
      <c r="AW158" s="20">
        <v>0</v>
      </c>
      <c r="AX158" s="20">
        <v>356628.7500552627</v>
      </c>
      <c r="AY158" s="20">
        <v>0</v>
      </c>
      <c r="AZ158" s="20">
        <v>0</v>
      </c>
      <c r="BA158" s="20">
        <v>274587.29611849558</v>
      </c>
      <c r="BB158" s="20">
        <v>0</v>
      </c>
      <c r="BC158" s="20">
        <v>0</v>
      </c>
      <c r="BD158" s="20">
        <v>325803.3392432736</v>
      </c>
      <c r="BE158" s="133"/>
      <c r="BF158" s="102"/>
    </row>
    <row r="159" spans="39:58">
      <c r="AM159" s="32"/>
      <c r="AN159" s="36" t="s">
        <v>629</v>
      </c>
      <c r="AO159" s="36"/>
      <c r="AP159" s="20">
        <f t="shared" si="73"/>
        <v>871914.94273114868</v>
      </c>
      <c r="AQ159" s="20"/>
      <c r="AR159" s="132"/>
      <c r="AS159" s="20">
        <v>85373.263630085523</v>
      </c>
      <c r="AT159" s="20">
        <v>42931.977248508665</v>
      </c>
      <c r="AU159" s="20">
        <v>58077.899923318146</v>
      </c>
      <c r="AV159" s="20">
        <v>63600.007317552831</v>
      </c>
      <c r="AW159" s="20">
        <v>41332.799253609614</v>
      </c>
      <c r="AX159" s="20">
        <v>64031.852999657021</v>
      </c>
      <c r="AY159" s="20">
        <v>62656.486629458952</v>
      </c>
      <c r="AZ159" s="20">
        <v>49559.698272905087</v>
      </c>
      <c r="BA159" s="20">
        <v>76675.253103480864</v>
      </c>
      <c r="BB159" s="20">
        <v>110956.15261366218</v>
      </c>
      <c r="BC159" s="20">
        <v>76964.744640273668</v>
      </c>
      <c r="BD159" s="20">
        <v>139754.80709863605</v>
      </c>
      <c r="BE159" s="133"/>
      <c r="BF159" s="102"/>
    </row>
    <row r="160" spans="39:58">
      <c r="AM160" s="32"/>
      <c r="AN160" s="36"/>
      <c r="AO160" s="36"/>
      <c r="AP160" s="20"/>
      <c r="AQ160" s="20"/>
      <c r="AR160" s="132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133"/>
      <c r="BF160" s="102"/>
    </row>
    <row r="161" spans="39:58">
      <c r="AM161" s="32"/>
      <c r="AN161" s="251" t="s">
        <v>184</v>
      </c>
      <c r="AO161" s="251"/>
      <c r="AP161" s="123">
        <f>SUM(AS161:BD161)</f>
        <v>14039296.673618186</v>
      </c>
      <c r="AQ161" s="20"/>
      <c r="AR161" s="132"/>
      <c r="AS161" s="123">
        <f>AS152-AS154</f>
        <v>268797.51157910074</v>
      </c>
      <c r="AT161" s="123">
        <f t="shared" ref="AT161:BD161" si="74">AT152-AT154</f>
        <v>303563.39512763615</v>
      </c>
      <c r="AU161" s="123">
        <f t="shared" si="74"/>
        <v>150132.09138202827</v>
      </c>
      <c r="AV161" s="123">
        <f t="shared" si="74"/>
        <v>2305716.629631428</v>
      </c>
      <c r="AW161" s="123">
        <f t="shared" si="74"/>
        <v>3587719.7045436399</v>
      </c>
      <c r="AX161" s="123">
        <f t="shared" si="74"/>
        <v>508413.19897493237</v>
      </c>
      <c r="AY161" s="123">
        <f t="shared" si="74"/>
        <v>1082065.1584394751</v>
      </c>
      <c r="AZ161" s="123">
        <f t="shared" si="74"/>
        <v>1046719.769017718</v>
      </c>
      <c r="BA161" s="123">
        <f t="shared" si="74"/>
        <v>-89563.806716522493</v>
      </c>
      <c r="BB161" s="123">
        <f t="shared" si="74"/>
        <v>1308266.4162677459</v>
      </c>
      <c r="BC161" s="123">
        <f t="shared" si="74"/>
        <v>1097281.0652601738</v>
      </c>
      <c r="BD161" s="123">
        <f t="shared" si="74"/>
        <v>2470185.5401108298</v>
      </c>
      <c r="BE161" s="133"/>
      <c r="BF161" s="102"/>
    </row>
    <row r="162" spans="39:58">
      <c r="AM162" s="32"/>
      <c r="AN162" s="251"/>
      <c r="AO162" s="251"/>
      <c r="AP162" s="20"/>
      <c r="AQ162" s="20"/>
      <c r="AR162" s="132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133"/>
      <c r="BF162" s="102"/>
    </row>
    <row r="163" spans="39:58">
      <c r="AM163" s="32"/>
      <c r="AN163" s="251" t="s">
        <v>633</v>
      </c>
      <c r="AO163" s="251"/>
      <c r="AP163" s="17">
        <f>SUM(AS163:BD163)</f>
        <v>1175445.85262591</v>
      </c>
      <c r="AQ163" s="20"/>
      <c r="AR163" s="132"/>
      <c r="AS163" s="17">
        <f t="shared" ref="AS163" si="75">SUM(AS164:AS165)</f>
        <v>97226.177613887034</v>
      </c>
      <c r="AT163" s="17">
        <f t="shared" ref="AT163" si="76">SUM(AT164:AT165)</f>
        <v>91943.088421263703</v>
      </c>
      <c r="AU163" s="17">
        <f t="shared" ref="AU163" si="77">SUM(AU164:AU165)</f>
        <v>90424.81600356425</v>
      </c>
      <c r="AV163" s="17">
        <f t="shared" ref="AV163" si="78">SUM(AV164:AV165)</f>
        <v>98842.656252812521</v>
      </c>
      <c r="AW163" s="17">
        <f t="shared" ref="AW163" si="79">SUM(AW164:AW165)</f>
        <v>115971.33670557087</v>
      </c>
      <c r="AX163" s="17">
        <f t="shared" ref="AX163" si="80">SUM(AX164:AX165)</f>
        <v>116449.2842020323</v>
      </c>
      <c r="AY163" s="17">
        <f t="shared" ref="AY163" si="81">SUM(AY164:AY165)</f>
        <v>107614.34387600864</v>
      </c>
      <c r="AZ163" s="17">
        <f t="shared" ref="AZ163" si="82">SUM(AZ164:AZ165)</f>
        <v>98227.5050950367</v>
      </c>
      <c r="BA163" s="17">
        <f t="shared" ref="BA163" si="83">SUM(BA164:BA165)</f>
        <v>86325.852855763893</v>
      </c>
      <c r="BB163" s="17">
        <f t="shared" ref="BB163" si="84">SUM(BB164:BB165)</f>
        <v>90850.276468261887</v>
      </c>
      <c r="BC163" s="17">
        <f t="shared" ref="BC163" si="85">SUM(BC164:BC165)</f>
        <v>91577.214628842514</v>
      </c>
      <c r="BD163" s="17">
        <f t="shared" ref="BD163" si="86">SUM(BD164:BD165)</f>
        <v>89993.300502865779</v>
      </c>
      <c r="BE163" s="133"/>
      <c r="BF163" s="102"/>
    </row>
    <row r="164" spans="39:58">
      <c r="AM164" s="32"/>
      <c r="AN164" s="36" t="s">
        <v>630</v>
      </c>
      <c r="AO164" s="36"/>
      <c r="AP164" s="20">
        <f>SUM(AS164:BD164)</f>
        <v>998480.12250119657</v>
      </c>
      <c r="AQ164" s="20"/>
      <c r="AR164" s="132"/>
      <c r="AS164" s="20">
        <v>80005.937863034473</v>
      </c>
      <c r="AT164" s="20">
        <v>80698.435192596779</v>
      </c>
      <c r="AU164" s="20">
        <v>80385.692335778105</v>
      </c>
      <c r="AV164" s="20">
        <v>88121.444655355168</v>
      </c>
      <c r="AW164" s="20">
        <v>103099.66315900709</v>
      </c>
      <c r="AX164" s="20">
        <v>101988.31873160767</v>
      </c>
      <c r="AY164" s="20">
        <v>92027.235323796631</v>
      </c>
      <c r="AZ164" s="20">
        <v>82562.071671047015</v>
      </c>
      <c r="BA164" s="20">
        <v>68710.21767820399</v>
      </c>
      <c r="BB164" s="20">
        <v>73708.449552269929</v>
      </c>
      <c r="BC164" s="20">
        <v>75034.591868636184</v>
      </c>
      <c r="BD164" s="20">
        <v>72138.064469863617</v>
      </c>
      <c r="BE164" s="133"/>
      <c r="BF164" s="102"/>
    </row>
    <row r="165" spans="39:58">
      <c r="AM165" s="32"/>
      <c r="AN165" s="36" t="s">
        <v>631</v>
      </c>
      <c r="AO165" s="36"/>
      <c r="AP165" s="20">
        <f>SUM(AS165:BD165)</f>
        <v>176965.73012471345</v>
      </c>
      <c r="AQ165" s="20"/>
      <c r="AR165" s="132"/>
      <c r="AS165" s="20">
        <v>17220.239750852568</v>
      </c>
      <c r="AT165" s="20">
        <v>11244.653228666921</v>
      </c>
      <c r="AU165" s="20">
        <v>10039.123667786151</v>
      </c>
      <c r="AV165" s="20">
        <v>10721.211597457353</v>
      </c>
      <c r="AW165" s="20">
        <v>12871.673546563772</v>
      </c>
      <c r="AX165" s="20">
        <v>14460.965470424637</v>
      </c>
      <c r="AY165" s="20">
        <v>15587.108552212012</v>
      </c>
      <c r="AZ165" s="20">
        <v>15665.433423989682</v>
      </c>
      <c r="BA165" s="20">
        <v>17615.635177559911</v>
      </c>
      <c r="BB165" s="20">
        <v>17141.826915991955</v>
      </c>
      <c r="BC165" s="20">
        <v>16542.622760206334</v>
      </c>
      <c r="BD165" s="20">
        <v>17855.236033002162</v>
      </c>
      <c r="BE165" s="133"/>
      <c r="BF165" s="102"/>
    </row>
    <row r="166" spans="39:58">
      <c r="AM166" s="32"/>
      <c r="AN166" s="36"/>
      <c r="AO166" s="36"/>
      <c r="AP166" s="20"/>
      <c r="AQ166" s="20"/>
      <c r="AR166" s="132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133"/>
      <c r="BF166" s="102"/>
    </row>
    <row r="167" spans="39:58">
      <c r="AM167" s="32"/>
      <c r="AN167" s="251" t="s">
        <v>634</v>
      </c>
      <c r="AP167" s="17">
        <f>SUM(AS167:BD167)</f>
        <v>12863850.820992274</v>
      </c>
      <c r="AQ167" s="20"/>
      <c r="AR167" s="132"/>
      <c r="AS167" s="17">
        <f>AS161-AS163</f>
        <v>171571.33396521371</v>
      </c>
      <c r="AT167" s="17">
        <f t="shared" ref="AT167:BD167" si="87">AT161-AT163</f>
        <v>211620.30670637244</v>
      </c>
      <c r="AU167" s="17">
        <f t="shared" si="87"/>
        <v>59707.275378464023</v>
      </c>
      <c r="AV167" s="17">
        <f t="shared" si="87"/>
        <v>2206873.9733786155</v>
      </c>
      <c r="AW167" s="17">
        <f t="shared" si="87"/>
        <v>3471748.3678380689</v>
      </c>
      <c r="AX167" s="17">
        <f t="shared" si="87"/>
        <v>391963.91477290005</v>
      </c>
      <c r="AY167" s="17">
        <f t="shared" si="87"/>
        <v>974450.81456346647</v>
      </c>
      <c r="AZ167" s="17">
        <f t="shared" si="87"/>
        <v>948492.26392268133</v>
      </c>
      <c r="BA167" s="17">
        <f t="shared" si="87"/>
        <v>-175889.65957228639</v>
      </c>
      <c r="BB167" s="17">
        <f t="shared" si="87"/>
        <v>1217416.1397994841</v>
      </c>
      <c r="BC167" s="17">
        <f t="shared" si="87"/>
        <v>1005703.8506313312</v>
      </c>
      <c r="BD167" s="17">
        <f t="shared" si="87"/>
        <v>2380192.2396079642</v>
      </c>
      <c r="BE167" s="133"/>
      <c r="BF167" s="102"/>
    </row>
    <row r="168" spans="39:58">
      <c r="AM168" s="32"/>
      <c r="AN168" s="251"/>
      <c r="AP168" s="20"/>
      <c r="AQ168" s="20"/>
      <c r="AR168" s="132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133"/>
      <c r="BF168" s="102"/>
    </row>
    <row r="169" spans="39:58">
      <c r="AM169" s="32"/>
      <c r="AN169" s="251" t="s">
        <v>635</v>
      </c>
      <c r="AP169" s="17">
        <f>SUM(AS169:BD169)</f>
        <v>884148.43451989244</v>
      </c>
      <c r="AQ169" s="20"/>
      <c r="AR169" s="132"/>
      <c r="AS169" s="17">
        <f t="shared" ref="AS169" si="88">SUM(AS170:AS171)</f>
        <v>74582.327684280594</v>
      </c>
      <c r="AT169" s="17">
        <f t="shared" ref="AT169" si="89">SUM(AT170:AT171)</f>
        <v>68293.338472001007</v>
      </c>
      <c r="AU169" s="17">
        <f t="shared" ref="AU169" si="90">SUM(AU170:AU171)</f>
        <v>70791.787455642028</v>
      </c>
      <c r="AV169" s="17">
        <f t="shared" ref="AV169" si="91">SUM(AV170:AV171)</f>
        <v>74753.838931577178</v>
      </c>
      <c r="AW169" s="17">
        <f t="shared" ref="AW169" si="92">SUM(AW170:AW171)</f>
        <v>74737.414588975458</v>
      </c>
      <c r="AX169" s="17">
        <f t="shared" ref="AX169" si="93">SUM(AX170:AX171)</f>
        <v>73720.95143539476</v>
      </c>
      <c r="AY169" s="17">
        <f t="shared" ref="AY169" si="94">SUM(AY170:AY171)</f>
        <v>73643.683495829624</v>
      </c>
      <c r="AZ169" s="17">
        <f t="shared" ref="AZ169" si="95">SUM(AZ170:AZ171)</f>
        <v>74945.164518975958</v>
      </c>
      <c r="BA169" s="17">
        <f t="shared" ref="BA169" si="96">SUM(BA170:BA171)</f>
        <v>74817.987261167887</v>
      </c>
      <c r="BB169" s="17">
        <f t="shared" ref="BB169" si="97">SUM(BB170:BB171)</f>
        <v>73741.894271586774</v>
      </c>
      <c r="BC169" s="17">
        <f t="shared" ref="BC169" si="98">SUM(BC170:BC171)</f>
        <v>74492.983297493454</v>
      </c>
      <c r="BD169" s="17">
        <f t="shared" ref="BD169" si="99">SUM(BD170:BD171)</f>
        <v>75627.063106967747</v>
      </c>
      <c r="BE169" s="133"/>
      <c r="BF169" s="102"/>
    </row>
    <row r="170" spans="39:58">
      <c r="AM170" s="32"/>
      <c r="AN170" s="36" t="s">
        <v>636</v>
      </c>
      <c r="AP170" s="20">
        <f>SUM(AS170:BD170)</f>
        <v>812671.56790192914</v>
      </c>
      <c r="AQ170" s="20"/>
      <c r="AR170" s="132"/>
      <c r="AS170" s="20">
        <v>71580.893081481598</v>
      </c>
      <c r="AT170" s="20">
        <v>66828.943203528936</v>
      </c>
      <c r="AU170" s="20">
        <v>66813.311637105144</v>
      </c>
      <c r="AV170" s="20">
        <v>66796.887294503409</v>
      </c>
      <c r="AW170" s="20">
        <v>66780.462951901689</v>
      </c>
      <c r="AX170" s="20">
        <v>66764.075514666212</v>
      </c>
      <c r="AY170" s="20">
        <v>66796.66176841456</v>
      </c>
      <c r="AZ170" s="20">
        <v>67354.528931709312</v>
      </c>
      <c r="BA170" s="20">
        <v>67869.396194985195</v>
      </c>
      <c r="BB170" s="20">
        <v>67860.319952182705</v>
      </c>
      <c r="BC170" s="20">
        <v>68362.111606081773</v>
      </c>
      <c r="BD170" s="20">
        <v>68863.975765368625</v>
      </c>
      <c r="BE170" s="133"/>
      <c r="BF170" s="102"/>
    </row>
    <row r="171" spans="39:58">
      <c r="AM171" s="32"/>
      <c r="AN171" s="36" t="s">
        <v>637</v>
      </c>
      <c r="AP171" s="20">
        <f>SUM(AS171:BD171)</f>
        <v>71476.866617963315</v>
      </c>
      <c r="AQ171" s="20"/>
      <c r="AR171" s="132"/>
      <c r="AS171" s="20">
        <v>3001.434602798995</v>
      </c>
      <c r="AT171" s="20">
        <v>1464.395268472075</v>
      </c>
      <c r="AU171" s="20">
        <v>3978.4758185368855</v>
      </c>
      <c r="AV171" s="20">
        <v>7956.9516370737711</v>
      </c>
      <c r="AW171" s="20">
        <v>7956.9516370737711</v>
      </c>
      <c r="AX171" s="20">
        <v>6956.8759207285439</v>
      </c>
      <c r="AY171" s="20">
        <v>6847.0217274150591</v>
      </c>
      <c r="AZ171" s="20">
        <v>7590.6355872666472</v>
      </c>
      <c r="BA171" s="20">
        <v>6948.5910661826929</v>
      </c>
      <c r="BB171" s="20">
        <v>5881.574319404067</v>
      </c>
      <c r="BC171" s="20">
        <v>6130.871691411684</v>
      </c>
      <c r="BD171" s="20">
        <v>6763.0873415991191</v>
      </c>
      <c r="BE171" s="133"/>
      <c r="BF171" s="102"/>
    </row>
    <row r="172" spans="39:58">
      <c r="AM172" s="32"/>
      <c r="AN172" s="1"/>
      <c r="AP172" s="20"/>
      <c r="AQ172" s="20"/>
      <c r="AR172" s="132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133"/>
      <c r="BF172" s="102"/>
    </row>
    <row r="173" spans="39:58">
      <c r="AM173" s="32"/>
      <c r="AN173" s="255" t="s">
        <v>576</v>
      </c>
      <c r="AO173" s="251"/>
      <c r="AP173" s="123">
        <f>SUM(AS173:BD173)</f>
        <v>11979702.386472384</v>
      </c>
      <c r="AQ173" s="20"/>
      <c r="AR173" s="132"/>
      <c r="AS173" s="123">
        <f>AS167-AS169</f>
        <v>96989.006280933114</v>
      </c>
      <c r="AT173" s="123">
        <f t="shared" ref="AT173:BD173" si="100">AT167-AT169</f>
        <v>143326.96823437145</v>
      </c>
      <c r="AU173" s="123">
        <f t="shared" si="100"/>
        <v>-11084.512077178006</v>
      </c>
      <c r="AV173" s="123">
        <f t="shared" si="100"/>
        <v>2132120.1344470382</v>
      </c>
      <c r="AW173" s="123">
        <f t="shared" si="100"/>
        <v>3397010.9532490936</v>
      </c>
      <c r="AX173" s="123">
        <f t="shared" si="100"/>
        <v>318242.96333750529</v>
      </c>
      <c r="AY173" s="123">
        <f t="shared" si="100"/>
        <v>900807.13106763689</v>
      </c>
      <c r="AZ173" s="123">
        <f t="shared" si="100"/>
        <v>873547.09940370533</v>
      </c>
      <c r="BA173" s="123">
        <f t="shared" si="100"/>
        <v>-250707.64683345426</v>
      </c>
      <c r="BB173" s="123">
        <f t="shared" si="100"/>
        <v>1143674.2455278973</v>
      </c>
      <c r="BC173" s="123">
        <f t="shared" si="100"/>
        <v>931210.86733383778</v>
      </c>
      <c r="BD173" s="123">
        <f t="shared" si="100"/>
        <v>2304565.1765009966</v>
      </c>
      <c r="BE173" s="133"/>
      <c r="BF173" s="102"/>
    </row>
    <row r="174" spans="39:58">
      <c r="AM174" s="32"/>
      <c r="AN174" s="251"/>
      <c r="AO174" s="251"/>
      <c r="AP174" s="20"/>
      <c r="AQ174" s="20"/>
      <c r="AR174" s="134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31"/>
      <c r="BF174" s="102"/>
    </row>
    <row r="175" spans="39:58" ht="15.75" thickBot="1">
      <c r="AM175" s="37"/>
      <c r="AN175" s="253"/>
      <c r="AO175" s="251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9"/>
    </row>
    <row r="178" spans="39:58" ht="15.75" thickBot="1"/>
    <row r="179" spans="39:58">
      <c r="AM179" s="29"/>
      <c r="AN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100"/>
    </row>
    <row r="180" spans="39:58">
      <c r="AM180" s="32"/>
      <c r="AN180" s="1"/>
      <c r="AP180" s="74">
        <v>9.5358089941537882E-2</v>
      </c>
      <c r="AQ180" s="74"/>
      <c r="AR180" s="74"/>
      <c r="AS180" s="74">
        <v>-0.8236938806283276</v>
      </c>
      <c r="AT180" s="74">
        <v>-0.15343276683270338</v>
      </c>
      <c r="AU180" s="74">
        <v>-0.52663854304716806</v>
      </c>
      <c r="AV180" s="74">
        <v>0.2914753894352764</v>
      </c>
      <c r="AW180" s="74">
        <v>0.20862386722107962</v>
      </c>
      <c r="AX180" s="74">
        <v>0.43468265022741381</v>
      </c>
      <c r="AY180" s="74">
        <v>0.17023864537896363</v>
      </c>
      <c r="AZ180" s="74">
        <v>0.39914237472286029</v>
      </c>
      <c r="BA180" s="74">
        <v>0.1548646150666047</v>
      </c>
      <c r="BB180" s="74">
        <v>-6.0467481082649599E-2</v>
      </c>
      <c r="BC180" s="74">
        <v>0.16599334076138569</v>
      </c>
      <c r="BD180" s="74">
        <v>-0.30733288340536474</v>
      </c>
      <c r="BE180" s="74"/>
      <c r="BF180" s="102"/>
    </row>
    <row r="181" spans="39:58">
      <c r="AM181" s="32"/>
      <c r="AN181" s="1"/>
      <c r="AP181" s="74">
        <v>-2.6814222064073433E-2</v>
      </c>
      <c r="AQ181" s="74"/>
      <c r="AR181" s="74"/>
      <c r="AS181" s="74">
        <v>-0.91818929171007058</v>
      </c>
      <c r="AT181" s="74">
        <v>-0.21662007740140918</v>
      </c>
      <c r="AU181" s="74">
        <v>-0.59105599303695389</v>
      </c>
      <c r="AV181" s="74">
        <v>0.18601025693882986</v>
      </c>
      <c r="AW181" s="74">
        <v>0.19255947303156909</v>
      </c>
      <c r="AX181" s="74">
        <v>0.36240171253675274</v>
      </c>
      <c r="AY181" s="74">
        <v>0.14651326775803594</v>
      </c>
      <c r="AZ181" s="74">
        <v>0.3843685996053543</v>
      </c>
      <c r="BA181" s="74">
        <v>6.4791922463772619E-2</v>
      </c>
      <c r="BB181" s="74">
        <v>-9.6769261515767938E-2</v>
      </c>
      <c r="BC181" s="74">
        <v>-0.45624762019440318</v>
      </c>
      <c r="BD181" s="74">
        <v>-0.38735686639700651</v>
      </c>
      <c r="BE181" s="74"/>
      <c r="BF181" s="102"/>
    </row>
    <row r="182" spans="39:58" ht="15.75" thickBot="1">
      <c r="AM182" s="32"/>
      <c r="AN182" s="1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102"/>
    </row>
    <row r="183" spans="39:58" ht="15.75" thickBot="1">
      <c r="AM183" s="32"/>
      <c r="AN183" s="1"/>
      <c r="AP183" s="254" t="s">
        <v>187</v>
      </c>
      <c r="AQ183" s="33"/>
      <c r="AR183" s="258"/>
      <c r="AS183" s="220" t="s">
        <v>641</v>
      </c>
      <c r="AT183" s="220"/>
      <c r="AU183" s="220"/>
      <c r="AV183" s="220"/>
      <c r="AW183" s="220"/>
      <c r="AX183" s="220"/>
      <c r="AY183" s="220"/>
      <c r="AZ183" s="220"/>
      <c r="BA183" s="220"/>
      <c r="BB183" s="220"/>
      <c r="BC183" s="220"/>
      <c r="BD183" s="221"/>
      <c r="BE183" s="259"/>
      <c r="BF183" s="102"/>
    </row>
    <row r="184" spans="39:58">
      <c r="AM184" s="32"/>
      <c r="AN184" s="1"/>
      <c r="AP184" s="33"/>
      <c r="AQ184" s="33"/>
      <c r="AR184" s="33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2"/>
    </row>
    <row r="185" spans="39:58">
      <c r="AM185" s="32"/>
      <c r="AN185" s="1"/>
      <c r="AP185" s="1"/>
      <c r="AQ185" s="1"/>
      <c r="AR185" s="6"/>
      <c r="AS185" s="18" t="s">
        <v>600</v>
      </c>
      <c r="AT185" s="18" t="s">
        <v>601</v>
      </c>
      <c r="AU185" s="18" t="s">
        <v>602</v>
      </c>
      <c r="AV185" s="18" t="s">
        <v>603</v>
      </c>
      <c r="AW185" s="18" t="s">
        <v>604</v>
      </c>
      <c r="AX185" s="18" t="s">
        <v>605</v>
      </c>
      <c r="AY185" s="18" t="s">
        <v>606</v>
      </c>
      <c r="AZ185" s="18" t="s">
        <v>607</v>
      </c>
      <c r="BA185" s="18" t="s">
        <v>608</v>
      </c>
      <c r="BB185" s="18" t="s">
        <v>609</v>
      </c>
      <c r="BC185" s="18" t="s">
        <v>610</v>
      </c>
      <c r="BD185" s="18" t="s">
        <v>611</v>
      </c>
      <c r="BE185" s="130"/>
      <c r="BF185" s="102"/>
    </row>
    <row r="186" spans="39:58">
      <c r="AM186" s="32"/>
      <c r="AN186" s="1"/>
      <c r="AP186" s="1"/>
      <c r="AQ186" s="1"/>
      <c r="AR186" s="4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257"/>
      <c r="BF186" s="102"/>
    </row>
    <row r="187" spans="39:58">
      <c r="AM187" s="32"/>
      <c r="AN187" s="167" t="s">
        <v>585</v>
      </c>
      <c r="AP187" s="207">
        <f>SUM(AS187:BD187)</f>
        <v>30712.966000000004</v>
      </c>
      <c r="AQ187" s="20"/>
      <c r="AR187" s="132"/>
      <c r="AS187" s="207">
        <v>1304.5450000000001</v>
      </c>
      <c r="AT187" s="207">
        <v>1108.5830000000001</v>
      </c>
      <c r="AU187" s="207">
        <v>1063.864</v>
      </c>
      <c r="AV187" s="207">
        <v>2889.6990000000001</v>
      </c>
      <c r="AW187" s="207">
        <v>3505.9030000000002</v>
      </c>
      <c r="AX187" s="207">
        <v>3189.308</v>
      </c>
      <c r="AY187" s="207">
        <v>2372.9859999999999</v>
      </c>
      <c r="AZ187" s="207">
        <v>4210.5839999999998</v>
      </c>
      <c r="BA187" s="207">
        <v>2120.893</v>
      </c>
      <c r="BB187" s="207">
        <v>2623.1629999999996</v>
      </c>
      <c r="BC187" s="207">
        <v>3238.4</v>
      </c>
      <c r="BD187" s="207">
        <v>3085.0379999999996</v>
      </c>
      <c r="BE187" s="133"/>
      <c r="BF187" s="102"/>
    </row>
    <row r="188" spans="39:58">
      <c r="AM188" s="32"/>
      <c r="AN188" s="260" t="s">
        <v>586</v>
      </c>
      <c r="AO188" s="128"/>
      <c r="AP188" s="207">
        <f>SUM(AS188:BD188)</f>
        <v>29625.543000000001</v>
      </c>
      <c r="AQ188" s="20"/>
      <c r="AR188" s="132"/>
      <c r="AS188" s="207">
        <v>740.54499999999996</v>
      </c>
      <c r="AT188" s="207">
        <v>1062.5629999999999</v>
      </c>
      <c r="AU188" s="207">
        <v>1768.864</v>
      </c>
      <c r="AV188" s="207">
        <v>1175.6960000000001</v>
      </c>
      <c r="AW188" s="207">
        <v>3455.4830000000002</v>
      </c>
      <c r="AX188" s="207">
        <v>3111.2479999999996</v>
      </c>
      <c r="AY188" s="207">
        <v>3073.6559999999999</v>
      </c>
      <c r="AZ188" s="207">
        <v>3253.194</v>
      </c>
      <c r="BA188" s="207">
        <v>2891.0929999999998</v>
      </c>
      <c r="BB188" s="207">
        <v>2398.1629999999996</v>
      </c>
      <c r="BC188" s="207">
        <v>3697</v>
      </c>
      <c r="BD188" s="207">
        <v>2998.038</v>
      </c>
      <c r="BE188" s="133"/>
      <c r="BF188" s="102"/>
    </row>
    <row r="189" spans="39:58">
      <c r="AM189" s="32"/>
      <c r="AN189" s="62"/>
      <c r="AO189" s="62"/>
      <c r="AP189" s="20"/>
      <c r="AQ189" s="20"/>
      <c r="AR189" s="132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133"/>
      <c r="BF189" s="102"/>
    </row>
    <row r="190" spans="39:58">
      <c r="AM190" s="32"/>
      <c r="AN190" s="251" t="s">
        <v>164</v>
      </c>
      <c r="AO190" s="251"/>
      <c r="AP190" s="17">
        <f>SUM(AS190:BD190)</f>
        <v>31477107.670994151</v>
      </c>
      <c r="AQ190" s="20"/>
      <c r="AR190" s="132"/>
      <c r="AS190" s="17">
        <f t="shared" ref="AS190" si="101">SUM(AS191:AS195)</f>
        <v>612684.87720993906</v>
      </c>
      <c r="AT190" s="17">
        <f t="shared" ref="AT190" si="102">SUM(AT191:AT195)</f>
        <v>1013413.2694673584</v>
      </c>
      <c r="AU190" s="17">
        <f t="shared" ref="AU190" si="103">SUM(AU191:AU195)</f>
        <v>2054645.7709880373</v>
      </c>
      <c r="AV190" s="17">
        <f t="shared" ref="AV190" si="104">SUM(AV191:AV195)</f>
        <v>1338741.0028401252</v>
      </c>
      <c r="AW190" s="17">
        <f t="shared" ref="AW190" si="105">SUM(AW191:AW195)</f>
        <v>3346289.4991592434</v>
      </c>
      <c r="AX190" s="17">
        <f t="shared" ref="AX190" si="106">SUM(AX191:AX195)</f>
        <v>3471441.7316988767</v>
      </c>
      <c r="AY190" s="17">
        <f t="shared" ref="AY190" si="107">SUM(AY191:AY195)</f>
        <v>3219079.4320359412</v>
      </c>
      <c r="AZ190" s="17">
        <f t="shared" ref="AZ190" si="108">SUM(AZ191:AZ195)</f>
        <v>4029225.2930334001</v>
      </c>
      <c r="BA190" s="17">
        <f t="shared" ref="BA190" si="109">SUM(BA191:BA195)</f>
        <v>3179740.2665113723</v>
      </c>
      <c r="BB190" s="17">
        <f t="shared" ref="BB190" si="110">SUM(BB191:BB195)</f>
        <v>2088398.1206085153</v>
      </c>
      <c r="BC190" s="17">
        <f t="shared" ref="BC190" si="111">SUM(BC191:BC195)</f>
        <v>3831144.771684729</v>
      </c>
      <c r="BD190" s="17">
        <f t="shared" ref="BD190" si="112">SUM(BD191:BD195)</f>
        <v>3292303.6357566118</v>
      </c>
      <c r="BE190" s="133"/>
      <c r="BF190" s="102"/>
    </row>
    <row r="191" spans="39:58">
      <c r="AM191" s="32"/>
      <c r="AN191" s="36" t="s">
        <v>612</v>
      </c>
      <c r="AO191" s="36"/>
      <c r="AP191" s="20">
        <f>SUM(AS191:BD191)</f>
        <v>31477107.670994151</v>
      </c>
      <c r="AQ191" s="20"/>
      <c r="AR191" s="132"/>
      <c r="AS191" s="20">
        <v>612684.87720993906</v>
      </c>
      <c r="AT191" s="20">
        <v>1013413.2694673584</v>
      </c>
      <c r="AU191" s="20">
        <v>2054645.7709880373</v>
      </c>
      <c r="AV191" s="20">
        <v>1338741.0028401252</v>
      </c>
      <c r="AW191" s="20">
        <v>3346289.4991592434</v>
      </c>
      <c r="AX191" s="20">
        <v>3471441.7316988767</v>
      </c>
      <c r="AY191" s="20">
        <v>3219079.4320359412</v>
      </c>
      <c r="AZ191" s="20">
        <v>4029225.2930334001</v>
      </c>
      <c r="BA191" s="20">
        <v>3179740.2665113723</v>
      </c>
      <c r="BB191" s="20">
        <v>2088398.1206085153</v>
      </c>
      <c r="BC191" s="20">
        <v>3831144.771684729</v>
      </c>
      <c r="BD191" s="20">
        <v>3292303.6357566118</v>
      </c>
      <c r="BE191" s="133"/>
      <c r="BF191" s="102"/>
    </row>
    <row r="192" spans="39:58">
      <c r="AM192" s="32"/>
      <c r="AN192" s="36" t="s">
        <v>613</v>
      </c>
      <c r="AO192" s="36"/>
      <c r="AP192" s="20">
        <v>0</v>
      </c>
      <c r="AQ192" s="20"/>
      <c r="AR192" s="132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133"/>
      <c r="BF192" s="102"/>
    </row>
    <row r="193" spans="39:58">
      <c r="AM193" s="32"/>
      <c r="AN193" s="36" t="s">
        <v>614</v>
      </c>
      <c r="AO193" s="36"/>
      <c r="AP193" s="20">
        <v>0</v>
      </c>
      <c r="AQ193" s="20"/>
      <c r="AR193" s="132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133"/>
      <c r="BF193" s="102"/>
    </row>
    <row r="194" spans="39:58">
      <c r="AM194" s="32"/>
      <c r="AN194" s="36" t="s">
        <v>615</v>
      </c>
      <c r="AO194" s="36"/>
      <c r="AP194" s="20">
        <v>0</v>
      </c>
      <c r="AQ194" s="20"/>
      <c r="AR194" s="132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133"/>
      <c r="BF194" s="102"/>
    </row>
    <row r="195" spans="39:58">
      <c r="AM195" s="32"/>
      <c r="AN195" s="36" t="s">
        <v>616</v>
      </c>
      <c r="AO195" s="36"/>
      <c r="AP195" s="20">
        <v>0</v>
      </c>
      <c r="AQ195" s="20"/>
      <c r="AR195" s="132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133"/>
      <c r="BF195" s="102"/>
    </row>
    <row r="196" spans="39:58">
      <c r="AM196" s="32"/>
      <c r="AN196" s="36"/>
      <c r="AO196" s="36"/>
      <c r="AP196" s="20"/>
      <c r="AQ196" s="20"/>
      <c r="AR196" s="132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133"/>
      <c r="BF196" s="102"/>
    </row>
    <row r="197" spans="39:58">
      <c r="AM197" s="32"/>
      <c r="AN197" s="251" t="s">
        <v>170</v>
      </c>
      <c r="AO197" s="251"/>
      <c r="AP197" s="17">
        <f>SUM(AS197:BD197)</f>
        <v>28475510.806604017</v>
      </c>
      <c r="AQ197" s="20"/>
      <c r="AR197" s="132"/>
      <c r="AS197" s="17">
        <f>AS198+AS204</f>
        <v>1117349.6613212842</v>
      </c>
      <c r="AT197" s="17">
        <f t="shared" ref="AT197" si="113">AT198+AT204</f>
        <v>1168904.0713467114</v>
      </c>
      <c r="AU197" s="17">
        <f t="shared" ref="AU197" si="114">AU198+AU204</f>
        <v>3136701.4262992023</v>
      </c>
      <c r="AV197" s="17">
        <f t="shared" ref="AV197" si="115">AV198+AV204</f>
        <v>948530.94768432702</v>
      </c>
      <c r="AW197" s="17">
        <f t="shared" ref="AW197" si="116">AW198+AW204</f>
        <v>2648173.6430033529</v>
      </c>
      <c r="AX197" s="17">
        <f t="shared" ref="AX197" si="117">AX198+AX204</f>
        <v>1962466.2396539659</v>
      </c>
      <c r="AY197" s="17">
        <f t="shared" ref="AY197" si="118">AY198+AY204</f>
        <v>2671067.7101588589</v>
      </c>
      <c r="AZ197" s="17">
        <f t="shared" ref="AZ197" si="119">AZ198+AZ204</f>
        <v>2420990.7412786353</v>
      </c>
      <c r="BA197" s="17">
        <f t="shared" ref="BA197" si="120">BA198+BA204</f>
        <v>2687311.014126305</v>
      </c>
      <c r="BB197" s="17">
        <f t="shared" ref="BB197" si="121">BB198+BB204</f>
        <v>2214678.2944594519</v>
      </c>
      <c r="BC197" s="17">
        <f t="shared" ref="BC197" si="122">BC198+BC204</f>
        <v>3195200.2520922651</v>
      </c>
      <c r="BD197" s="17">
        <f t="shared" ref="BD197" si="123">BD198+BD204</f>
        <v>4304136.8051796583</v>
      </c>
      <c r="BE197" s="133"/>
      <c r="BF197" s="102"/>
    </row>
    <row r="198" spans="39:58">
      <c r="AM198" s="32"/>
      <c r="AN198" s="36" t="s">
        <v>612</v>
      </c>
      <c r="AO198" s="36"/>
      <c r="AP198" s="20">
        <f t="shared" ref="AP198:AP202" si="124">SUM(AS198:BD198)</f>
        <v>27823477.583838139</v>
      </c>
      <c r="AQ198" s="20"/>
      <c r="AR198" s="132"/>
      <c r="AS198" s="20">
        <f>AS199+AS200-AS201+AS202</f>
        <v>1119192.3513212842</v>
      </c>
      <c r="AT198" s="20">
        <f t="shared" ref="AT198" si="125">AT199+AT200-AT201+AT202</f>
        <v>1152141.8413467114</v>
      </c>
      <c r="AU198" s="20">
        <f t="shared" ref="AU198" si="126">AU199+AU200-AU201+AU202</f>
        <v>3133493.3462992022</v>
      </c>
      <c r="AV198" s="20">
        <f t="shared" ref="AV198" si="127">AV199+AV200-AV201+AV202</f>
        <v>948041.58768432704</v>
      </c>
      <c r="AW198" s="20">
        <f t="shared" ref="AW198" si="128">AW199+AW200-AW201+AW202</f>
        <v>2644921.2930033528</v>
      </c>
      <c r="AX198" s="20">
        <f t="shared" ref="AX198" si="129">AX199+AX200-AX201+AX202</f>
        <v>1943880.4496539659</v>
      </c>
      <c r="AY198" s="20">
        <f t="shared" ref="AY198" si="130">AY199+AY200-AY201+AY202</f>
        <v>2658724.8218292887</v>
      </c>
      <c r="AZ198" s="20">
        <f t="shared" ref="AZ198" si="131">AZ199+AZ200-AZ201+AZ202</f>
        <v>2257310.1898095608</v>
      </c>
      <c r="BA198" s="20">
        <f t="shared" ref="BA198" si="132">BA199+BA200-BA201+BA202</f>
        <v>2479501.9656673362</v>
      </c>
      <c r="BB198" s="20">
        <f t="shared" ref="BB198" si="133">BB199+BB200-BB201+BB202</f>
        <v>2201556.6614865591</v>
      </c>
      <c r="BC198" s="20">
        <f t="shared" ref="BC198" si="134">BC199+BC200-BC201+BC202</f>
        <v>3182784.2705568899</v>
      </c>
      <c r="BD198" s="20">
        <f t="shared" ref="BD198" si="135">BD199+BD200-BD201+BD202</f>
        <v>4101928.8051796583</v>
      </c>
      <c r="BE198" s="133"/>
      <c r="BF198" s="102"/>
    </row>
    <row r="199" spans="39:58">
      <c r="AM199" s="32"/>
      <c r="AN199" s="252" t="s">
        <v>617</v>
      </c>
      <c r="AO199" s="252"/>
      <c r="AP199" s="20">
        <f t="shared" si="124"/>
        <v>15446293.693242017</v>
      </c>
      <c r="AQ199" s="20"/>
      <c r="AR199" s="132"/>
      <c r="AS199" s="20">
        <v>587191.18021455675</v>
      </c>
      <c r="AT199" s="20">
        <v>1128294.7688932726</v>
      </c>
      <c r="AU199" s="20">
        <v>1581819.2575465613</v>
      </c>
      <c r="AV199" s="20">
        <v>491492.1812473592</v>
      </c>
      <c r="AW199" s="20">
        <v>1702727.3035630321</v>
      </c>
      <c r="AX199" s="20">
        <v>1459167.4805596792</v>
      </c>
      <c r="AY199" s="20">
        <v>1575425.460905713</v>
      </c>
      <c r="AZ199" s="20">
        <v>982296.52874602156</v>
      </c>
      <c r="BA199" s="20">
        <v>1587017.9169527229</v>
      </c>
      <c r="BB199" s="20">
        <v>1355038.4840123793</v>
      </c>
      <c r="BC199" s="20">
        <v>1848128.3130732193</v>
      </c>
      <c r="BD199" s="20">
        <v>1147694.8175274967</v>
      </c>
      <c r="BE199" s="133"/>
      <c r="BF199" s="102"/>
    </row>
    <row r="200" spans="39:58">
      <c r="AM200" s="32"/>
      <c r="AN200" s="252" t="s">
        <v>618</v>
      </c>
      <c r="AO200" s="252"/>
      <c r="AP200" s="20">
        <f t="shared" si="124"/>
        <v>28604623.89336507</v>
      </c>
      <c r="AQ200" s="20"/>
      <c r="AR200" s="132"/>
      <c r="AS200" s="20">
        <v>1660295.94</v>
      </c>
      <c r="AT200" s="20">
        <v>1605666.33</v>
      </c>
      <c r="AU200" s="20">
        <v>2043166.27</v>
      </c>
      <c r="AV200" s="20">
        <v>2159276.71</v>
      </c>
      <c r="AW200" s="20">
        <v>2401361.4700000002</v>
      </c>
      <c r="AX200" s="20">
        <v>2060138.4299999997</v>
      </c>
      <c r="AY200" s="20">
        <v>2065595.8896695971</v>
      </c>
      <c r="AZ200" s="20">
        <v>2862031.5780162625</v>
      </c>
      <c r="BA200" s="20">
        <v>2247522.5327269929</v>
      </c>
      <c r="BB200" s="20">
        <v>2694646.490547399</v>
      </c>
      <c r="BC200" s="20">
        <v>2482350.7750111669</v>
      </c>
      <c r="BD200" s="20">
        <v>4322571.4773936495</v>
      </c>
      <c r="BE200" s="133"/>
      <c r="BF200" s="102"/>
    </row>
    <row r="201" spans="39:58">
      <c r="AM201" s="32"/>
      <c r="AN201" s="252" t="s">
        <v>619</v>
      </c>
      <c r="AO201" s="252"/>
      <c r="AP201" s="20">
        <f t="shared" si="124"/>
        <v>16227440.002768949</v>
      </c>
      <c r="AQ201" s="20"/>
      <c r="AR201" s="132"/>
      <c r="AS201" s="20">
        <v>1128294.7688932726</v>
      </c>
      <c r="AT201" s="20">
        <v>1581819.2575465613</v>
      </c>
      <c r="AU201" s="20">
        <v>491492.1812473592</v>
      </c>
      <c r="AV201" s="20">
        <v>1702727.3035630321</v>
      </c>
      <c r="AW201" s="20">
        <v>1459167.4805596792</v>
      </c>
      <c r="AX201" s="20">
        <v>1575425.460905713</v>
      </c>
      <c r="AY201" s="20">
        <v>982296.52874602156</v>
      </c>
      <c r="AZ201" s="20">
        <v>1587017.9169527229</v>
      </c>
      <c r="BA201" s="20">
        <v>1355038.4840123793</v>
      </c>
      <c r="BB201" s="20">
        <v>1848128.3130732193</v>
      </c>
      <c r="BC201" s="20">
        <v>1147694.8175274967</v>
      </c>
      <c r="BD201" s="20">
        <v>1368337.4897414886</v>
      </c>
      <c r="BE201" s="133"/>
      <c r="BF201" s="102"/>
    </row>
    <row r="202" spans="39:58">
      <c r="AM202" s="32"/>
      <c r="AN202" s="252" t="s">
        <v>620</v>
      </c>
      <c r="AO202" s="252"/>
      <c r="AP202" s="20">
        <f t="shared" si="124"/>
        <v>0</v>
      </c>
      <c r="AQ202" s="20"/>
      <c r="AR202" s="132"/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  <c r="BA202" s="20">
        <v>0</v>
      </c>
      <c r="BB202" s="20">
        <v>0</v>
      </c>
      <c r="BC202" s="20">
        <v>0</v>
      </c>
      <c r="BD202" s="20">
        <v>0</v>
      </c>
      <c r="BE202" s="133"/>
      <c r="BF202" s="102"/>
    </row>
    <row r="203" spans="39:58">
      <c r="AM203" s="32"/>
      <c r="AN203" s="252"/>
      <c r="AO203" s="252"/>
      <c r="AP203" s="20"/>
      <c r="AQ203" s="20"/>
      <c r="AR203" s="132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133"/>
      <c r="BF203" s="102"/>
    </row>
    <row r="204" spans="39:58">
      <c r="AM204" s="32"/>
      <c r="AN204" s="36" t="s">
        <v>621</v>
      </c>
      <c r="AO204" s="36"/>
      <c r="AP204" s="20">
        <f>SUM(AS204:BD204)</f>
        <v>652033.22276588215</v>
      </c>
      <c r="AQ204" s="20"/>
      <c r="AR204" s="132"/>
      <c r="AS204" s="20">
        <v>-1842.6899999999998</v>
      </c>
      <c r="AT204" s="20">
        <v>16762.230000000003</v>
      </c>
      <c r="AU204" s="20">
        <v>3208.08</v>
      </c>
      <c r="AV204" s="20">
        <v>489.36</v>
      </c>
      <c r="AW204" s="20">
        <v>3252.3499999999995</v>
      </c>
      <c r="AX204" s="20">
        <v>18585.79</v>
      </c>
      <c r="AY204" s="20">
        <v>12342.888329570385</v>
      </c>
      <c r="AZ204" s="20">
        <v>163680.55146907474</v>
      </c>
      <c r="BA204" s="20">
        <v>207809.04845896896</v>
      </c>
      <c r="BB204" s="20">
        <v>13121.632972893041</v>
      </c>
      <c r="BC204" s="20">
        <v>12415.981535375033</v>
      </c>
      <c r="BD204" s="20">
        <v>202208</v>
      </c>
      <c r="BE204" s="133"/>
      <c r="BF204" s="102"/>
    </row>
    <row r="205" spans="39:58">
      <c r="AM205" s="32"/>
      <c r="AN205" s="36" t="s">
        <v>622</v>
      </c>
      <c r="AO205" s="36"/>
      <c r="AP205" s="20">
        <f t="shared" ref="AP205:AP208" si="136">SUM(AS205:BD205)</f>
        <v>0</v>
      </c>
      <c r="AQ205" s="20"/>
      <c r="AR205" s="132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133"/>
      <c r="BF205" s="102"/>
    </row>
    <row r="206" spans="39:58">
      <c r="AM206" s="32"/>
      <c r="AN206" s="36" t="s">
        <v>623</v>
      </c>
      <c r="AO206" s="36"/>
      <c r="AP206" s="20">
        <f t="shared" si="136"/>
        <v>0</v>
      </c>
      <c r="AQ206" s="20"/>
      <c r="AR206" s="132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133"/>
      <c r="BF206" s="102"/>
    </row>
    <row r="207" spans="39:58">
      <c r="AM207" s="32"/>
      <c r="AN207" s="36" t="s">
        <v>624</v>
      </c>
      <c r="AO207" s="36"/>
      <c r="AP207" s="20">
        <f t="shared" si="136"/>
        <v>0</v>
      </c>
      <c r="AQ207" s="20"/>
      <c r="AR207" s="132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133"/>
      <c r="BF207" s="102"/>
    </row>
    <row r="208" spans="39:58">
      <c r="AM208" s="32"/>
      <c r="AN208" s="36" t="s">
        <v>625</v>
      </c>
      <c r="AO208" s="36"/>
      <c r="AP208" s="20">
        <f t="shared" si="136"/>
        <v>0</v>
      </c>
      <c r="AQ208" s="20"/>
      <c r="AR208" s="132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133"/>
      <c r="BF208" s="102"/>
    </row>
    <row r="209" spans="39:58">
      <c r="AM209" s="32"/>
      <c r="AN209" s="36"/>
      <c r="AO209" s="36"/>
      <c r="AP209" s="20"/>
      <c r="AQ209" s="20"/>
      <c r="AR209" s="132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133"/>
      <c r="BF209" s="102"/>
    </row>
    <row r="210" spans="39:58">
      <c r="AM210" s="32"/>
      <c r="AN210" s="255" t="s">
        <v>179</v>
      </c>
      <c r="AO210" s="256"/>
      <c r="AP210" s="123">
        <f>SUM(AS210:BD210)</f>
        <v>3001596.864390132</v>
      </c>
      <c r="AQ210" s="20"/>
      <c r="AR210" s="132"/>
      <c r="AS210" s="123">
        <f>AS190-AS197</f>
        <v>-504664.78411134519</v>
      </c>
      <c r="AT210" s="123">
        <f t="shared" ref="AT210:BD210" si="137">AT190-AT197</f>
        <v>-155490.80187935301</v>
      </c>
      <c r="AU210" s="123">
        <f t="shared" si="137"/>
        <v>-1082055.6553111649</v>
      </c>
      <c r="AV210" s="123">
        <f t="shared" si="137"/>
        <v>390210.05515579821</v>
      </c>
      <c r="AW210" s="123">
        <f t="shared" si="137"/>
        <v>698115.85615589051</v>
      </c>
      <c r="AX210" s="123">
        <f t="shared" si="137"/>
        <v>1508975.4920449108</v>
      </c>
      <c r="AY210" s="123">
        <f t="shared" si="137"/>
        <v>548011.72187708225</v>
      </c>
      <c r="AZ210" s="123">
        <f t="shared" si="137"/>
        <v>1608234.5517547647</v>
      </c>
      <c r="BA210" s="123">
        <f t="shared" si="137"/>
        <v>492429.25238506729</v>
      </c>
      <c r="BB210" s="123">
        <f t="shared" si="137"/>
        <v>-126280.17385093658</v>
      </c>
      <c r="BC210" s="123">
        <f t="shared" si="137"/>
        <v>635944.51959246397</v>
      </c>
      <c r="BD210" s="123">
        <f t="shared" si="137"/>
        <v>-1011833.1694230465</v>
      </c>
      <c r="BE210" s="133"/>
      <c r="BF210" s="102"/>
    </row>
    <row r="211" spans="39:58">
      <c r="AM211" s="32"/>
      <c r="AN211" s="251"/>
      <c r="AO211" s="251"/>
      <c r="AP211" s="20"/>
      <c r="AQ211" s="20"/>
      <c r="AR211" s="132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133"/>
      <c r="BF211" s="102"/>
    </row>
    <row r="212" spans="39:58">
      <c r="AM212" s="32"/>
      <c r="AN212" s="251" t="s">
        <v>632</v>
      </c>
      <c r="AO212" s="251"/>
      <c r="AP212" s="17">
        <f t="shared" ref="AP212:AP217" si="138">SUM(AS212:BD212)</f>
        <v>3845631.0194149199</v>
      </c>
      <c r="AQ212" s="20"/>
      <c r="AR212" s="132"/>
      <c r="AS212" s="17">
        <f t="shared" ref="AS212" si="139">SUM(AS213:AS217)</f>
        <v>57895.909335520468</v>
      </c>
      <c r="AT212" s="17">
        <f t="shared" ref="AT212" si="140">SUM(AT213:AT217)</f>
        <v>64034.858992281508</v>
      </c>
      <c r="AU212" s="17">
        <f t="shared" ref="AU212" si="141">SUM(AU213:AU217)</f>
        <v>132355.04119934692</v>
      </c>
      <c r="AV212" s="17">
        <f t="shared" ref="AV212" si="142">SUM(AV213:AV217)</f>
        <v>141190.49724295954</v>
      </c>
      <c r="AW212" s="17">
        <f t="shared" ref="AW212" si="143">SUM(AW213:AW217)</f>
        <v>53756.113586713756</v>
      </c>
      <c r="AX212" s="17">
        <f t="shared" ref="AX212" si="144">SUM(AX213:AX217)</f>
        <v>250919.06350568711</v>
      </c>
      <c r="AY212" s="17">
        <f t="shared" ref="AY212" si="145">SUM(AY213:AY217)</f>
        <v>76373.875116814059</v>
      </c>
      <c r="AZ212" s="17">
        <f t="shared" ref="AZ212" si="146">SUM(AZ213:AZ217)</f>
        <v>59526.868377043007</v>
      </c>
      <c r="BA212" s="17">
        <f t="shared" ref="BA212" si="147">SUM(BA213:BA217)</f>
        <v>286407.76758232625</v>
      </c>
      <c r="BB212" s="17">
        <f t="shared" ref="BB212" si="148">SUM(BB213:BB217)</f>
        <v>75812.5700312673</v>
      </c>
      <c r="BC212" s="17">
        <f t="shared" ref="BC212" si="149">SUM(BC213:BC217)</f>
        <v>2383895.2042938522</v>
      </c>
      <c r="BD212" s="17">
        <f t="shared" ref="BD212" si="150">SUM(BD213:BD217)</f>
        <v>263463.25015110761</v>
      </c>
      <c r="BE212" s="133"/>
      <c r="BF212" s="102"/>
    </row>
    <row r="213" spans="39:58">
      <c r="AM213" s="32"/>
      <c r="AN213" s="36" t="s">
        <v>626</v>
      </c>
      <c r="AO213" s="36"/>
      <c r="AP213" s="20">
        <f t="shared" si="138"/>
        <v>296429.49629777559</v>
      </c>
      <c r="AQ213" s="20"/>
      <c r="AR213" s="132"/>
      <c r="AS213" s="20">
        <v>22721.167698492431</v>
      </c>
      <c r="AT213" s="20">
        <v>22503.305856938794</v>
      </c>
      <c r="AU213" s="20">
        <v>21672.984662104376</v>
      </c>
      <c r="AV213" s="20">
        <v>23569.034250720706</v>
      </c>
      <c r="AW213" s="20">
        <v>23519.267269043547</v>
      </c>
      <c r="AX213" s="20">
        <v>24869.226184033407</v>
      </c>
      <c r="AY213" s="20">
        <v>22505.359345200981</v>
      </c>
      <c r="AZ213" s="20">
        <v>20884.059473410605</v>
      </c>
      <c r="BA213" s="20">
        <v>24756.438303120478</v>
      </c>
      <c r="BB213" s="20">
        <v>35583.556544102736</v>
      </c>
      <c r="BC213" s="20">
        <v>28377.000321667423</v>
      </c>
      <c r="BD213" s="20">
        <v>25468.096388940114</v>
      </c>
      <c r="BE213" s="133"/>
      <c r="BF213" s="102"/>
    </row>
    <row r="214" spans="39:58">
      <c r="AM214" s="32"/>
      <c r="AN214" s="36" t="s">
        <v>621</v>
      </c>
      <c r="AO214" s="36"/>
      <c r="AP214" s="20">
        <f t="shared" si="138"/>
        <v>0</v>
      </c>
      <c r="AQ214" s="20"/>
      <c r="AR214" s="132"/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  <c r="BA214" s="20">
        <v>0</v>
      </c>
      <c r="BB214" s="20">
        <v>0</v>
      </c>
      <c r="BC214" s="20">
        <v>0</v>
      </c>
      <c r="BD214" s="20">
        <v>0</v>
      </c>
      <c r="BE214" s="133"/>
      <c r="BF214" s="102"/>
    </row>
    <row r="215" spans="39:58">
      <c r="AM215" s="32"/>
      <c r="AN215" s="36" t="s">
        <v>627</v>
      </c>
      <c r="AO215" s="36"/>
      <c r="AP215" s="20">
        <f t="shared" si="138"/>
        <v>0</v>
      </c>
      <c r="AQ215" s="20"/>
      <c r="AR215" s="132"/>
      <c r="AS215" s="20">
        <v>0</v>
      </c>
      <c r="AT215" s="20">
        <v>0</v>
      </c>
      <c r="AU215" s="20">
        <v>0</v>
      </c>
      <c r="AV215" s="20">
        <v>0</v>
      </c>
      <c r="AW215" s="20">
        <v>0</v>
      </c>
      <c r="AX215" s="20">
        <v>0</v>
      </c>
      <c r="AY215" s="20">
        <v>0</v>
      </c>
      <c r="AZ215" s="20">
        <v>0</v>
      </c>
      <c r="BA215" s="20">
        <v>0</v>
      </c>
      <c r="BB215" s="20">
        <v>0</v>
      </c>
      <c r="BC215" s="20">
        <v>0</v>
      </c>
      <c r="BD215" s="20">
        <v>0</v>
      </c>
      <c r="BE215" s="133"/>
      <c r="BF215" s="102"/>
    </row>
    <row r="216" spans="39:58">
      <c r="AM216" s="32"/>
      <c r="AN216" s="36" t="s">
        <v>628</v>
      </c>
      <c r="AO216" s="36"/>
      <c r="AP216" s="20">
        <f t="shared" si="138"/>
        <v>592113.01190375281</v>
      </c>
      <c r="AQ216" s="20"/>
      <c r="AR216" s="132"/>
      <c r="AS216" s="20">
        <v>0</v>
      </c>
      <c r="AT216" s="20">
        <v>0</v>
      </c>
      <c r="AU216" s="20">
        <v>73614.878353306704</v>
      </c>
      <c r="AV216" s="20">
        <v>0</v>
      </c>
      <c r="AW216" s="20">
        <v>0</v>
      </c>
      <c r="AX216" s="20">
        <v>163129.4446739649</v>
      </c>
      <c r="AY216" s="20">
        <v>0</v>
      </c>
      <c r="AZ216" s="20">
        <v>0</v>
      </c>
      <c r="BA216" s="20">
        <v>207979.13887648121</v>
      </c>
      <c r="BB216" s="20">
        <v>0</v>
      </c>
      <c r="BC216" s="20">
        <v>0</v>
      </c>
      <c r="BD216" s="20">
        <v>147389.54999999999</v>
      </c>
      <c r="BE216" s="133"/>
      <c r="BF216" s="102"/>
    </row>
    <row r="217" spans="39:58">
      <c r="AM217" s="32"/>
      <c r="AN217" s="36" t="s">
        <v>629</v>
      </c>
      <c r="AO217" s="36"/>
      <c r="AP217" s="20">
        <f t="shared" si="138"/>
        <v>2957088.5112133911</v>
      </c>
      <c r="AQ217" s="20"/>
      <c r="AR217" s="132"/>
      <c r="AS217" s="20">
        <v>35174.741637028033</v>
      </c>
      <c r="AT217" s="20">
        <v>41531.553135342714</v>
      </c>
      <c r="AU217" s="20">
        <v>37067.178183935837</v>
      </c>
      <c r="AV217" s="20">
        <v>117621.46299223883</v>
      </c>
      <c r="AW217" s="20">
        <v>30236.84631767021</v>
      </c>
      <c r="AX217" s="20">
        <v>62920.392647688801</v>
      </c>
      <c r="AY217" s="20">
        <v>53868.515771613078</v>
      </c>
      <c r="AZ217" s="20">
        <v>38642.808903632402</v>
      </c>
      <c r="BA217" s="20">
        <v>53672.190402724569</v>
      </c>
      <c r="BB217" s="20">
        <v>40229.013487164557</v>
      </c>
      <c r="BC217" s="20">
        <v>2355518.2039721846</v>
      </c>
      <c r="BD217" s="20">
        <v>90605.603762167506</v>
      </c>
      <c r="BE217" s="133"/>
      <c r="BF217" s="102"/>
    </row>
    <row r="218" spans="39:58">
      <c r="AM218" s="32"/>
      <c r="AN218" s="36"/>
      <c r="AO218" s="36"/>
      <c r="AP218" s="20"/>
      <c r="AQ218" s="20"/>
      <c r="AR218" s="132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133"/>
      <c r="BF218" s="102"/>
    </row>
    <row r="219" spans="39:58">
      <c r="AM219" s="32"/>
      <c r="AN219" s="251" t="s">
        <v>184</v>
      </c>
      <c r="AO219" s="251"/>
      <c r="AP219" s="123">
        <f>SUM(AS219:BD219)</f>
        <v>-844034.15502478788</v>
      </c>
      <c r="AQ219" s="20"/>
      <c r="AR219" s="132"/>
      <c r="AS219" s="123">
        <f>AS210-AS212</f>
        <v>-562560.69344686565</v>
      </c>
      <c r="AT219" s="123">
        <f t="shared" ref="AT219:BD219" si="151">AT210-AT212</f>
        <v>-219525.66087163452</v>
      </c>
      <c r="AU219" s="123">
        <f t="shared" si="151"/>
        <v>-1214410.6965105119</v>
      </c>
      <c r="AV219" s="123">
        <f t="shared" si="151"/>
        <v>249019.55791283867</v>
      </c>
      <c r="AW219" s="123">
        <f t="shared" si="151"/>
        <v>644359.74256917671</v>
      </c>
      <c r="AX219" s="123">
        <f t="shared" si="151"/>
        <v>1258056.4285392237</v>
      </c>
      <c r="AY219" s="123">
        <f t="shared" si="151"/>
        <v>471637.84676026821</v>
      </c>
      <c r="AZ219" s="123">
        <f t="shared" si="151"/>
        <v>1548707.6833777218</v>
      </c>
      <c r="BA219" s="123">
        <f t="shared" si="151"/>
        <v>206021.48480274103</v>
      </c>
      <c r="BB219" s="123">
        <f t="shared" si="151"/>
        <v>-202092.74388220388</v>
      </c>
      <c r="BC219" s="123">
        <f t="shared" si="151"/>
        <v>-1747950.6847013882</v>
      </c>
      <c r="BD219" s="123">
        <f t="shared" si="151"/>
        <v>-1275296.4195741541</v>
      </c>
      <c r="BE219" s="133"/>
      <c r="BF219" s="102"/>
    </row>
    <row r="220" spans="39:58">
      <c r="AM220" s="32"/>
      <c r="AN220" s="251"/>
      <c r="AO220" s="251"/>
      <c r="AP220" s="20"/>
      <c r="AQ220" s="20"/>
      <c r="AR220" s="132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133"/>
      <c r="BF220" s="102"/>
    </row>
    <row r="221" spans="39:58">
      <c r="AM221" s="32"/>
      <c r="AN221" s="251" t="s">
        <v>633</v>
      </c>
      <c r="AO221" s="251"/>
      <c r="AP221" s="17">
        <f>SUM(AS221:BD221)</f>
        <v>618725.69089720177</v>
      </c>
      <c r="AQ221" s="20"/>
      <c r="AR221" s="132"/>
      <c r="AS221" s="17">
        <f t="shared" ref="AS221" si="152">SUM(AS222:AS223)</f>
        <v>46160.640177618508</v>
      </c>
      <c r="AT221" s="17">
        <f t="shared" ref="AT221" si="153">SUM(AT222:AT223)</f>
        <v>43362.288719347518</v>
      </c>
      <c r="AU221" s="17">
        <f t="shared" ref="AU221" si="154">SUM(AU222:AU223)</f>
        <v>41530.683749150296</v>
      </c>
      <c r="AV221" s="17">
        <f t="shared" ref="AV221" si="155">SUM(AV222:AV223)</f>
        <v>43074.397680978705</v>
      </c>
      <c r="AW221" s="17">
        <f t="shared" ref="AW221" si="156">SUM(AW222:AW223)</f>
        <v>48184.351792292749</v>
      </c>
      <c r="AX221" s="17">
        <f t="shared" ref="AX221" si="157">SUM(AX222:AX223)</f>
        <v>52696.12</v>
      </c>
      <c r="AY221" s="17">
        <f t="shared" ref="AY221" si="158">SUM(AY222:AY223)</f>
        <v>55750.205815198031</v>
      </c>
      <c r="AZ221" s="17">
        <f t="shared" ref="AZ221" si="159">SUM(AZ222:AZ223)</f>
        <v>56038.682653105789</v>
      </c>
      <c r="BA221" s="17">
        <f t="shared" ref="BA221" si="160">SUM(BA222:BA223)</f>
        <v>55206.056987238335</v>
      </c>
      <c r="BB221" s="17">
        <f t="shared" ref="BB221" si="161">SUM(BB222:BB223)</f>
        <v>57084.963278846146</v>
      </c>
      <c r="BC221" s="17">
        <f t="shared" ref="BC221" si="162">SUM(BC222:BC223)</f>
        <v>58605.502378906596</v>
      </c>
      <c r="BD221" s="17">
        <f t="shared" ref="BD221" si="163">SUM(BD222:BD223)</f>
        <v>61031.797664519188</v>
      </c>
      <c r="BE221" s="133"/>
      <c r="BF221" s="102"/>
    </row>
    <row r="222" spans="39:58">
      <c r="AM222" s="32"/>
      <c r="AN222" s="36" t="s">
        <v>630</v>
      </c>
      <c r="AO222" s="36"/>
      <c r="AP222" s="20">
        <f>SUM(AS222:BD222)</f>
        <v>535685.67275661125</v>
      </c>
      <c r="AQ222" s="20"/>
      <c r="AR222" s="132"/>
      <c r="AS222" s="20">
        <v>40830.757751201687</v>
      </c>
      <c r="AT222" s="20">
        <v>37193.00436423425</v>
      </c>
      <c r="AU222" s="20">
        <v>35607.311212218694</v>
      </c>
      <c r="AV222" s="20">
        <v>36665.110561108937</v>
      </c>
      <c r="AW222" s="20">
        <v>40292.351744601146</v>
      </c>
      <c r="AX222" s="20">
        <v>44453.66</v>
      </c>
      <c r="AY222" s="20">
        <v>48370.779030040583</v>
      </c>
      <c r="AZ222" s="20">
        <v>49222.546732928597</v>
      </c>
      <c r="BA222" s="20">
        <v>48278.301376525698</v>
      </c>
      <c r="BB222" s="20">
        <v>50222.278740578018</v>
      </c>
      <c r="BC222" s="20">
        <v>51529.887040995098</v>
      </c>
      <c r="BD222" s="20">
        <v>53019.68420217841</v>
      </c>
      <c r="BE222" s="133"/>
      <c r="BF222" s="102"/>
    </row>
    <row r="223" spans="39:58">
      <c r="AM223" s="32"/>
      <c r="AN223" s="36" t="s">
        <v>631</v>
      </c>
      <c r="AO223" s="36"/>
      <c r="AP223" s="20">
        <f>SUM(AS223:BD223)</f>
        <v>83040.018140590735</v>
      </c>
      <c r="AQ223" s="20"/>
      <c r="AR223" s="132"/>
      <c r="AS223" s="20">
        <v>5329.8824264168206</v>
      </c>
      <c r="AT223" s="20">
        <v>6169.2843551132682</v>
      </c>
      <c r="AU223" s="20">
        <v>5923.3725369316026</v>
      </c>
      <c r="AV223" s="20">
        <v>6409.2871198697685</v>
      </c>
      <c r="AW223" s="20">
        <v>7892.000047691602</v>
      </c>
      <c r="AX223" s="20">
        <v>8242.4599999999991</v>
      </c>
      <c r="AY223" s="20">
        <v>7379.4267851574441</v>
      </c>
      <c r="AZ223" s="20">
        <v>6816.1359201771893</v>
      </c>
      <c r="BA223" s="20">
        <v>6927.7556107126375</v>
      </c>
      <c r="BB223" s="20">
        <v>6862.6845382681304</v>
      </c>
      <c r="BC223" s="20">
        <v>7075.6153379115003</v>
      </c>
      <c r="BD223" s="20">
        <v>8012.1134623407752</v>
      </c>
      <c r="BE223" s="133"/>
      <c r="BF223" s="102"/>
    </row>
    <row r="224" spans="39:58">
      <c r="AM224" s="32"/>
      <c r="AN224" s="36"/>
      <c r="AO224" s="36"/>
      <c r="AP224" s="20"/>
      <c r="AQ224" s="20"/>
      <c r="AR224" s="132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133"/>
      <c r="BF224" s="102"/>
    </row>
    <row r="225" spans="39:58">
      <c r="AM225" s="32"/>
      <c r="AN225" s="251" t="s">
        <v>634</v>
      </c>
      <c r="AP225" s="17">
        <f>SUM(AS225:BD225)</f>
        <v>-1462759.8459219902</v>
      </c>
      <c r="AQ225" s="20"/>
      <c r="AR225" s="132"/>
      <c r="AS225" s="17">
        <f>AS219-AS221</f>
        <v>-608721.33362448413</v>
      </c>
      <c r="AT225" s="17">
        <f t="shared" ref="AT225:BD225" si="164">AT219-AT221</f>
        <v>-262887.94959098205</v>
      </c>
      <c r="AU225" s="17">
        <f t="shared" si="164"/>
        <v>-1255941.3802596622</v>
      </c>
      <c r="AV225" s="17">
        <f t="shared" si="164"/>
        <v>205945.16023185998</v>
      </c>
      <c r="AW225" s="17">
        <f t="shared" si="164"/>
        <v>596175.39077688393</v>
      </c>
      <c r="AX225" s="17">
        <f t="shared" si="164"/>
        <v>1205360.3085392236</v>
      </c>
      <c r="AY225" s="17">
        <f t="shared" si="164"/>
        <v>415887.64094507019</v>
      </c>
      <c r="AZ225" s="17">
        <f t="shared" si="164"/>
        <v>1492669.000724616</v>
      </c>
      <c r="BA225" s="17">
        <f t="shared" si="164"/>
        <v>150815.42781550268</v>
      </c>
      <c r="BB225" s="17">
        <f t="shared" si="164"/>
        <v>-259177.70716105003</v>
      </c>
      <c r="BC225" s="17">
        <f t="shared" si="164"/>
        <v>-1806556.1870802948</v>
      </c>
      <c r="BD225" s="17">
        <f t="shared" si="164"/>
        <v>-1336328.2172386732</v>
      </c>
      <c r="BE225" s="133"/>
      <c r="BF225" s="102"/>
    </row>
    <row r="226" spans="39:58">
      <c r="AM226" s="32"/>
      <c r="AN226" s="251"/>
      <c r="AP226" s="20"/>
      <c r="AQ226" s="20"/>
      <c r="AR226" s="132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133"/>
      <c r="BF226" s="102"/>
    </row>
    <row r="227" spans="39:58">
      <c r="AM227" s="32"/>
      <c r="AN227" s="251" t="s">
        <v>635</v>
      </c>
      <c r="AP227" s="17">
        <f>SUM(AS227:BD227)</f>
        <v>637584.22703898477</v>
      </c>
      <c r="AQ227" s="20"/>
      <c r="AR227" s="132"/>
      <c r="AS227" s="17">
        <f t="shared" ref="AS227" si="165">SUM(AS228:AS229)</f>
        <v>58880.785759688362</v>
      </c>
      <c r="AT227" s="17">
        <f t="shared" ref="AT227" si="166">SUM(AT228:AT229)</f>
        <v>58740.048450639377</v>
      </c>
      <c r="AU227" s="17">
        <f t="shared" ref="AU227" si="167">SUM(AU228:AU229)</f>
        <v>58833.034229954661</v>
      </c>
      <c r="AV227" s="17">
        <f t="shared" ref="AV227" si="168">SUM(AV228:AV229)</f>
        <v>58829.120381468107</v>
      </c>
      <c r="AW227" s="17">
        <f t="shared" ref="AW227" si="169">SUM(AW228:AW229)</f>
        <v>58322.292634278681</v>
      </c>
      <c r="AX227" s="17">
        <f t="shared" ref="AX227" si="170">SUM(AX228:AX229)</f>
        <v>57969.899999999994</v>
      </c>
      <c r="AY227" s="17">
        <f t="shared" ref="AY227" si="171">SUM(AY228:AY229)</f>
        <v>57735.575531380098</v>
      </c>
      <c r="AZ227" s="17">
        <f t="shared" ref="AZ227" si="172">SUM(AZ228:AZ229)</f>
        <v>57922.103867363476</v>
      </c>
      <c r="BA227" s="17">
        <f t="shared" ref="BA227" si="173">SUM(BA228:BA229)</f>
        <v>43287.680740111362</v>
      </c>
      <c r="BB227" s="17">
        <f t="shared" ref="BB227" si="174">SUM(BB228:BB229)</f>
        <v>26964.996393310335</v>
      </c>
      <c r="BC227" s="17">
        <f t="shared" ref="BC227" si="175">SUM(BC228:BC229)</f>
        <v>41701.453088024326</v>
      </c>
      <c r="BD227" s="17">
        <f t="shared" ref="BD227" si="176">SUM(BD228:BD229)</f>
        <v>58397.235962765983</v>
      </c>
      <c r="BE227" s="133"/>
      <c r="BF227" s="102"/>
    </row>
    <row r="228" spans="39:58">
      <c r="AM228" s="32"/>
      <c r="AN228" s="36" t="s">
        <v>636</v>
      </c>
      <c r="AP228" s="20">
        <f>SUM(AS228:BD228)</f>
        <v>578696.24439920508</v>
      </c>
      <c r="AQ228" s="20"/>
      <c r="AR228" s="132"/>
      <c r="AS228" s="20">
        <v>53491.600042931801</v>
      </c>
      <c r="AT228" s="20">
        <v>53478.880302721751</v>
      </c>
      <c r="AU228" s="20">
        <v>53466.128689430036</v>
      </c>
      <c r="AV228" s="20">
        <v>53453.383590157784</v>
      </c>
      <c r="AW228" s="20">
        <v>53440.4476790259</v>
      </c>
      <c r="AX228" s="20">
        <v>53427.67</v>
      </c>
      <c r="AY228" s="20">
        <v>53414.943149638559</v>
      </c>
      <c r="AZ228" s="20">
        <v>53403.642301856897</v>
      </c>
      <c r="BA228" s="20">
        <v>38325.722032579215</v>
      </c>
      <c r="BB228" s="20">
        <v>22170.487883860274</v>
      </c>
      <c r="BC228" s="20">
        <v>37226.776199430096</v>
      </c>
      <c r="BD228" s="20">
        <v>53396.562527572882</v>
      </c>
      <c r="BE228" s="133"/>
      <c r="BF228" s="102"/>
    </row>
    <row r="229" spans="39:58">
      <c r="AM229" s="32"/>
      <c r="AN229" s="36" t="s">
        <v>637</v>
      </c>
      <c r="AP229" s="20">
        <f>SUM(AS229:BD229)</f>
        <v>58887.982639779584</v>
      </c>
      <c r="AQ229" s="20"/>
      <c r="AR229" s="132"/>
      <c r="AS229" s="20">
        <v>5389.185716756564</v>
      </c>
      <c r="AT229" s="20">
        <v>5261.1681479176259</v>
      </c>
      <c r="AU229" s="20">
        <v>5366.9055405246245</v>
      </c>
      <c r="AV229" s="20">
        <v>5375.7367913103208</v>
      </c>
      <c r="AW229" s="20">
        <v>4881.8449552527845</v>
      </c>
      <c r="AX229" s="20">
        <v>4542.2299999999996</v>
      </c>
      <c r="AY229" s="20">
        <v>4320.6323817415368</v>
      </c>
      <c r="AZ229" s="20">
        <v>4518.46156550658</v>
      </c>
      <c r="BA229" s="20">
        <v>4961.9587075321506</v>
      </c>
      <c r="BB229" s="20">
        <v>4794.5085094500619</v>
      </c>
      <c r="BC229" s="20">
        <v>4474.6768885942301</v>
      </c>
      <c r="BD229" s="20">
        <v>5000.6734351930991</v>
      </c>
      <c r="BE229" s="133"/>
      <c r="BF229" s="102"/>
    </row>
    <row r="230" spans="39:58">
      <c r="AM230" s="32"/>
      <c r="AN230" s="1"/>
      <c r="AP230" s="20"/>
      <c r="AQ230" s="20"/>
      <c r="AR230" s="132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133"/>
      <c r="BF230" s="102"/>
    </row>
    <row r="231" spans="39:58">
      <c r="AM231" s="32"/>
      <c r="AN231" s="255" t="s">
        <v>576</v>
      </c>
      <c r="AO231" s="251"/>
      <c r="AP231" s="123">
        <f>AP225-AP227</f>
        <v>-2100344.0729609751</v>
      </c>
      <c r="AQ231" s="20"/>
      <c r="AR231" s="132"/>
      <c r="AS231" s="123">
        <v>-779834.52105340688</v>
      </c>
      <c r="AT231" s="123">
        <v>-965161.10057905654</v>
      </c>
      <c r="AU231" s="123">
        <v>-770111.46268918121</v>
      </c>
      <c r="AV231" s="123">
        <v>510331.19979789387</v>
      </c>
      <c r="AW231" s="123">
        <v>577725.83821146574</v>
      </c>
      <c r="AX231" s="123">
        <v>1175475.909714798</v>
      </c>
      <c r="AY231" s="123">
        <v>1785061.8181994585</v>
      </c>
      <c r="AZ231" s="123">
        <v>2298669.2962545995</v>
      </c>
      <c r="BA231" s="123">
        <v>1621578.2795735658</v>
      </c>
      <c r="BB231" s="123">
        <v>1848161.1880279996</v>
      </c>
      <c r="BC231" s="123">
        <v>1014242.3934184954</v>
      </c>
      <c r="BD231" s="123">
        <v>598979.54869803216</v>
      </c>
      <c r="BE231" s="133"/>
      <c r="BF231" s="102"/>
    </row>
    <row r="232" spans="39:58">
      <c r="AM232" s="32"/>
      <c r="AN232" s="251"/>
      <c r="AO232" s="251"/>
      <c r="AP232" s="20"/>
      <c r="AQ232" s="20"/>
      <c r="AR232" s="134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31"/>
      <c r="BF232" s="102"/>
    </row>
    <row r="233" spans="39:58" ht="15.75" thickBot="1">
      <c r="AM233" s="37"/>
      <c r="AN233" s="253"/>
      <c r="AO233" s="251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9"/>
    </row>
    <row r="234" spans="39:58">
      <c r="AM234" s="1"/>
      <c r="AN234" s="251"/>
      <c r="AO234" s="251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1"/>
    </row>
  </sheetData>
  <pageMargins left="0.7" right="0.7" top="0.75" bottom="0.75" header="0.3" footer="0.3"/>
  <pageSetup paperSize="9" scale="25" orientation="portrait" verticalDpi="0" r:id="rId1"/>
  <colBreaks count="1" manualBreakCount="1">
    <brk id="3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J86"/>
  <sheetViews>
    <sheetView tabSelected="1" view="pageBreakPreview" zoomScale="60" zoomScaleNormal="62" workbookViewId="0">
      <pane xSplit="4" topLeftCell="E1" activePane="topRight" state="frozen"/>
      <selection pane="topRight" activeCell="V29" sqref="V29"/>
    </sheetView>
  </sheetViews>
  <sheetFormatPr baseColWidth="10" defaultRowHeight="15" outlineLevelRow="1"/>
  <cols>
    <col min="3" max="3" width="37.85546875" customWidth="1"/>
    <col min="4" max="4" width="1.5703125" customWidth="1"/>
    <col min="5" max="5" width="21.42578125" customWidth="1"/>
    <col min="6" max="6" width="9.42578125" customWidth="1"/>
    <col min="7" max="7" width="16.140625" customWidth="1"/>
    <col min="8" max="8" width="14.140625" customWidth="1"/>
    <col min="9" max="9" width="14.140625" bestFit="1" customWidth="1"/>
    <col min="10" max="10" width="13.140625" customWidth="1"/>
    <col min="11" max="11" width="14.140625" customWidth="1"/>
    <col min="13" max="13" width="13.7109375" customWidth="1"/>
    <col min="15" max="15" width="12.85546875" customWidth="1"/>
    <col min="16" max="16" width="14.5703125" customWidth="1"/>
    <col min="17" max="17" width="11.140625" customWidth="1"/>
    <col min="18" max="19" width="11.42578125" style="1"/>
    <col min="25" max="25" width="20.7109375" bestFit="1" customWidth="1"/>
    <col min="28" max="28" width="13.5703125" bestFit="1" customWidth="1"/>
    <col min="29" max="29" width="13.5703125" customWidth="1"/>
    <col min="31" max="31" width="53.140625" bestFit="1" customWidth="1"/>
    <col min="32" max="32" width="53.140625" customWidth="1"/>
    <col min="33" max="33" width="35.5703125" customWidth="1"/>
    <col min="35" max="35" width="17.85546875" bestFit="1" customWidth="1"/>
  </cols>
  <sheetData>
    <row r="1" spans="2:21" ht="15.75" thickBot="1"/>
    <row r="2" spans="2:2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0"/>
    </row>
    <row r="3" spans="2:21">
      <c r="B3" s="32"/>
      <c r="C3" s="167" t="s">
        <v>527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02"/>
    </row>
    <row r="4" spans="2:21">
      <c r="B4" s="32"/>
      <c r="C4" s="1"/>
      <c r="E4" s="18" t="s">
        <v>187</v>
      </c>
      <c r="G4" s="18" t="s">
        <v>163</v>
      </c>
      <c r="H4" s="1"/>
      <c r="I4" s="87" t="s">
        <v>646</v>
      </c>
      <c r="J4" s="87"/>
      <c r="K4" s="290"/>
      <c r="L4" s="290"/>
      <c r="M4" s="290"/>
      <c r="N4" s="290"/>
      <c r="O4" s="290"/>
      <c r="P4" s="290"/>
      <c r="Q4" s="290"/>
      <c r="R4" s="102"/>
    </row>
    <row r="5" spans="2:21" ht="3.75" customHeight="1">
      <c r="B5" s="32"/>
      <c r="C5" s="1"/>
      <c r="E5" s="53"/>
      <c r="G5" s="53"/>
      <c r="H5" s="1"/>
      <c r="I5" s="101"/>
      <c r="J5" s="101"/>
      <c r="K5" s="103"/>
      <c r="L5" s="103"/>
      <c r="M5" s="103"/>
      <c r="N5" s="103"/>
      <c r="O5" s="103"/>
      <c r="P5" s="103"/>
      <c r="Q5" s="103"/>
      <c r="R5" s="102"/>
    </row>
    <row r="6" spans="2:21">
      <c r="B6" s="32"/>
      <c r="C6" s="1"/>
      <c r="D6" s="54"/>
      <c r="E6" s="135" t="s">
        <v>570</v>
      </c>
      <c r="F6" s="54"/>
      <c r="G6" s="135" t="s">
        <v>522</v>
      </c>
      <c r="H6" s="1"/>
      <c r="I6" s="129" t="s">
        <v>521</v>
      </c>
      <c r="J6" s="18"/>
      <c r="K6" s="18" t="s">
        <v>159</v>
      </c>
      <c r="L6" s="18"/>
      <c r="M6" s="18" t="s">
        <v>160</v>
      </c>
      <c r="N6" s="18"/>
      <c r="O6" s="18" t="s">
        <v>161</v>
      </c>
      <c r="P6" s="18"/>
      <c r="Q6" s="130" t="s">
        <v>162</v>
      </c>
      <c r="R6" s="127"/>
      <c r="S6" s="33"/>
    </row>
    <row r="7" spans="2:21">
      <c r="B7" s="32"/>
      <c r="C7" s="1"/>
      <c r="D7" s="1"/>
      <c r="E7" s="136"/>
      <c r="F7" s="1"/>
      <c r="G7" s="136"/>
      <c r="H7" s="1"/>
      <c r="I7" s="4"/>
      <c r="J7" s="1"/>
      <c r="K7" s="1"/>
      <c r="L7" s="1"/>
      <c r="M7" s="1"/>
      <c r="N7" s="1"/>
      <c r="O7" s="1"/>
      <c r="P7" s="1"/>
      <c r="Q7" s="25"/>
      <c r="R7" s="102"/>
    </row>
    <row r="8" spans="2:21">
      <c r="B8" s="32"/>
      <c r="C8" s="124" t="s">
        <v>517</v>
      </c>
      <c r="D8" s="125"/>
      <c r="E8" s="126">
        <f>G8+I8</f>
        <v>1774458.4918035786</v>
      </c>
      <c r="F8" s="125"/>
      <c r="G8" s="126">
        <f>SUM(G10:G13)</f>
        <v>264337.0048234869</v>
      </c>
      <c r="H8" s="1"/>
      <c r="I8" s="126">
        <f>SUM(I10:I13)</f>
        <v>1510121.4869800918</v>
      </c>
      <c r="J8" s="125"/>
      <c r="K8" s="17">
        <f>SUM(K10:K13)</f>
        <v>378442.11887974362</v>
      </c>
      <c r="L8" s="20"/>
      <c r="M8" s="17">
        <f>SUM(M10:M13)</f>
        <v>280192.49889855587</v>
      </c>
      <c r="N8" s="20"/>
      <c r="O8" s="17">
        <f>SUM(O10:O13)</f>
        <v>447846.1046410054</v>
      </c>
      <c r="P8" s="20"/>
      <c r="Q8" s="131">
        <f>SUM(Q10:Q13)</f>
        <v>403640.76456078677</v>
      </c>
      <c r="R8" s="114"/>
      <c r="S8" s="20"/>
    </row>
    <row r="9" spans="2:21">
      <c r="B9" s="32"/>
      <c r="C9" s="1"/>
      <c r="D9" s="20"/>
      <c r="E9" s="137"/>
      <c r="F9" s="20"/>
      <c r="G9" s="137"/>
      <c r="H9" s="1"/>
      <c r="I9" s="132"/>
      <c r="J9" s="20"/>
      <c r="K9" s="20"/>
      <c r="L9" s="20"/>
      <c r="M9" s="20"/>
      <c r="N9" s="20"/>
      <c r="O9" s="20"/>
      <c r="P9" s="20"/>
      <c r="Q9" s="133"/>
      <c r="R9" s="114"/>
      <c r="S9" s="20"/>
    </row>
    <row r="10" spans="2:21">
      <c r="B10" s="32"/>
      <c r="C10" s="34" t="s">
        <v>114</v>
      </c>
      <c r="D10" s="20"/>
      <c r="E10" s="137">
        <f>G10+I10</f>
        <v>62967.064774062936</v>
      </c>
      <c r="F10" s="20"/>
      <c r="G10" s="137">
        <f>N47+589</f>
        <v>1114.4033419873558</v>
      </c>
      <c r="H10" s="1"/>
      <c r="I10" s="132">
        <f>SUM(K10:Q10)</f>
        <v>61852.661432075576</v>
      </c>
      <c r="J10" s="20"/>
      <c r="K10" s="20">
        <f>N51+582</f>
        <v>13728.921215872382</v>
      </c>
      <c r="L10" s="20"/>
      <c r="M10" s="20">
        <f>N48</f>
        <v>0</v>
      </c>
      <c r="N10" s="20"/>
      <c r="O10" s="20">
        <f>N49+5366</f>
        <v>26532.79446975945</v>
      </c>
      <c r="P10" s="20"/>
      <c r="Q10" s="133">
        <f>N50+1907</f>
        <v>21590.945746443747</v>
      </c>
      <c r="R10" s="114"/>
      <c r="S10" s="20"/>
      <c r="T10" s="7"/>
      <c r="U10" s="7"/>
    </row>
    <row r="11" spans="2:21">
      <c r="B11" s="32"/>
      <c r="C11" s="34" t="s">
        <v>130</v>
      </c>
      <c r="D11" s="20"/>
      <c r="E11" s="137">
        <f t="shared" ref="E11:E13" si="0">G11+I11</f>
        <v>1283.6207251389953</v>
      </c>
      <c r="F11" s="20"/>
      <c r="G11" s="137">
        <f>'FC06'!M11</f>
        <v>1283.6207251389953</v>
      </c>
      <c r="H11" s="1"/>
      <c r="I11" s="132">
        <f t="shared" ref="I11:I13" si="1">SUM(K11:Q11)</f>
        <v>0</v>
      </c>
      <c r="J11" s="20"/>
      <c r="K11" s="20">
        <f>'FC02'!N11</f>
        <v>0</v>
      </c>
      <c r="L11" s="20"/>
      <c r="M11" s="20">
        <f>'FC03'!N11</f>
        <v>0</v>
      </c>
      <c r="N11" s="20"/>
      <c r="O11" s="20">
        <f>'FC04'!M11</f>
        <v>0</v>
      </c>
      <c r="P11" s="20"/>
      <c r="Q11" s="133">
        <f>'FC05'!M11</f>
        <v>0</v>
      </c>
      <c r="R11" s="114"/>
      <c r="S11" s="20"/>
      <c r="T11" s="7"/>
      <c r="U11" s="7"/>
    </row>
    <row r="12" spans="2:21">
      <c r="B12" s="32"/>
      <c r="C12" s="34" t="s">
        <v>112</v>
      </c>
      <c r="D12" s="20"/>
      <c r="E12" s="137">
        <f t="shared" si="0"/>
        <v>800336.11044626404</v>
      </c>
      <c r="F12" s="20"/>
      <c r="G12" s="137">
        <f>'FC06'!M12</f>
        <v>93597.888276213227</v>
      </c>
      <c r="H12" s="1"/>
      <c r="I12" s="132">
        <f t="shared" si="1"/>
        <v>706738.22217005084</v>
      </c>
      <c r="J12" s="20"/>
      <c r="K12" s="20">
        <f>'FC02'!N12</f>
        <v>103280.0168303715</v>
      </c>
      <c r="L12" s="20"/>
      <c r="M12" s="20">
        <f>'FC03'!N12</f>
        <v>159386.01920552721</v>
      </c>
      <c r="N12" s="20"/>
      <c r="O12" s="20">
        <f>'FC04'!M12</f>
        <v>261105.25842395157</v>
      </c>
      <c r="P12" s="20"/>
      <c r="Q12" s="133">
        <f>'FC05'!M12</f>
        <v>182966.92771020051</v>
      </c>
      <c r="R12" s="114"/>
      <c r="S12" s="20"/>
      <c r="T12" s="7"/>
      <c r="U12" s="7"/>
    </row>
    <row r="13" spans="2:21">
      <c r="B13" s="32"/>
      <c r="C13" s="34" t="s">
        <v>113</v>
      </c>
      <c r="D13" s="20"/>
      <c r="E13" s="137">
        <f t="shared" si="0"/>
        <v>909871.69585811277</v>
      </c>
      <c r="F13" s="20"/>
      <c r="G13" s="137">
        <f>'FC06'!M13</f>
        <v>168341.09248014732</v>
      </c>
      <c r="H13" s="1"/>
      <c r="I13" s="132">
        <f t="shared" si="1"/>
        <v>741530.6033779654</v>
      </c>
      <c r="J13" s="20"/>
      <c r="K13" s="20">
        <f>'FC02'!N13</f>
        <v>261433.18083349976</v>
      </c>
      <c r="L13" s="20"/>
      <c r="M13" s="20">
        <f>'FC03'!N13</f>
        <v>120806.47969302865</v>
      </c>
      <c r="N13" s="20"/>
      <c r="O13" s="20">
        <f>'FC04'!M13</f>
        <v>160208.0517472944</v>
      </c>
      <c r="P13" s="20"/>
      <c r="Q13" s="133">
        <f>'FC05'!M13</f>
        <v>199082.8911041425</v>
      </c>
      <c r="R13" s="114"/>
      <c r="S13" s="20"/>
      <c r="T13" s="7"/>
      <c r="U13" s="7"/>
    </row>
    <row r="14" spans="2:21">
      <c r="B14" s="32"/>
      <c r="C14" s="34"/>
      <c r="D14" s="20"/>
      <c r="E14" s="137"/>
      <c r="F14" s="20"/>
      <c r="G14" s="137"/>
      <c r="H14" s="1"/>
      <c r="I14" s="132"/>
      <c r="J14" s="20"/>
      <c r="K14" s="20"/>
      <c r="L14" s="20"/>
      <c r="M14" s="20"/>
      <c r="N14" s="20"/>
      <c r="O14" s="20"/>
      <c r="P14" s="20"/>
      <c r="Q14" s="133"/>
      <c r="R14" s="114"/>
      <c r="S14" s="20"/>
      <c r="T14" s="7"/>
      <c r="U14" s="7"/>
    </row>
    <row r="15" spans="2:21">
      <c r="B15" s="32"/>
      <c r="C15" s="34"/>
      <c r="D15" s="20"/>
      <c r="E15" s="137"/>
      <c r="F15" s="20"/>
      <c r="G15" s="137"/>
      <c r="H15" s="1"/>
      <c r="I15" s="132"/>
      <c r="J15" s="20"/>
      <c r="K15" s="20"/>
      <c r="L15" s="20"/>
      <c r="M15" s="20"/>
      <c r="N15" s="20"/>
      <c r="O15" s="20"/>
      <c r="P15" s="20"/>
      <c r="Q15" s="133"/>
      <c r="R15" s="114"/>
      <c r="S15" s="20"/>
      <c r="T15" s="7"/>
      <c r="U15" s="7"/>
    </row>
    <row r="16" spans="2:21">
      <c r="B16" s="32"/>
      <c r="C16" s="124" t="s">
        <v>518</v>
      </c>
      <c r="D16" s="125"/>
      <c r="E16" s="126">
        <f>SUM(E18:E19)</f>
        <v>1003323.8504962977</v>
      </c>
      <c r="F16" s="125"/>
      <c r="G16" s="126">
        <f>SUM(G18:G19)</f>
        <v>75020.252851939993</v>
      </c>
      <c r="H16" s="1"/>
      <c r="I16" s="126">
        <f>SUM(I18:I19)</f>
        <v>928303.59764435771</v>
      </c>
      <c r="J16" s="125"/>
      <c r="K16" s="17">
        <f>SUM(K18:K19)</f>
        <v>129669.27252853464</v>
      </c>
      <c r="L16" s="20"/>
      <c r="M16" s="17">
        <f>SUM(M18:M19)</f>
        <v>273128.69136239111</v>
      </c>
      <c r="N16" s="20"/>
      <c r="O16" s="17">
        <f>SUM(O18:O19)</f>
        <v>259250.66124761227</v>
      </c>
      <c r="P16" s="20"/>
      <c r="Q16" s="131">
        <f>SUM(Q18:Q19)</f>
        <v>266254.97250581975</v>
      </c>
      <c r="R16" s="114"/>
      <c r="S16" s="20"/>
      <c r="T16" s="7"/>
      <c r="U16" s="7"/>
    </row>
    <row r="17" spans="2:21">
      <c r="B17" s="32"/>
      <c r="C17" s="128"/>
      <c r="D17" s="20"/>
      <c r="E17" s="137"/>
      <c r="F17" s="20"/>
      <c r="G17" s="137"/>
      <c r="H17" s="1"/>
      <c r="I17" s="132"/>
      <c r="J17" s="20"/>
      <c r="K17" s="20"/>
      <c r="L17" s="20"/>
      <c r="M17" s="20"/>
      <c r="N17" s="20"/>
      <c r="O17" s="20"/>
      <c r="P17" s="20"/>
      <c r="Q17" s="133"/>
      <c r="R17" s="114"/>
      <c r="S17" s="20"/>
      <c r="T17" s="7"/>
      <c r="U17" s="7"/>
    </row>
    <row r="18" spans="2:21">
      <c r="B18" s="32"/>
      <c r="C18" s="34" t="s">
        <v>485</v>
      </c>
      <c r="D18" s="20"/>
      <c r="E18" s="137">
        <f>G18+I18</f>
        <v>851611.75351433095</v>
      </c>
      <c r="F18" s="20"/>
      <c r="G18" s="137">
        <f>'FC06'!M16</f>
        <v>60686.883439005913</v>
      </c>
      <c r="H18" s="1"/>
      <c r="I18" s="132">
        <f>SUM(K18:Q18)</f>
        <v>790924.87007532502</v>
      </c>
      <c r="J18" s="20"/>
      <c r="K18" s="20">
        <f>'FC02'!N16</f>
        <v>104905.31543988401</v>
      </c>
      <c r="L18" s="20"/>
      <c r="M18" s="20">
        <f>'FC03'!N16</f>
        <v>234363.07257945262</v>
      </c>
      <c r="N18" s="20"/>
      <c r="O18" s="20">
        <f>'FC04'!M16</f>
        <v>221055.33289529648</v>
      </c>
      <c r="P18" s="20"/>
      <c r="Q18" s="133">
        <f>'FC05'!M16</f>
        <v>230601.14916069194</v>
      </c>
      <c r="R18" s="114"/>
      <c r="S18" s="20"/>
      <c r="T18" s="7"/>
      <c r="U18" s="7"/>
    </row>
    <row r="19" spans="2:21">
      <c r="B19" s="32"/>
      <c r="C19" s="34" t="s">
        <v>486</v>
      </c>
      <c r="D19" s="20"/>
      <c r="E19" s="137">
        <f>G19+I19</f>
        <v>151712.09698196681</v>
      </c>
      <c r="F19" s="20"/>
      <c r="G19" s="137">
        <f>'FC06'!M17</f>
        <v>14333.36941293408</v>
      </c>
      <c r="H19" s="1"/>
      <c r="I19" s="132">
        <f>SUM(K19:Q19)</f>
        <v>137378.72756903272</v>
      </c>
      <c r="J19" s="20"/>
      <c r="K19" s="20">
        <f>'FC02'!N17</f>
        <v>24763.95708865063</v>
      </c>
      <c r="L19" s="20"/>
      <c r="M19" s="20">
        <f>'FC03'!N17</f>
        <v>38765.618782938516</v>
      </c>
      <c r="N19" s="20"/>
      <c r="O19" s="20">
        <f>'FC04'!M17</f>
        <v>38195.328352315781</v>
      </c>
      <c r="P19" s="20"/>
      <c r="Q19" s="133">
        <f>'FC05'!M17</f>
        <v>35653.823345127807</v>
      </c>
      <c r="R19" s="114"/>
      <c r="S19" s="20"/>
      <c r="T19" s="7"/>
      <c r="U19" s="7"/>
    </row>
    <row r="20" spans="2:21">
      <c r="B20" s="32"/>
      <c r="C20" s="34"/>
      <c r="D20" s="20"/>
      <c r="E20" s="137"/>
      <c r="F20" s="20"/>
      <c r="G20" s="137"/>
      <c r="H20" s="1"/>
      <c r="I20" s="132"/>
      <c r="J20" s="20"/>
      <c r="K20" s="20"/>
      <c r="L20" s="20"/>
      <c r="M20" s="20"/>
      <c r="N20" s="20"/>
      <c r="O20" s="20"/>
      <c r="P20" s="20"/>
      <c r="Q20" s="133"/>
      <c r="R20" s="114"/>
      <c r="S20" s="20"/>
      <c r="T20" s="7"/>
      <c r="U20" s="7"/>
    </row>
    <row r="21" spans="2:21">
      <c r="B21" s="32"/>
      <c r="C21" s="34"/>
      <c r="D21" s="20"/>
      <c r="E21" s="137"/>
      <c r="F21" s="20"/>
      <c r="G21" s="137"/>
      <c r="H21" s="1"/>
      <c r="I21" s="132"/>
      <c r="J21" s="20"/>
      <c r="K21" s="20"/>
      <c r="L21" s="20"/>
      <c r="M21" s="20"/>
      <c r="N21" s="20"/>
      <c r="O21" s="20"/>
      <c r="P21" s="20"/>
      <c r="Q21" s="133"/>
      <c r="R21" s="114"/>
      <c r="S21" s="20"/>
      <c r="T21" s="7"/>
      <c r="U21" s="7"/>
    </row>
    <row r="22" spans="2:21">
      <c r="B22" s="32"/>
      <c r="C22" s="124" t="s">
        <v>519</v>
      </c>
      <c r="D22" s="125"/>
      <c r="E22" s="126">
        <f>SUM(E24:E34)</f>
        <v>1057073.4588730661</v>
      </c>
      <c r="F22" s="125"/>
      <c r="G22" s="126">
        <f>SUM(G24:G34)</f>
        <v>134708.98092405446</v>
      </c>
      <c r="H22" s="1"/>
      <c r="I22" s="126">
        <f>SUM(I24:I34)</f>
        <v>922364.47794901184</v>
      </c>
      <c r="J22" s="125"/>
      <c r="K22" s="17">
        <f>SUM(K24:K34)</f>
        <v>217235.28371524354</v>
      </c>
      <c r="L22" s="20"/>
      <c r="M22" s="17">
        <f>SUM(M24:M34)</f>
        <v>209976.14914087355</v>
      </c>
      <c r="N22" s="20"/>
      <c r="O22" s="17">
        <f>SUM(O24:O34)</f>
        <v>246119.90877450805</v>
      </c>
      <c r="P22" s="20"/>
      <c r="Q22" s="131">
        <f>SUM(Q24:Q34)</f>
        <v>249033.13631838674</v>
      </c>
      <c r="R22" s="114"/>
      <c r="S22" s="20"/>
      <c r="T22" s="7"/>
      <c r="U22" s="7"/>
    </row>
    <row r="23" spans="2:21">
      <c r="B23" s="32"/>
      <c r="C23" s="34"/>
      <c r="D23" s="20"/>
      <c r="E23" s="137"/>
      <c r="F23" s="20"/>
      <c r="G23" s="137"/>
      <c r="H23" s="1"/>
      <c r="I23" s="132"/>
      <c r="J23" s="20"/>
      <c r="K23" s="20"/>
      <c r="L23" s="20"/>
      <c r="M23" s="20"/>
      <c r="N23" s="20"/>
      <c r="O23" s="20"/>
      <c r="P23" s="20"/>
      <c r="Q23" s="133"/>
      <c r="R23" s="114"/>
      <c r="S23" s="20"/>
      <c r="T23" s="7"/>
      <c r="U23" s="7"/>
    </row>
    <row r="24" spans="2:21">
      <c r="B24" s="32"/>
      <c r="C24" s="34" t="s">
        <v>110</v>
      </c>
      <c r="D24" s="20"/>
      <c r="E24" s="137">
        <f>G24+I24</f>
        <v>223348.41917991574</v>
      </c>
      <c r="F24" s="20"/>
      <c r="G24" s="137">
        <f>'FC06'!M20</f>
        <v>19660.732334589004</v>
      </c>
      <c r="H24" s="1"/>
      <c r="I24" s="132">
        <f>SUM(K24:Q24)</f>
        <v>203687.68684532674</v>
      </c>
      <c r="J24" s="20"/>
      <c r="K24" s="20">
        <f>'FC02'!N20</f>
        <v>64501.147178854713</v>
      </c>
      <c r="L24" s="20"/>
      <c r="M24" s="20">
        <f>'FC03'!N20</f>
        <v>45451.643933977379</v>
      </c>
      <c r="N24" s="20"/>
      <c r="O24" s="20">
        <f>'FC04'!M20</f>
        <v>47039.196166821908</v>
      </c>
      <c r="P24" s="20"/>
      <c r="Q24" s="133">
        <f>'FC05'!M20</f>
        <v>46695.699565672752</v>
      </c>
      <c r="R24" s="114"/>
      <c r="S24" s="20"/>
      <c r="T24" s="7"/>
      <c r="U24" s="7"/>
    </row>
    <row r="25" spans="2:21">
      <c r="B25" s="32"/>
      <c r="C25" s="34" t="s">
        <v>123</v>
      </c>
      <c r="D25" s="20"/>
      <c r="E25" s="137">
        <f t="shared" ref="E25:E34" si="2">G25+I25</f>
        <v>2089.9083324059352</v>
      </c>
      <c r="F25" s="20"/>
      <c r="G25" s="137">
        <f>'FC06'!M21</f>
        <v>97.567371031942642</v>
      </c>
      <c r="H25" s="1"/>
      <c r="I25" s="132">
        <f t="shared" ref="I25:I34" si="3">SUM(K25:Q25)</f>
        <v>1992.3409613739925</v>
      </c>
      <c r="J25" s="20"/>
      <c r="K25" s="20">
        <f>'FC02'!N21</f>
        <v>561.29441411555945</v>
      </c>
      <c r="L25" s="20"/>
      <c r="M25" s="20">
        <f>'FC03'!N21</f>
        <v>614.75371099020208</v>
      </c>
      <c r="N25" s="20"/>
      <c r="O25" s="20">
        <f>'FC04'!M21</f>
        <v>342.09407019057653</v>
      </c>
      <c r="P25" s="20"/>
      <c r="Q25" s="133">
        <f>'FC05'!M21</f>
        <v>474.19876607765451</v>
      </c>
      <c r="R25" s="114"/>
      <c r="S25" s="20"/>
      <c r="T25" s="7"/>
      <c r="U25" s="7"/>
    </row>
    <row r="26" spans="2:21">
      <c r="B26" s="32"/>
      <c r="C26" s="34" t="s">
        <v>111</v>
      </c>
      <c r="D26" s="20"/>
      <c r="E26" s="137">
        <f t="shared" si="2"/>
        <v>66844.82366984422</v>
      </c>
      <c r="F26" s="20"/>
      <c r="G26" s="137">
        <f>'FC06'!M22</f>
        <v>4229.8092710345345</v>
      </c>
      <c r="H26" s="1"/>
      <c r="I26" s="132">
        <f t="shared" si="3"/>
        <v>62615.014398809682</v>
      </c>
      <c r="J26" s="20"/>
      <c r="K26" s="20">
        <f>'FC02'!N22</f>
        <v>29476.514466649493</v>
      </c>
      <c r="L26" s="20"/>
      <c r="M26" s="20">
        <f>'FC03'!N22</f>
        <v>11859.658483711584</v>
      </c>
      <c r="N26" s="20"/>
      <c r="O26" s="20">
        <f>'FC04'!M22</f>
        <v>12845.070637252136</v>
      </c>
      <c r="P26" s="20"/>
      <c r="Q26" s="133">
        <f>'FC05'!M22</f>
        <v>8433.7708111964657</v>
      </c>
      <c r="R26" s="114"/>
      <c r="S26" s="20"/>
      <c r="T26" s="7"/>
      <c r="U26" s="7"/>
    </row>
    <row r="27" spans="2:21">
      <c r="B27" s="32"/>
      <c r="C27" s="34" t="s">
        <v>118</v>
      </c>
      <c r="D27" s="20"/>
      <c r="E27" s="137">
        <f t="shared" si="2"/>
        <v>38860.30944101519</v>
      </c>
      <c r="F27" s="20"/>
      <c r="G27" s="137">
        <f>'FC06'!M23</f>
        <v>3359.1607376703046</v>
      </c>
      <c r="H27" s="1"/>
      <c r="I27" s="132">
        <f t="shared" si="3"/>
        <v>35501.148703344887</v>
      </c>
      <c r="J27" s="20"/>
      <c r="K27" s="20">
        <f>'FC02'!N23</f>
        <v>7584.0733462711732</v>
      </c>
      <c r="L27" s="20"/>
      <c r="M27" s="20">
        <f>'FC03'!N23</f>
        <v>7551.702321950982</v>
      </c>
      <c r="N27" s="20"/>
      <c r="O27" s="20">
        <f>'FC04'!M23</f>
        <v>10599.626195009734</v>
      </c>
      <c r="P27" s="20"/>
      <c r="Q27" s="133">
        <f>'FC05'!M23</f>
        <v>9765.7468401129954</v>
      </c>
      <c r="R27" s="114"/>
      <c r="S27" s="20"/>
      <c r="T27" s="7"/>
      <c r="U27" s="7"/>
    </row>
    <row r="28" spans="2:21">
      <c r="B28" s="32"/>
      <c r="C28" s="34" t="s">
        <v>119</v>
      </c>
      <c r="D28" s="20"/>
      <c r="E28" s="137">
        <f t="shared" si="2"/>
        <v>246028.77627649371</v>
      </c>
      <c r="F28" s="20"/>
      <c r="G28" s="137">
        <f>'FC06'!M24</f>
        <v>26224.572647292429</v>
      </c>
      <c r="H28" s="1"/>
      <c r="I28" s="132">
        <f t="shared" si="3"/>
        <v>219804.20362920128</v>
      </c>
      <c r="J28" s="20"/>
      <c r="K28" s="20">
        <f>'FC02'!N24</f>
        <v>51619.55737952335</v>
      </c>
      <c r="L28" s="20"/>
      <c r="M28" s="20">
        <f>'FC03'!N24</f>
        <v>59043.934282277653</v>
      </c>
      <c r="N28" s="20"/>
      <c r="O28" s="20">
        <f>'FC04'!M24</f>
        <v>53497.520416734631</v>
      </c>
      <c r="P28" s="20"/>
      <c r="Q28" s="133">
        <f>'FC05'!M24</f>
        <v>55643.191550665666</v>
      </c>
      <c r="R28" s="114"/>
      <c r="S28" s="20"/>
      <c r="T28" s="7"/>
      <c r="U28" s="7"/>
    </row>
    <row r="29" spans="2:21">
      <c r="B29" s="32"/>
      <c r="C29" s="34" t="s">
        <v>120</v>
      </c>
      <c r="D29" s="20"/>
      <c r="E29" s="137">
        <f t="shared" si="2"/>
        <v>39008.055406070824</v>
      </c>
      <c r="F29" s="20"/>
      <c r="G29" s="137">
        <f>'FC06'!M25</f>
        <v>1363.5497448765698</v>
      </c>
      <c r="H29" s="1"/>
      <c r="I29" s="132">
        <f t="shared" si="3"/>
        <v>37644.505661194256</v>
      </c>
      <c r="J29" s="20"/>
      <c r="K29" s="20">
        <f>'FC02'!N25</f>
        <v>11191.677198352942</v>
      </c>
      <c r="L29" s="20"/>
      <c r="M29" s="20">
        <f>'FC03'!N25</f>
        <v>7346.8657244301075</v>
      </c>
      <c r="N29" s="20"/>
      <c r="O29" s="20">
        <f>'FC04'!M25</f>
        <v>10965.647138455723</v>
      </c>
      <c r="P29" s="20"/>
      <c r="Q29" s="133">
        <f>'FC05'!M25</f>
        <v>8140.3155999554847</v>
      </c>
      <c r="R29" s="114"/>
      <c r="S29" s="20"/>
      <c r="T29" s="7"/>
      <c r="U29" s="7"/>
    </row>
    <row r="30" spans="2:21">
      <c r="B30" s="32"/>
      <c r="C30" s="34" t="s">
        <v>514</v>
      </c>
      <c r="D30" s="20"/>
      <c r="E30" s="137">
        <f t="shared" si="2"/>
        <v>0</v>
      </c>
      <c r="F30" s="20"/>
      <c r="G30" s="137">
        <f>'FC06'!M26</f>
        <v>0</v>
      </c>
      <c r="H30" s="1"/>
      <c r="I30" s="132">
        <f t="shared" si="3"/>
        <v>0</v>
      </c>
      <c r="J30" s="20"/>
      <c r="K30" s="20">
        <f>'FC02'!N26</f>
        <v>0</v>
      </c>
      <c r="L30" s="20"/>
      <c r="M30" s="20">
        <f>'FC03'!N26</f>
        <v>0</v>
      </c>
      <c r="N30" s="20"/>
      <c r="O30" s="20">
        <f>'FC04'!M26</f>
        <v>0</v>
      </c>
      <c r="P30" s="20"/>
      <c r="Q30" s="133">
        <f>'FC05'!M26</f>
        <v>0</v>
      </c>
      <c r="R30" s="114"/>
      <c r="S30" s="20"/>
      <c r="T30" s="7"/>
      <c r="U30" s="7"/>
    </row>
    <row r="31" spans="2:21">
      <c r="B31" s="32"/>
      <c r="C31" s="34" t="s">
        <v>515</v>
      </c>
      <c r="D31" s="20"/>
      <c r="E31" s="137">
        <f t="shared" si="2"/>
        <v>341853.89570048032</v>
      </c>
      <c r="F31" s="20"/>
      <c r="G31" s="137">
        <f>'FC06'!M27-N47</f>
        <v>70334.319170311472</v>
      </c>
      <c r="H31" s="1"/>
      <c r="I31" s="132">
        <f t="shared" si="3"/>
        <v>271519.57653016888</v>
      </c>
      <c r="J31" s="20"/>
      <c r="K31" s="20">
        <f>'FC02'!N27-N51</f>
        <v>25703.290002241003</v>
      </c>
      <c r="L31" s="20"/>
      <c r="M31" s="20">
        <f>'FC03'!N27-N48+34+5132</f>
        <v>66392.795353963753</v>
      </c>
      <c r="N31" s="20"/>
      <c r="O31" s="20">
        <f>'FC04'!M27-N49</f>
        <v>76743.945106157873</v>
      </c>
      <c r="P31" s="20"/>
      <c r="Q31" s="133">
        <f>'FC05'!M27-N50</f>
        <v>102679.54606780628</v>
      </c>
      <c r="R31" s="114"/>
      <c r="S31" s="20"/>
      <c r="T31" s="7"/>
      <c r="U31" s="7"/>
    </row>
    <row r="32" spans="2:21">
      <c r="B32" s="32"/>
      <c r="C32" s="34" t="s">
        <v>131</v>
      </c>
      <c r="D32" s="20"/>
      <c r="E32" s="137">
        <f t="shared" si="2"/>
        <v>0</v>
      </c>
      <c r="F32" s="20"/>
      <c r="G32" s="137">
        <f>'FC06'!M28</f>
        <v>0</v>
      </c>
      <c r="H32" s="1"/>
      <c r="I32" s="132">
        <f t="shared" si="3"/>
        <v>0</v>
      </c>
      <c r="J32" s="20"/>
      <c r="K32" s="20">
        <f>'FC02'!N28</f>
        <v>0</v>
      </c>
      <c r="L32" s="20"/>
      <c r="M32" s="20">
        <f>'FC03'!N28</f>
        <v>0</v>
      </c>
      <c r="N32" s="20"/>
      <c r="O32" s="20">
        <f>'FC04'!M28</f>
        <v>0</v>
      </c>
      <c r="P32" s="20"/>
      <c r="Q32" s="133">
        <f>'FC05'!M28</f>
        <v>0</v>
      </c>
      <c r="R32" s="114"/>
      <c r="S32" s="20"/>
      <c r="T32" s="7"/>
      <c r="U32" s="7"/>
    </row>
    <row r="33" spans="2:21">
      <c r="B33" s="32"/>
      <c r="C33" s="34" t="s">
        <v>117</v>
      </c>
      <c r="D33" s="20"/>
      <c r="E33" s="137">
        <f t="shared" si="2"/>
        <v>97499.535792742521</v>
      </c>
      <c r="F33" s="20"/>
      <c r="G33" s="137">
        <f>'FC06'!M29</f>
        <v>7899.5345731503739</v>
      </c>
      <c r="H33" s="1"/>
      <c r="I33" s="132">
        <f t="shared" si="3"/>
        <v>89600.001219592144</v>
      </c>
      <c r="J33" s="20"/>
      <c r="K33" s="20">
        <f>'FC02'!N29</f>
        <v>26597.7297292353</v>
      </c>
      <c r="L33" s="20"/>
      <c r="M33" s="20">
        <f>'FC03'!N29</f>
        <v>11714.795329571907</v>
      </c>
      <c r="N33" s="20"/>
      <c r="O33" s="20">
        <f>'FC04'!M29</f>
        <v>34086.8090438855</v>
      </c>
      <c r="P33" s="20"/>
      <c r="Q33" s="133">
        <f>'FC05'!M29</f>
        <v>17200.667116899433</v>
      </c>
      <c r="R33" s="114"/>
      <c r="S33" s="20"/>
      <c r="T33" s="7"/>
      <c r="U33" s="7"/>
    </row>
    <row r="34" spans="2:21">
      <c r="B34" s="32"/>
      <c r="C34" s="34" t="s">
        <v>516</v>
      </c>
      <c r="D34" s="20"/>
      <c r="E34" s="137">
        <f t="shared" si="2"/>
        <v>1539.7350740978447</v>
      </c>
      <c r="F34" s="20"/>
      <c r="G34" s="137">
        <f>'FC06'!M30</f>
        <v>1539.7350740978447</v>
      </c>
      <c r="H34" s="1"/>
      <c r="I34" s="134">
        <f t="shared" si="3"/>
        <v>0</v>
      </c>
      <c r="J34" s="17"/>
      <c r="K34" s="17">
        <f>'FC02'!N30</f>
        <v>0</v>
      </c>
      <c r="L34" s="17"/>
      <c r="M34" s="17"/>
      <c r="N34" s="17"/>
      <c r="O34" s="17"/>
      <c r="P34" s="17"/>
      <c r="Q34" s="131"/>
      <c r="R34" s="114"/>
      <c r="S34" s="20"/>
      <c r="T34" s="7"/>
      <c r="U34" s="7"/>
    </row>
    <row r="35" spans="2:21">
      <c r="B35" s="32"/>
      <c r="C35" s="1"/>
      <c r="D35" s="20"/>
      <c r="E35" s="20"/>
      <c r="F35" s="20"/>
      <c r="G35" s="20"/>
      <c r="H35" s="1"/>
      <c r="I35" s="20"/>
      <c r="J35" s="20"/>
      <c r="K35" s="20"/>
      <c r="L35" s="20"/>
      <c r="M35" s="20"/>
      <c r="N35" s="20"/>
      <c r="O35" s="20"/>
      <c r="P35" s="20"/>
      <c r="Q35" s="20"/>
      <c r="R35" s="114"/>
      <c r="S35" s="20"/>
      <c r="T35" s="7"/>
      <c r="U35" s="7"/>
    </row>
    <row r="36" spans="2:21">
      <c r="B36" s="32"/>
      <c r="C36" s="124" t="s">
        <v>520</v>
      </c>
      <c r="D36" s="125"/>
      <c r="E36" s="126">
        <f>E22+E16+E8</f>
        <v>3834855.8011729424</v>
      </c>
      <c r="F36" s="125"/>
      <c r="G36" s="126">
        <f>G22+G16+G8</f>
        <v>474066.23859948135</v>
      </c>
      <c r="H36" s="1"/>
      <c r="I36" s="323">
        <f>I22+I16+I8</f>
        <v>3360789.5625734613</v>
      </c>
      <c r="J36" s="324"/>
      <c r="K36" s="149">
        <f>K22+K16+K8</f>
        <v>725346.67512352183</v>
      </c>
      <c r="L36" s="149"/>
      <c r="M36" s="149">
        <f>M22+M16+M8</f>
        <v>763297.33940182056</v>
      </c>
      <c r="N36" s="149"/>
      <c r="O36" s="149">
        <f>O22+O16+O8</f>
        <v>953216.67466312577</v>
      </c>
      <c r="P36" s="149"/>
      <c r="Q36" s="325">
        <f>Q22+Q16+Q8</f>
        <v>918928.87338499329</v>
      </c>
      <c r="R36" s="114"/>
      <c r="S36" s="20"/>
      <c r="T36" s="7"/>
      <c r="U36" s="7"/>
    </row>
    <row r="37" spans="2:21" ht="5.25" customHeight="1" thickBot="1">
      <c r="B37" s="37"/>
      <c r="C37" s="38"/>
      <c r="D37" s="38"/>
      <c r="E37" s="107"/>
      <c r="F37" s="38"/>
      <c r="G37" s="107"/>
      <c r="H37" s="38"/>
      <c r="I37" s="38"/>
      <c r="J37" s="38"/>
      <c r="K37" s="107"/>
      <c r="L37" s="107"/>
      <c r="M37" s="107"/>
      <c r="N37" s="107"/>
      <c r="O37" s="107"/>
      <c r="P37" s="107"/>
      <c r="Q37" s="107"/>
      <c r="R37" s="116"/>
      <c r="S37" s="20"/>
      <c r="T37" s="7"/>
      <c r="U37" s="7"/>
    </row>
    <row r="38" spans="2:21">
      <c r="E38" s="7"/>
      <c r="G38" s="7"/>
      <c r="K38" s="7"/>
      <c r="L38" s="7"/>
      <c r="M38" s="7"/>
      <c r="N38" s="7"/>
      <c r="O38" s="7"/>
      <c r="P38" s="7"/>
      <c r="Q38" s="7"/>
      <c r="R38" s="20"/>
      <c r="S38" s="20"/>
      <c r="T38" s="7"/>
      <c r="U38" s="7"/>
    </row>
    <row r="39" spans="2:21">
      <c r="E39" s="7"/>
      <c r="G39" s="7"/>
      <c r="K39" s="7"/>
      <c r="L39" s="7"/>
      <c r="M39" s="7"/>
      <c r="N39" s="7"/>
      <c r="O39" s="7"/>
      <c r="P39" s="7"/>
      <c r="Q39" s="7"/>
      <c r="R39" s="20"/>
      <c r="S39" s="20"/>
      <c r="T39" s="7"/>
      <c r="U39" s="7"/>
    </row>
    <row r="40" spans="2:21" ht="15.75" outlineLevel="1" thickBot="1">
      <c r="E40" s="7"/>
      <c r="G40" s="7"/>
      <c r="K40" s="7"/>
      <c r="L40" s="7"/>
      <c r="M40" s="7"/>
      <c r="N40" s="7"/>
      <c r="O40" s="7"/>
      <c r="P40" s="7"/>
      <c r="Q40" s="7"/>
      <c r="R40" s="20"/>
      <c r="S40" s="20"/>
      <c r="T40" s="7"/>
      <c r="U40" s="7"/>
    </row>
    <row r="41" spans="2:21" outlineLevel="1">
      <c r="E41" s="29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100"/>
    </row>
    <row r="42" spans="2:21" outlineLevel="1">
      <c r="E42" s="32"/>
      <c r="F42" s="1"/>
      <c r="G42" s="1"/>
      <c r="H42" s="177" t="s">
        <v>598</v>
      </c>
      <c r="I42" s="205"/>
      <c r="J42" s="205"/>
      <c r="K42" s="205"/>
      <c r="L42" s="205"/>
      <c r="M42" s="205"/>
      <c r="N42" s="205"/>
      <c r="O42" s="205"/>
      <c r="P42" s="206"/>
      <c r="Q42" s="1"/>
      <c r="R42" s="102"/>
    </row>
    <row r="43" spans="2:21" outlineLevel="1">
      <c r="E43" s="3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02"/>
    </row>
    <row r="44" spans="2:21" outlineLevel="1">
      <c r="E44" s="32"/>
      <c r="F44" s="1"/>
      <c r="G44" s="103" t="s">
        <v>595</v>
      </c>
      <c r="H44" s="103"/>
      <c r="I44" s="1"/>
      <c r="J44" s="103" t="s">
        <v>596</v>
      </c>
      <c r="K44" s="103"/>
      <c r="L44" s="1"/>
      <c r="M44" s="103" t="s">
        <v>597</v>
      </c>
      <c r="N44" s="103"/>
      <c r="O44" s="1"/>
      <c r="P44" s="103" t="s">
        <v>544</v>
      </c>
      <c r="Q44" s="103"/>
      <c r="R44" s="102"/>
    </row>
    <row r="45" spans="2:21" outlineLevel="1">
      <c r="E45" s="32"/>
      <c r="F45" s="1"/>
      <c r="G45" s="246" t="s">
        <v>135</v>
      </c>
      <c r="H45" s="246" t="s">
        <v>136</v>
      </c>
      <c r="I45" s="33"/>
      <c r="J45" s="246" t="s">
        <v>135</v>
      </c>
      <c r="K45" s="246" t="s">
        <v>136</v>
      </c>
      <c r="L45" s="33"/>
      <c r="M45" s="246" t="s">
        <v>135</v>
      </c>
      <c r="N45" s="246" t="s">
        <v>136</v>
      </c>
      <c r="O45" s="33"/>
      <c r="P45" s="246" t="s">
        <v>135</v>
      </c>
      <c r="Q45" s="246" t="s">
        <v>136</v>
      </c>
      <c r="R45" s="102"/>
    </row>
    <row r="46" spans="2:21" outlineLevel="1">
      <c r="E46" s="3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02"/>
    </row>
    <row r="47" spans="2:21" outlineLevel="1">
      <c r="E47" s="32" t="s">
        <v>186</v>
      </c>
      <c r="F47" s="1"/>
      <c r="G47" s="386">
        <v>43903490</v>
      </c>
      <c r="H47" s="248">
        <f>G47/655.957</f>
        <v>66930.439037924749</v>
      </c>
      <c r="I47" s="245"/>
      <c r="J47" s="387">
        <v>2050231</v>
      </c>
      <c r="K47" s="248">
        <f>J47/655.957</f>
        <v>3125.5570105967313</v>
      </c>
      <c r="L47" s="245"/>
      <c r="M47" s="388">
        <v>344642</v>
      </c>
      <c r="N47" s="248">
        <f>M47/655.957</f>
        <v>525.40334198735593</v>
      </c>
      <c r="O47" s="245"/>
      <c r="P47" s="248">
        <f>M47+J47+G47</f>
        <v>46298363</v>
      </c>
      <c r="Q47" s="248">
        <f>P47/655.957</f>
        <v>70581.399390508828</v>
      </c>
      <c r="R47" s="102"/>
    </row>
    <row r="48" spans="2:21" outlineLevel="1">
      <c r="E48" s="32" t="s">
        <v>445</v>
      </c>
      <c r="F48" s="1"/>
      <c r="G48" s="386">
        <v>19315287</v>
      </c>
      <c r="H48" s="248">
        <f t="shared" ref="H48:H51" si="4">G48/655.957</f>
        <v>29445.965208085287</v>
      </c>
      <c r="I48" s="245"/>
      <c r="J48" s="387">
        <v>20846858</v>
      </c>
      <c r="K48" s="248">
        <f t="shared" ref="K48:K51" si="5">J48/655.957</f>
        <v>31780.830145878466</v>
      </c>
      <c r="L48" s="245"/>
      <c r="M48" s="388">
        <v>0</v>
      </c>
      <c r="N48" s="248">
        <f t="shared" ref="N48:N51" si="6">M48/655.957</f>
        <v>0</v>
      </c>
      <c r="O48" s="245"/>
      <c r="P48" s="248">
        <f t="shared" ref="P48:P51" si="7">M48+J48+G48</f>
        <v>40162145</v>
      </c>
      <c r="Q48" s="248">
        <f t="shared" ref="Q48:Q51" si="8">P48/655.957</f>
        <v>61226.795353963753</v>
      </c>
      <c r="R48" s="102"/>
    </row>
    <row r="49" spans="5:18" outlineLevel="1">
      <c r="E49" s="32" t="s">
        <v>446</v>
      </c>
      <c r="F49" s="1"/>
      <c r="G49" s="386">
        <v>37302692</v>
      </c>
      <c r="H49" s="248">
        <f t="shared" si="4"/>
        <v>56867.587357098106</v>
      </c>
      <c r="I49" s="245"/>
      <c r="J49" s="387">
        <v>13038040</v>
      </c>
      <c r="K49" s="248">
        <f t="shared" si="5"/>
        <v>19876.363847020461</v>
      </c>
      <c r="L49" s="245"/>
      <c r="M49" s="388">
        <v>13884507</v>
      </c>
      <c r="N49" s="248">
        <f t="shared" si="6"/>
        <v>21166.79446975945</v>
      </c>
      <c r="O49" s="245"/>
      <c r="P49" s="248">
        <f t="shared" si="7"/>
        <v>64225239</v>
      </c>
      <c r="Q49" s="248">
        <f t="shared" si="8"/>
        <v>97910.745673878017</v>
      </c>
      <c r="R49" s="102"/>
    </row>
    <row r="50" spans="5:18" outlineLevel="1">
      <c r="E50" s="32" t="s">
        <v>444</v>
      </c>
      <c r="F50" s="1"/>
      <c r="G50" s="386">
        <v>59996451</v>
      </c>
      <c r="H50" s="248">
        <f t="shared" si="4"/>
        <v>91463.999926824472</v>
      </c>
      <c r="I50" s="245"/>
      <c r="J50" s="387">
        <v>7356919</v>
      </c>
      <c r="K50" s="248">
        <f t="shared" si="5"/>
        <v>11215.55071445232</v>
      </c>
      <c r="L50" s="245"/>
      <c r="M50" s="388">
        <v>12911822</v>
      </c>
      <c r="N50" s="248">
        <f t="shared" si="6"/>
        <v>19683.945746443747</v>
      </c>
      <c r="O50" s="245"/>
      <c r="P50" s="248">
        <f t="shared" si="7"/>
        <v>80265192</v>
      </c>
      <c r="Q50" s="248">
        <f t="shared" si="8"/>
        <v>122363.49638772054</v>
      </c>
      <c r="R50" s="102"/>
    </row>
    <row r="51" spans="5:18" outlineLevel="1">
      <c r="E51" s="32" t="s">
        <v>433</v>
      </c>
      <c r="F51" s="1"/>
      <c r="G51" s="386">
        <v>0</v>
      </c>
      <c r="H51" s="248">
        <f t="shared" si="4"/>
        <v>0</v>
      </c>
      <c r="I51" s="245"/>
      <c r="J51" s="387">
        <v>16860253</v>
      </c>
      <c r="K51" s="248">
        <f t="shared" si="5"/>
        <v>25703.290002240999</v>
      </c>
      <c r="L51" s="245"/>
      <c r="M51" s="388">
        <v>8623815</v>
      </c>
      <c r="N51" s="248">
        <f t="shared" si="6"/>
        <v>13146.921215872382</v>
      </c>
      <c r="O51" s="245"/>
      <c r="P51" s="248">
        <f t="shared" si="7"/>
        <v>25484068</v>
      </c>
      <c r="Q51" s="248">
        <f t="shared" si="8"/>
        <v>38850.211218113385</v>
      </c>
      <c r="R51" s="102"/>
    </row>
    <row r="52" spans="5:18" outlineLevel="1">
      <c r="E52" s="32"/>
      <c r="F52" s="1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102"/>
    </row>
    <row r="53" spans="5:18" outlineLevel="1">
      <c r="E53" s="32"/>
      <c r="F53" s="1"/>
      <c r="G53" s="247">
        <f>SUM(G47:G51)</f>
        <v>160517920</v>
      </c>
      <c r="H53" s="247">
        <f>SUM(H47:H51)</f>
        <v>244707.99152993259</v>
      </c>
      <c r="I53" s="245"/>
      <c r="J53" s="247">
        <f>SUM(J47:J51)</f>
        <v>60152301</v>
      </c>
      <c r="K53" s="247">
        <f>SUM(K47:K51)</f>
        <v>91701.591720188982</v>
      </c>
      <c r="L53" s="245"/>
      <c r="M53" s="247">
        <f>SUM(M47:M51)</f>
        <v>35764786</v>
      </c>
      <c r="N53" s="247">
        <f>SUM(N47:N51)</f>
        <v>54523.064774062936</v>
      </c>
      <c r="O53" s="245"/>
      <c r="P53" s="247">
        <f>SUM(P47:P51)</f>
        <v>256435007</v>
      </c>
      <c r="Q53" s="247">
        <f>SUM(Q47:Q51)</f>
        <v>390932.64802418445</v>
      </c>
      <c r="R53" s="102"/>
    </row>
    <row r="54" spans="5:18" outlineLevel="1">
      <c r="E54" s="3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02"/>
    </row>
    <row r="55" spans="5:18" outlineLevel="1">
      <c r="E55" s="3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02"/>
    </row>
    <row r="56" spans="5:18" ht="15.75" outlineLevel="1" thickBot="1">
      <c r="E56" s="269" t="s">
        <v>645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109"/>
    </row>
    <row r="57" spans="5:18" outlineLevel="1"/>
    <row r="60" spans="5:18">
      <c r="Q60" s="7"/>
    </row>
    <row r="62" spans="5:18">
      <c r="G62" s="7"/>
      <c r="H62" s="7"/>
      <c r="I62" s="7"/>
      <c r="J62" s="7"/>
      <c r="K62" s="7"/>
      <c r="L62" s="7"/>
      <c r="M62" s="7"/>
      <c r="N62" s="7"/>
      <c r="O62" s="7"/>
    </row>
    <row r="63" spans="5:18">
      <c r="G63" s="7"/>
      <c r="H63" s="7"/>
      <c r="I63" s="7"/>
      <c r="J63" s="7"/>
      <c r="K63" s="7"/>
      <c r="L63" s="7"/>
      <c r="M63" s="7"/>
      <c r="N63" s="7"/>
      <c r="O63" s="7"/>
      <c r="Q63" s="7"/>
    </row>
    <row r="64" spans="5:18">
      <c r="G64" s="7"/>
      <c r="H64" s="7"/>
      <c r="I64" s="7"/>
      <c r="J64" s="7"/>
      <c r="K64" s="7"/>
      <c r="L64" s="7"/>
      <c r="M64" s="7"/>
      <c r="N64" s="7"/>
      <c r="O64" s="7"/>
      <c r="Q64" s="7"/>
    </row>
    <row r="65" spans="7:36">
      <c r="G65" s="7"/>
      <c r="H65" s="7"/>
      <c r="I65" s="7"/>
      <c r="J65" s="7"/>
      <c r="K65" s="7"/>
      <c r="L65" s="7"/>
      <c r="M65" s="7"/>
      <c r="N65" s="7"/>
      <c r="O65" s="7"/>
      <c r="Q65" s="7"/>
    </row>
    <row r="66" spans="7:36">
      <c r="G66" s="7"/>
      <c r="H66" s="7"/>
      <c r="I66" s="7"/>
      <c r="J66" s="7"/>
      <c r="K66" s="7"/>
      <c r="L66" s="7"/>
      <c r="M66" s="7"/>
      <c r="N66" s="7"/>
      <c r="O66" s="7"/>
      <c r="Q66" s="7"/>
      <c r="AJ66" s="7"/>
    </row>
    <row r="67" spans="7:36">
      <c r="G67" s="7"/>
      <c r="H67" s="7"/>
      <c r="I67" s="7"/>
      <c r="J67" s="7"/>
      <c r="K67" s="7"/>
      <c r="L67" s="7"/>
      <c r="M67" s="7"/>
      <c r="N67" s="7"/>
      <c r="O67" s="7"/>
      <c r="Q67" s="7"/>
      <c r="AJ67" s="7"/>
    </row>
    <row r="68" spans="7:36">
      <c r="G68" s="7"/>
      <c r="H68" s="7"/>
      <c r="I68" s="7"/>
      <c r="J68" s="7"/>
      <c r="K68" s="7"/>
      <c r="L68" s="7"/>
      <c r="M68" s="7"/>
      <c r="N68" s="7"/>
      <c r="O68" s="7"/>
      <c r="Q68" s="7"/>
      <c r="AJ68" s="7"/>
    </row>
    <row r="69" spans="7:36">
      <c r="G69" s="7"/>
      <c r="H69" s="7"/>
      <c r="I69" s="7"/>
      <c r="J69" s="7"/>
      <c r="K69" s="7"/>
      <c r="L69" s="7"/>
      <c r="M69" s="7"/>
      <c r="N69" s="7"/>
      <c r="O69" s="7"/>
      <c r="Q69" s="7"/>
      <c r="AJ69" s="7"/>
    </row>
    <row r="70" spans="7:36">
      <c r="G70" s="7"/>
      <c r="H70" s="7"/>
      <c r="I70" s="7"/>
      <c r="J70" s="7"/>
      <c r="K70" s="7"/>
      <c r="L70" s="7"/>
      <c r="M70" s="7"/>
      <c r="N70" s="7"/>
      <c r="O70" s="7"/>
      <c r="AJ70" s="7"/>
    </row>
    <row r="71" spans="7:36">
      <c r="G71" s="7"/>
      <c r="H71" s="7"/>
      <c r="I71" s="7"/>
      <c r="J71" s="7"/>
      <c r="K71" s="7"/>
      <c r="L71" s="7"/>
      <c r="M71" s="7"/>
      <c r="N71" s="7"/>
      <c r="O71" s="7"/>
      <c r="AJ71" s="7"/>
    </row>
    <row r="72" spans="7:36">
      <c r="G72" s="7"/>
      <c r="H72" s="7"/>
      <c r="I72" s="7"/>
      <c r="J72" s="7"/>
      <c r="K72" s="7"/>
      <c r="L72" s="7"/>
      <c r="M72" s="7"/>
      <c r="N72" s="7"/>
      <c r="O72" s="7"/>
      <c r="AJ72" s="7"/>
    </row>
    <row r="73" spans="7:36">
      <c r="G73" s="7"/>
      <c r="H73" s="7"/>
      <c r="I73" s="7"/>
      <c r="J73" s="7"/>
      <c r="K73" s="7"/>
      <c r="L73" s="7"/>
      <c r="M73" s="7"/>
      <c r="N73" s="7"/>
      <c r="O73" s="7"/>
      <c r="AJ73" s="7"/>
    </row>
    <row r="74" spans="7:36">
      <c r="AJ74" s="7"/>
    </row>
    <row r="75" spans="7:36">
      <c r="AJ75" s="7"/>
    </row>
    <row r="76" spans="7:36">
      <c r="AJ76" s="7"/>
    </row>
    <row r="77" spans="7:36">
      <c r="AJ77" s="7"/>
    </row>
    <row r="78" spans="7:36">
      <c r="AJ78" s="7"/>
    </row>
    <row r="79" spans="7:36">
      <c r="AJ79" s="7"/>
    </row>
    <row r="80" spans="7:36">
      <c r="AJ80" s="7"/>
    </row>
    <row r="81" spans="36:36">
      <c r="AJ81" s="7"/>
    </row>
    <row r="82" spans="36:36">
      <c r="AJ82" s="7"/>
    </row>
    <row r="83" spans="36:36">
      <c r="AJ83" s="7"/>
    </row>
    <row r="84" spans="36:36">
      <c r="AJ84" s="7"/>
    </row>
    <row r="85" spans="36:36">
      <c r="AJ85" s="7"/>
    </row>
    <row r="86" spans="36:36">
      <c r="AJ86" s="7"/>
    </row>
  </sheetData>
  <pageMargins left="0.7" right="0.7" top="0.75" bottom="0.75" header="0.3" footer="0.3"/>
  <pageSetup paperSize="9" scale="34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S61"/>
  <sheetViews>
    <sheetView view="pageBreakPreview" zoomScale="60" zoomScaleNormal="68" workbookViewId="0">
      <pane xSplit="22" ySplit="54" topLeftCell="W55" activePane="bottomRight" state="frozen"/>
      <selection activeCell="A3" sqref="A3"/>
      <selection pane="topRight" activeCell="W3" sqref="W3"/>
      <selection pane="bottomLeft" activeCell="A55" sqref="A55"/>
      <selection pane="bottomRight" activeCell="Y40" sqref="Y40"/>
    </sheetView>
  </sheetViews>
  <sheetFormatPr baseColWidth="10" defaultRowHeight="15"/>
  <cols>
    <col min="3" max="3" width="12.5703125" customWidth="1"/>
    <col min="4" max="4" width="49.28515625" customWidth="1"/>
    <col min="5" max="5" width="1.140625" style="7" customWidth="1"/>
    <col min="11" max="11" width="12.7109375" customWidth="1"/>
    <col min="16" max="16" width="11.140625" customWidth="1"/>
    <col min="19" max="19" width="10.42578125" customWidth="1"/>
  </cols>
  <sheetData>
    <row r="1" spans="3:19" ht="15.75" thickBot="1"/>
    <row r="2" spans="3:19">
      <c r="C2" s="29"/>
      <c r="D2" s="30"/>
      <c r="E2" s="9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100"/>
    </row>
    <row r="3" spans="3:19">
      <c r="C3" s="32"/>
      <c r="D3" s="167" t="s">
        <v>528</v>
      </c>
      <c r="E3" s="20"/>
      <c r="F3" s="18" t="s">
        <v>187</v>
      </c>
      <c r="G3" s="1"/>
      <c r="H3" s="18" t="s">
        <v>159</v>
      </c>
      <c r="I3" s="1"/>
      <c r="J3" s="18" t="s">
        <v>160</v>
      </c>
      <c r="K3" s="1"/>
      <c r="L3" s="18" t="s">
        <v>161</v>
      </c>
      <c r="M3" s="1"/>
      <c r="N3" s="18" t="s">
        <v>162</v>
      </c>
      <c r="O3" s="1"/>
      <c r="P3" s="18" t="s">
        <v>163</v>
      </c>
      <c r="Q3" s="1"/>
      <c r="R3" s="18" t="s">
        <v>108</v>
      </c>
      <c r="S3" s="102"/>
    </row>
    <row r="4" spans="3:19">
      <c r="C4" s="32"/>
      <c r="D4" s="3"/>
      <c r="E4" s="20"/>
      <c r="S4" s="102"/>
    </row>
    <row r="5" spans="3:19">
      <c r="C5" s="32"/>
      <c r="D5" s="1"/>
      <c r="E5" s="20"/>
      <c r="F5" s="103"/>
      <c r="G5" s="1"/>
      <c r="H5" s="103"/>
      <c r="I5" s="1"/>
      <c r="J5" s="103"/>
      <c r="K5" s="1"/>
      <c r="L5" s="103"/>
      <c r="M5" s="1"/>
      <c r="N5" s="103"/>
      <c r="O5" s="1"/>
      <c r="P5" s="103"/>
      <c r="Q5" s="1"/>
      <c r="R5" s="1"/>
      <c r="S5" s="102"/>
    </row>
    <row r="6" spans="3:19">
      <c r="C6" s="32"/>
      <c r="D6" s="1"/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02"/>
    </row>
    <row r="7" spans="3:19">
      <c r="C7" s="32"/>
      <c r="D7" s="119" t="s">
        <v>164</v>
      </c>
      <c r="E7" s="20"/>
      <c r="F7" s="138">
        <f>SUM(F8:F12)</f>
        <v>2769992.8227002686</v>
      </c>
      <c r="G7" s="21"/>
      <c r="H7" s="138">
        <f t="shared" ref="H7:P7" si="0">SUM(H8:H12)</f>
        <v>-67545.461059185283</v>
      </c>
      <c r="I7" s="21"/>
      <c r="J7" s="138">
        <f t="shared" si="0"/>
        <v>1008011.0007210838</v>
      </c>
      <c r="K7" s="21"/>
      <c r="L7" s="138">
        <f t="shared" si="0"/>
        <v>911038.42325030454</v>
      </c>
      <c r="M7" s="21"/>
      <c r="N7" s="138">
        <f t="shared" si="0"/>
        <v>918488.85978806543</v>
      </c>
      <c r="O7" s="21"/>
      <c r="P7" s="138">
        <f t="shared" si="0"/>
        <v>0</v>
      </c>
      <c r="Q7" s="1"/>
      <c r="R7" s="151"/>
      <c r="S7" s="102"/>
    </row>
    <row r="8" spans="3:19">
      <c r="C8" s="32"/>
      <c r="D8" s="34" t="s">
        <v>165</v>
      </c>
      <c r="E8" s="20"/>
      <c r="F8" s="20">
        <f>SUM(H8:R8)</f>
        <v>2769992.8227002686</v>
      </c>
      <c r="G8" s="1"/>
      <c r="H8" s="20">
        <f>'Net Income'!L21</f>
        <v>-67545.461059185283</v>
      </c>
      <c r="I8" s="20"/>
      <c r="J8" s="20">
        <f>'Net Income'!O21</f>
        <v>1008011.0007210838</v>
      </c>
      <c r="K8" s="20"/>
      <c r="L8" s="20">
        <f>'Net Income'!R21</f>
        <v>911038.42325030454</v>
      </c>
      <c r="M8" s="20"/>
      <c r="N8" s="20">
        <f>'Net Income'!U21</f>
        <v>918488.85978806543</v>
      </c>
      <c r="O8" s="20"/>
      <c r="P8" s="20">
        <f>'Net Income'!X21</f>
        <v>0</v>
      </c>
      <c r="Q8" s="1"/>
      <c r="R8" s="151"/>
      <c r="S8" s="102"/>
    </row>
    <row r="9" spans="3:19">
      <c r="C9" s="32"/>
      <c r="D9" s="34" t="s">
        <v>166</v>
      </c>
      <c r="E9" s="20"/>
      <c r="F9" s="20">
        <f>SUM(H9:R9)</f>
        <v>0</v>
      </c>
      <c r="G9" s="1"/>
      <c r="H9" s="20">
        <f>'Net Income'!L22</f>
        <v>0</v>
      </c>
      <c r="I9" s="20"/>
      <c r="J9" s="20">
        <f>'Net Income'!O22</f>
        <v>0</v>
      </c>
      <c r="K9" s="20"/>
      <c r="L9" s="20">
        <f>'Net Income'!R22</f>
        <v>0</v>
      </c>
      <c r="M9" s="20"/>
      <c r="N9" s="20">
        <f>'Net Income'!U22</f>
        <v>0</v>
      </c>
      <c r="O9" s="20"/>
      <c r="P9" s="20">
        <f>'Net Income'!X22</f>
        <v>0</v>
      </c>
      <c r="Q9" s="1"/>
      <c r="R9" s="151"/>
      <c r="S9" s="102"/>
    </row>
    <row r="10" spans="3:19">
      <c r="C10" s="32"/>
      <c r="D10" s="34" t="s">
        <v>167</v>
      </c>
      <c r="E10" s="20"/>
      <c r="F10" s="20">
        <f>SUM(H10:R10)</f>
        <v>0</v>
      </c>
      <c r="G10" s="1"/>
      <c r="H10" s="20">
        <f>'Net Income'!L23</f>
        <v>0</v>
      </c>
      <c r="I10" s="20"/>
      <c r="J10" s="20">
        <f>'Net Income'!O23</f>
        <v>0</v>
      </c>
      <c r="K10" s="20"/>
      <c r="L10" s="20">
        <f>'Net Income'!R23</f>
        <v>0</v>
      </c>
      <c r="M10" s="20"/>
      <c r="N10" s="20">
        <f>'Net Income'!U23</f>
        <v>0</v>
      </c>
      <c r="O10" s="20"/>
      <c r="P10" s="20">
        <f>'Net Income'!X23</f>
        <v>0</v>
      </c>
      <c r="Q10" s="1"/>
      <c r="R10" s="151"/>
      <c r="S10" s="102"/>
    </row>
    <row r="11" spans="3:19">
      <c r="C11" s="32"/>
      <c r="D11" s="34" t="s">
        <v>168</v>
      </c>
      <c r="E11" s="20"/>
      <c r="F11" s="20">
        <f>SUM(H11:R11)</f>
        <v>0</v>
      </c>
      <c r="G11" s="1"/>
      <c r="H11" s="20">
        <f>'Net Income'!L24</f>
        <v>0</v>
      </c>
      <c r="I11" s="20"/>
      <c r="J11" s="20">
        <f>'Net Income'!O24</f>
        <v>0</v>
      </c>
      <c r="K11" s="20"/>
      <c r="L11" s="20">
        <f>'Net Income'!R24</f>
        <v>0</v>
      </c>
      <c r="M11" s="20"/>
      <c r="N11" s="20">
        <f>'Net Income'!U24</f>
        <v>0</v>
      </c>
      <c r="O11" s="20"/>
      <c r="P11" s="20">
        <f>'Net Income'!X24</f>
        <v>0</v>
      </c>
      <c r="Q11" s="1"/>
      <c r="R11" s="151"/>
      <c r="S11" s="102"/>
    </row>
    <row r="12" spans="3:19">
      <c r="C12" s="32"/>
      <c r="D12" s="34" t="s">
        <v>169</v>
      </c>
      <c r="E12" s="20"/>
      <c r="F12" s="20">
        <f>SUM(H12:R12)</f>
        <v>0</v>
      </c>
      <c r="G12" s="1"/>
      <c r="H12" s="20">
        <f>'Net Income'!L25</f>
        <v>0</v>
      </c>
      <c r="I12" s="20"/>
      <c r="J12" s="20">
        <f>'Net Income'!O25</f>
        <v>0</v>
      </c>
      <c r="K12" s="20"/>
      <c r="L12" s="20">
        <f>'Net Income'!R25</f>
        <v>0</v>
      </c>
      <c r="M12" s="20"/>
      <c r="N12" s="20">
        <f>'Net Income'!U25</f>
        <v>0</v>
      </c>
      <c r="O12" s="20"/>
      <c r="P12" s="20">
        <f>'Net Income'!X25</f>
        <v>0</v>
      </c>
      <c r="Q12" s="1"/>
      <c r="R12" s="151"/>
      <c r="S12" s="102"/>
    </row>
    <row r="13" spans="3:19">
      <c r="C13" s="32"/>
      <c r="D13" s="34"/>
      <c r="E13" s="20"/>
      <c r="F13" s="20"/>
      <c r="G13" s="1"/>
      <c r="H13" s="20"/>
      <c r="I13" s="20"/>
      <c r="J13" s="20"/>
      <c r="K13" s="20"/>
      <c r="L13" s="20"/>
      <c r="M13" s="20"/>
      <c r="N13" s="20"/>
      <c r="O13" s="20"/>
      <c r="P13" s="20"/>
      <c r="Q13" s="1"/>
      <c r="R13" s="151"/>
      <c r="S13" s="102"/>
    </row>
    <row r="14" spans="3:19">
      <c r="C14" s="32"/>
      <c r="D14" s="119" t="s">
        <v>170</v>
      </c>
      <c r="E14" s="20"/>
      <c r="F14" s="138">
        <f>F15+SUM(F20:F24)</f>
        <v>3173401.2336174473</v>
      </c>
      <c r="G14" s="21"/>
      <c r="H14" s="138">
        <f>H15+SUM(H20:H24)</f>
        <v>58326.884231740805</v>
      </c>
      <c r="I14" s="21"/>
      <c r="J14" s="138">
        <f>J15+SUM(J20:J24)</f>
        <v>895858.52273853321</v>
      </c>
      <c r="K14" s="21"/>
      <c r="L14" s="138">
        <f>L15+SUM(L20:L24)</f>
        <v>1221821.5370824612</v>
      </c>
      <c r="M14" s="21"/>
      <c r="N14" s="138">
        <f>N15+SUM(N20:N24)</f>
        <v>981411.75259963679</v>
      </c>
      <c r="O14" s="21"/>
      <c r="P14" s="138">
        <f>P15+SUM(P20:P24)</f>
        <v>15982.536965075455</v>
      </c>
      <c r="Q14" s="1"/>
      <c r="R14" s="151"/>
      <c r="S14" s="102"/>
    </row>
    <row r="15" spans="3:19">
      <c r="C15" s="32"/>
      <c r="D15" s="1" t="s">
        <v>165</v>
      </c>
      <c r="E15" s="20"/>
      <c r="F15" s="21">
        <f>SUM(H15:R15)</f>
        <v>3166345.2711077095</v>
      </c>
      <c r="G15" s="21"/>
      <c r="H15" s="21">
        <f>'Net Income'!L28</f>
        <v>57745.022920709744</v>
      </c>
      <c r="I15" s="21"/>
      <c r="J15" s="21">
        <f>'Net Income'!O28</f>
        <v>892719.49838175368</v>
      </c>
      <c r="K15" s="21"/>
      <c r="L15" s="21">
        <f>'Net Income'!R28</f>
        <v>1220636.2810367143</v>
      </c>
      <c r="M15" s="21"/>
      <c r="N15" s="21">
        <f>'Net Income'!U28</f>
        <v>979851.41556534951</v>
      </c>
      <c r="O15" s="21"/>
      <c r="P15" s="21">
        <f>'Net Income'!X28</f>
        <v>15393.053203182526</v>
      </c>
      <c r="Q15" s="1"/>
      <c r="R15" s="151"/>
      <c r="S15" s="102"/>
    </row>
    <row r="16" spans="3:19">
      <c r="C16" s="32"/>
      <c r="D16" s="64" t="s">
        <v>171</v>
      </c>
      <c r="E16" s="20"/>
      <c r="F16" s="21">
        <f>SUM(H16:R16)</f>
        <v>920718.2498243025</v>
      </c>
      <c r="G16" s="1"/>
      <c r="H16" s="21">
        <f>'Net Income'!L29</f>
        <v>345.06225255618892</v>
      </c>
      <c r="I16" s="20"/>
      <c r="J16" s="21">
        <f>'Net Income'!O29</f>
        <v>303391.89306616137</v>
      </c>
      <c r="K16" s="20"/>
      <c r="L16" s="21">
        <f>'Net Income'!R29</f>
        <v>462724.59780138027</v>
      </c>
      <c r="M16" s="20"/>
      <c r="N16" s="21">
        <f>'Net Income'!U29</f>
        <v>62483.178013192941</v>
      </c>
      <c r="O16" s="20"/>
      <c r="P16" s="21">
        <f>'Net Income'!X29</f>
        <v>91773.518691011763</v>
      </c>
      <c r="Q16" s="1"/>
      <c r="R16" s="151"/>
      <c r="S16" s="102"/>
    </row>
    <row r="17" spans="3:19">
      <c r="C17" s="32"/>
      <c r="D17" s="64" t="s">
        <v>172</v>
      </c>
      <c r="E17" s="20"/>
      <c r="F17" s="21">
        <f>SUM(H17:R17)</f>
        <v>3827799.8664546614</v>
      </c>
      <c r="G17" s="1"/>
      <c r="H17" s="21">
        <f>'Net Income'!L30</f>
        <v>724764.67512352183</v>
      </c>
      <c r="I17" s="20"/>
      <c r="J17" s="21">
        <f>'Net Income'!O30</f>
        <v>760158.12621863931</v>
      </c>
      <c r="K17" s="20"/>
      <c r="L17" s="21">
        <f>'Net Income'!R30</f>
        <v>952031.58896086179</v>
      </c>
      <c r="M17" s="20"/>
      <c r="N17" s="21">
        <f>'Net Income'!U30</f>
        <v>917368.23755215667</v>
      </c>
      <c r="O17" s="20"/>
      <c r="P17" s="21">
        <f>'Net Income'!X30</f>
        <v>473477.23859948135</v>
      </c>
      <c r="Q17" s="1"/>
      <c r="R17" s="151"/>
      <c r="S17" s="102"/>
    </row>
    <row r="18" spans="3:19">
      <c r="C18" s="32"/>
      <c r="D18" s="64" t="s">
        <v>173</v>
      </c>
      <c r="E18" s="20"/>
      <c r="F18" s="21">
        <f>SUM(H18:R18)</f>
        <v>1582172.8451712537</v>
      </c>
      <c r="G18" s="1"/>
      <c r="H18" s="21">
        <f>'Net Income'!L31</f>
        <v>667364.71445536823</v>
      </c>
      <c r="I18" s="20"/>
      <c r="J18" s="21">
        <f>'Net Income'!O31</f>
        <v>170830.520903047</v>
      </c>
      <c r="K18" s="20"/>
      <c r="L18" s="21">
        <f>'Net Income'!R31</f>
        <v>194119.90572552773</v>
      </c>
      <c r="M18" s="20"/>
      <c r="N18" s="21">
        <f>'Net Income'!U31</f>
        <v>0</v>
      </c>
      <c r="O18" s="20"/>
      <c r="P18" s="21">
        <f>'Net Income'!X31</f>
        <v>549857.70408731059</v>
      </c>
      <c r="Q18" s="1"/>
      <c r="R18" s="151"/>
      <c r="S18" s="102"/>
    </row>
    <row r="19" spans="3:19">
      <c r="C19" s="32"/>
      <c r="D19" s="1"/>
      <c r="E19" s="20"/>
      <c r="F19" s="20"/>
      <c r="G19" s="1"/>
      <c r="H19" s="20"/>
      <c r="I19" s="20"/>
      <c r="J19" s="20"/>
      <c r="K19" s="20"/>
      <c r="L19" s="20"/>
      <c r="M19" s="20"/>
      <c r="N19" s="20"/>
      <c r="O19" s="20"/>
      <c r="P19" s="20"/>
      <c r="Q19" s="1"/>
      <c r="R19" s="151"/>
      <c r="S19" s="102"/>
    </row>
    <row r="20" spans="3:19">
      <c r="C20" s="32"/>
      <c r="D20" s="62" t="s">
        <v>174</v>
      </c>
      <c r="E20" s="20"/>
      <c r="F20" s="20">
        <f>SUM(H20:R20)</f>
        <v>7055.9625097376811</v>
      </c>
      <c r="G20" s="1"/>
      <c r="H20" s="20">
        <f>'Net Income'!L33</f>
        <v>581.86131103105845</v>
      </c>
      <c r="I20" s="20"/>
      <c r="J20" s="20">
        <f>'Net Income'!O33</f>
        <v>3139.0243567794842</v>
      </c>
      <c r="K20" s="20"/>
      <c r="L20" s="20">
        <f>'Net Income'!R33</f>
        <v>1185.256045746901</v>
      </c>
      <c r="M20" s="20"/>
      <c r="N20" s="20">
        <f>'Net Income'!U33</f>
        <v>1560.3370342873084</v>
      </c>
      <c r="O20" s="20"/>
      <c r="P20" s="20">
        <f>'Net Income'!X33</f>
        <v>589.48376189292901</v>
      </c>
      <c r="Q20" s="1"/>
      <c r="R20" s="151"/>
      <c r="S20" s="102"/>
    </row>
    <row r="21" spans="3:19">
      <c r="C21" s="32"/>
      <c r="D21" s="62" t="s">
        <v>175</v>
      </c>
      <c r="E21" s="20"/>
      <c r="F21" s="20">
        <f>SUM(H21:R21)</f>
        <v>0</v>
      </c>
      <c r="G21" s="1"/>
      <c r="H21" s="20">
        <f>'Net Income'!L34</f>
        <v>0</v>
      </c>
      <c r="I21" s="20"/>
      <c r="J21" s="20">
        <f>'Net Income'!O34</f>
        <v>0</v>
      </c>
      <c r="K21" s="20"/>
      <c r="L21" s="20">
        <f>'Net Income'!R34</f>
        <v>0</v>
      </c>
      <c r="M21" s="20"/>
      <c r="N21" s="20">
        <f>'Net Income'!U34</f>
        <v>0</v>
      </c>
      <c r="O21" s="20"/>
      <c r="P21" s="20">
        <f>'Net Income'!X34</f>
        <v>0</v>
      </c>
      <c r="Q21" s="1"/>
      <c r="R21" s="151"/>
      <c r="S21" s="102"/>
    </row>
    <row r="22" spans="3:19">
      <c r="C22" s="32"/>
      <c r="D22" s="62" t="s">
        <v>176</v>
      </c>
      <c r="E22" s="20"/>
      <c r="F22" s="20">
        <f>SUM(H22:R22)</f>
        <v>0</v>
      </c>
      <c r="G22" s="1"/>
      <c r="H22" s="20">
        <f>'Net Income'!L35</f>
        <v>0</v>
      </c>
      <c r="I22" s="20"/>
      <c r="J22" s="20">
        <f>'Net Income'!O35</f>
        <v>0</v>
      </c>
      <c r="K22" s="20"/>
      <c r="L22" s="20">
        <f>'Net Income'!R35</f>
        <v>0</v>
      </c>
      <c r="M22" s="20"/>
      <c r="N22" s="20">
        <f>'Net Income'!U35</f>
        <v>0</v>
      </c>
      <c r="O22" s="20"/>
      <c r="P22" s="20">
        <f>'Net Income'!X35</f>
        <v>0</v>
      </c>
      <c r="Q22" s="1"/>
      <c r="R22" s="151"/>
      <c r="S22" s="102"/>
    </row>
    <row r="23" spans="3:19">
      <c r="C23" s="32"/>
      <c r="D23" s="62" t="s">
        <v>177</v>
      </c>
      <c r="E23" s="20"/>
      <c r="F23" s="20">
        <f>SUM(H23:R23)</f>
        <v>0</v>
      </c>
      <c r="G23" s="1"/>
      <c r="H23" s="20">
        <f>'Net Income'!L36</f>
        <v>0</v>
      </c>
      <c r="I23" s="20"/>
      <c r="J23" s="20">
        <f>'Net Income'!O36</f>
        <v>0</v>
      </c>
      <c r="K23" s="20"/>
      <c r="L23" s="20">
        <f>'Net Income'!R36</f>
        <v>0</v>
      </c>
      <c r="M23" s="20"/>
      <c r="N23" s="20">
        <f>'Net Income'!U36</f>
        <v>0</v>
      </c>
      <c r="O23" s="20"/>
      <c r="P23" s="20">
        <f>'Net Income'!X36</f>
        <v>0</v>
      </c>
      <c r="Q23" s="1"/>
      <c r="R23" s="151"/>
      <c r="S23" s="102"/>
    </row>
    <row r="24" spans="3:19">
      <c r="C24" s="32"/>
      <c r="D24" s="62" t="s">
        <v>178</v>
      </c>
      <c r="E24" s="20"/>
      <c r="F24" s="20">
        <f>SUM(H24:R24)</f>
        <v>0</v>
      </c>
      <c r="G24" s="1"/>
      <c r="H24" s="20">
        <f>'Net Income'!L37</f>
        <v>0</v>
      </c>
      <c r="I24" s="20"/>
      <c r="J24" s="20">
        <f>'Net Income'!O37</f>
        <v>0</v>
      </c>
      <c r="K24" s="20"/>
      <c r="L24" s="20">
        <f>'Net Income'!R37</f>
        <v>0</v>
      </c>
      <c r="M24" s="20"/>
      <c r="N24" s="20">
        <f>'Net Income'!U37</f>
        <v>0</v>
      </c>
      <c r="O24" s="20"/>
      <c r="P24" s="20">
        <f>'Net Income'!X37</f>
        <v>0</v>
      </c>
      <c r="Q24" s="1"/>
      <c r="R24" s="151"/>
      <c r="S24" s="102"/>
    </row>
    <row r="25" spans="3:19">
      <c r="C25" s="32"/>
      <c r="D25" s="62"/>
      <c r="E25" s="20"/>
      <c r="F25" s="20"/>
      <c r="G25" s="1"/>
      <c r="H25" s="20"/>
      <c r="I25" s="20"/>
      <c r="J25" s="20"/>
      <c r="K25" s="20"/>
      <c r="L25" s="20"/>
      <c r="M25" s="20"/>
      <c r="N25" s="20"/>
      <c r="O25" s="20"/>
      <c r="P25" s="20"/>
      <c r="Q25" s="1"/>
      <c r="R25" s="151"/>
      <c r="S25" s="102"/>
    </row>
    <row r="26" spans="3:19">
      <c r="C26" s="32"/>
      <c r="D26" s="54" t="s">
        <v>179</v>
      </c>
      <c r="E26" s="20"/>
      <c r="F26" s="149">
        <f>F7-F14</f>
        <v>-403408.41091717873</v>
      </c>
      <c r="G26" s="20"/>
      <c r="H26" s="149">
        <f>H7-H14</f>
        <v>-125872.34529092608</v>
      </c>
      <c r="I26" s="20"/>
      <c r="J26" s="149">
        <f>J7-J14</f>
        <v>112152.47798255063</v>
      </c>
      <c r="K26" s="20"/>
      <c r="L26" s="149">
        <f>L7-L14</f>
        <v>-310783.11383215664</v>
      </c>
      <c r="M26" s="20"/>
      <c r="N26" s="149">
        <f>N7-N14</f>
        <v>-62922.892811571364</v>
      </c>
      <c r="O26" s="20"/>
      <c r="P26" s="149">
        <f>P7-P14</f>
        <v>-15982.536965075455</v>
      </c>
      <c r="Q26" s="1"/>
      <c r="R26" s="151"/>
      <c r="S26" s="102"/>
    </row>
    <row r="27" spans="3:19">
      <c r="C27" s="32"/>
      <c r="D27" s="62"/>
      <c r="E27" s="20"/>
      <c r="F27" s="20"/>
      <c r="G27" s="1"/>
      <c r="H27" s="20"/>
      <c r="I27" s="20"/>
      <c r="J27" s="20"/>
      <c r="K27" s="20"/>
      <c r="L27" s="20"/>
      <c r="M27" s="20"/>
      <c r="N27" s="20"/>
      <c r="O27" s="20"/>
      <c r="P27" s="20"/>
      <c r="Q27" s="1"/>
      <c r="R27" s="151"/>
      <c r="S27" s="102"/>
    </row>
    <row r="28" spans="3:19">
      <c r="C28" s="32"/>
      <c r="D28" s="54" t="s">
        <v>180</v>
      </c>
      <c r="E28" s="20"/>
      <c r="F28" s="138">
        <f t="shared" ref="F28:F33" ca="1" si="1">SUM(H28:R28)</f>
        <v>321928.59288032603</v>
      </c>
      <c r="G28" s="20"/>
      <c r="H28" s="138">
        <f ca="1">SUM(H29:H33)</f>
        <v>-7850.1341433220405</v>
      </c>
      <c r="I28" s="20"/>
      <c r="J28" s="138">
        <f ca="1">SUM(J29:J33)</f>
        <v>117151.04833870599</v>
      </c>
      <c r="K28" s="20"/>
      <c r="L28" s="138">
        <f ca="1">SUM(L29:L33)</f>
        <v>105880.89443891576</v>
      </c>
      <c r="M28" s="20"/>
      <c r="N28" s="138">
        <f ca="1">SUM(N29:N33)</f>
        <v>106746.78424602631</v>
      </c>
      <c r="O28" s="20"/>
      <c r="P28" s="138">
        <f ca="1">SUM(P29:P33)</f>
        <v>0</v>
      </c>
      <c r="Q28" s="1"/>
      <c r="R28" s="151"/>
      <c r="S28" s="102"/>
    </row>
    <row r="29" spans="3:19">
      <c r="C29" s="32"/>
      <c r="D29" s="62" t="s">
        <v>181</v>
      </c>
      <c r="E29" s="20"/>
      <c r="F29" s="20">
        <f t="shared" ca="1" si="1"/>
        <v>26739.633847950397</v>
      </c>
      <c r="G29" s="1"/>
      <c r="H29" s="20">
        <f ca="1">'Net Income'!L42</f>
        <v>-652.03811432728855</v>
      </c>
      <c r="I29" s="20"/>
      <c r="J29" s="20">
        <f ca="1">'Net Income'!O42</f>
        <v>9730.65520354398</v>
      </c>
      <c r="K29" s="20"/>
      <c r="L29" s="20">
        <f ca="1">'Net Income'!R42</f>
        <v>8794.5476462930201</v>
      </c>
      <c r="M29" s="20"/>
      <c r="N29" s="20">
        <f ca="1">'Net Income'!U42</f>
        <v>8866.4691124406872</v>
      </c>
      <c r="O29" s="20"/>
      <c r="P29" s="20">
        <f ca="1">'Net Income'!X42</f>
        <v>0</v>
      </c>
      <c r="Q29" s="1"/>
      <c r="R29" s="151"/>
      <c r="S29" s="102"/>
    </row>
    <row r="30" spans="3:19">
      <c r="C30" s="32"/>
      <c r="D30" s="62" t="s">
        <v>174</v>
      </c>
      <c r="E30" s="20"/>
      <c r="F30" s="20">
        <f t="shared" si="1"/>
        <v>0</v>
      </c>
      <c r="G30" s="1"/>
      <c r="H30" s="20">
        <f>'Net Income'!L43</f>
        <v>0</v>
      </c>
      <c r="I30" s="20"/>
      <c r="J30" s="20">
        <f>'Net Income'!O43</f>
        <v>0</v>
      </c>
      <c r="K30" s="20"/>
      <c r="L30" s="20">
        <f>'Net Income'!R43</f>
        <v>0</v>
      </c>
      <c r="M30" s="20"/>
      <c r="N30" s="20">
        <f>'Net Income'!U43</f>
        <v>0</v>
      </c>
      <c r="O30" s="20"/>
      <c r="P30" s="20">
        <f>'Net Income'!X43</f>
        <v>0</v>
      </c>
      <c r="Q30" s="1"/>
      <c r="R30" s="151"/>
      <c r="S30" s="102"/>
    </row>
    <row r="31" spans="3:19">
      <c r="C31" s="32"/>
      <c r="D31" s="62" t="s">
        <v>182</v>
      </c>
      <c r="E31" s="20"/>
      <c r="F31" s="20">
        <f t="shared" si="1"/>
        <v>0</v>
      </c>
      <c r="G31" s="1"/>
      <c r="H31" s="20">
        <f>'Net Income'!L44</f>
        <v>0</v>
      </c>
      <c r="I31" s="20"/>
      <c r="J31" s="20">
        <f>'Net Income'!O44</f>
        <v>0</v>
      </c>
      <c r="K31" s="20"/>
      <c r="L31" s="20">
        <f>'Net Income'!R44</f>
        <v>0</v>
      </c>
      <c r="M31" s="20"/>
      <c r="N31" s="20">
        <f>'Net Income'!U44</f>
        <v>0</v>
      </c>
      <c r="O31" s="20"/>
      <c r="P31" s="20">
        <f>'Net Income'!X44</f>
        <v>0</v>
      </c>
      <c r="Q31" s="1"/>
      <c r="R31" s="151"/>
      <c r="S31" s="102"/>
    </row>
    <row r="32" spans="3:19">
      <c r="C32" s="32"/>
      <c r="D32" s="62" t="s">
        <v>188</v>
      </c>
      <c r="E32" s="20"/>
      <c r="F32" s="20">
        <f t="shared" ca="1" si="1"/>
        <v>194664.95059889596</v>
      </c>
      <c r="G32" s="1"/>
      <c r="H32" s="20">
        <f ca="1">'Net Income'!L45</f>
        <v>-4746.8476208715192</v>
      </c>
      <c r="I32" s="20"/>
      <c r="J32" s="20">
        <f ca="1">'Net Income'!O45</f>
        <v>70839.321333413522</v>
      </c>
      <c r="K32" s="20"/>
      <c r="L32" s="20">
        <f ca="1">'Net Income'!R45</f>
        <v>64024.443746692967</v>
      </c>
      <c r="M32" s="20"/>
      <c r="N32" s="20">
        <f ca="1">'Net Income'!U45</f>
        <v>64548.033139660998</v>
      </c>
      <c r="O32" s="20"/>
      <c r="P32" s="20">
        <f ca="1">'Net Income'!X45</f>
        <v>0</v>
      </c>
      <c r="Q32" s="1"/>
      <c r="R32" s="151"/>
      <c r="S32" s="102"/>
    </row>
    <row r="33" spans="3:19">
      <c r="C33" s="32"/>
      <c r="D33" s="62" t="s">
        <v>183</v>
      </c>
      <c r="E33" s="20"/>
      <c r="F33" s="20">
        <f t="shared" ca="1" si="1"/>
        <v>100524.00843347964</v>
      </c>
      <c r="G33" s="1"/>
      <c r="H33" s="20">
        <f ca="1">'Net Income'!L46</f>
        <v>-2451.2484081232324</v>
      </c>
      <c r="I33" s="20"/>
      <c r="J33" s="20">
        <f ca="1">'Net Income'!O46</f>
        <v>36581.071801748483</v>
      </c>
      <c r="K33" s="20"/>
      <c r="L33" s="20">
        <f ca="1">'Net Income'!R46</f>
        <v>33061.903045929765</v>
      </c>
      <c r="M33" s="20"/>
      <c r="N33" s="20">
        <f ca="1">'Net Income'!U46</f>
        <v>33332.281993924618</v>
      </c>
      <c r="O33" s="20"/>
      <c r="P33" s="20">
        <f ca="1">'Net Income'!X46</f>
        <v>0</v>
      </c>
      <c r="Q33" s="1"/>
      <c r="R33" s="151"/>
      <c r="S33" s="102"/>
    </row>
    <row r="34" spans="3:19">
      <c r="C34" s="32"/>
      <c r="D34" s="1"/>
      <c r="E34" s="20"/>
      <c r="F34" s="20"/>
      <c r="G34" s="1"/>
      <c r="H34" s="20"/>
      <c r="I34" s="20"/>
      <c r="J34" s="20"/>
      <c r="K34" s="20"/>
      <c r="L34" s="20"/>
      <c r="M34" s="20"/>
      <c r="N34" s="20"/>
      <c r="O34" s="20"/>
      <c r="P34" s="20"/>
      <c r="Q34" s="1"/>
      <c r="R34" s="151"/>
      <c r="S34" s="102"/>
    </row>
    <row r="35" spans="3:19">
      <c r="C35" s="32"/>
      <c r="D35" s="54" t="s">
        <v>184</v>
      </c>
      <c r="E35" s="20"/>
      <c r="F35" s="149">
        <f ca="1">SUM(H35:R35)</f>
        <v>-725337.00379750493</v>
      </c>
      <c r="G35" s="20"/>
      <c r="H35" s="149">
        <f ca="1">H26-H28</f>
        <v>-118022.21114760404</v>
      </c>
      <c r="I35" s="20"/>
      <c r="J35" s="149">
        <f ca="1">J26-J28</f>
        <v>-4998.5703561553673</v>
      </c>
      <c r="K35" s="20"/>
      <c r="L35" s="149">
        <f ca="1">L26-L28</f>
        <v>-416664.00827107241</v>
      </c>
      <c r="M35" s="20"/>
      <c r="N35" s="149">
        <f ca="1">N26-N28</f>
        <v>-169669.67705759767</v>
      </c>
      <c r="O35" s="20"/>
      <c r="P35" s="149">
        <f ca="1">P26-P28</f>
        <v>-15982.536965075455</v>
      </c>
      <c r="Q35" s="1"/>
      <c r="R35" s="151"/>
      <c r="S35" s="102"/>
    </row>
    <row r="36" spans="3:19" s="13" customFormat="1">
      <c r="C36" s="104"/>
      <c r="D36" s="6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52"/>
      <c r="R36" s="21"/>
      <c r="S36" s="40"/>
    </row>
    <row r="37" spans="3:19">
      <c r="C37" s="32"/>
      <c r="D37" s="54" t="s">
        <v>185</v>
      </c>
      <c r="E37" s="20"/>
      <c r="F37" s="138">
        <f>SUM(H37:R37)</f>
        <v>3377.0673992350107</v>
      </c>
      <c r="G37" s="20"/>
      <c r="H37" s="138">
        <f>'Net Income'!L50</f>
        <v>0</v>
      </c>
      <c r="I37" s="20"/>
      <c r="J37" s="138">
        <f>'Net Income'!O50</f>
        <v>0</v>
      </c>
      <c r="K37" s="20"/>
      <c r="L37" s="138">
        <f>'Net Income'!R50</f>
        <v>0</v>
      </c>
      <c r="M37" s="20"/>
      <c r="N37" s="138">
        <f>'Net Income'!U50</f>
        <v>0</v>
      </c>
      <c r="O37" s="20"/>
      <c r="P37" s="138">
        <f>'Net Income'!X50</f>
        <v>0</v>
      </c>
      <c r="Q37" s="1"/>
      <c r="R37" s="138">
        <f>'Net Income'!AA50</f>
        <v>3377.0673992350107</v>
      </c>
      <c r="S37" s="102"/>
    </row>
    <row r="38" spans="3:19">
      <c r="C38" s="32"/>
      <c r="D38" s="105"/>
      <c r="E38" s="20"/>
      <c r="F38" s="150"/>
      <c r="G38" s="20"/>
      <c r="H38" s="150"/>
      <c r="I38" s="20"/>
      <c r="J38" s="150"/>
      <c r="K38" s="20"/>
      <c r="L38" s="150"/>
      <c r="M38" s="20"/>
      <c r="N38" s="150"/>
      <c r="O38" s="20"/>
      <c r="P38" s="150"/>
      <c r="Q38" s="1"/>
      <c r="R38" s="20"/>
      <c r="S38" s="102"/>
    </row>
    <row r="39" spans="3:19">
      <c r="C39" s="32"/>
      <c r="D39" s="54" t="s">
        <v>191</v>
      </c>
      <c r="E39" s="20"/>
      <c r="F39" s="138">
        <f ca="1">SUM(H39:R39)</f>
        <v>11669.170387693097</v>
      </c>
      <c r="G39" s="20"/>
      <c r="H39" s="138">
        <f>SUM(H40:H43)</f>
        <v>0</v>
      </c>
      <c r="I39" s="20"/>
      <c r="J39" s="138">
        <f>SUM(J40:J43)</f>
        <v>0</v>
      </c>
      <c r="K39" s="20"/>
      <c r="L39" s="138">
        <f>SUM(L40:L43)</f>
        <v>909.01995100288582</v>
      </c>
      <c r="M39" s="20"/>
      <c r="N39" s="138">
        <f>SUM(N40:N43)</f>
        <v>8144.5902703988222</v>
      </c>
      <c r="O39" s="20"/>
      <c r="P39" s="138">
        <f>SUM(P40:P43)</f>
        <v>0</v>
      </c>
      <c r="Q39" s="1"/>
      <c r="R39" s="138">
        <f ca="1">SUM(R40:R43)</f>
        <v>2615.5601662913882</v>
      </c>
      <c r="S39" s="102"/>
    </row>
    <row r="40" spans="3:19">
      <c r="C40" s="32"/>
      <c r="D40" s="106" t="s">
        <v>523</v>
      </c>
      <c r="E40" s="20"/>
      <c r="F40" s="20">
        <f ca="1">SUM(H40:R40)</f>
        <v>0</v>
      </c>
      <c r="G40" s="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>
        <f ca="1">'SA10'!N24</f>
        <v>0</v>
      </c>
      <c r="S40" s="102"/>
    </row>
    <row r="41" spans="3:19">
      <c r="C41" s="32"/>
      <c r="D41" s="106" t="s">
        <v>524</v>
      </c>
      <c r="E41" s="20"/>
      <c r="F41" s="20">
        <f ca="1">SUM(H41:R41)</f>
        <v>2615.5601662913882</v>
      </c>
      <c r="G41" s="1"/>
      <c r="H41" s="20"/>
      <c r="I41" s="1"/>
      <c r="J41" s="20"/>
      <c r="K41" s="1"/>
      <c r="L41" s="20"/>
      <c r="M41" s="1"/>
      <c r="N41" s="20"/>
      <c r="O41" s="1"/>
      <c r="P41" s="20"/>
      <c r="Q41" s="1"/>
      <c r="R41" s="20">
        <f ca="1">'SA10'!N25</f>
        <v>2615.5601662913882</v>
      </c>
      <c r="S41" s="102"/>
    </row>
    <row r="42" spans="3:19">
      <c r="C42" s="32"/>
      <c r="D42" s="106" t="s">
        <v>525</v>
      </c>
      <c r="E42" s="20"/>
      <c r="F42" s="20">
        <f ca="1">SUM(H42:R42)</f>
        <v>9053.6102214017083</v>
      </c>
      <c r="G42" s="1"/>
      <c r="H42" s="20">
        <f>'FC02'!N34</f>
        <v>0</v>
      </c>
      <c r="I42" s="1"/>
      <c r="J42" s="20">
        <f>'FC03'!N34</f>
        <v>0</v>
      </c>
      <c r="K42" s="1"/>
      <c r="L42" s="20">
        <f>'FC04'!M34</f>
        <v>909.01995100288582</v>
      </c>
      <c r="M42" s="1"/>
      <c r="N42" s="20">
        <f>'FC05'!M34</f>
        <v>8144.5902703988222</v>
      </c>
      <c r="O42" s="1"/>
      <c r="P42" s="20">
        <f>'FC06'!M34</f>
        <v>0</v>
      </c>
      <c r="Q42" s="1"/>
      <c r="R42" s="20">
        <f ca="1">'SA10'!L26</f>
        <v>0</v>
      </c>
      <c r="S42" s="102"/>
    </row>
    <row r="43" spans="3:19">
      <c r="C43" s="32"/>
      <c r="D43" s="106" t="s">
        <v>526</v>
      </c>
      <c r="E43" s="20"/>
      <c r="F43" s="20">
        <f ca="1">SUM(H43:R43)</f>
        <v>0</v>
      </c>
      <c r="G43" s="1"/>
      <c r="H43" s="20"/>
      <c r="I43" s="1"/>
      <c r="J43" s="20"/>
      <c r="K43" s="1"/>
      <c r="L43" s="20"/>
      <c r="M43" s="1"/>
      <c r="N43" s="20"/>
      <c r="O43" s="1"/>
      <c r="P43" s="20"/>
      <c r="Q43" s="1"/>
      <c r="R43" s="20">
        <f ca="1">'SA10'!N27</f>
        <v>0</v>
      </c>
      <c r="S43" s="102"/>
    </row>
    <row r="44" spans="3:19">
      <c r="C44" s="32"/>
      <c r="D44" s="106"/>
      <c r="E44" s="20"/>
      <c r="F44" s="20"/>
      <c r="G44" s="1"/>
      <c r="H44" s="20"/>
      <c r="I44" s="1"/>
      <c r="J44" s="20"/>
      <c r="K44" s="1"/>
      <c r="L44" s="20"/>
      <c r="M44" s="1"/>
      <c r="N44" s="20"/>
      <c r="O44" s="1"/>
      <c r="P44" s="20"/>
      <c r="Q44" s="1"/>
      <c r="R44" s="20"/>
      <c r="S44" s="102"/>
    </row>
    <row r="45" spans="3:19">
      <c r="C45" s="32"/>
      <c r="D45" s="54" t="s">
        <v>193</v>
      </c>
      <c r="E45" s="20"/>
      <c r="F45" s="23">
        <f ca="1">SUM(H45:R45)</f>
        <v>-733629.10678596294</v>
      </c>
      <c r="G45" s="1"/>
      <c r="H45" s="23">
        <f ca="1">H35+H37-H39</f>
        <v>-118022.21114760404</v>
      </c>
      <c r="I45" s="1"/>
      <c r="J45" s="23">
        <f ca="1">J35+J37-J39</f>
        <v>-4998.5703561553673</v>
      </c>
      <c r="K45" s="1"/>
      <c r="L45" s="23">
        <f ca="1">L35+L37-L39</f>
        <v>-417573.02822207531</v>
      </c>
      <c r="M45" s="1"/>
      <c r="N45" s="23">
        <f ca="1">N35+N37-N39</f>
        <v>-177814.26732799649</v>
      </c>
      <c r="O45" s="1"/>
      <c r="P45" s="23">
        <f ca="1">P35+P37-P39</f>
        <v>-15982.536965075455</v>
      </c>
      <c r="Q45" s="1"/>
      <c r="R45" s="23">
        <f ca="1">R35+R37-R39</f>
        <v>761.50723294362251</v>
      </c>
      <c r="S45" s="102"/>
    </row>
    <row r="46" spans="3:19">
      <c r="C46" s="32"/>
      <c r="D46" s="2"/>
      <c r="E46" s="17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  <c r="R46" s="2"/>
      <c r="S46" s="102"/>
    </row>
    <row r="47" spans="3:19" ht="15.75" thickBot="1">
      <c r="C47" s="37"/>
      <c r="D47" s="38"/>
      <c r="E47" s="10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109"/>
    </row>
    <row r="48" spans="3:19" ht="15.75" thickBot="1"/>
    <row r="49" spans="3:19">
      <c r="C49" s="29"/>
      <c r="D49" s="30"/>
      <c r="E49" s="99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100"/>
    </row>
    <row r="50" spans="3:19">
      <c r="C50" s="32"/>
      <c r="D50" s="54" t="s">
        <v>554</v>
      </c>
      <c r="E50" s="20"/>
      <c r="F50" s="138">
        <f>SUM(F51:F52)</f>
        <v>74998.243733964249</v>
      </c>
      <c r="G50" s="20"/>
      <c r="H50" s="138">
        <f>SUM(H51:H52)</f>
        <v>0</v>
      </c>
      <c r="I50" s="20"/>
      <c r="J50" s="138">
        <f>SUM(J51:J52)</f>
        <v>0</v>
      </c>
      <c r="K50" s="20"/>
      <c r="L50" s="138">
        <f>SUM(L51:L52)</f>
        <v>0</v>
      </c>
      <c r="M50" s="20"/>
      <c r="N50" s="138">
        <f>SUM(N51:N52)</f>
        <v>0</v>
      </c>
      <c r="O50" s="20"/>
      <c r="P50" s="138">
        <f>SUM(P51:P52)</f>
        <v>0</v>
      </c>
      <c r="Q50" s="1"/>
      <c r="R50" s="138">
        <f>SUM(R51:R52)</f>
        <v>0</v>
      </c>
      <c r="S50" s="102"/>
    </row>
    <row r="51" spans="3:19">
      <c r="C51" s="32"/>
      <c r="D51" s="62" t="s">
        <v>553</v>
      </c>
      <c r="E51" s="20"/>
      <c r="F51" s="20">
        <f>'Interest Val. Schedule'!F23</f>
        <v>64943.425242304984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102"/>
    </row>
    <row r="52" spans="3:19">
      <c r="C52" s="32"/>
      <c r="D52" s="62" t="s">
        <v>559</v>
      </c>
      <c r="E52" s="20"/>
      <c r="F52" s="20">
        <f>'Interest Val. Schedule'!G23</f>
        <v>10054.818491659262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102"/>
    </row>
    <row r="53" spans="3:19">
      <c r="C53" s="32"/>
      <c r="D53" s="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102"/>
    </row>
    <row r="54" spans="3:19">
      <c r="C54" s="32"/>
      <c r="D54" s="54" t="s">
        <v>555</v>
      </c>
      <c r="E54" s="20"/>
      <c r="F54" s="149">
        <f ca="1">F35-F50</f>
        <v>-800335.24753146921</v>
      </c>
      <c r="G54" s="20"/>
      <c r="H54" s="149">
        <f ca="1">H35-H50</f>
        <v>-118022.21114760404</v>
      </c>
      <c r="I54" s="20"/>
      <c r="J54" s="149">
        <f ca="1">J35-J50</f>
        <v>-4998.5703561553673</v>
      </c>
      <c r="K54" s="20"/>
      <c r="L54" s="149">
        <f ca="1">L35-L50</f>
        <v>-416664.00827107241</v>
      </c>
      <c r="M54" s="20"/>
      <c r="N54" s="149">
        <f ca="1">N35-N50</f>
        <v>-169669.67705759767</v>
      </c>
      <c r="O54" s="20"/>
      <c r="P54" s="149">
        <f ca="1">P35-P50</f>
        <v>-15982.536965075455</v>
      </c>
      <c r="Q54" s="21"/>
      <c r="R54" s="123">
        <f>R35-R50</f>
        <v>0</v>
      </c>
      <c r="S54" s="102"/>
    </row>
    <row r="55" spans="3:19">
      <c r="C55" s="32"/>
      <c r="D55" s="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102"/>
    </row>
    <row r="56" spans="3:19">
      <c r="C56" s="32"/>
      <c r="D56" s="54" t="s">
        <v>556</v>
      </c>
      <c r="E56" s="20"/>
      <c r="F56" s="138">
        <f>SUM(F57:F58)</f>
        <v>93136.459679013526</v>
      </c>
      <c r="G56" s="20"/>
      <c r="H56" s="138">
        <f t="shared" ref="H56:R56" si="2">SUM(H57:H58)</f>
        <v>0</v>
      </c>
      <c r="I56" s="20"/>
      <c r="J56" s="138">
        <f t="shared" si="2"/>
        <v>0</v>
      </c>
      <c r="K56" s="20"/>
      <c r="L56" s="138">
        <f t="shared" si="2"/>
        <v>0</v>
      </c>
      <c r="M56" s="20"/>
      <c r="N56" s="138">
        <f t="shared" si="2"/>
        <v>0</v>
      </c>
      <c r="O56" s="20"/>
      <c r="P56" s="138">
        <f t="shared" si="2"/>
        <v>0</v>
      </c>
      <c r="Q56" s="1"/>
      <c r="R56" s="138">
        <f t="shared" si="2"/>
        <v>0</v>
      </c>
      <c r="S56" s="102"/>
    </row>
    <row r="57" spans="3:19">
      <c r="C57" s="32"/>
      <c r="D57" s="62" t="s">
        <v>557</v>
      </c>
      <c r="E57" s="20"/>
      <c r="F57" s="20">
        <f>'Interest Val. Schedule'!H23</f>
        <v>54817.705746464075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102"/>
    </row>
    <row r="58" spans="3:19">
      <c r="C58" s="32"/>
      <c r="D58" s="62" t="s">
        <v>558</v>
      </c>
      <c r="E58" s="20"/>
      <c r="F58" s="20">
        <f>'Interest Val. Schedule'!I23</f>
        <v>38318.753932549444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02"/>
    </row>
    <row r="59" spans="3:19">
      <c r="C59" s="32"/>
      <c r="D59" s="1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102"/>
    </row>
    <row r="60" spans="3:19">
      <c r="C60" s="32"/>
      <c r="D60" s="54" t="s">
        <v>576</v>
      </c>
      <c r="E60" s="20"/>
      <c r="F60" s="149">
        <f ca="1">F54-F56</f>
        <v>-893471.7072104828</v>
      </c>
      <c r="G60" s="20"/>
      <c r="H60" s="149">
        <f ca="1">H54-H56</f>
        <v>-118022.21114760404</v>
      </c>
      <c r="I60" s="20"/>
      <c r="J60" s="149">
        <f ca="1">J54-J56</f>
        <v>-4998.5703561553673</v>
      </c>
      <c r="K60" s="20"/>
      <c r="L60" s="149">
        <f ca="1">L54-L56</f>
        <v>-416664.00827107241</v>
      </c>
      <c r="M60" s="20"/>
      <c r="N60" s="149">
        <f ca="1">N54-N56</f>
        <v>-169669.67705759767</v>
      </c>
      <c r="O60" s="20"/>
      <c r="P60" s="149">
        <f ca="1">P54-P56</f>
        <v>-15982.536965075455</v>
      </c>
      <c r="Q60" s="21"/>
      <c r="R60" s="123">
        <f>R54-R56</f>
        <v>0</v>
      </c>
      <c r="S60" s="102"/>
    </row>
    <row r="61" spans="3:19" ht="15.75" thickBot="1">
      <c r="C61" s="37"/>
      <c r="D61" s="38"/>
      <c r="E61" s="10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109"/>
    </row>
  </sheetData>
  <pageMargins left="0.7" right="0.7" top="0.75" bottom="0.75" header="0.3" footer="0.3"/>
  <pageSetup paperSize="9" scale="3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workbookViewId="0">
      <selection activeCell="J28" sqref="J28"/>
    </sheetView>
  </sheetViews>
  <sheetFormatPr baseColWidth="10" defaultRowHeight="15"/>
  <cols>
    <col min="1" max="1" width="11.42578125" style="13"/>
    <col min="2" max="2" width="32.42578125" style="13" bestFit="1" customWidth="1"/>
    <col min="3" max="16384" width="11.42578125" style="13"/>
  </cols>
  <sheetData>
    <row r="1" spans="2:3">
      <c r="B1" s="287" t="s">
        <v>1234</v>
      </c>
      <c r="C1" s="287" t="s">
        <v>1235</v>
      </c>
    </row>
    <row r="3" spans="2:3">
      <c r="B3" s="286" t="s">
        <v>1211</v>
      </c>
      <c r="C3" t="s">
        <v>1237</v>
      </c>
    </row>
    <row r="4" spans="2:3">
      <c r="B4" s="286" t="s">
        <v>1212</v>
      </c>
      <c r="C4" t="s">
        <v>1213</v>
      </c>
    </row>
    <row r="5" spans="2:3">
      <c r="B5" s="286" t="s">
        <v>1214</v>
      </c>
      <c r="C5" t="s">
        <v>1215</v>
      </c>
    </row>
    <row r="6" spans="2:3">
      <c r="B6" s="286" t="s">
        <v>1216</v>
      </c>
      <c r="C6" t="s">
        <v>1238</v>
      </c>
    </row>
    <row r="7" spans="2:3">
      <c r="B7" s="286" t="s">
        <v>1217</v>
      </c>
      <c r="C7" t="s">
        <v>1218</v>
      </c>
    </row>
    <row r="8" spans="2:3">
      <c r="B8" s="286" t="s">
        <v>568</v>
      </c>
      <c r="C8" t="s">
        <v>1219</v>
      </c>
    </row>
    <row r="9" spans="2:3">
      <c r="B9" s="286" t="s">
        <v>422</v>
      </c>
      <c r="C9" t="s">
        <v>1220</v>
      </c>
    </row>
    <row r="10" spans="2:3">
      <c r="B10" s="286" t="s">
        <v>1221</v>
      </c>
      <c r="C10" t="s">
        <v>1250</v>
      </c>
    </row>
    <row r="11" spans="2:3">
      <c r="B11"/>
      <c r="C11"/>
    </row>
    <row r="12" spans="2:3">
      <c r="B12"/>
      <c r="C12"/>
    </row>
    <row r="13" spans="2:3">
      <c r="B13" s="286" t="s">
        <v>412</v>
      </c>
      <c r="C13" t="s">
        <v>1222</v>
      </c>
    </row>
    <row r="14" spans="2:3">
      <c r="B14" s="286" t="s">
        <v>1236</v>
      </c>
      <c r="C14" t="s">
        <v>1223</v>
      </c>
    </row>
    <row r="15" spans="2:3">
      <c r="B15" s="286" t="s">
        <v>463</v>
      </c>
      <c r="C15" t="s">
        <v>1224</v>
      </c>
    </row>
    <row r="16" spans="2:3">
      <c r="B16" s="286" t="s">
        <v>404</v>
      </c>
      <c r="C16" t="s">
        <v>1225</v>
      </c>
    </row>
    <row r="17" spans="2:3">
      <c r="B17" s="286" t="s">
        <v>416</v>
      </c>
      <c r="C17" t="s">
        <v>1226</v>
      </c>
    </row>
    <row r="18" spans="2:3">
      <c r="B18" s="286" t="s">
        <v>417</v>
      </c>
      <c r="C18" t="s">
        <v>1227</v>
      </c>
    </row>
    <row r="19" spans="2:3">
      <c r="B19" s="286" t="s">
        <v>464</v>
      </c>
      <c r="C19" t="s">
        <v>1228</v>
      </c>
    </row>
    <row r="20" spans="2:3">
      <c r="B20" s="286" t="s">
        <v>1229</v>
      </c>
      <c r="C20" t="s">
        <v>1230</v>
      </c>
    </row>
    <row r="21" spans="2:3">
      <c r="B21"/>
      <c r="C21"/>
    </row>
    <row r="22" spans="2:3">
      <c r="B22"/>
      <c r="C22"/>
    </row>
    <row r="23" spans="2:3">
      <c r="B23" s="286" t="s">
        <v>1231</v>
      </c>
      <c r="C23" t="s">
        <v>1232</v>
      </c>
    </row>
    <row r="24" spans="2:3">
      <c r="B24" s="286" t="s">
        <v>1233</v>
      </c>
      <c r="C24" t="s">
        <v>1249</v>
      </c>
    </row>
    <row r="26" spans="2:3">
      <c r="B26" s="289" t="s">
        <v>1239</v>
      </c>
      <c r="C26" s="13" t="s">
        <v>1243</v>
      </c>
    </row>
    <row r="27" spans="2:3">
      <c r="B27" s="289" t="s">
        <v>1240</v>
      </c>
      <c r="C27" s="13" t="s">
        <v>1241</v>
      </c>
    </row>
    <row r="28" spans="2:3">
      <c r="B28" s="289" t="s">
        <v>1242</v>
      </c>
      <c r="C28" s="13" t="s">
        <v>1244</v>
      </c>
    </row>
  </sheetData>
  <hyperlinks>
    <hyperlink ref="B3" location="SoFP!A1" display="Cash and Cash Equivalents"/>
    <hyperlink ref="B4" location="SoFP!A1" display="Trade Receivables"/>
    <hyperlink ref="B5" location="SoFP!A1" display="Advances"/>
    <hyperlink ref="B6" location="SoFP!A1" display="Prepaid Expenses"/>
    <hyperlink ref="B7" location="SoFP!A1" display="Cash advances"/>
    <hyperlink ref="B8" location="SoFP!A1" display="Other Receivables"/>
    <hyperlink ref="B9" location="SoFP!A1" display="Inventory"/>
    <hyperlink ref="B13" location="SoFP!A1" display="Accounts Payable - Overseas"/>
    <hyperlink ref="B14" location="SoFP!A1" display="Accounts Payable - Local"/>
    <hyperlink ref="B15" location="SoFP!A1" display="Tax Payable (Corporate Taxes)"/>
    <hyperlink ref="B16" location="SoFP!A1" display="Interest Payable"/>
    <hyperlink ref="B10" location="SoFP!A1" display="Work in progress"/>
    <hyperlink ref="B17" location="SoFP!F57" display="Salary Payable"/>
    <hyperlink ref="B18" location="SoFP!A1" display="Deposit received"/>
    <hyperlink ref="B19" location="SoFP!A1" display="Advance Payment"/>
    <hyperlink ref="B20" location="SoFP!A1" display="Other Payables"/>
    <hyperlink ref="B23" location="SoFP!A1" display="Long Term Accounts Payable "/>
    <hyperlink ref="B24" location="BS!F74" display="Present Discounted Value "/>
    <hyperlink ref="B26" location="'Tuna Inventory Valuation'!A1" display="Tuna Inventory Valuation Schedule"/>
    <hyperlink ref="B27" location="'Interest Val. Schedule'!A1" display="Interest Valuation Schedule"/>
    <hyperlink ref="B28" location="'Fixed Assets Schedule'!A1" display="Fixed Assets Schedul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8</vt:i4>
      </vt:variant>
    </vt:vector>
  </HeadingPairs>
  <TitlesOfParts>
    <vt:vector size="31" baseType="lpstr">
      <vt:lpstr>Trial Balance</vt:lpstr>
      <vt:lpstr>Net Income</vt:lpstr>
      <vt:lpstr>SoFP</vt:lpstr>
      <vt:lpstr>SoCI</vt:lpstr>
      <vt:lpstr>SoCF</vt:lpstr>
      <vt:lpstr>Performance</vt:lpstr>
      <vt:lpstr>Production Cost</vt:lpstr>
      <vt:lpstr>PnL Before Taxes</vt:lpstr>
      <vt:lpstr>Supporting Schedules ---&gt;</vt:lpstr>
      <vt:lpstr>Fixed Assets Schedule</vt:lpstr>
      <vt:lpstr>Tuna Inventory Val. Schedule</vt:lpstr>
      <vt:lpstr>Interest Val. Schedule</vt:lpstr>
      <vt:lpstr>Vessel Loan Schedule</vt:lpstr>
      <vt:lpstr>FC02</vt:lpstr>
      <vt:lpstr>FC03</vt:lpstr>
      <vt:lpstr>FC04</vt:lpstr>
      <vt:lpstr>FC05</vt:lpstr>
      <vt:lpstr>FC06</vt:lpstr>
      <vt:lpstr>SA10</vt:lpstr>
      <vt:lpstr>Mapping (Consolidated)</vt:lpstr>
      <vt:lpstr>Mapping (Break Down)</vt:lpstr>
      <vt:lpstr>Mapping Accounts (S&amp;A)</vt:lpstr>
      <vt:lpstr>Mapping (Categories)</vt:lpstr>
      <vt:lpstr>'FC02'!Zone_d_impression</vt:lpstr>
      <vt:lpstr>'FC04'!Zone_d_impression</vt:lpstr>
      <vt:lpstr>'FC05'!Zone_d_impression</vt:lpstr>
      <vt:lpstr>'FC06'!Zone_d_impression</vt:lpstr>
      <vt:lpstr>Performance!Zone_d_impression</vt:lpstr>
      <vt:lpstr>'PnL Before Taxes'!Zone_d_impression</vt:lpstr>
      <vt:lpstr>'SA10'!Zone_d_impression</vt:lpstr>
      <vt:lpstr>SoCI!Zone_d_impression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Boubacar BA</cp:lastModifiedBy>
  <cp:lastPrinted>2023-03-07T12:48:26Z</cp:lastPrinted>
  <dcterms:created xsi:type="dcterms:W3CDTF">2023-01-06T14:51:37Z</dcterms:created>
  <dcterms:modified xsi:type="dcterms:W3CDTF">2023-04-12T17:18:38Z</dcterms:modified>
</cp:coreProperties>
</file>