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24226"/>
  <mc:AlternateContent xmlns:mc="http://schemas.openxmlformats.org/markup-compatibility/2006">
    <mc:Choice Requires="x15">
      <x15ac:absPath xmlns:x15ac="http://schemas.microsoft.com/office/spreadsheetml/2010/11/ac" url="C:\Users\tsla\GitHub\smallthings\BOHR\"/>
    </mc:Choice>
  </mc:AlternateContent>
  <xr:revisionPtr revIDLastSave="0" documentId="8_{6023DB27-4880-439A-B047-6D439593D67E}" xr6:coauthVersionLast="47" xr6:coauthVersionMax="47" xr10:uidLastSave="{00000000-0000-0000-0000-000000000000}"/>
  <bookViews>
    <workbookView xWindow="1950" yWindow="1950" windowWidth="28800" windowHeight="15435" tabRatio="726" activeTab="1" xr2:uid="{00000000-000D-0000-FFFF-FFFF00000000}"/>
  </bookViews>
  <sheets>
    <sheet name="Instructions" sheetId="1" r:id="rId1"/>
    <sheet name="GACP Calculation" sheetId="2" r:id="rId2"/>
    <sheet name="Surface areas overview" sheetId="3" r:id="rId3"/>
    <sheet name="Surface area" sheetId="4" r:id="rId4"/>
    <sheet name="Input Parameters" sheetId="5" r:id="rId5"/>
    <sheet name="Anode Resistance Sheet" sheetId="6" r:id="rId6"/>
    <sheet name="Anode Data" sheetId="7" r:id="rId7"/>
    <sheet name="Seawater Resistivity" sheetId="8" r:id="rId8"/>
    <sheet name="Current Density" sheetId="9" r:id="rId9"/>
    <sheet name="Coating Breakdown" sheetId="10" r:id="rId10"/>
    <sheet name="Version History" sheetId="11" r:id="rId11"/>
  </sheets>
  <definedNames>
    <definedName name="a">'Coating Breakdown'!$C$2</definedName>
    <definedName name="a__fci">'GACP Calculation'!$J$64</definedName>
    <definedName name="Ac">'GACP Calculation'!$H$21</definedName>
    <definedName name="Acc">'GACP Calculation'!$H$22</definedName>
    <definedName name="Acm">'GACP Calculation'!$H$23</definedName>
    <definedName name="Acmc">'GACP Calculation'!$H$24</definedName>
    <definedName name="Acs">'GACP Calculation'!$H$25</definedName>
    <definedName name="Acsc">'GACP Calculation'!$H$26</definedName>
    <definedName name="Act">'GACP Calculation'!$H$19</definedName>
    <definedName name="Actc">'GACP Calculation'!$H$20</definedName>
    <definedName name="aluminium" localSheetId="6">'Anode Data'!#REF!</definedName>
    <definedName name="aluminium_1" localSheetId="6">'Anode Data'!#REF!</definedName>
    <definedName name="amud">'GACP Calculation'!$H$65</definedName>
    <definedName name="Anode" localSheetId="9">#REF!</definedName>
    <definedName name="Anode">#REF!</definedName>
    <definedName name="Anode_Data_Table">'Anode Data'!$A$5:$K$62</definedName>
    <definedName name="Anode_Electrochemical_Table" localSheetId="9">#REF!</definedName>
    <definedName name="Anode_Electrochemical_Table">#REF!</definedName>
    <definedName name="Anode_Environment">'Input Parameters'!$E$2:$E$3</definedName>
    <definedName name="Anode_Material">'Input Parameters'!$D$2:$D$3</definedName>
    <definedName name="Anode_Material_Environment" localSheetId="9">#REF!</definedName>
    <definedName name="Anode_Material_Environment">#REF!</definedName>
    <definedName name="Anode_Material_Environment_Table" localSheetId="9">#REF!</definedName>
    <definedName name="Anode_Material_Environment_Table">#REF!</definedName>
    <definedName name="Anode_Name">'Anode Data'!$A$6:$A$58</definedName>
    <definedName name="Anode_Name_Table" localSheetId="9">'Anode Data'!#REF!</definedName>
    <definedName name="Anode_Name_Table">'Anode Data'!#REF!</definedName>
    <definedName name="Anode_Net_Weight" localSheetId="9">'Anode Data'!#REF!</definedName>
    <definedName name="Anode_Net_Weight">'Anode Data'!#REF!</definedName>
    <definedName name="Anode_to_Object">'Input Parameters'!$I$2:$I$4</definedName>
    <definedName name="Anode_Type">'Input Parameters'!$B$35:$B$38</definedName>
    <definedName name="Anode_Type_Data">'Input Parameters'!$B$35:$D$38</definedName>
    <definedName name="Anode_Type_Environment" localSheetId="9">#REF!</definedName>
    <definedName name="Anode_Type_Environment">#REF!</definedName>
    <definedName name="ased">'GACP Calculation'!$H$66</definedName>
    <definedName name="asub__fci">'GACP Calculation'!$J$64</definedName>
    <definedName name="asubm__fci">'GACP Calculation'!$J$64</definedName>
    <definedName name="b">'Coating Breakdown'!$D$2</definedName>
    <definedName name="bracelet" localSheetId="6">'Anode Data'!#REF!</definedName>
    <definedName name="Climatic_Region">'Input Parameters'!$K$2:$K$12</definedName>
    <definedName name="Coating_Category">'Input Parameters'!$H$2:$H$5</definedName>
    <definedName name="criteria_1">'Anode Resistance Sheet'!$A$1:$A$2</definedName>
    <definedName name="Depth">'Input Parameters'!$G$2:$G$6</definedName>
    <definedName name="Ea">'GACP Calculation'!$H$41</definedName>
    <definedName name="Ec">'GACP Calculation'!$H$16</definedName>
    <definedName name="Enironment" localSheetId="9">#REF!</definedName>
    <definedName name="Enironment">#REF!</definedName>
    <definedName name="Exposure">'Input Parameters'!#REF!</definedName>
    <definedName name="fcmf">'GACP Calculation'!$H$71</definedName>
    <definedName name="fcmi">'GACP Calculation'!$H$65</definedName>
    <definedName name="fcmm">'GACP Calculation'!$H$70</definedName>
    <definedName name="fcmsef">'GACP Calculation'!$H$73</definedName>
    <definedName name="fcsei">'GACP Calculation'!$H$66</definedName>
    <definedName name="fcsem">'GACP Calculation'!$H$72</definedName>
    <definedName name="fcsf">'GACP Calculation'!$H$69</definedName>
    <definedName name="fcsi">'GACP Calculation'!$H$64</definedName>
    <definedName name="fcsm">'GACP Calculation'!$H$68</definedName>
    <definedName name="Ha">'GACP Calculation'!$H$83</definedName>
    <definedName name="harbour_anodes" localSheetId="6">'Anode Data'!#REF!</definedName>
    <definedName name="harbour_anodes_1" localSheetId="6">'Anode Data'!#REF!</definedName>
    <definedName name="harbour_anodes_2" localSheetId="6">'Anode Data'!#REF!</definedName>
    <definedName name="harbour_anodes_3" localSheetId="6">'Anode Data'!#REF!</definedName>
    <definedName name="Iaf">'GACP Calculation'!$H$100</definedName>
    <definedName name="Iai">'GACP Calculation'!$H$99</definedName>
    <definedName name="If">'GACP Calculation'!$H$78</definedName>
    <definedName name="Ifcd">'GACP Calculation'!$H$57</definedName>
    <definedName name="Ii">'GACP Calculation'!$H$76</definedName>
    <definedName name="Iicd">'GACP Calculation'!$H$55</definedName>
    <definedName name="Im">'GACP Calculation'!$H$77</definedName>
    <definedName name="Imcd">'GACP Calculation'!$H$56</definedName>
    <definedName name="Imicd">'GACP Calculation'!$H$58</definedName>
    <definedName name="Immfcd">'GACP Calculation'!$H$59</definedName>
    <definedName name="insert">'Anode Data'!#REF!</definedName>
    <definedName name="Isicd">'GACP Calculation'!$H$60</definedName>
    <definedName name="Ismfcd">'GACP Calculation'!$H$61</definedName>
    <definedName name="Itfcd">'GACP Calculation'!$H$54</definedName>
    <definedName name="Iticd">'GACP Calculation'!$H$52</definedName>
    <definedName name="Itmcd">'GACP Calculation'!$H$53</definedName>
    <definedName name="Konsekvensklasse">#REF!</definedName>
    <definedName name="La">'Anode Resistance Sheet'!$B$2</definedName>
    <definedName name="Lab">'GACP Calculation'!$H$82</definedName>
    <definedName name="Lat">'GACP Calculation'!$H$81</definedName>
    <definedName name="Lf">'Anode Resistance Sheet'!$D$2</definedName>
    <definedName name="Life">'Input Parameters'!$J$2:$J$7</definedName>
    <definedName name="maf">'Anode Resistance Sheet'!$F$2</definedName>
    <definedName name="mai">'GACP Calculation'!$H$90</definedName>
    <definedName name="platform_anodes" localSheetId="6">'Anode Data'!#REF!</definedName>
    <definedName name="platform_anodes_1" localSheetId="6">'Anode Data'!#REF!</definedName>
    <definedName name="platform_anodes_2" localSheetId="6">'Anode Data'!#REF!</definedName>
    <definedName name="_xlnm.Print_Area" localSheetId="1">'GACP Calculation'!$A$1:$J$100</definedName>
    <definedName name="_xlnm.Print_Area" localSheetId="0">Instructions!$A$1:$H$15</definedName>
    <definedName name="_xlnm.Print_Titles" localSheetId="1">'GACP Calculation'!$1:$7</definedName>
    <definedName name="Protection_Potential">'Input Parameters'!$F$2:$F$3</definedName>
    <definedName name="pø">'GACP Calculation'!$H$14</definedName>
    <definedName name="ra">'GACP Calculation'!$H$92</definedName>
    <definedName name="Raf">'Anode Resistance Sheet'!$J$2</definedName>
    <definedName name="Rai">'Anode Resistance Sheet'!$C$2</definedName>
    <definedName name="rf">'Anode Resistance Sheet'!$I$2</definedName>
    <definedName name="Seawater_Resistance">'Input Parameters'!$C$2:$C$5</definedName>
    <definedName name="spd">'Anode Resistance Sheet'!$G$2</definedName>
    <definedName name="Standard">'Input Parameters'!$B$2:$B$4</definedName>
    <definedName name="Temperature">'Input Parameters'!#REF!</definedName>
    <definedName name="tf">'GACP Calculation'!$H$15</definedName>
    <definedName name="Tis">'GACP Calculation'!$H$87</definedName>
    <definedName name="Type">'GACP Calculation'!$H$37</definedName>
    <definedName name="u">'GACP Calculation'!$H$39</definedName>
    <definedName name="Vaf">'Anode Resistance Sheet'!$H$2</definedName>
    <definedName name="vis">'Anode Resistance Sheet'!$E$2</definedName>
    <definedName name="Wab">'GACP Calculation'!$H$85</definedName>
    <definedName name="Wat">'GACP Calculation'!$H$84</definedName>
    <definedName name="Wis">'GACP Calculation'!$H$86</definedName>
    <definedName name="zinc" localSheetId="6">'Anode Data'!#REF!</definedName>
    <definedName name="zinc_1" localSheetId="6">'Anode Data'!$A$20:$I$26</definedName>
    <definedName name="ε">'GACP Calculation'!$H$40</definedName>
    <definedName name="ρ">'GACP Calculation'!$H$14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0" l="1"/>
  <c r="H67" i="2" s="1"/>
  <c r="B2" i="10"/>
  <c r="C2" i="10" s="1"/>
  <c r="A2" i="10"/>
  <c r="F50" i="9"/>
  <c r="F51" i="9" s="1"/>
  <c r="F52" i="9" s="1"/>
  <c r="F49" i="9"/>
  <c r="E49" i="9"/>
  <c r="E50" i="9" s="1"/>
  <c r="E51" i="9" s="1"/>
  <c r="E52" i="9" s="1"/>
  <c r="D49" i="9"/>
  <c r="D50" i="9" s="1"/>
  <c r="D51" i="9" s="1"/>
  <c r="D52" i="9" s="1"/>
  <c r="D47" i="9"/>
  <c r="D46" i="9"/>
  <c r="F45" i="9"/>
  <c r="F46" i="9" s="1"/>
  <c r="F47" i="9" s="1"/>
  <c r="D45" i="9"/>
  <c r="F44" i="9"/>
  <c r="E44" i="9"/>
  <c r="E45" i="9" s="1"/>
  <c r="E46" i="9" s="1"/>
  <c r="E47" i="9" s="1"/>
  <c r="D44" i="9"/>
  <c r="F40" i="9"/>
  <c r="F41" i="9" s="1"/>
  <c r="F42" i="9" s="1"/>
  <c r="F39" i="9"/>
  <c r="E39" i="9"/>
  <c r="E40" i="9" s="1"/>
  <c r="E41" i="9" s="1"/>
  <c r="E42" i="9" s="1"/>
  <c r="D39" i="9"/>
  <c r="D40" i="9" s="1"/>
  <c r="D41" i="9" s="1"/>
  <c r="D42" i="9" s="1"/>
  <c r="D37" i="9"/>
  <c r="D36" i="9"/>
  <c r="F35" i="9"/>
  <c r="F36" i="9" s="1"/>
  <c r="F37" i="9" s="1"/>
  <c r="D35" i="9"/>
  <c r="F34" i="9"/>
  <c r="E34" i="9"/>
  <c r="E35" i="9" s="1"/>
  <c r="E36" i="9" s="1"/>
  <c r="E37" i="9" s="1"/>
  <c r="D34" i="9"/>
  <c r="F30" i="9"/>
  <c r="F31" i="9" s="1"/>
  <c r="F32" i="9" s="1"/>
  <c r="F29" i="9"/>
  <c r="E29" i="9"/>
  <c r="E30" i="9" s="1"/>
  <c r="E31" i="9" s="1"/>
  <c r="E32" i="9" s="1"/>
  <c r="D29" i="9"/>
  <c r="D30" i="9" s="1"/>
  <c r="D31" i="9" s="1"/>
  <c r="D32" i="9" s="1"/>
  <c r="I2" i="9"/>
  <c r="C2" i="9"/>
  <c r="B2" i="9"/>
  <c r="H57" i="2" s="1"/>
  <c r="H54" i="2" s="1"/>
  <c r="A2" i="9"/>
  <c r="K65" i="7"/>
  <c r="K64" i="7"/>
  <c r="K63" i="7"/>
  <c r="O62" i="7"/>
  <c r="K62" i="7"/>
  <c r="O61" i="7"/>
  <c r="K61" i="7"/>
  <c r="O60" i="7"/>
  <c r="K60" i="7"/>
  <c r="O59" i="7"/>
  <c r="K59" i="7"/>
  <c r="O58" i="7"/>
  <c r="K58" i="7"/>
  <c r="O57" i="7"/>
  <c r="K57" i="7"/>
  <c r="O56" i="7"/>
  <c r="K56" i="7"/>
  <c r="O55" i="7"/>
  <c r="K55" i="7"/>
  <c r="O54" i="7"/>
  <c r="K54" i="7"/>
  <c r="O53" i="7"/>
  <c r="K53" i="7"/>
  <c r="O52" i="7"/>
  <c r="K52" i="7"/>
  <c r="O51" i="7"/>
  <c r="K51" i="7"/>
  <c r="O50" i="7"/>
  <c r="K50" i="7"/>
  <c r="O49" i="7"/>
  <c r="K49" i="7"/>
  <c r="O48" i="7"/>
  <c r="K48" i="7"/>
  <c r="O47" i="7"/>
  <c r="K47" i="7"/>
  <c r="O46" i="7"/>
  <c r="K46" i="7"/>
  <c r="O45" i="7"/>
  <c r="K45" i="7"/>
  <c r="O44" i="7"/>
  <c r="K44" i="7"/>
  <c r="O43" i="7"/>
  <c r="K43" i="7"/>
  <c r="O42" i="7"/>
  <c r="K42" i="7"/>
  <c r="O41" i="7"/>
  <c r="K41" i="7"/>
  <c r="O40" i="7"/>
  <c r="K40" i="7"/>
  <c r="O39" i="7"/>
  <c r="K39" i="7"/>
  <c r="O38" i="7"/>
  <c r="K38" i="7"/>
  <c r="O37" i="7"/>
  <c r="K37" i="7"/>
  <c r="O36" i="7"/>
  <c r="K36" i="7"/>
  <c r="O35" i="7"/>
  <c r="K35" i="7"/>
  <c r="O34" i="7"/>
  <c r="K34" i="7"/>
  <c r="O33" i="7"/>
  <c r="K33" i="7"/>
  <c r="O32" i="7"/>
  <c r="K32" i="7"/>
  <c r="O31" i="7"/>
  <c r="K31" i="7"/>
  <c r="O30" i="7"/>
  <c r="K30" i="7"/>
  <c r="O29" i="7"/>
  <c r="K29" i="7"/>
  <c r="O28" i="7"/>
  <c r="K28" i="7"/>
  <c r="O27" i="7"/>
  <c r="K27" i="7"/>
  <c r="O26" i="7"/>
  <c r="O25" i="7"/>
  <c r="O24" i="7"/>
  <c r="O23" i="7"/>
  <c r="O22" i="7"/>
  <c r="O21" i="7"/>
  <c r="O20" i="7"/>
  <c r="O19" i="7"/>
  <c r="O18" i="7"/>
  <c r="O17" i="7"/>
  <c r="O16" i="7"/>
  <c r="O15" i="7"/>
  <c r="O14" i="7"/>
  <c r="O13" i="7"/>
  <c r="O12" i="7"/>
  <c r="O11" i="7"/>
  <c r="O10" i="7"/>
  <c r="O9" i="7"/>
  <c r="Q8" i="7"/>
  <c r="Q7" i="7"/>
  <c r="K7" i="7"/>
  <c r="O6" i="7"/>
  <c r="B12" i="6"/>
  <c r="B11" i="6"/>
  <c r="E11" i="6" s="1"/>
  <c r="I10" i="6"/>
  <c r="B10" i="6"/>
  <c r="E10" i="6" s="1"/>
  <c r="I9" i="6"/>
  <c r="B9" i="6"/>
  <c r="E9" i="6" s="1"/>
  <c r="A2" i="6"/>
  <c r="D11" i="5"/>
  <c r="C11" i="5"/>
  <c r="H40" i="2" s="1"/>
  <c r="B11" i="5"/>
  <c r="I27" i="3" a="1"/>
  <c r="I27" i="3" s="1"/>
  <c r="H27" i="3" a="1"/>
  <c r="H27" i="3" s="1"/>
  <c r="G27" i="3" a="1"/>
  <c r="G27" i="3"/>
  <c r="F27" i="3"/>
  <c r="D27" i="3"/>
  <c r="I26" i="3" a="1"/>
  <c r="I26" i="3" s="1"/>
  <c r="H26" i="3" a="1"/>
  <c r="H26" i="3" s="1"/>
  <c r="G26" i="3" a="1"/>
  <c r="G26" i="3"/>
  <c r="F26" i="3"/>
  <c r="D26" i="3"/>
  <c r="I25" i="3" a="1"/>
  <c r="I25" i="3" s="1"/>
  <c r="H25" i="3" a="1"/>
  <c r="H25" i="3" s="1"/>
  <c r="G25" i="3" a="1"/>
  <c r="G25" i="3"/>
  <c r="F25" i="3"/>
  <c r="D25" i="3"/>
  <c r="I24" i="3" a="1"/>
  <c r="I24" i="3" s="1"/>
  <c r="H24" i="3" a="1"/>
  <c r="H24" i="3" s="1"/>
  <c r="G24" i="3" a="1"/>
  <c r="G24" i="3"/>
  <c r="F24" i="3"/>
  <c r="D24" i="3"/>
  <c r="I23" i="3" a="1"/>
  <c r="I23" i="3" s="1"/>
  <c r="H23" i="3" a="1"/>
  <c r="H23" i="3" s="1"/>
  <c r="G23" i="3" a="1"/>
  <c r="G23" i="3"/>
  <c r="F23" i="3"/>
  <c r="D23" i="3"/>
  <c r="I22" i="3" a="1"/>
  <c r="I22" i="3" s="1"/>
  <c r="H22" i="3" a="1"/>
  <c r="H22" i="3" s="1"/>
  <c r="G22" i="3" a="1"/>
  <c r="G22" i="3"/>
  <c r="F22" i="3"/>
  <c r="D22" i="3"/>
  <c r="I21" i="3" a="1"/>
  <c r="I21" i="3" s="1"/>
  <c r="H21" i="3" a="1"/>
  <c r="H21" i="3" s="1"/>
  <c r="G21" i="3" a="1"/>
  <c r="G21" i="3"/>
  <c r="F21" i="3"/>
  <c r="D21" i="3"/>
  <c r="I20" i="3" a="1"/>
  <c r="I20" i="3" s="1"/>
  <c r="H20" i="3" a="1"/>
  <c r="H20" i="3" s="1"/>
  <c r="G20" i="3" a="1"/>
  <c r="G20" i="3"/>
  <c r="F20" i="3"/>
  <c r="D20" i="3"/>
  <c r="I19" i="3" a="1"/>
  <c r="I19" i="3" s="1"/>
  <c r="H19" i="3" a="1"/>
  <c r="H19" i="3" s="1"/>
  <c r="G19" i="3" a="1"/>
  <c r="G19" i="3"/>
  <c r="F19" i="3"/>
  <c r="D19" i="3"/>
  <c r="I18" i="3" a="1"/>
  <c r="I18" i="3" s="1"/>
  <c r="H18" i="3" a="1"/>
  <c r="H18" i="3" s="1"/>
  <c r="G18" i="3" a="1"/>
  <c r="G18" i="3"/>
  <c r="F18" i="3"/>
  <c r="D18" i="3"/>
  <c r="I17" i="3" a="1"/>
  <c r="I17" i="3" s="1"/>
  <c r="H17" i="3" a="1"/>
  <c r="H17" i="3" s="1"/>
  <c r="G17" i="3" a="1"/>
  <c r="G17" i="3"/>
  <c r="F17" i="3"/>
  <c r="D17" i="3"/>
  <c r="I16" i="3" a="1"/>
  <c r="I16" i="3" s="1"/>
  <c r="H16" i="3" a="1"/>
  <c r="H16" i="3" s="1"/>
  <c r="G16" i="3" a="1"/>
  <c r="G16" i="3"/>
  <c r="F16" i="3"/>
  <c r="D16" i="3"/>
  <c r="I15" i="3" a="1"/>
  <c r="I15" i="3" s="1"/>
  <c r="H15" i="3" a="1"/>
  <c r="H15" i="3" s="1"/>
  <c r="G15" i="3" a="1"/>
  <c r="G15" i="3"/>
  <c r="F15" i="3"/>
  <c r="D15" i="3"/>
  <c r="I14" i="3" a="1"/>
  <c r="I14" i="3" s="1"/>
  <c r="H14" i="3" a="1"/>
  <c r="H14" i="3" s="1"/>
  <c r="G14" i="3" a="1"/>
  <c r="G14" i="3"/>
  <c r="F14" i="3"/>
  <c r="D14" i="3"/>
  <c r="I13" i="3" a="1"/>
  <c r="I13" i="3" s="1"/>
  <c r="H13" i="3" a="1"/>
  <c r="H13" i="3" s="1"/>
  <c r="G13" i="3" a="1"/>
  <c r="G13" i="3"/>
  <c r="F13" i="3"/>
  <c r="D13" i="3"/>
  <c r="I12" i="3" a="1"/>
  <c r="I12" i="3" s="1"/>
  <c r="H12" i="3" a="1"/>
  <c r="H12" i="3" s="1"/>
  <c r="G12" i="3" a="1"/>
  <c r="G12" i="3"/>
  <c r="F12" i="3"/>
  <c r="D12" i="3"/>
  <c r="I11" i="3" a="1"/>
  <c r="I11" i="3" s="1"/>
  <c r="H11" i="3" a="1"/>
  <c r="H11" i="3" s="1"/>
  <c r="G11" i="3" a="1"/>
  <c r="G11" i="3"/>
  <c r="F11" i="3"/>
  <c r="D11" i="3"/>
  <c r="I10" i="3" a="1"/>
  <c r="I10" i="3" s="1"/>
  <c r="H10" i="3" a="1"/>
  <c r="H10" i="3" s="1"/>
  <c r="G10" i="3" a="1"/>
  <c r="G10" i="3"/>
  <c r="F10" i="3"/>
  <c r="D10" i="3"/>
  <c r="I9" i="3" a="1"/>
  <c r="I9" i="3" s="1"/>
  <c r="H9" i="3" a="1"/>
  <c r="H9" i="3" s="1"/>
  <c r="G9" i="3" a="1"/>
  <c r="G9" i="3"/>
  <c r="F9" i="3"/>
  <c r="D9" i="3"/>
  <c r="I8" i="3" a="1"/>
  <c r="I8" i="3" s="1"/>
  <c r="H8" i="3" a="1"/>
  <c r="H8" i="3" s="1"/>
  <c r="G8" i="3" a="1"/>
  <c r="G8" i="3"/>
  <c r="F8" i="3"/>
  <c r="D8" i="3"/>
  <c r="I7" i="3" a="1"/>
  <c r="I7" i="3" s="1"/>
  <c r="H7" i="3" a="1"/>
  <c r="H7" i="3" s="1"/>
  <c r="G7" i="3" a="1"/>
  <c r="G7" i="3"/>
  <c r="F7" i="3"/>
  <c r="D7" i="3"/>
  <c r="I6" i="3" a="1"/>
  <c r="I6" i="3" s="1"/>
  <c r="H6" i="3" a="1"/>
  <c r="H6" i="3" s="1"/>
  <c r="G6" i="3" a="1"/>
  <c r="G6" i="3"/>
  <c r="F6" i="3"/>
  <c r="D6" i="3"/>
  <c r="I5" i="3" a="1"/>
  <c r="I5" i="3" s="1"/>
  <c r="H5" i="3" a="1"/>
  <c r="H5" i="3" s="1"/>
  <c r="G5" i="3" a="1"/>
  <c r="G5" i="3"/>
  <c r="F5" i="3"/>
  <c r="D5" i="3"/>
  <c r="I4" i="3" a="1"/>
  <c r="I4" i="3" s="1"/>
  <c r="H4" i="3" a="1"/>
  <c r="H4" i="3" s="1"/>
  <c r="G4" i="3" a="1"/>
  <c r="G4" i="3"/>
  <c r="F4" i="3"/>
  <c r="D4" i="3"/>
  <c r="I3" i="3" a="1"/>
  <c r="I3" i="3" s="1"/>
  <c r="H3" i="3" a="1"/>
  <c r="H3" i="3" s="1"/>
  <c r="G3" i="3" a="1"/>
  <c r="G3" i="3"/>
  <c r="F3" i="3"/>
  <c r="D3" i="3"/>
  <c r="I2" i="3" a="1"/>
  <c r="I2" i="3" s="1"/>
  <c r="H2" i="3" a="1"/>
  <c r="H2" i="3" s="1"/>
  <c r="G2" i="3" a="1"/>
  <c r="G2" i="3"/>
  <c r="F2" i="3"/>
  <c r="D2" i="3"/>
  <c r="H90" i="2"/>
  <c r="H36" i="2" s="1"/>
  <c r="H87" i="2"/>
  <c r="H86" i="2"/>
  <c r="H85" i="2"/>
  <c r="H84" i="2"/>
  <c r="C12" i="6" s="1"/>
  <c r="H83" i="2"/>
  <c r="H82" i="2"/>
  <c r="C11" i="6" s="1"/>
  <c r="H81" i="2"/>
  <c r="B2" i="6" s="1"/>
  <c r="H61" i="2"/>
  <c r="H59" i="2" s="1"/>
  <c r="H60" i="2"/>
  <c r="H58" i="2" s="1"/>
  <c r="H56" i="2"/>
  <c r="H53" i="2" s="1"/>
  <c r="C42" i="2"/>
  <c r="H41" i="2"/>
  <c r="H39" i="2"/>
  <c r="H35" i="2"/>
  <c r="G2" i="6" s="1"/>
  <c r="H93" i="2" s="1"/>
  <c r="C17" i="2"/>
  <c r="D12" i="6" l="1"/>
  <c r="D11" i="6"/>
  <c r="D10" i="6"/>
  <c r="D9" i="6"/>
  <c r="D2" i="6" s="1"/>
  <c r="F2" i="6"/>
  <c r="H94" i="2" s="1"/>
  <c r="H69" i="2"/>
  <c r="H78" i="2" s="1"/>
  <c r="H64" i="2"/>
  <c r="H68" i="2"/>
  <c r="H77" i="2" s="1"/>
  <c r="H91" i="2" s="1"/>
  <c r="H44" i="2" s="1"/>
  <c r="H48" i="2"/>
  <c r="H70" i="2"/>
  <c r="H92" i="2"/>
  <c r="G12" i="6" s="1"/>
  <c r="E12" i="6"/>
  <c r="H71" i="2"/>
  <c r="H72" i="2"/>
  <c r="H73" i="2"/>
  <c r="H12" i="6"/>
  <c r="H55" i="2"/>
  <c r="H52" i="2" s="1"/>
  <c r="H76" i="2" s="1"/>
  <c r="C10" i="6"/>
  <c r="E2" i="6" l="1"/>
  <c r="C9" i="6"/>
  <c r="C2" i="6" s="1"/>
  <c r="F10" i="6" l="1"/>
  <c r="G10" i="6" s="1"/>
  <c r="F9" i="6"/>
  <c r="F11" i="6"/>
  <c r="G11" i="6" s="1"/>
  <c r="H97" i="2"/>
  <c r="H99" i="2"/>
  <c r="H45" i="2" s="1"/>
  <c r="F12" i="6"/>
  <c r="H2" i="6" l="1"/>
  <c r="H95" i="2" s="1"/>
  <c r="G9" i="6"/>
  <c r="I2" i="6" s="1"/>
  <c r="H96" i="2" l="1"/>
  <c r="H9" i="6"/>
  <c r="J2" i="6" s="1"/>
  <c r="H11" i="6"/>
  <c r="H10" i="6"/>
  <c r="H98" i="2" l="1"/>
  <c r="H100" i="2"/>
  <c r="H46" i="2" s="1"/>
  <c r="H47" i="2" s="1"/>
  <c r="H4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Jacob Brink Jansson</author>
    <author>Sameer Abdullah Ayyar</author>
    <author>Philipp Ullrich Niemann</author>
  </authors>
  <commentList>
    <comment ref="H14" authorId="0" shapeId="0" xr:uid="{00000000-0006-0000-0100-000001000000}">
      <text>
        <r>
          <rPr>
            <sz val="10"/>
            <rFont val="Arial"/>
            <family val="2"/>
          </rPr>
          <t xml:space="preserve">See sheet named "Seawater resistivity" for more information. </t>
        </r>
      </text>
    </comment>
    <comment ref="H19" authorId="1" shapeId="0" xr:uid="{00000000-0006-0000-0100-000002000000}">
      <text>
        <r>
          <rPr>
            <sz val="10"/>
            <rFont val="Arial"/>
            <family val="2"/>
          </rPr>
          <t>Please leave the value as zero if using standard other than EN 12495.</t>
        </r>
      </text>
    </comment>
    <comment ref="H20" authorId="1" shapeId="0" xr:uid="{00000000-0006-0000-0100-000003000000}">
      <text>
        <r>
          <rPr>
            <sz val="10"/>
            <rFont val="Arial"/>
            <family val="2"/>
          </rPr>
          <t>Please leave the value as zero if using standard other than EN 12495.</t>
        </r>
      </text>
    </comment>
    <comment ref="H29" authorId="2" shapeId="0" xr:uid="{00000000-0006-0000-0100-000004000000}">
      <text>
        <r>
          <rPr>
            <sz val="10"/>
            <rFont val="Arial"/>
            <family val="2"/>
          </rPr>
          <t>Category I
One layer of epoxy paint coating, min. 20 µm nominal DFT
Category II
One or more layers of marine paint coating, total nominal DFT min. 250 µm
Category III
Two or more layers of marine paint coating, total nominal DFT min. 350 µm
Category IV
Two or more layers of epoxy-based coatings according to 
NORSOK M-501 systems 3B or 7, with total nominal DFT of minimum 350 μm or the equivalent and meeting all requirements for coating system qualification, coating application, inspection and repairs given in the
same standard. The purchaser is further required to be involved in quality control by
accepting the coating application procedure and carrying out quality surveillance during
coating work.</t>
        </r>
      </text>
    </comment>
    <comment ref="H87" authorId="1" shapeId="0" xr:uid="{00000000-0006-0000-0100-000005000000}">
      <text>
        <r>
          <rPr>
            <sz val="10"/>
            <rFont val="Arial"/>
            <family val="2"/>
          </rPr>
          <t>If the insert is circular, please note the cell value will/ need to correspond to PI()</t>
        </r>
      </text>
    </comment>
  </commentList>
</comments>
</file>

<file path=xl/sharedStrings.xml><?xml version="1.0" encoding="utf-8"?>
<sst xmlns="http://schemas.openxmlformats.org/spreadsheetml/2006/main" count="1021" uniqueCount="462">
  <si>
    <t>SACRIFICIAL ANODE DESIGN CALCULATION   Version 1.0, 9 November 2012</t>
  </si>
  <si>
    <t>General Information</t>
  </si>
  <si>
    <t>1. This sheet can be used as an design aid to design sacrificial anode systems for marine structures like harbour steel structures, fixed steel offshore structures etc.
2. User is advised to be acquainted with DNV or EN or other relevant standard for sacrificial anode design before using this design aid.
3. Design steps, their descriptions, and notes on using this design aid can be found below.
4. Colored boxes are found in the 'design sheet' tab wherein the user can select/enter data to complete the design. Please read further about the colored boxes below.
5. Please read copyright statement below.
6. Please read disclaimer statement below.</t>
  </si>
  <si>
    <t>Design Steps</t>
  </si>
  <si>
    <t>Notes while using the design aid</t>
  </si>
  <si>
    <t>Select the applicable design standard, climatic region, depth range,  seawater resistance, design life, design protection potential.
Foreign data entry is supported for design standard, climatic region, depth range, seawater resistance and design life allowing the user to enter custom data. 
No foreign data entry is allowed for design protection potential.
In case of custom data entry, the current density values will then need to be entered manually into the orange boxes.</t>
  </si>
  <si>
    <t>Enter the surface area values in the purple box. The user may enter surface area based on bare/coated area as well as according to exposure type (tidal/ immersed/ buried).
If only part of user's immersed structure is coated, the user need to enter the corresponding areas in "immersed coated surface area" and "immersed bare surface area". 
This design aid does not calculate surface area. The surface area calculation shall be done by user and seperately entered into the sheet.
User is advised to follow definition of extended tidal zone and sediment surface area in EN or DNV standards.
Cell comments have been provided for  extended tidal zone surface area.</t>
  </si>
  <si>
    <t xml:space="preserve">Select the coating category. The sheet automatically selects and calculates coating breakdown factors. 
After this step, the design sheet would have calculated the anode current requirements (initial, mean and final).
</t>
  </si>
  <si>
    <t>Select the anode material, environment and the type of anode. A list of standard anodes from BAC Denmark is available in the library for the user to select from.
Foreign data entry is supported allowing the user to choose a custom anode. In case  of custom entry, the user will need to enter the weight and dimensions of the anode in the "anode data" sheet,. If an aluminium anode then data shall be entered in the yellow line and if zinc in the green line. 
No foreign data entry is allowed for anode material or anode environment.
User is advised to refer EN or DNV standards for deeper understanding of the anode selection paramters.
Anode type cell displays some information on anode (mounting) type.</t>
  </si>
  <si>
    <t>After selecting the type of anodes, the required number are automatically calculated and shown on the "Results" box.
The number of anodes is determined by 3 requirements - intial current, final current and weight requirement.
All 3 requirements must be met in the design, and therefore the number of anodes to be installed, is the highest number of anodes from the 3 requirements.
This number is shown at the bottom line as "No. of anodes selected for cathode zone".
The design of the system may be iterative - choosing a particular anode,  determining whether it meets the requirements, and repeating if necessary.</t>
  </si>
  <si>
    <t>Reiterate the anode selection step as required to obtain the optimum number of anodes and produce an anode arrangement drawing.
Please note this design aid will not suggest how best to distribute anodes. This shall be done by the responsible engineer as this involves more than distributing the anodes uniformly.</t>
  </si>
  <si>
    <t>The user is asked to contact jaja@cowi.dk to have a guidance on who to contact for quality check on the sacrificial anode selection design.
This also applies to evaluation of corrosion situation, selection of strategy, design report, anode specification data, drawing arrangement etc as part of the sacrificial anode design.</t>
  </si>
  <si>
    <t>Colored boxes in the design aid</t>
  </si>
  <si>
    <t xml:space="preserve">There are blue, orange and purple boxes in the 'design sheet tab'. The user can also find useful input messages or cell comments for certain boxes. Somtimes error messages are displayed to guide the user to data entry.
Blue boxes are drop-down lists which the user can use to select design parameters. While some blue drop-down lists restrict the user in entering foreign data, most of the blue drop-down lists allow foreign data to be entered, thus allowing for deviation from the standards library. In such cases, the user will be guided by informative error messages or cell comments.
Orange boxes normally gets auto-filled. In cases of deviation (or foreign data being entered in blue boxes), the parameters for orange boxes will need to be entered manually by the user. In some cases, the orange boxes can show error (#VALUE) if there is a mismatch between standard selected and related data. In such cases, information will be found on the related blue box.
Purple boxes are intended for the user to enter the surface area calculation. The surface area calculation shall be done by user and seperately entered into the purple boxes.
</t>
  </si>
  <si>
    <t>Copyright statement</t>
  </si>
  <si>
    <t>Copyright © 2012 COWI Cathodic Protection Network.
COWI Group Concrete and Corrosion Network grants permission of this design aid for COWI internal use only. A copy of this notice must be appended to any print of this sheet taken. Distribution or sharing with external customers is allowed only in pdf format. Distiribution or sharing for any other purpose is prohibited. Copying or uploading for any purpose is prohibited.</t>
  </si>
  <si>
    <t>Disclaimer statement</t>
  </si>
  <si>
    <t>COWI Group Concrete and Corrosion Network cannot be held responsible for the outcome or consequences of actions taken on the basis of using this design tool. The use is subject to QA following COWI's general procedures For cathodic protection assistance and more information, contact jaja@cowi.dk</t>
  </si>
  <si>
    <t>Galvanic Anode Cathodic Protection</t>
  </si>
  <si>
    <t>Design Calculation</t>
  </si>
  <si>
    <t>Norm options: EN 12495:2000, DNV-RP-B401:2021, Norsok M-503:2007</t>
  </si>
  <si>
    <t>Ver. 4.0</t>
  </si>
  <si>
    <t>Authorized Practice</t>
  </si>
  <si>
    <t>Case:</t>
  </si>
  <si>
    <t>Shinan-Ui OWF - Basic design (Detailed design phase I)</t>
  </si>
  <si>
    <t>Case No.</t>
  </si>
  <si>
    <t>A242416</t>
  </si>
  <si>
    <t>Subject:</t>
  </si>
  <si>
    <t>Deep cluster (cluster 1)</t>
  </si>
  <si>
    <t>Date:</t>
  </si>
  <si>
    <t>Prep'd:</t>
  </si>
  <si>
    <t>BOHR</t>
  </si>
  <si>
    <t>Checked:</t>
  </si>
  <si>
    <t>Appr'd:</t>
  </si>
  <si>
    <t>DESIGN STANDARD, CLIMATIC CONDITIONS</t>
  </si>
  <si>
    <t>Design Standard</t>
  </si>
  <si>
    <t>DNV-RP-B401:2021</t>
  </si>
  <si>
    <t>Climatic Region</t>
  </si>
  <si>
    <t>Sub-Tropical "12-20c"</t>
  </si>
  <si>
    <t>Depth Range (m)</t>
  </si>
  <si>
    <t>"0-20"</t>
  </si>
  <si>
    <t>DEPTH RANGE, SEAWATER RESISTANCE, DESIGN LIFE AND DESIGN PROTECTION POTENTIAL</t>
  </si>
  <si>
    <t>Seawater Resistance</t>
  </si>
  <si>
    <t>ohm-m</t>
  </si>
  <si>
    <t>pø</t>
  </si>
  <si>
    <t>Design Life</t>
  </si>
  <si>
    <t>yrs</t>
  </si>
  <si>
    <t>tf</t>
  </si>
  <si>
    <t>Design Protection Potential</t>
  </si>
  <si>
    <t>V</t>
  </si>
  <si>
    <t>Ec</t>
  </si>
  <si>
    <t>SURFACE AREA OF STRUCTURE</t>
  </si>
  <si>
    <t>Extended Tidal Zone Bare Surface Area</t>
  </si>
  <si>
    <t>m2</t>
  </si>
  <si>
    <t>Act</t>
  </si>
  <si>
    <t>Extended Tidal Zone Coated Surface Area</t>
  </si>
  <si>
    <t>Actc</t>
  </si>
  <si>
    <t>Immersed Zone Bare Surface Area</t>
  </si>
  <si>
    <t>Ac</t>
  </si>
  <si>
    <t>Immersed Zone Coated Surface Area</t>
  </si>
  <si>
    <t>Acc</t>
  </si>
  <si>
    <t>Mudline Zone Bare Surface Area</t>
  </si>
  <si>
    <t>Acm</t>
  </si>
  <si>
    <t>Mudline Zone Coated Surface Area</t>
  </si>
  <si>
    <t>Acmc</t>
  </si>
  <si>
    <t>Sediment Zone Bare Surface Area</t>
  </si>
  <si>
    <t>Acs</t>
  </si>
  <si>
    <t>Sediment Zone Coated Surface Area</t>
  </si>
  <si>
    <t>Acsc</t>
  </si>
  <si>
    <t>COATING CATEGORY</t>
  </si>
  <si>
    <t>Coating system of Cathode Zone</t>
  </si>
  <si>
    <t>"Category IV"</t>
  </si>
  <si>
    <t>ANODE SELECTION</t>
  </si>
  <si>
    <t>Anode Material</t>
  </si>
  <si>
    <t>Aluminium</t>
  </si>
  <si>
    <t>Anode Environment</t>
  </si>
  <si>
    <t>seawater</t>
  </si>
  <si>
    <t>Choose Anode by name</t>
  </si>
  <si>
    <t>Platform 350 kg</t>
  </si>
  <si>
    <t>Anode Material selected</t>
  </si>
  <si>
    <t>Weight of Selected Anode</t>
  </si>
  <si>
    <t>kg</t>
  </si>
  <si>
    <t>ma,i</t>
  </si>
  <si>
    <t>Anode Type</t>
  </si>
  <si>
    <t>Type 1</t>
  </si>
  <si>
    <t>Anode to Cathode Distance</t>
  </si>
  <si>
    <t>&gt;0.30</t>
  </si>
  <si>
    <t>m</t>
  </si>
  <si>
    <t>Utlization Factor</t>
  </si>
  <si>
    <t>u</t>
  </si>
  <si>
    <t>Electrochemical Capacity</t>
  </si>
  <si>
    <t>A-hr/kg</t>
  </si>
  <si>
    <t>ε</t>
  </si>
  <si>
    <t>Closed Circuit Potential</t>
  </si>
  <si>
    <t>Ea</t>
  </si>
  <si>
    <t>RESULTS</t>
  </si>
  <si>
    <t>No. of anodes required by weight</t>
  </si>
  <si>
    <t>ea</t>
  </si>
  <si>
    <t>No. of anodes to meet initial current requirement</t>
  </si>
  <si>
    <t>No. of anodes to meet final current requirement</t>
  </si>
  <si>
    <t>Anodes selected for cathode zone</t>
  </si>
  <si>
    <t>Weight of each selected anode</t>
  </si>
  <si>
    <t>Total weight of anodes</t>
  </si>
  <si>
    <t>CURRENT DENSITIES</t>
  </si>
  <si>
    <t>Tidal initial current density</t>
  </si>
  <si>
    <t>A/m2</t>
  </si>
  <si>
    <t>Iticd</t>
  </si>
  <si>
    <t>Tidal mean current density</t>
  </si>
  <si>
    <t>Itmcd</t>
  </si>
  <si>
    <t>Tidal final current density</t>
  </si>
  <si>
    <t>Itfcd</t>
  </si>
  <si>
    <t>Immersed initial current density</t>
  </si>
  <si>
    <t>Iicd</t>
  </si>
  <si>
    <t>Immersed mean current density</t>
  </si>
  <si>
    <t>Imcd</t>
  </si>
  <si>
    <t>Immersed final current density</t>
  </si>
  <si>
    <t>Ifcd</t>
  </si>
  <si>
    <t>Mudline initial current density</t>
  </si>
  <si>
    <t>Imicd</t>
  </si>
  <si>
    <t>Mudline mean/final current density</t>
  </si>
  <si>
    <t>Immfcd</t>
  </si>
  <si>
    <t>Sediment initial current density</t>
  </si>
  <si>
    <t>Isicd</t>
  </si>
  <si>
    <t>Sediment mean/final current density</t>
  </si>
  <si>
    <t>Ismfcd</t>
  </si>
  <si>
    <t>COATING BREAKDOWN FACTORS</t>
  </si>
  <si>
    <t>Initial Coating breakdown factor, submerged zone</t>
  </si>
  <si>
    <t>asub, fcsi</t>
  </si>
  <si>
    <t>Initial Coating breakdown factor, mudline zone</t>
  </si>
  <si>
    <t>amud, fcmi</t>
  </si>
  <si>
    <t>Initial Coating breakdown factor, sediment zone</t>
  </si>
  <si>
    <t>ased, fcsei</t>
  </si>
  <si>
    <t>Annual depletion rate</t>
  </si>
  <si>
    <t>b</t>
  </si>
  <si>
    <t>Mean Coating breakdown factor, submerged zone</t>
  </si>
  <si>
    <t>fcsm</t>
  </si>
  <si>
    <t>Final Coating breakdown factor, submerged zone</t>
  </si>
  <si>
    <t>fcsf</t>
  </si>
  <si>
    <t>Mean Coating breakdown factor, mudline zone</t>
  </si>
  <si>
    <t>fcmm</t>
  </si>
  <si>
    <t>Final Coating breakdown factor, mudline zone</t>
  </si>
  <si>
    <t>fcmf</t>
  </si>
  <si>
    <t>Mean Coating breakdown factor, sediment zone</t>
  </si>
  <si>
    <t>fcsem</t>
  </si>
  <si>
    <t>Final Coating breakdown factor, sediment zone</t>
  </si>
  <si>
    <t>fcmsef</t>
  </si>
  <si>
    <t>CURRENT REQUIREMENTS</t>
  </si>
  <si>
    <t>Initial Current Requirement</t>
  </si>
  <si>
    <t>A</t>
  </si>
  <si>
    <t>Ii</t>
  </si>
  <si>
    <t>Mean Current Requirement</t>
  </si>
  <si>
    <t>Im</t>
  </si>
  <si>
    <t>Final Current Requirement</t>
  </si>
  <si>
    <t>If</t>
  </si>
  <si>
    <t>ANODE DIMENSIONS</t>
  </si>
  <si>
    <t>Length of Anode (Top)</t>
  </si>
  <si>
    <t>La,t</t>
  </si>
  <si>
    <t>Length of Anode (Bottom)</t>
  </si>
  <si>
    <t>La,b</t>
  </si>
  <si>
    <t>Height of Anode</t>
  </si>
  <si>
    <t>Ha</t>
  </si>
  <si>
    <t>Width of Anode (Top)</t>
  </si>
  <si>
    <t>Wa,t</t>
  </si>
  <si>
    <t>Width of Anode (Bottom)</t>
  </si>
  <si>
    <t>Wa,b</t>
  </si>
  <si>
    <t>Insert Width / Diameter</t>
  </si>
  <si>
    <t>Wis</t>
  </si>
  <si>
    <t>Insert Thickness</t>
  </si>
  <si>
    <t>Tis</t>
  </si>
  <si>
    <t>ANODE CALCULATIONS</t>
  </si>
  <si>
    <t>Net weight of Anode selected</t>
  </si>
  <si>
    <t>Min. weight of Anode Required</t>
  </si>
  <si>
    <t>Equivalent Anode Radius</t>
  </si>
  <si>
    <t>ra</t>
  </si>
  <si>
    <t>Specific Density of Anode Material</t>
  </si>
  <si>
    <t>kg/m3</t>
  </si>
  <si>
    <t>Final Mass of Anode</t>
  </si>
  <si>
    <t>Final Volume of Anode</t>
  </si>
  <si>
    <t>m3</t>
  </si>
  <si>
    <t>Final Radius of Anode</t>
  </si>
  <si>
    <t>Anode (individual) initial resistance</t>
  </si>
  <si>
    <t>ohm</t>
  </si>
  <si>
    <t>Rai</t>
  </si>
  <si>
    <t>Anode (individual) final resistance</t>
  </si>
  <si>
    <t>Raf</t>
  </si>
  <si>
    <t>Anode (individual) initial current output</t>
  </si>
  <si>
    <t>Iai</t>
  </si>
  <si>
    <t>Anode (individual) final current output</t>
  </si>
  <si>
    <t>Iaf</t>
  </si>
  <si>
    <t>Cluster</t>
  </si>
  <si>
    <t>Pile length (embedded)</t>
  </si>
  <si>
    <t>Piles (embedded, bare steel)</t>
  </si>
  <si>
    <t>Pile stick-up (immersed, bare steel)</t>
  </si>
  <si>
    <t>Piles (immersed, bare steel)</t>
  </si>
  <si>
    <t>J-tubes (immersed, coated)</t>
  </si>
  <si>
    <t>Boat landing (immersed, coated)</t>
  </si>
  <si>
    <t>Jacket (immersed, coated)</t>
  </si>
  <si>
    <t>WTG01</t>
  </si>
  <si>
    <t>WTG02</t>
  </si>
  <si>
    <t>WTG03</t>
  </si>
  <si>
    <t>WTG04</t>
  </si>
  <si>
    <t>WTG05</t>
  </si>
  <si>
    <t>WTG06</t>
  </si>
  <si>
    <t>WTG07</t>
  </si>
  <si>
    <t>WTG08</t>
  </si>
  <si>
    <t>WTG09</t>
  </si>
  <si>
    <t>WTG10</t>
  </si>
  <si>
    <t>WTG11</t>
  </si>
  <si>
    <t>WTG12</t>
  </si>
  <si>
    <t>WTG13</t>
  </si>
  <si>
    <t>WTG14</t>
  </si>
  <si>
    <t>WTG15</t>
  </si>
  <si>
    <t>WTG16</t>
  </si>
  <si>
    <t>WTG17</t>
  </si>
  <si>
    <t>WTG18</t>
  </si>
  <si>
    <t>WTG19</t>
  </si>
  <si>
    <t>WTG20</t>
  </si>
  <si>
    <t>WTG21</t>
  </si>
  <si>
    <t>WTG22</t>
  </si>
  <si>
    <t>WTG23</t>
  </si>
  <si>
    <t>WTG24</t>
  </si>
  <si>
    <t>WTG25</t>
  </si>
  <si>
    <t>WTG26</t>
  </si>
  <si>
    <t>COMPONENT</t>
  </si>
  <si>
    <t>SURFACE AREA (m.sq.)</t>
  </si>
  <si>
    <t>CLUSTER-1</t>
  </si>
  <si>
    <t>CLUSTER-2</t>
  </si>
  <si>
    <t>CLUSTER-3</t>
  </si>
  <si>
    <t>WTG NO</t>
  </si>
  <si>
    <t>JACKET (from DL to top of pile)</t>
  </si>
  <si>
    <t>BOAT LANDING (from Dl and below)</t>
  </si>
  <si>
    <t>J-TUBE (from Dl and below) (2 NO'S)</t>
  </si>
  <si>
    <t>Pile stick up diameter</t>
  </si>
  <si>
    <t>Standard</t>
  </si>
  <si>
    <t>Environment</t>
  </si>
  <si>
    <t>Protection Potential</t>
  </si>
  <si>
    <t>Depth (m)</t>
  </si>
  <si>
    <t>Coating Category</t>
  </si>
  <si>
    <t>Anode to Object Distance</t>
  </si>
  <si>
    <t>Life</t>
  </si>
  <si>
    <t>"Bare"</t>
  </si>
  <si>
    <t>&lt;0.15</t>
  </si>
  <si>
    <t>Artic "&lt;7c"</t>
  </si>
  <si>
    <t>EN 12495:2000</t>
  </si>
  <si>
    <t>Zinc</t>
  </si>
  <si>
    <t>sediment</t>
  </si>
  <si>
    <t>"&gt;20-30"</t>
  </si>
  <si>
    <t>"Category I"</t>
  </si>
  <si>
    <t>0.15 - 0.30</t>
  </si>
  <si>
    <t>Temperate "7-12c"</t>
  </si>
  <si>
    <t>Norsok M-503: 2007</t>
  </si>
  <si>
    <t>"&gt;30-100"</t>
  </si>
  <si>
    <t>"Category II"</t>
  </si>
  <si>
    <t>"&gt;100-300"</t>
  </si>
  <si>
    <t>"Category III"</t>
  </si>
  <si>
    <t>Tropical "&gt;20c"</t>
  </si>
  <si>
    <t>"&gt;300"</t>
  </si>
  <si>
    <t>North Sea (northern sector) above 62° N</t>
  </si>
  <si>
    <t>North Sea (northern sector) 55°N to 62°N</t>
  </si>
  <si>
    <t>North Sea (southern sector) below 55° N, West UK, West Ireland, Netherlands</t>
  </si>
  <si>
    <t>Arabian Gulf, India, Australia, Brazil, West Africa</t>
  </si>
  <si>
    <t>Mediterranean Sea, Adriatic Sea, Gulf of Mexico, Indonesia</t>
  </si>
  <si>
    <t>North Sea (Up to 62 °N)</t>
  </si>
  <si>
    <t>Norwegian Sea (above 62 °N)</t>
  </si>
  <si>
    <t>Electrochemical Capacity (Ah/Kg)</t>
  </si>
  <si>
    <t>Closed Circuit Potential (V)</t>
  </si>
  <si>
    <t>Specific Density (kg/m3)</t>
  </si>
  <si>
    <t>Description</t>
  </si>
  <si>
    <t>Utilization Factor</t>
  </si>
  <si>
    <t>Resistance Formula</t>
  </si>
  <si>
    <t>Long slender stand-off anode; L ≥ 4r</t>
  </si>
  <si>
    <t>Ra = (ρ/(2πL))(ln(4L/r)-1)</t>
  </si>
  <si>
    <t>Type 2</t>
  </si>
  <si>
    <t>Short slender stand-off anode; L &lt; 4r</t>
  </si>
  <si>
    <t>Ra = (ρ/(2πL))(ln[2l/r(1+√(1+(r/2L)2)] +r/2L - √(1+(r/2L)2)</t>
  </si>
  <si>
    <t>Type 3</t>
  </si>
  <si>
    <t>Long flush mounted L ≥ 4 width and L ≥ 4 thickness</t>
  </si>
  <si>
    <t>Ra = ρ / (2S)</t>
  </si>
  <si>
    <t>Type 4</t>
  </si>
  <si>
    <t>Short flush mounted, bracelet and other flush mounted shapes</t>
  </si>
  <si>
    <t>Ra = 0.315ρ / √A</t>
  </si>
  <si>
    <t>Anode Name</t>
  </si>
  <si>
    <t>Initial Length of Anode</t>
  </si>
  <si>
    <t>Final Lenght of Anode</t>
  </si>
  <si>
    <t>Insert Volume</t>
  </si>
  <si>
    <t>Specific Density</t>
  </si>
  <si>
    <t>Final Volume of anode Vaf</t>
  </si>
  <si>
    <t>Final Radius of Anode rf</t>
  </si>
  <si>
    <t>Type</t>
  </si>
  <si>
    <t>Initial Resistance</t>
  </si>
  <si>
    <t>Final Length</t>
  </si>
  <si>
    <t>Final Mass</t>
  </si>
  <si>
    <t>Final Volume of anode mass</t>
  </si>
  <si>
    <t>Final Radius</t>
  </si>
  <si>
    <t>Final Resistance</t>
  </si>
  <si>
    <t>Correction Factor</t>
  </si>
  <si>
    <t xml:space="preserve">*only guidance depends on insert </t>
  </si>
  <si>
    <t>Material</t>
  </si>
  <si>
    <t>Net weight (kg)</t>
  </si>
  <si>
    <t>Gross weight (kg)*</t>
  </si>
  <si>
    <t>Anode Length Top La,t (mm)</t>
  </si>
  <si>
    <t>Anode Length Bottom La,b (mm)</t>
  </si>
  <si>
    <t>Anode Width Top Wa,t (mm)</t>
  </si>
  <si>
    <t>Anode Width Bottom Wa,b (mm)</t>
  </si>
  <si>
    <t>Anode Height Ha (mm)</t>
  </si>
  <si>
    <t>Insert Width (mm)</t>
  </si>
  <si>
    <t>Insert Thickness (mm)</t>
  </si>
  <si>
    <t>Supplier</t>
  </si>
  <si>
    <t>Checked 07-01-2016 (PHNI)</t>
  </si>
  <si>
    <t>Checket 17-06-2016 (RSO)</t>
  </si>
  <si>
    <t>kontrol af vægt af anode</t>
  </si>
  <si>
    <t>ændret dec. 17</t>
  </si>
  <si>
    <t>Control of anode weight</t>
  </si>
  <si>
    <t xml:space="preserve">15-AL </t>
  </si>
  <si>
    <t>BAC</t>
  </si>
  <si>
    <t>ok</t>
  </si>
  <si>
    <t>nej, tegning</t>
  </si>
  <si>
    <t>User defined (Al)</t>
  </si>
  <si>
    <t>User defined (Zn)</t>
  </si>
  <si>
    <t xml:space="preserve">25-AL </t>
  </si>
  <si>
    <t>C changed from 2,00 to 2,10</t>
  </si>
  <si>
    <t xml:space="preserve">43-AL </t>
  </si>
  <si>
    <t xml:space="preserve">60-AL </t>
  </si>
  <si>
    <t xml:space="preserve">80-AL </t>
  </si>
  <si>
    <t xml:space="preserve">90-AL </t>
  </si>
  <si>
    <t xml:space="preserve">93-AL </t>
  </si>
  <si>
    <t xml:space="preserve">114-AL </t>
  </si>
  <si>
    <t xml:space="preserve">170-AL </t>
  </si>
  <si>
    <t>F changed from 960 to 950</t>
  </si>
  <si>
    <t xml:space="preserve">175 AL </t>
  </si>
  <si>
    <t xml:space="preserve">350-AL </t>
  </si>
  <si>
    <t>C changed from 31,6 to 29,5, E is not present in drawing</t>
  </si>
  <si>
    <t>ok, E estimeret til 1780</t>
  </si>
  <si>
    <t xml:space="preserve">399-AL </t>
  </si>
  <si>
    <t>K changed from 10 to 15</t>
  </si>
  <si>
    <t>no changed to 10</t>
  </si>
  <si>
    <t xml:space="preserve">Bera 20 </t>
  </si>
  <si>
    <t>K and L not on drawing</t>
  </si>
  <si>
    <t xml:space="preserve">Bera 22 </t>
  </si>
  <si>
    <t xml:space="preserve">Bera 35 </t>
  </si>
  <si>
    <t xml:space="preserve">Bera 55 </t>
  </si>
  <si>
    <t>C changed from 22,2 to 21,5, K and L not on drawing</t>
  </si>
  <si>
    <t xml:space="preserve">Bera 102 </t>
  </si>
  <si>
    <t xml:space="preserve">no drawing, no changes  </t>
  </si>
  <si>
    <t>ændret anodegeometri, der findes ikke tegning</t>
  </si>
  <si>
    <t xml:space="preserve">Bera 155 </t>
  </si>
  <si>
    <t xml:space="preserve">Bera 235 </t>
  </si>
  <si>
    <t>E changed from 1457 to 1500, F changed from 1525 to 1550, K has according to drawing 3" = 76mm --&gt; K changed from 50 to 76</t>
  </si>
  <si>
    <t>Platform 85 kg</t>
  </si>
  <si>
    <t>nej</t>
  </si>
  <si>
    <t>Platform 97 kg</t>
  </si>
  <si>
    <t>D changed from 335 to 333,5, E changed from 3480 to 2730, F changed from 3520 to 2770, J changed from 114,3 (4,5") to 101,6 (4")</t>
  </si>
  <si>
    <t>ja, insert</t>
  </si>
  <si>
    <t>Platform 102 kg</t>
  </si>
  <si>
    <t>no drawing, J should be the same as for the 626 anode therfore changed from 114,3 to 101,6</t>
  </si>
  <si>
    <t>ja, insert og anodegeometri</t>
  </si>
  <si>
    <t>Platform 132 kg</t>
  </si>
  <si>
    <t>D changed from 705 to 704,5, E changed from 3475 to 2975, F changed from 3525 to 3025, G chnaged from 275 to 265, J changed from 114,3 to 101,6</t>
  </si>
  <si>
    <t>Platform 240 kg</t>
  </si>
  <si>
    <t>A changed from AP 3300 to 3300XP according to homepage, J changed from 114,3 to 100</t>
  </si>
  <si>
    <t>ja, insert ( 4 tommer rør)</t>
  </si>
  <si>
    <t>J changed from 114,3 to 101,6</t>
  </si>
  <si>
    <t>Platform 626 kg</t>
  </si>
  <si>
    <t>no values to D --&gt; take 390 out, J changed from 114,3 to 101,6</t>
  </si>
  <si>
    <t>3300XP</t>
  </si>
  <si>
    <t>Impalloy</t>
  </si>
  <si>
    <t>AS 3170</t>
  </si>
  <si>
    <t>ETC</t>
  </si>
  <si>
    <t>AS 4085</t>
  </si>
  <si>
    <t>J changed from 50 to 20</t>
  </si>
  <si>
    <t>AS 4150</t>
  </si>
  <si>
    <t>J chnagewd from 50 to 25</t>
  </si>
  <si>
    <t>AS 6500</t>
  </si>
  <si>
    <t>ASOE350</t>
  </si>
  <si>
    <t>Syncor</t>
  </si>
  <si>
    <t>ASOE800</t>
  </si>
  <si>
    <t>ASOE500</t>
  </si>
  <si>
    <t>J changed from 50 to 60,3</t>
  </si>
  <si>
    <t>ASOE680</t>
  </si>
  <si>
    <t>ASOE1190</t>
  </si>
  <si>
    <t>I is only 10 on homepage, must be a mistake there</t>
  </si>
  <si>
    <t>ASOE1480</t>
  </si>
  <si>
    <t>D is not given therfore 390 has been taken out</t>
  </si>
  <si>
    <t>ASOE1750</t>
  </si>
  <si>
    <t>ASOE2400</t>
  </si>
  <si>
    <t>ASOE3300</t>
  </si>
  <si>
    <t>ASOE4350</t>
  </si>
  <si>
    <t>D changed from 27,3 to 27,2</t>
  </si>
  <si>
    <t>ASOE5650</t>
  </si>
  <si>
    <t xml:space="preserve">224 HAL </t>
  </si>
  <si>
    <t xml:space="preserve">280 HAL </t>
  </si>
  <si>
    <t xml:space="preserve">385 HAL </t>
  </si>
  <si>
    <t xml:space="preserve">427 HAL </t>
  </si>
  <si>
    <t xml:space="preserve">516 HAL </t>
  </si>
  <si>
    <t xml:space="preserve">485 HAL </t>
  </si>
  <si>
    <t xml:space="preserve">527 HAL </t>
  </si>
  <si>
    <t>F changed from 1525 to 1520</t>
  </si>
  <si>
    <t xml:space="preserve">566 HAL </t>
  </si>
  <si>
    <t>not found</t>
  </si>
  <si>
    <t xml:space="preserve">616 HAL </t>
  </si>
  <si>
    <t xml:space="preserve">585 HAL </t>
  </si>
  <si>
    <t>Beralin</t>
  </si>
  <si>
    <t xml:space="preserve">625 HAL </t>
  </si>
  <si>
    <t>ok, drw included</t>
  </si>
  <si>
    <t xml:space="preserve">666 HAL </t>
  </si>
  <si>
    <t xml:space="preserve">716 HAL </t>
  </si>
  <si>
    <t>750 HAL</t>
  </si>
  <si>
    <t xml:space="preserve">816 HAL </t>
  </si>
  <si>
    <t>Resistivity</t>
  </si>
  <si>
    <t xml:space="preserve">This sheet will give a short introduction to how seawater resistivity is calculated using DNV-RP-B401, and list our values from known areas. </t>
  </si>
  <si>
    <t xml:space="preserve">Resistivity of Sea water are influeced by several factors, but the two primary factors are salinity and temperature. DNV-RP-B401 has a figure with corrolates some of the often used temperatures and salinities. The figure is listed below. </t>
  </si>
  <si>
    <t xml:space="preserve">It is very important when calculating sacrificial anodes that you uses the highest resistivity for the given area. If not, then the calculated anodes may not be able to protect the structure. The resistivity of seawater varies over time. The seasonal variations may be large, for instance in the Baltic, the resistivity increases during spring because of the increase in melting snow and ice from the region, which makes the water more brackish. </t>
  </si>
  <si>
    <t xml:space="preserve">List of references with resistivity. </t>
  </si>
  <si>
    <t>Project description</t>
  </si>
  <si>
    <t>Measured resistivity [Ohm*meter]</t>
  </si>
  <si>
    <t>Calculated restivity [Ohm*meter]</t>
  </si>
  <si>
    <t>Country</t>
  </si>
  <si>
    <t>Wikinger wind farm. A wind farm located in the baltic region, just west of Bornholm. Several investigations on salinity where conducted and it was found that the lowest value translated into a calculated value of 0,91</t>
  </si>
  <si>
    <t>Germany</t>
  </si>
  <si>
    <t xml:space="preserve">Svendborg havn, Anodes for a part of the harbour. The resistivity of the water were mesured at several locations, varying from 0,30 to 0,90. The 0,90 value is not applicable for the entire area since, it was measured near an outlet for a stream, and i was raining very heavy that day. So a value of 0,3-0,4 is applicable for Svendborg. </t>
  </si>
  <si>
    <t>0,3-0,4</t>
  </si>
  <si>
    <t>Denmark</t>
  </si>
  <si>
    <t xml:space="preserve">Svendborgsund Bridge, several water samples taken during the installation of galvanic anodes. </t>
  </si>
  <si>
    <t>King Frederik IX bridge at Guldborgsund near Nykøbing Falster</t>
  </si>
  <si>
    <t xml:space="preserve">Izmit, Bridge located near Istanbul. The resistivity was measured at three locations in the spring. </t>
  </si>
  <si>
    <t>Turkey</t>
  </si>
  <si>
    <t xml:space="preserve">Copenhagen Harbour, Bridge over the harbour area. During the project the resistivity of the water was measured to 0,55. </t>
  </si>
  <si>
    <t xml:space="preserve">The Siøsund bridge, a bridge near the island of Funen. </t>
  </si>
  <si>
    <t xml:space="preserve">Copenhagen oilpier. </t>
  </si>
  <si>
    <t xml:space="preserve">Great belt, several measurements made at the west bridge of the great belt link. </t>
  </si>
  <si>
    <t>0,3-0,35</t>
  </si>
  <si>
    <t xml:space="preserve">Fur and Branden harbour, two harbours located in Limfjorden in northen part of Jutland. </t>
  </si>
  <si>
    <t>Temperature</t>
  </si>
  <si>
    <t>Initial current density (mA/m2)</t>
  </si>
  <si>
    <t>Mean current density (mA/m2)</t>
  </si>
  <si>
    <t>Final current density (mA/m2)</t>
  </si>
  <si>
    <t>Sediment initial current density (mA/m2)</t>
  </si>
  <si>
    <t>Sediment mean current density (mA/m2)</t>
  </si>
  <si>
    <t>EN 12495: 2000</t>
  </si>
  <si>
    <t>Coating breakdown factor a</t>
  </si>
  <si>
    <t>Coating breakdown factor b</t>
  </si>
  <si>
    <t>Version</t>
  </si>
  <si>
    <t>Date</t>
  </si>
  <si>
    <t>Revisions</t>
  </si>
  <si>
    <t>Prepared</t>
  </si>
  <si>
    <t>Checked</t>
  </si>
  <si>
    <t>Approved</t>
  </si>
  <si>
    <t>First Issue</t>
  </si>
  <si>
    <t>SAAY</t>
  </si>
  <si>
    <t>JAJA</t>
  </si>
  <si>
    <t>BBU</t>
  </si>
  <si>
    <t>Sheet on seawater resistivity added and also user defined anode</t>
  </si>
  <si>
    <t>RSO</t>
  </si>
  <si>
    <t>2.0</t>
  </si>
  <si>
    <t>Updates of anodes and minor revisions</t>
  </si>
  <si>
    <t>PHNI</t>
  </si>
  <si>
    <t>3.0</t>
  </si>
  <si>
    <t>01.12.2017</t>
  </si>
  <si>
    <t xml:space="preserve">Update of DNVGL standard, and added resistivity measurements. Error found in mean and current requirements, where the coating factor of steel in sediment was not included. Means that coated structures in sediment previusly has been calculated as bare steel. and therefore are on the conservative side. User defined anodes have been added in the anode data sheet. Error in some platforms anodes, where the 350 kg anode has been to long. </t>
  </si>
  <si>
    <t>4.0</t>
  </si>
  <si>
    <t>10-22-2022</t>
  </si>
  <si>
    <t>Update of DNV standard with new coating breakdown factors and electrochemical capacity for anodes.
Added mudline zone for surface areas and coating breakdown factor, removed surface area for sediment coated.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</si>
</sst>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0"/>
    <numFmt numFmtId="166" formatCode="0.000000"/>
    <numFmt numFmtId="167" formatCode="0.0"/>
    <numFmt numFmtId="168" formatCode="yy\-mm\-dd&quot; &quot;"/>
  </numFmts>
  <fonts count="18" x14ac:knownFonts="1">
    <font>
      <sz val="10"/>
      <name val="Arial"/>
    </font>
    <font>
      <sz val="11"/>
      <color theme="1"/>
      <name val="Calibri"/>
      <family val="2"/>
      <scheme val="minor"/>
    </font>
    <font>
      <b/>
      <sz val="10"/>
      <name val="Arial"/>
      <family val="2"/>
    </font>
    <font>
      <sz val="10"/>
      <name val="Arial"/>
      <family val="2"/>
    </font>
    <font>
      <sz val="8"/>
      <name val="Arial"/>
      <family val="2"/>
    </font>
    <font>
      <i/>
      <sz val="7"/>
      <name val="Arial"/>
      <family val="2"/>
    </font>
    <font>
      <i/>
      <sz val="8"/>
      <name val="Arial"/>
      <family val="2"/>
    </font>
    <font>
      <b/>
      <sz val="8"/>
      <name val="Arial"/>
      <family val="2"/>
    </font>
    <font>
      <b/>
      <sz val="8"/>
      <color indexed="9"/>
      <name val="Arial"/>
      <family val="2"/>
    </font>
    <font>
      <b/>
      <sz val="9"/>
      <name val="Arial"/>
      <family val="2"/>
    </font>
    <font>
      <sz val="10"/>
      <color indexed="17"/>
      <name val="Arial"/>
      <family val="2"/>
    </font>
    <font>
      <sz val="9"/>
      <name val="Arial"/>
      <family val="2"/>
    </font>
    <font>
      <sz val="11"/>
      <name val="Calibri"/>
      <family val="2"/>
    </font>
    <font>
      <b/>
      <sz val="14"/>
      <name val="Arial"/>
      <family val="2"/>
    </font>
    <font>
      <sz val="11"/>
      <name val="Calibri"/>
      <family val="2"/>
      <scheme val="minor"/>
    </font>
    <font>
      <b/>
      <sz val="12"/>
      <name val="Arial"/>
      <family val="2"/>
    </font>
    <font>
      <sz val="10"/>
      <color rgb="FF000000"/>
      <name val="Arial"/>
      <family val="2"/>
    </font>
    <font>
      <b/>
      <sz val="9"/>
      <color theme="1"/>
      <name val="Arial"/>
      <family val="2"/>
    </font>
  </fonts>
  <fills count="11">
    <fill>
      <patternFill patternType="none"/>
    </fill>
    <fill>
      <patternFill patternType="gray125"/>
    </fill>
    <fill>
      <patternFill patternType="solid">
        <fgColor theme="8" tint="0.59999389629810485"/>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rgb="FFF04E23"/>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9"/>
        <bgColor indexed="64"/>
      </patternFill>
    </fill>
  </fills>
  <borders count="3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auto="1"/>
      </left>
      <right style="thin">
        <color auto="1"/>
      </right>
      <top style="thin">
        <color auto="1"/>
      </top>
      <bottom/>
      <diagonal/>
    </border>
    <border>
      <left style="medium">
        <color indexed="64"/>
      </left>
      <right style="thin">
        <color indexed="64"/>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4">
    <xf numFmtId="0" fontId="0" fillId="0" borderId="0"/>
    <xf numFmtId="0" fontId="1" fillId="0" borderId="0"/>
    <xf numFmtId="0" fontId="3" fillId="0" borderId="0"/>
    <xf numFmtId="168" fontId="10" fillId="0" borderId="12">
      <alignment vertical="center"/>
    </xf>
  </cellStyleXfs>
  <cellXfs count="218">
    <xf numFmtId="0" fontId="0" fillId="0" borderId="0" xfId="0"/>
    <xf numFmtId="0" fontId="2" fillId="0" borderId="0" xfId="0" applyFont="1"/>
    <xf numFmtId="0" fontId="3" fillId="0" borderId="0" xfId="0" applyFont="1"/>
    <xf numFmtId="164" fontId="0" fillId="0" borderId="0" xfId="0" applyNumberFormat="1"/>
    <xf numFmtId="2" fontId="0" fillId="0" borderId="0" xfId="0" applyNumberFormat="1"/>
    <xf numFmtId="0" fontId="0" fillId="0" borderId="0" xfId="0" applyAlignment="1">
      <alignment horizontal="left"/>
    </xf>
    <xf numFmtId="0" fontId="3" fillId="0" borderId="0" xfId="0" applyFont="1" applyAlignment="1">
      <alignment vertical="top" wrapText="1"/>
    </xf>
    <xf numFmtId="0" fontId="0" fillId="0" borderId="0" xfId="0" applyAlignment="1">
      <alignment vertical="top" wrapText="1"/>
    </xf>
    <xf numFmtId="0" fontId="0" fillId="0" borderId="0" xfId="0" applyAlignment="1">
      <alignment horizontal="right"/>
    </xf>
    <xf numFmtId="0" fontId="0" fillId="0" borderId="0" xfId="0" applyAlignment="1">
      <alignment horizontal="left" inden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5" xfId="0" applyFont="1" applyBorder="1" applyAlignment="1">
      <alignment vertical="top"/>
    </xf>
    <xf numFmtId="2" fontId="3" fillId="0" borderId="0" xfId="0" applyNumberFormat="1" applyFont="1" applyAlignment="1">
      <alignment horizontal="center" vertical="center"/>
    </xf>
    <xf numFmtId="0" fontId="3" fillId="0" borderId="10" xfId="0" applyFont="1" applyBorder="1" applyAlignment="1">
      <alignment vertical="top" wrapText="1"/>
    </xf>
    <xf numFmtId="2" fontId="3" fillId="0" borderId="10" xfId="0" applyNumberFormat="1" applyFont="1" applyBorder="1" applyAlignment="1">
      <alignment horizontal="center" vertical="center"/>
    </xf>
    <xf numFmtId="0" fontId="0" fillId="0" borderId="7" xfId="0" applyBorder="1"/>
    <xf numFmtId="0" fontId="0" fillId="0" borderId="8" xfId="0" applyBorder="1"/>
    <xf numFmtId="0" fontId="2" fillId="0" borderId="0" xfId="0" applyFont="1" applyAlignment="1">
      <alignment vertical="top" wrapText="1"/>
    </xf>
    <xf numFmtId="0" fontId="3" fillId="0" borderId="7" xfId="0" applyFont="1" applyBorder="1"/>
    <xf numFmtId="0" fontId="3" fillId="0" borderId="0" xfId="0" applyFont="1" applyAlignment="1">
      <alignment horizontal="center" vertical="center"/>
    </xf>
    <xf numFmtId="0" fontId="0" fillId="0" borderId="9" xfId="0" applyBorder="1"/>
    <xf numFmtId="0" fontId="3" fillId="0" borderId="10" xfId="0" applyFont="1" applyBorder="1"/>
    <xf numFmtId="0" fontId="3" fillId="0" borderId="10" xfId="0" applyFont="1" applyBorder="1" applyAlignment="1">
      <alignment horizontal="center" vertical="center"/>
    </xf>
    <xf numFmtId="165" fontId="0" fillId="0" borderId="0" xfId="0" applyNumberFormat="1"/>
    <xf numFmtId="0" fontId="4" fillId="0" borderId="5" xfId="0" applyFont="1" applyBorder="1" applyAlignment="1">
      <alignment vertical="top" wrapText="1"/>
    </xf>
    <xf numFmtId="0" fontId="4" fillId="0" borderId="6" xfId="0" applyFont="1" applyBorder="1" applyAlignment="1">
      <alignment vertical="top" wrapText="1"/>
    </xf>
    <xf numFmtId="0" fontId="4" fillId="0" borderId="7" xfId="0" applyFont="1" applyBorder="1" applyAlignment="1">
      <alignment shrinkToFit="1"/>
    </xf>
    <xf numFmtId="0" fontId="4" fillId="0" borderId="0" xfId="0" applyFont="1" applyAlignment="1">
      <alignment vertical="top" wrapText="1"/>
    </xf>
    <xf numFmtId="0" fontId="4" fillId="0" borderId="8" xfId="0" applyFont="1" applyBorder="1" applyAlignment="1">
      <alignment vertical="top" wrapText="1"/>
    </xf>
    <xf numFmtId="0" fontId="4" fillId="0" borderId="7" xfId="0" applyFont="1" applyBorder="1" applyAlignment="1">
      <alignment vertical="top" wrapText="1"/>
    </xf>
    <xf numFmtId="0" fontId="4" fillId="0" borderId="0" xfId="0" applyFont="1"/>
    <xf numFmtId="164" fontId="4" fillId="0" borderId="0" xfId="0" applyNumberFormat="1" applyFont="1"/>
    <xf numFmtId="164" fontId="4" fillId="0" borderId="8" xfId="0" applyNumberFormat="1" applyFont="1" applyBorder="1"/>
    <xf numFmtId="0" fontId="4" fillId="0" borderId="10" xfId="0" applyFont="1" applyBorder="1"/>
    <xf numFmtId="164" fontId="4" fillId="0" borderId="10" xfId="0" applyNumberFormat="1" applyFont="1" applyBorder="1"/>
    <xf numFmtId="164" fontId="4" fillId="0" borderId="11" xfId="0" applyNumberFormat="1" applyFont="1" applyBorder="1"/>
    <xf numFmtId="0" fontId="0" fillId="0" borderId="10" xfId="0" applyBorder="1"/>
    <xf numFmtId="0" fontId="2" fillId="0" borderId="4" xfId="0" applyFont="1" applyBorder="1" applyAlignment="1">
      <alignment horizontal="left"/>
    </xf>
    <xf numFmtId="0" fontId="2" fillId="0" borderId="6" xfId="0" applyFont="1" applyBorder="1"/>
    <xf numFmtId="0" fontId="0" fillId="0" borderId="7" xfId="0" applyBorder="1" applyAlignment="1">
      <alignment horizontal="left"/>
    </xf>
    <xf numFmtId="0" fontId="0" fillId="0" borderId="9" xfId="0" applyBorder="1" applyAlignment="1">
      <alignment horizontal="left"/>
    </xf>
    <xf numFmtId="164" fontId="0" fillId="0" borderId="0" xfId="0" applyNumberFormat="1" applyAlignment="1">
      <alignment vertical="top" wrapText="1"/>
    </xf>
    <xf numFmtId="164" fontId="3" fillId="0" borderId="0" xfId="0" applyNumberFormat="1" applyFont="1" applyAlignment="1">
      <alignment vertical="top" wrapText="1"/>
    </xf>
    <xf numFmtId="0" fontId="2" fillId="0" borderId="1" xfId="0" applyFont="1" applyBorder="1"/>
    <xf numFmtId="2" fontId="0" fillId="0" borderId="2" xfId="0" applyNumberFormat="1" applyBorder="1" applyAlignment="1">
      <alignment horizontal="center"/>
    </xf>
    <xf numFmtId="2" fontId="0" fillId="0" borderId="2" xfId="0" applyNumberFormat="1" applyBorder="1"/>
    <xf numFmtId="2" fontId="0" fillId="0" borderId="3" xfId="0" applyNumberFormat="1" applyBorder="1"/>
    <xf numFmtId="0" fontId="0" fillId="0" borderId="2" xfId="0" applyBorder="1"/>
    <xf numFmtId="0" fontId="0" fillId="0" borderId="3" xfId="0" applyBorder="1"/>
    <xf numFmtId="0" fontId="2" fillId="0" borderId="1" xfId="0" applyFont="1" applyBorder="1" applyAlignment="1">
      <alignment vertical="top" wrapText="1"/>
    </xf>
    <xf numFmtId="0" fontId="3" fillId="0" borderId="2" xfId="0" applyFont="1" applyBorder="1"/>
    <xf numFmtId="17" fontId="3" fillId="0" borderId="2" xfId="0" applyNumberFormat="1" applyFont="1" applyBorder="1"/>
    <xf numFmtId="0" fontId="2" fillId="0" borderId="4" xfId="0" applyFont="1" applyBorder="1" applyAlignment="1">
      <alignment vertical="top"/>
    </xf>
    <xf numFmtId="0" fontId="0" fillId="0" borderId="7" xfId="0" applyBorder="1" applyAlignment="1">
      <alignment vertical="top" wrapText="1"/>
    </xf>
    <xf numFmtId="0" fontId="0" fillId="0" borderId="8" xfId="0" applyBorder="1" applyAlignment="1">
      <alignment vertical="top"/>
    </xf>
    <xf numFmtId="0" fontId="3" fillId="0" borderId="8" xfId="0" applyFont="1" applyBorder="1" applyAlignment="1">
      <alignment vertical="top"/>
    </xf>
    <xf numFmtId="0" fontId="0" fillId="0" borderId="9" xfId="0" applyBorder="1" applyAlignment="1">
      <alignment vertical="top" wrapText="1"/>
    </xf>
    <xf numFmtId="0" fontId="3" fillId="0" borderId="11" xfId="0" applyFont="1" applyBorder="1" applyAlignment="1">
      <alignment vertical="top"/>
    </xf>
    <xf numFmtId="0" fontId="0" fillId="0" borderId="0" xfId="0" applyAlignment="1">
      <alignment vertical="top"/>
    </xf>
    <xf numFmtId="0" fontId="3" fillId="0" borderId="0" xfId="0" applyFont="1" applyAlignment="1">
      <alignment vertical="top"/>
    </xf>
    <xf numFmtId="0" fontId="3" fillId="0" borderId="0" xfId="2"/>
    <xf numFmtId="0" fontId="3" fillId="0" borderId="0" xfId="2" applyAlignment="1">
      <alignment vertical="top"/>
    </xf>
    <xf numFmtId="0" fontId="3" fillId="0" borderId="0" xfId="2" applyAlignment="1">
      <alignment horizontal="right" indent="1"/>
    </xf>
    <xf numFmtId="0" fontId="4" fillId="4" borderId="7" xfId="0" applyFont="1" applyFill="1" applyBorder="1" applyAlignment="1">
      <alignment shrinkToFit="1"/>
    </xf>
    <xf numFmtId="164" fontId="4" fillId="4" borderId="0" xfId="0" applyNumberFormat="1" applyFont="1" applyFill="1"/>
    <xf numFmtId="164" fontId="4" fillId="4" borderId="8" xfId="0" applyNumberFormat="1" applyFont="1" applyFill="1" applyBorder="1"/>
    <xf numFmtId="0" fontId="4" fillId="0" borderId="9" xfId="0" applyFont="1" applyBorder="1" applyAlignment="1">
      <alignment shrinkToFit="1"/>
    </xf>
    <xf numFmtId="0" fontId="4" fillId="0" borderId="0" xfId="0" applyFont="1" applyAlignment="1">
      <alignment shrinkToFit="1"/>
    </xf>
    <xf numFmtId="0" fontId="0" fillId="0" borderId="11" xfId="0" applyBorder="1"/>
    <xf numFmtId="0" fontId="0" fillId="0" borderId="0" xfId="0" applyAlignment="1">
      <alignment horizontal="center"/>
    </xf>
    <xf numFmtId="0" fontId="3" fillId="0" borderId="0" xfId="0" applyFont="1" applyAlignment="1">
      <alignment horizontal="left" indent="1"/>
    </xf>
    <xf numFmtId="0" fontId="4" fillId="0" borderId="0" xfId="2" applyFont="1" applyAlignment="1">
      <alignment vertical="top" wrapText="1"/>
    </xf>
    <xf numFmtId="0" fontId="3" fillId="0" borderId="3" xfId="0" applyFont="1" applyBorder="1"/>
    <xf numFmtId="0" fontId="4" fillId="0" borderId="4" xfId="0" applyFont="1" applyBorder="1" applyAlignment="1">
      <alignment vertical="top" wrapText="1"/>
    </xf>
    <xf numFmtId="0" fontId="4" fillId="0" borderId="0" xfId="0" applyFont="1" applyAlignment="1">
      <alignment horizontal="right"/>
    </xf>
    <xf numFmtId="0" fontId="4" fillId="0" borderId="0" xfId="0" applyFont="1" applyAlignment="1">
      <alignment horizontal="left" indent="1"/>
    </xf>
    <xf numFmtId="0" fontId="6" fillId="0" borderId="10" xfId="0" applyFont="1" applyBorder="1" applyAlignment="1">
      <alignment horizontal="right" vertical="center" wrapText="1"/>
    </xf>
    <xf numFmtId="0" fontId="7" fillId="0" borderId="7" xfId="0" applyFont="1" applyBorder="1" applyAlignment="1">
      <alignment vertical="center"/>
    </xf>
    <xf numFmtId="0" fontId="7" fillId="0" borderId="0" xfId="0" applyFont="1" applyAlignment="1">
      <alignment vertical="center"/>
    </xf>
    <xf numFmtId="0" fontId="7" fillId="0" borderId="13" xfId="0" applyFont="1" applyBorder="1" applyAlignment="1">
      <alignment vertical="center"/>
    </xf>
    <xf numFmtId="0" fontId="4" fillId="0" borderId="14" xfId="0" applyFont="1" applyBorder="1" applyAlignment="1" applyProtection="1">
      <alignment horizontal="left" vertical="center" indent="1"/>
      <protection locked="0"/>
    </xf>
    <xf numFmtId="0" fontId="7" fillId="0" borderId="14" xfId="0" applyFont="1" applyBorder="1" applyAlignment="1">
      <alignment vertical="center"/>
    </xf>
    <xf numFmtId="0" fontId="4" fillId="0" borderId="7" xfId="0" applyFont="1" applyBorder="1"/>
    <xf numFmtId="0" fontId="4" fillId="0" borderId="8" xfId="0" applyFont="1" applyBorder="1"/>
    <xf numFmtId="0" fontId="4" fillId="2" borderId="0" xfId="0" applyFont="1" applyFill="1" applyAlignment="1" applyProtection="1">
      <alignment horizontal="left"/>
      <protection locked="0"/>
    </xf>
    <xf numFmtId="2" fontId="4" fillId="2" borderId="0" xfId="0" applyNumberFormat="1" applyFont="1" applyFill="1" applyAlignment="1" applyProtection="1">
      <alignment horizontal="left"/>
      <protection locked="0"/>
    </xf>
    <xf numFmtId="0" fontId="4" fillId="0" borderId="0" xfId="0" applyFont="1" applyProtection="1">
      <protection hidden="1"/>
    </xf>
    <xf numFmtId="0" fontId="4" fillId="0" borderId="0" xfId="0" applyFont="1" applyAlignment="1">
      <alignment horizontal="left"/>
    </xf>
    <xf numFmtId="0" fontId="4" fillId="0" borderId="8" xfId="0" applyFont="1" applyBorder="1" applyAlignment="1">
      <alignment horizontal="left" indent="1"/>
    </xf>
    <xf numFmtId="2" fontId="4" fillId="0" borderId="0" xfId="0" applyNumberFormat="1" applyFont="1" applyAlignment="1" applyProtection="1">
      <alignment horizontal="left"/>
      <protection hidden="1"/>
    </xf>
    <xf numFmtId="0" fontId="4" fillId="2" borderId="0" xfId="0" applyFont="1" applyFill="1" applyAlignment="1" applyProtection="1">
      <alignment horizontal="left"/>
      <protection hidden="1"/>
    </xf>
    <xf numFmtId="0" fontId="4" fillId="0" borderId="0" xfId="0" applyFont="1" applyAlignment="1" applyProtection="1">
      <alignment horizontal="left"/>
      <protection hidden="1"/>
    </xf>
    <xf numFmtId="0" fontId="7" fillId="0" borderId="7" xfId="0" applyFont="1" applyBorder="1"/>
    <xf numFmtId="0" fontId="7" fillId="0" borderId="0" xfId="0" applyFont="1" applyAlignment="1" applyProtection="1">
      <alignment horizontal="left"/>
      <protection hidden="1"/>
    </xf>
    <xf numFmtId="0" fontId="7" fillId="0" borderId="0" xfId="0" applyFont="1" applyAlignment="1">
      <alignment horizontal="left" indent="1"/>
    </xf>
    <xf numFmtId="0" fontId="7" fillId="0" borderId="8" xfId="0" applyFont="1" applyBorder="1"/>
    <xf numFmtId="0" fontId="7" fillId="0" borderId="0" xfId="0" applyFont="1" applyAlignment="1">
      <alignment horizontal="left"/>
    </xf>
    <xf numFmtId="164" fontId="4" fillId="3" borderId="0" xfId="0" applyNumberFormat="1" applyFont="1" applyFill="1" applyAlignment="1" applyProtection="1">
      <alignment horizontal="right"/>
      <protection locked="0" hidden="1"/>
    </xf>
    <xf numFmtId="0" fontId="4" fillId="3" borderId="0" xfId="0" applyFont="1" applyFill="1" applyAlignment="1" applyProtection="1">
      <alignment horizontal="right"/>
      <protection locked="0" hidden="1"/>
    </xf>
    <xf numFmtId="0" fontId="4" fillId="3" borderId="0" xfId="0" applyFont="1" applyFill="1" applyAlignment="1" applyProtection="1">
      <alignment horizontal="right" vertical="center"/>
      <protection locked="0" hidden="1"/>
    </xf>
    <xf numFmtId="0" fontId="4" fillId="0" borderId="0" xfId="0" applyFont="1" applyAlignment="1">
      <alignment horizontal="left" vertical="center"/>
    </xf>
    <xf numFmtId="0" fontId="4" fillId="0" borderId="8" xfId="0" applyFont="1" applyBorder="1" applyAlignment="1">
      <alignment vertical="center"/>
    </xf>
    <xf numFmtId="2" fontId="4" fillId="0" borderId="0" xfId="0" applyNumberFormat="1" applyFont="1" applyAlignment="1" applyProtection="1">
      <alignment horizontal="right"/>
      <protection hidden="1"/>
    </xf>
    <xf numFmtId="164" fontId="4" fillId="0" borderId="0" xfId="0" applyNumberFormat="1" applyFont="1" applyAlignment="1" applyProtection="1">
      <alignment horizontal="right"/>
      <protection hidden="1"/>
    </xf>
    <xf numFmtId="2" fontId="4" fillId="0" borderId="0" xfId="0" applyNumberFormat="1" applyFont="1" applyProtection="1">
      <protection hidden="1"/>
    </xf>
    <xf numFmtId="166" fontId="4" fillId="0" borderId="0" xfId="0" applyNumberFormat="1" applyFont="1" applyProtection="1">
      <protection hidden="1"/>
    </xf>
    <xf numFmtId="164" fontId="4" fillId="0" borderId="0" xfId="0" applyNumberFormat="1" applyFont="1" applyProtection="1">
      <protection hidden="1"/>
    </xf>
    <xf numFmtId="0" fontId="4" fillId="0" borderId="9" xfId="0" applyFont="1" applyBorder="1"/>
    <xf numFmtId="0" fontId="4" fillId="0" borderId="10" xfId="0" applyFont="1" applyBorder="1" applyAlignment="1">
      <alignment horizontal="right"/>
    </xf>
    <xf numFmtId="0" fontId="4" fillId="0" borderId="10" xfId="0" applyFont="1" applyBorder="1" applyAlignment="1">
      <alignment horizontal="left" indent="1"/>
    </xf>
    <xf numFmtId="164" fontId="4" fillId="0" borderId="10" xfId="0" applyNumberFormat="1" applyFont="1" applyBorder="1" applyProtection="1">
      <protection hidden="1"/>
    </xf>
    <xf numFmtId="0" fontId="4" fillId="0" borderId="11" xfId="0" applyFont="1" applyBorder="1"/>
    <xf numFmtId="0" fontId="8" fillId="6" borderId="7" xfId="0" applyFont="1" applyFill="1" applyBorder="1" applyAlignment="1">
      <alignment vertical="center"/>
    </xf>
    <xf numFmtId="0" fontId="8" fillId="6" borderId="0" xfId="0" applyFont="1" applyFill="1" applyAlignment="1">
      <alignment vertical="center"/>
    </xf>
    <xf numFmtId="0" fontId="8" fillId="6" borderId="8" xfId="0" applyFont="1" applyFill="1" applyBorder="1" applyAlignment="1">
      <alignment vertical="center"/>
    </xf>
    <xf numFmtId="49" fontId="0" fillId="0" borderId="0" xfId="0" applyNumberFormat="1"/>
    <xf numFmtId="167" fontId="4" fillId="0" borderId="0" xfId="0" applyNumberFormat="1" applyFont="1" applyAlignment="1">
      <alignment horizontal="left"/>
    </xf>
    <xf numFmtId="0" fontId="7" fillId="0" borderId="0" xfId="0" applyFont="1"/>
    <xf numFmtId="0" fontId="9" fillId="0" borderId="0" xfId="2" applyFont="1" applyAlignment="1">
      <alignment horizontal="right" vertical="top" wrapText="1" indent="1"/>
    </xf>
    <xf numFmtId="0" fontId="9" fillId="0" borderId="0" xfId="2" applyFont="1" applyAlignment="1">
      <alignment horizontal="right" vertical="center" wrapText="1" indent="1"/>
    </xf>
    <xf numFmtId="0" fontId="11" fillId="0" borderId="0" xfId="2" applyFont="1"/>
    <xf numFmtId="0" fontId="13" fillId="0" borderId="0" xfId="0" applyFont="1"/>
    <xf numFmtId="0" fontId="15" fillId="0" borderId="0" xfId="0" applyFont="1"/>
    <xf numFmtId="0" fontId="2" fillId="0" borderId="16" xfId="0" applyFont="1" applyBorder="1"/>
    <xf numFmtId="0" fontId="2" fillId="0" borderId="17" xfId="0" applyFont="1" applyBorder="1" applyAlignment="1">
      <alignment horizontal="center" wrapText="1"/>
    </xf>
    <xf numFmtId="0" fontId="2" fillId="0" borderId="18"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applyAlignment="1">
      <alignment wrapText="1"/>
    </xf>
    <xf numFmtId="0" fontId="3" fillId="0" borderId="23" xfId="0" applyFont="1" applyBorder="1"/>
    <xf numFmtId="0" fontId="4" fillId="0" borderId="0" xfId="0" applyFont="1" applyAlignment="1">
      <alignment wrapText="1"/>
    </xf>
    <xf numFmtId="14" fontId="4" fillId="0" borderId="0" xfId="0" applyNumberFormat="1" applyFont="1" applyAlignment="1">
      <alignment horizontal="right"/>
    </xf>
    <xf numFmtId="0" fontId="0" fillId="0" borderId="12" xfId="0" applyBorder="1" applyAlignment="1">
      <alignment horizontal="center"/>
    </xf>
    <xf numFmtId="0" fontId="3" fillId="0" borderId="12" xfId="0" applyFont="1" applyBorder="1" applyAlignment="1">
      <alignment horizontal="center"/>
    </xf>
    <xf numFmtId="0" fontId="0" fillId="0" borderId="22" xfId="0" applyBorder="1" applyAlignment="1">
      <alignment horizontal="center"/>
    </xf>
    <xf numFmtId="0" fontId="3" fillId="0" borderId="0" xfId="0" applyFont="1" applyAlignment="1">
      <alignment wrapText="1"/>
    </xf>
    <xf numFmtId="0" fontId="3" fillId="0" borderId="24" xfId="0" applyFont="1" applyBorder="1" applyAlignment="1">
      <alignment wrapText="1"/>
    </xf>
    <xf numFmtId="0" fontId="0" fillId="0" borderId="1" xfId="0" applyBorder="1" applyAlignment="1">
      <alignment horizontal="center"/>
    </xf>
    <xf numFmtId="0" fontId="3" fillId="0" borderId="25" xfId="0" applyFont="1" applyBorder="1"/>
    <xf numFmtId="0" fontId="3" fillId="0" borderId="1" xfId="0" applyFont="1" applyBorder="1" applyAlignment="1">
      <alignment horizontal="center"/>
    </xf>
    <xf numFmtId="167" fontId="0" fillId="0" borderId="0" xfId="0" applyNumberFormat="1"/>
    <xf numFmtId="0" fontId="3" fillId="7" borderId="0" xfId="0" applyFont="1" applyFill="1" applyProtection="1">
      <protection locked="0"/>
    </xf>
    <xf numFmtId="0" fontId="0" fillId="7" borderId="0" xfId="0" applyFill="1" applyProtection="1">
      <protection locked="0"/>
    </xf>
    <xf numFmtId="2" fontId="0" fillId="7" borderId="0" xfId="0" applyNumberFormat="1" applyFill="1" applyProtection="1">
      <protection locked="0"/>
    </xf>
    <xf numFmtId="0" fontId="0" fillId="0" borderId="0" xfId="0" applyProtection="1">
      <protection locked="0"/>
    </xf>
    <xf numFmtId="167" fontId="0" fillId="0" borderId="0" xfId="0" applyNumberFormat="1" applyProtection="1">
      <protection locked="0"/>
    </xf>
    <xf numFmtId="0" fontId="3" fillId="8" borderId="0" xfId="0" applyFont="1" applyFill="1" applyProtection="1">
      <protection locked="0"/>
    </xf>
    <xf numFmtId="0" fontId="0" fillId="8" borderId="0" xfId="0" applyFill="1" applyProtection="1">
      <protection locked="0"/>
    </xf>
    <xf numFmtId="2" fontId="0" fillId="8" borderId="0" xfId="0" applyNumberFormat="1" applyFill="1" applyProtection="1">
      <protection locked="0"/>
    </xf>
    <xf numFmtId="1" fontId="0" fillId="0" borderId="0" xfId="0" applyNumberFormat="1"/>
    <xf numFmtId="2" fontId="4" fillId="3" borderId="0" xfId="0" applyNumberFormat="1" applyFont="1" applyFill="1" applyAlignment="1" applyProtection="1">
      <alignment horizontal="right"/>
      <protection locked="0" hidden="1"/>
    </xf>
    <xf numFmtId="164" fontId="3" fillId="0" borderId="8" xfId="0" applyNumberFormat="1" applyFont="1" applyBorder="1" applyAlignment="1">
      <alignment horizontal="center" vertical="center"/>
    </xf>
    <xf numFmtId="164" fontId="3" fillId="0" borderId="11" xfId="0" applyNumberFormat="1" applyFont="1" applyBorder="1" applyAlignment="1">
      <alignment horizontal="center" vertical="center"/>
    </xf>
    <xf numFmtId="2" fontId="4" fillId="5" borderId="0" xfId="0" applyNumberFormat="1" applyFont="1" applyFill="1" applyAlignment="1" applyProtection="1">
      <alignment horizontal="left"/>
      <protection locked="0"/>
    </xf>
    <xf numFmtId="0" fontId="4" fillId="0" borderId="12" xfId="0" applyFont="1" applyBorder="1" applyAlignment="1">
      <alignment vertical="top" wrapText="1"/>
    </xf>
    <xf numFmtId="0" fontId="4" fillId="0" borderId="12" xfId="0" applyFont="1" applyBorder="1"/>
    <xf numFmtId="164" fontId="4" fillId="0" borderId="12" xfId="0" applyNumberFormat="1" applyFont="1" applyBorder="1"/>
    <xf numFmtId="0" fontId="4" fillId="2" borderId="0" xfId="0" applyFont="1" applyFill="1" applyProtection="1">
      <protection locked="0"/>
    </xf>
    <xf numFmtId="2" fontId="0" fillId="9" borderId="0" xfId="0" applyNumberFormat="1" applyFill="1"/>
    <xf numFmtId="0" fontId="17" fillId="0" borderId="12" xfId="0" applyFont="1" applyBorder="1"/>
    <xf numFmtId="0" fontId="17" fillId="0" borderId="20" xfId="0" applyFont="1" applyBorder="1"/>
    <xf numFmtId="0" fontId="0" fillId="0" borderId="19" xfId="0" applyBorder="1" applyAlignment="1">
      <alignment horizontal="center" vertical="center"/>
    </xf>
    <xf numFmtId="0" fontId="0" fillId="0" borderId="12" xfId="0" applyBorder="1" applyAlignment="1">
      <alignment horizontal="center" vertical="center"/>
    </xf>
    <xf numFmtId="0" fontId="0" fillId="0" borderId="20" xfId="0" applyBorder="1" applyAlignment="1">
      <alignment horizontal="center" vertical="center"/>
    </xf>
    <xf numFmtId="0" fontId="0" fillId="0" borderId="19" xfId="0" applyBorder="1"/>
    <xf numFmtId="0" fontId="0" fillId="0" borderId="21" xfId="0" applyBorder="1"/>
    <xf numFmtId="0" fontId="0" fillId="0" borderId="22" xfId="0" applyBorder="1" applyAlignment="1">
      <alignment horizontal="center" vertical="center"/>
    </xf>
    <xf numFmtId="0" fontId="0" fillId="0" borderId="23" xfId="0" applyBorder="1" applyAlignment="1">
      <alignment horizontal="center" vertical="center"/>
    </xf>
    <xf numFmtId="167" fontId="3" fillId="0" borderId="0" xfId="0" applyNumberFormat="1" applyFont="1"/>
    <xf numFmtId="1" fontId="3" fillId="0" borderId="0" xfId="0" applyNumberFormat="1" applyFont="1" applyAlignment="1">
      <alignment horizontal="right"/>
    </xf>
    <xf numFmtId="1" fontId="3" fillId="0" borderId="0" xfId="0" applyNumberFormat="1" applyFont="1"/>
    <xf numFmtId="1" fontId="16" fillId="0" borderId="0" xfId="0" applyNumberFormat="1" applyFont="1" applyAlignment="1">
      <alignment horizontal="right"/>
    </xf>
    <xf numFmtId="0" fontId="2" fillId="8" borderId="0" xfId="0" applyFont="1" applyFill="1"/>
    <xf numFmtId="2" fontId="4" fillId="8" borderId="0" xfId="0" applyNumberFormat="1" applyFont="1" applyFill="1" applyAlignment="1" applyProtection="1">
      <alignment horizontal="left"/>
      <protection locked="0"/>
    </xf>
    <xf numFmtId="0" fontId="2" fillId="7" borderId="0" xfId="0" applyFont="1" applyFill="1"/>
    <xf numFmtId="2" fontId="4" fillId="7" borderId="0" xfId="0" applyNumberFormat="1" applyFont="1" applyFill="1" applyAlignment="1" applyProtection="1">
      <alignment horizontal="left"/>
      <protection locked="0"/>
    </xf>
    <xf numFmtId="0" fontId="2" fillId="10" borderId="0" xfId="0" applyFont="1" applyFill="1"/>
    <xf numFmtId="2" fontId="4" fillId="10" borderId="0" xfId="0" applyNumberFormat="1" applyFont="1" applyFill="1" applyAlignment="1" applyProtection="1">
      <alignment horizontal="left"/>
      <protection locked="0"/>
    </xf>
    <xf numFmtId="0" fontId="2" fillId="0" borderId="0" xfId="2" applyFont="1" applyAlignment="1">
      <alignment horizontal="center" vertical="center"/>
    </xf>
    <xf numFmtId="0" fontId="3" fillId="0" borderId="0" xfId="2"/>
    <xf numFmtId="0" fontId="4" fillId="0" borderId="0" xfId="2" applyFont="1" applyAlignment="1">
      <alignment horizontal="left" vertical="top" wrapText="1"/>
    </xf>
    <xf numFmtId="0" fontId="3" fillId="0" borderId="0" xfId="2" applyAlignment="1">
      <alignment vertical="top"/>
    </xf>
    <xf numFmtId="0" fontId="4" fillId="0" borderId="8" xfId="0" applyFont="1" applyBorder="1" applyAlignment="1">
      <alignment horizontal="left"/>
    </xf>
    <xf numFmtId="0" fontId="0" fillId="0" borderId="0" xfId="0" applyAlignment="1">
      <alignment horizontal="left" indent="1"/>
    </xf>
    <xf numFmtId="0" fontId="0" fillId="0" borderId="0" xfId="0"/>
    <xf numFmtId="0" fontId="0" fillId="0" borderId="8" xfId="0" applyBorder="1"/>
    <xf numFmtId="0" fontId="4" fillId="0" borderId="5" xfId="0" applyFont="1" applyBorder="1" applyAlignment="1" applyProtection="1">
      <alignment horizontal="left" vertical="center" indent="1"/>
      <protection locked="0"/>
    </xf>
    <xf numFmtId="0" fontId="0" fillId="0" borderId="5" xfId="0" applyBorder="1" applyProtection="1">
      <protection locked="0"/>
    </xf>
    <xf numFmtId="0" fontId="4" fillId="0" borderId="6" xfId="0" applyFont="1" applyBorder="1" applyAlignment="1" applyProtection="1">
      <alignment horizontal="left" vertical="center" indent="1"/>
      <protection locked="0"/>
    </xf>
    <xf numFmtId="0" fontId="0" fillId="0" borderId="6" xfId="0" applyBorder="1" applyProtection="1">
      <protection locked="0"/>
    </xf>
    <xf numFmtId="0" fontId="4" fillId="0" borderId="0" xfId="0" applyFont="1" applyAlignment="1">
      <alignment horizontal="left"/>
    </xf>
    <xf numFmtId="0" fontId="6" fillId="0" borderId="11" xfId="0" applyFont="1" applyBorder="1" applyAlignment="1">
      <alignment horizontal="center" vertical="center" wrapText="1"/>
    </xf>
    <xf numFmtId="0" fontId="0" fillId="0" borderId="11" xfId="0" applyBorder="1"/>
    <xf numFmtId="0" fontId="7" fillId="0" borderId="15" xfId="0" applyFont="1" applyBorder="1" applyAlignment="1">
      <alignment horizontal="center" vertical="center"/>
    </xf>
    <xf numFmtId="0" fontId="0" fillId="0" borderId="14" xfId="0" applyBorder="1"/>
    <xf numFmtId="0" fontId="0" fillId="0" borderId="15" xfId="0" applyBorder="1"/>
    <xf numFmtId="0" fontId="5" fillId="0" borderId="8" xfId="0" applyFont="1" applyBorder="1" applyAlignment="1">
      <alignment horizontal="center" vertical="center" wrapText="1"/>
    </xf>
    <xf numFmtId="0" fontId="4" fillId="0" borderId="10" xfId="0" applyFont="1" applyBorder="1" applyAlignment="1" applyProtection="1">
      <alignment horizontal="left" vertical="center" indent="1"/>
      <protection locked="0"/>
    </xf>
    <xf numFmtId="0" fontId="0" fillId="0" borderId="10" xfId="0" applyBorder="1" applyProtection="1">
      <protection locked="0"/>
    </xf>
    <xf numFmtId="0" fontId="2" fillId="0" borderId="26" xfId="0" applyFont="1" applyBorder="1" applyAlignment="1">
      <alignment horizontal="left" vertical="center"/>
    </xf>
    <xf numFmtId="0" fontId="0" fillId="0" borderId="5" xfId="0" applyBorder="1"/>
    <xf numFmtId="0" fontId="0" fillId="0" borderId="6" xfId="0" applyBorder="1"/>
    <xf numFmtId="0" fontId="2" fillId="0" borderId="7" xfId="0" applyFont="1" applyBorder="1" applyAlignment="1">
      <alignment horizontal="left" vertical="center" wrapText="1"/>
    </xf>
    <xf numFmtId="0" fontId="0" fillId="0" borderId="0" xfId="0" applyAlignment="1">
      <alignment horizontal="right"/>
    </xf>
    <xf numFmtId="14" fontId="4" fillId="0" borderId="11" xfId="0" applyNumberFormat="1" applyFont="1" applyBorder="1" applyAlignment="1" applyProtection="1">
      <alignment horizontal="left" vertical="center" indent="1"/>
      <protection locked="0"/>
    </xf>
    <xf numFmtId="0" fontId="0" fillId="0" borderId="11" xfId="0" applyBorder="1" applyProtection="1">
      <protection locked="0"/>
    </xf>
    <xf numFmtId="0" fontId="6" fillId="0" borderId="9" xfId="0" applyFont="1" applyBorder="1" applyAlignment="1">
      <alignment horizontal="center" vertical="center" wrapText="1"/>
    </xf>
    <xf numFmtId="0" fontId="0" fillId="0" borderId="10" xfId="0" applyBorder="1"/>
    <xf numFmtId="0" fontId="17" fillId="0" borderId="17" xfId="0" applyFont="1" applyBorder="1" applyAlignment="1">
      <alignment horizontal="center"/>
    </xf>
    <xf numFmtId="0" fontId="0" fillId="0" borderId="28" xfId="0" applyBorder="1"/>
    <xf numFmtId="0" fontId="0" fillId="0" borderId="29" xfId="0" applyBorder="1"/>
    <xf numFmtId="0" fontId="17" fillId="0" borderId="16" xfId="0" applyFont="1" applyBorder="1" applyAlignment="1">
      <alignment horizontal="center" vertical="center"/>
    </xf>
    <xf numFmtId="0" fontId="0" fillId="0" borderId="27" xfId="0" applyBorder="1"/>
    <xf numFmtId="0" fontId="14" fillId="0" borderId="0" xfId="0" applyFont="1" applyAlignment="1">
      <alignment horizontal="left" wrapText="1"/>
    </xf>
    <xf numFmtId="0" fontId="14" fillId="0" borderId="0" xfId="0" applyFont="1" applyAlignment="1">
      <alignment wrapText="1"/>
    </xf>
    <xf numFmtId="0" fontId="12" fillId="0" borderId="0" xfId="0" applyFont="1" applyAlignment="1">
      <alignment horizontal="left" wrapText="1"/>
    </xf>
  </cellXfs>
  <cellStyles count="4">
    <cellStyle name="Dato (åå-mm-dd)" xfId="3" xr:uid="{00000000-0005-0000-0000-000003000000}"/>
    <cellStyle name="Normal" xfId="0" builtinId="0"/>
    <cellStyle name="Normal 2" xfId="1" xr:uid="{00000000-0005-0000-0000-000001000000}"/>
    <cellStyle name="Normal 3" xfId="2" xr:uid="{00000000-0005-0000-0000-000002000000}"/>
  </cellStyles>
  <dxfs count="3">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J15"/>
  <sheetViews>
    <sheetView showGridLines="0" topLeftCell="A2" zoomScale="80" zoomScaleNormal="80" zoomScaleSheetLayoutView="80" workbookViewId="0">
      <selection activeCell="R8" sqref="R8"/>
    </sheetView>
  </sheetViews>
  <sheetFormatPr defaultColWidth="9.140625" defaultRowHeight="12.75" x14ac:dyDescent="0.2"/>
  <cols>
    <col min="1" max="1" width="13.5703125" style="62" customWidth="1"/>
    <col min="2" max="9" width="16.5703125" style="62" customWidth="1"/>
    <col min="10" max="157" width="9.140625" style="62" customWidth="1"/>
    <col min="158" max="16384" width="9.140625" style="62"/>
  </cols>
  <sheetData>
    <row r="1" spans="1:10" ht="8.1" customHeight="1" x14ac:dyDescent="0.2"/>
    <row r="2" spans="1:10" ht="24.95" customHeight="1" x14ac:dyDescent="0.2">
      <c r="B2" s="180" t="s">
        <v>0</v>
      </c>
      <c r="C2" s="181"/>
      <c r="D2" s="181"/>
      <c r="E2" s="181"/>
      <c r="F2" s="181"/>
      <c r="G2" s="181"/>
      <c r="H2" s="181"/>
    </row>
    <row r="3" spans="1:10" ht="8.1" customHeight="1" x14ac:dyDescent="0.2"/>
    <row r="4" spans="1:10" s="63" customFormat="1" ht="90" customHeight="1" x14ac:dyDescent="0.2">
      <c r="A4" s="120" t="s">
        <v>1</v>
      </c>
      <c r="B4" s="182" t="s">
        <v>2</v>
      </c>
      <c r="C4" s="183"/>
      <c r="D4" s="183"/>
      <c r="E4" s="183"/>
      <c r="F4" s="183"/>
      <c r="G4" s="183"/>
      <c r="H4" s="183"/>
    </row>
    <row r="5" spans="1:10" ht="8.1" customHeight="1" x14ac:dyDescent="0.2"/>
    <row r="6" spans="1:10" ht="72" customHeight="1" x14ac:dyDescent="0.2">
      <c r="A6" s="121" t="s">
        <v>3</v>
      </c>
    </row>
    <row r="7" spans="1:10" ht="8.1" customHeight="1" x14ac:dyDescent="0.2">
      <c r="A7" s="64"/>
    </row>
    <row r="8" spans="1:10" s="63" customFormat="1" ht="409.5" customHeight="1" x14ac:dyDescent="0.2">
      <c r="A8" s="120" t="s">
        <v>4</v>
      </c>
      <c r="B8" s="73" t="s">
        <v>5</v>
      </c>
      <c r="C8" s="182" t="s">
        <v>6</v>
      </c>
      <c r="D8" s="73" t="s">
        <v>7</v>
      </c>
      <c r="E8" s="182" t="s">
        <v>8</v>
      </c>
      <c r="F8" s="182" t="s">
        <v>9</v>
      </c>
      <c r="G8" s="73" t="s">
        <v>10</v>
      </c>
      <c r="H8" s="73" t="s">
        <v>11</v>
      </c>
      <c r="J8" s="73"/>
    </row>
    <row r="9" spans="1:10" ht="83.25" customHeight="1" x14ac:dyDescent="0.2">
      <c r="B9" s="73"/>
      <c r="C9" s="181"/>
      <c r="E9" s="181"/>
      <c r="F9" s="181"/>
    </row>
    <row r="10" spans="1:10" ht="23.25" customHeight="1" x14ac:dyDescent="0.2"/>
    <row r="11" spans="1:10" s="63" customFormat="1" ht="146.25" customHeight="1" x14ac:dyDescent="0.2">
      <c r="A11" s="120" t="s">
        <v>12</v>
      </c>
      <c r="B11" s="182" t="s">
        <v>13</v>
      </c>
      <c r="C11" s="183"/>
      <c r="D11" s="183"/>
      <c r="E11" s="183"/>
      <c r="F11" s="183"/>
      <c r="G11" s="183"/>
      <c r="H11" s="183"/>
    </row>
    <row r="12" spans="1:10" ht="8.1" customHeight="1" x14ac:dyDescent="0.2">
      <c r="A12" s="122"/>
    </row>
    <row r="13" spans="1:10" s="63" customFormat="1" ht="60" customHeight="1" x14ac:dyDescent="0.2">
      <c r="A13" s="120" t="s">
        <v>14</v>
      </c>
      <c r="B13" s="182" t="s">
        <v>15</v>
      </c>
      <c r="C13" s="183"/>
      <c r="D13" s="183"/>
      <c r="E13" s="183"/>
      <c r="F13" s="183"/>
      <c r="G13" s="183"/>
      <c r="H13" s="183"/>
    </row>
    <row r="14" spans="1:10" ht="8.1" customHeight="1" x14ac:dyDescent="0.2"/>
    <row r="15" spans="1:10" s="63" customFormat="1" ht="39.950000000000003" customHeight="1" x14ac:dyDescent="0.2">
      <c r="A15" s="120" t="s">
        <v>16</v>
      </c>
      <c r="B15" s="182" t="s">
        <v>17</v>
      </c>
      <c r="C15" s="183"/>
      <c r="D15" s="183"/>
      <c r="E15" s="183"/>
      <c r="F15" s="183"/>
      <c r="G15" s="183"/>
      <c r="H15" s="183"/>
    </row>
  </sheetData>
  <sheetProtection algorithmName="SHA-512" hashValue="Z2/5Ft5BR2PuP/uG00S9A6f8Fimtj1+/ybJQsdJQ4pLpsp0XiRqGb1asIJPmNysKPegDkpSS7LNjpJz6KdVVlA==" saltValue="tAowczEMJm9YtauO7ghrHA==" spinCount="100000" sheet="1" objects="1" scenarios="1" selectLockedCells="1"/>
  <mergeCells count="8">
    <mergeCell ref="B2:H2"/>
    <mergeCell ref="B15:H15"/>
    <mergeCell ref="B11:H11"/>
    <mergeCell ref="E8:E9"/>
    <mergeCell ref="C8:C9"/>
    <mergeCell ref="B13:H13"/>
    <mergeCell ref="F8:F9"/>
    <mergeCell ref="B4:H4"/>
  </mergeCells>
  <pageMargins left="0.75" right="0.75" top="0.79" bottom="0.87" header="0.45" footer="0.5"/>
  <pageSetup scale="70" fitToHeight="0" orientation="portrait"/>
  <headerFooter alignWithMargins="0">
    <oddFooter>&amp;R&amp;8 Copyright © 2012 COWI Cathodic Protection Network</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J106"/>
  <sheetViews>
    <sheetView tabSelected="1" zoomScaleNormal="100" zoomScaleSheetLayoutView="115" workbookViewId="0">
      <selection activeCell="O32" sqref="O32"/>
    </sheetView>
  </sheetViews>
  <sheetFormatPr defaultRowHeight="12.75" x14ac:dyDescent="0.2"/>
  <cols>
    <col min="1" max="1" width="1.7109375" customWidth="1"/>
    <col min="2" max="2" width="9.140625" customWidth="1"/>
    <col min="3" max="3" width="9.140625" style="8" customWidth="1"/>
    <col min="4" max="4" width="9.140625" style="9" customWidth="1"/>
    <col min="5" max="7" width="9.140625" customWidth="1"/>
    <col min="8" max="8" width="10.85546875" customWidth="1"/>
    <col min="9" max="10" width="9.140625" customWidth="1"/>
    <col min="11" max="11" width="1.7109375" customWidth="1"/>
  </cols>
  <sheetData>
    <row r="1" spans="1:10" ht="17.100000000000001" customHeight="1" x14ac:dyDescent="0.2">
      <c r="B1" s="201" t="s">
        <v>18</v>
      </c>
      <c r="C1" s="202"/>
      <c r="D1" s="202"/>
      <c r="E1" s="202"/>
      <c r="F1" s="202"/>
      <c r="G1" s="202"/>
      <c r="H1" s="202"/>
      <c r="I1" s="202"/>
      <c r="J1" s="203"/>
    </row>
    <row r="2" spans="1:10" ht="17.100000000000001" customHeight="1" x14ac:dyDescent="0.2">
      <c r="B2" s="204" t="s">
        <v>19</v>
      </c>
      <c r="C2" s="205"/>
      <c r="D2" s="185"/>
      <c r="E2" s="186"/>
      <c r="F2" s="186"/>
      <c r="G2" s="186"/>
      <c r="H2" s="186"/>
      <c r="I2" s="198"/>
      <c r="J2" s="187"/>
    </row>
    <row r="3" spans="1:10" ht="17.100000000000001" customHeight="1" x14ac:dyDescent="0.2">
      <c r="B3" s="208" t="s">
        <v>20</v>
      </c>
      <c r="C3" s="209"/>
      <c r="D3" s="209"/>
      <c r="E3" s="209"/>
      <c r="F3" s="209"/>
      <c r="G3" s="209"/>
      <c r="H3" s="78" t="s">
        <v>21</v>
      </c>
      <c r="I3" s="193" t="s">
        <v>22</v>
      </c>
      <c r="J3" s="194"/>
    </row>
    <row r="4" spans="1:10" ht="17.100000000000001" customHeight="1" x14ac:dyDescent="0.2">
      <c r="B4" s="79" t="s">
        <v>23</v>
      </c>
      <c r="C4" s="188" t="s">
        <v>24</v>
      </c>
      <c r="D4" s="189"/>
      <c r="E4" s="189"/>
      <c r="F4" s="189"/>
      <c r="G4" s="189"/>
      <c r="H4" s="80" t="s">
        <v>25</v>
      </c>
      <c r="I4" s="190" t="s">
        <v>26</v>
      </c>
      <c r="J4" s="191"/>
    </row>
    <row r="5" spans="1:10" ht="17.100000000000001" customHeight="1" x14ac:dyDescent="0.2">
      <c r="B5" s="79" t="s">
        <v>27</v>
      </c>
      <c r="C5" s="199" t="s">
        <v>28</v>
      </c>
      <c r="D5" s="200"/>
      <c r="E5" s="200"/>
      <c r="F5" s="200"/>
      <c r="G5" s="200"/>
      <c r="H5" s="80" t="s">
        <v>29</v>
      </c>
      <c r="I5" s="206">
        <v>45247</v>
      </c>
      <c r="J5" s="207"/>
    </row>
    <row r="6" spans="1:10" ht="17.100000000000001" customHeight="1" x14ac:dyDescent="0.2">
      <c r="B6" s="81" t="s">
        <v>30</v>
      </c>
      <c r="C6" s="82" t="s">
        <v>31</v>
      </c>
      <c r="D6" s="83" t="s">
        <v>32</v>
      </c>
      <c r="E6" s="82"/>
      <c r="F6" s="83" t="s">
        <v>33</v>
      </c>
      <c r="G6" s="82"/>
      <c r="H6" s="195"/>
      <c r="I6" s="196"/>
      <c r="J6" s="197"/>
    </row>
    <row r="7" spans="1:10" ht="5.0999999999999996" customHeight="1" x14ac:dyDescent="0.2">
      <c r="B7" s="84"/>
      <c r="C7" s="76"/>
      <c r="D7" s="77"/>
      <c r="E7" s="32"/>
      <c r="F7" s="32"/>
      <c r="G7" s="32"/>
      <c r="H7" s="32"/>
      <c r="I7" s="32"/>
      <c r="J7" s="85"/>
    </row>
    <row r="8" spans="1:10" ht="17.100000000000001" customHeight="1" x14ac:dyDescent="0.2">
      <c r="B8" s="114" t="s">
        <v>34</v>
      </c>
      <c r="C8" s="115"/>
      <c r="D8" s="115"/>
      <c r="E8" s="115"/>
      <c r="F8" s="115"/>
      <c r="G8" s="115"/>
      <c r="H8" s="115"/>
      <c r="I8" s="115"/>
      <c r="J8" s="116"/>
    </row>
    <row r="9" spans="1:10" ht="17.100000000000001" customHeight="1" x14ac:dyDescent="0.2">
      <c r="A9" s="71"/>
      <c r="B9" s="84" t="s">
        <v>35</v>
      </c>
      <c r="C9" s="76"/>
      <c r="D9" s="159" t="s">
        <v>36</v>
      </c>
      <c r="E9" s="159"/>
      <c r="F9" s="159"/>
      <c r="G9" s="159"/>
      <c r="H9" s="159"/>
      <c r="I9" s="159"/>
      <c r="J9" s="159"/>
    </row>
    <row r="10" spans="1:10" ht="17.100000000000001" customHeight="1" x14ac:dyDescent="0.2">
      <c r="A10" s="71"/>
      <c r="B10" s="84" t="s">
        <v>37</v>
      </c>
      <c r="C10" s="76"/>
      <c r="D10" s="159" t="s">
        <v>38</v>
      </c>
      <c r="E10" s="159"/>
      <c r="F10" s="159"/>
      <c r="G10" s="159"/>
      <c r="H10" s="159"/>
      <c r="I10" s="159"/>
      <c r="J10" s="159"/>
    </row>
    <row r="11" spans="1:10" ht="17.100000000000001" customHeight="1" x14ac:dyDescent="0.2">
      <c r="B11" s="84" t="s">
        <v>39</v>
      </c>
      <c r="C11" s="76"/>
      <c r="D11" s="159" t="s">
        <v>40</v>
      </c>
      <c r="E11" s="159"/>
      <c r="F11" s="159"/>
      <c r="G11" s="159"/>
      <c r="H11" s="159"/>
      <c r="I11" s="159"/>
      <c r="J11" s="159"/>
    </row>
    <row r="12" spans="1:10" ht="5.0999999999999996" customHeight="1" x14ac:dyDescent="0.2">
      <c r="B12" s="84"/>
      <c r="C12" s="76"/>
      <c r="D12" s="77"/>
      <c r="E12" s="32"/>
      <c r="F12" s="32"/>
      <c r="G12" s="32"/>
      <c r="H12" s="76"/>
      <c r="I12" s="77"/>
      <c r="J12" s="85"/>
    </row>
    <row r="13" spans="1:10" ht="17.100000000000001" customHeight="1" x14ac:dyDescent="0.2">
      <c r="B13" s="114" t="s">
        <v>41</v>
      </c>
      <c r="C13" s="115"/>
      <c r="D13" s="115"/>
      <c r="E13" s="115"/>
      <c r="F13" s="115"/>
      <c r="G13" s="115"/>
      <c r="H13" s="115"/>
      <c r="I13" s="115"/>
      <c r="J13" s="116"/>
    </row>
    <row r="14" spans="1:10" ht="17.100000000000001" customHeight="1" x14ac:dyDescent="0.2">
      <c r="B14" s="84" t="s">
        <v>42</v>
      </c>
      <c r="C14" s="76"/>
      <c r="D14" s="77"/>
      <c r="E14" s="32"/>
      <c r="F14" s="32"/>
      <c r="G14" s="32"/>
      <c r="H14" s="86">
        <v>0.26</v>
      </c>
      <c r="I14" s="77" t="s">
        <v>43</v>
      </c>
      <c r="J14" s="85" t="s">
        <v>44</v>
      </c>
    </row>
    <row r="15" spans="1:10" ht="17.100000000000001" customHeight="1" x14ac:dyDescent="0.2">
      <c r="A15" s="71"/>
      <c r="B15" s="84" t="s">
        <v>45</v>
      </c>
      <c r="C15" s="76"/>
      <c r="D15" s="77"/>
      <c r="E15" s="32"/>
      <c r="F15" s="32"/>
      <c r="G15" s="32"/>
      <c r="H15" s="86">
        <v>25</v>
      </c>
      <c r="I15" s="77" t="s">
        <v>46</v>
      </c>
      <c r="J15" s="85" t="s">
        <v>47</v>
      </c>
    </row>
    <row r="16" spans="1:10" ht="17.100000000000001" customHeight="1" x14ac:dyDescent="0.2">
      <c r="B16" s="84" t="s">
        <v>48</v>
      </c>
      <c r="C16" s="76"/>
      <c r="D16" s="77"/>
      <c r="E16" s="32"/>
      <c r="F16" s="32"/>
      <c r="G16" s="32"/>
      <c r="H16" s="87">
        <v>-0.8</v>
      </c>
      <c r="I16" s="77" t="s">
        <v>49</v>
      </c>
      <c r="J16" s="85" t="s">
        <v>50</v>
      </c>
    </row>
    <row r="17" spans="2:10" ht="5.0999999999999996" customHeight="1" x14ac:dyDescent="0.2">
      <c r="B17" s="84"/>
      <c r="C17" s="184" t="str">
        <f>IF(OR(Act,Actc),IF(D9="EN 12495: 2000","","extended tidal zone surface area is not a valid parameter for selected design standard"),IF(D9="EN 12495: 2000","extended tidal zone surface area is to be entered separately for EN standard",""))</f>
        <v/>
      </c>
      <c r="D17" s="185"/>
      <c r="E17" s="186"/>
      <c r="F17" s="186"/>
      <c r="G17" s="186"/>
      <c r="H17" s="186"/>
      <c r="I17" s="186"/>
      <c r="J17" s="187"/>
    </row>
    <row r="18" spans="2:10" ht="17.100000000000001" customHeight="1" x14ac:dyDescent="0.2">
      <c r="B18" s="114" t="s">
        <v>51</v>
      </c>
      <c r="C18" s="115"/>
      <c r="D18" s="115"/>
      <c r="E18" s="115"/>
      <c r="F18" s="115"/>
      <c r="G18" s="115"/>
      <c r="H18" s="115"/>
      <c r="I18" s="115"/>
      <c r="J18" s="116"/>
    </row>
    <row r="19" spans="2:10" ht="17.100000000000001" customHeight="1" x14ac:dyDescent="0.2">
      <c r="B19" s="84" t="s">
        <v>52</v>
      </c>
      <c r="C19" s="76"/>
      <c r="D19" s="77"/>
      <c r="E19" s="32"/>
      <c r="F19" s="32"/>
      <c r="G19" s="32"/>
      <c r="H19" s="155">
        <v>0</v>
      </c>
      <c r="I19" s="77" t="s">
        <v>53</v>
      </c>
      <c r="J19" s="85" t="s">
        <v>54</v>
      </c>
    </row>
    <row r="20" spans="2:10" ht="17.100000000000001" customHeight="1" x14ac:dyDescent="0.2">
      <c r="B20" s="84" t="s">
        <v>55</v>
      </c>
      <c r="C20" s="76"/>
      <c r="D20" s="77"/>
      <c r="E20" s="32"/>
      <c r="F20" s="32"/>
      <c r="G20" s="32"/>
      <c r="H20" s="155">
        <v>0</v>
      </c>
      <c r="I20" s="77" t="s">
        <v>53</v>
      </c>
      <c r="J20" s="85" t="s">
        <v>56</v>
      </c>
    </row>
    <row r="21" spans="2:10" ht="17.100000000000001" customHeight="1" x14ac:dyDescent="0.2">
      <c r="B21" s="84" t="s">
        <v>57</v>
      </c>
      <c r="C21" s="76"/>
      <c r="D21" s="77"/>
      <c r="E21" s="32"/>
      <c r="F21" s="32"/>
      <c r="G21" s="32"/>
      <c r="H21" s="177">
        <v>65.973445725385659</v>
      </c>
      <c r="I21" s="77" t="s">
        <v>53</v>
      </c>
      <c r="J21" s="85" t="s">
        <v>58</v>
      </c>
    </row>
    <row r="22" spans="2:10" ht="17.100000000000001" customHeight="1" x14ac:dyDescent="0.2">
      <c r="B22" s="84" t="s">
        <v>59</v>
      </c>
      <c r="C22" s="76"/>
      <c r="D22" s="77"/>
      <c r="E22" s="32"/>
      <c r="F22" s="32"/>
      <c r="G22" s="32"/>
      <c r="H22" s="179">
        <v>2193.1713999999979</v>
      </c>
      <c r="I22" s="77" t="s">
        <v>53</v>
      </c>
      <c r="J22" s="85" t="s">
        <v>60</v>
      </c>
    </row>
    <row r="23" spans="2:10" ht="17.100000000000001" customHeight="1" x14ac:dyDescent="0.2">
      <c r="B23" s="84" t="s">
        <v>61</v>
      </c>
      <c r="C23" s="76"/>
      <c r="D23" s="77"/>
      <c r="E23" s="32"/>
      <c r="F23" s="32"/>
      <c r="G23" s="32"/>
      <c r="H23" s="155">
        <v>0</v>
      </c>
      <c r="I23" s="77" t="s">
        <v>53</v>
      </c>
      <c r="J23" s="85" t="s">
        <v>62</v>
      </c>
    </row>
    <row r="24" spans="2:10" ht="17.100000000000001" customHeight="1" x14ac:dyDescent="0.2">
      <c r="B24" s="84" t="s">
        <v>63</v>
      </c>
      <c r="C24" s="76"/>
      <c r="D24" s="77"/>
      <c r="E24" s="32"/>
      <c r="F24" s="32"/>
      <c r="G24" s="32"/>
      <c r="H24" s="155">
        <v>0</v>
      </c>
      <c r="I24" s="77" t="s">
        <v>53</v>
      </c>
      <c r="J24" s="85" t="s">
        <v>64</v>
      </c>
    </row>
    <row r="25" spans="2:10" ht="17.100000000000001" customHeight="1" x14ac:dyDescent="0.2">
      <c r="B25" s="84" t="s">
        <v>65</v>
      </c>
      <c r="C25" s="76"/>
      <c r="D25" s="77"/>
      <c r="E25" s="32"/>
      <c r="F25" s="32"/>
      <c r="G25" s="32"/>
      <c r="H25" s="175">
        <v>1143.5397259066847</v>
      </c>
      <c r="I25" s="77" t="s">
        <v>53</v>
      </c>
      <c r="J25" s="85" t="s">
        <v>66</v>
      </c>
    </row>
    <row r="26" spans="2:10" ht="17.100000000000001" customHeight="1" x14ac:dyDescent="0.2">
      <c r="B26" s="84" t="s">
        <v>67</v>
      </c>
      <c r="C26" s="76"/>
      <c r="D26" s="77"/>
      <c r="E26" s="32"/>
      <c r="F26" s="32"/>
      <c r="G26" s="32"/>
      <c r="H26" s="155">
        <v>0</v>
      </c>
      <c r="I26" s="77" t="s">
        <v>53</v>
      </c>
      <c r="J26" s="85" t="s">
        <v>68</v>
      </c>
    </row>
    <row r="27" spans="2:10" ht="5.0999999999999996" customHeight="1" x14ac:dyDescent="0.2">
      <c r="B27" s="84"/>
      <c r="C27" s="76"/>
      <c r="D27" s="77"/>
      <c r="E27" s="32"/>
      <c r="F27" s="32"/>
      <c r="G27" s="32"/>
      <c r="H27" s="76"/>
      <c r="I27" s="77"/>
      <c r="J27" s="85"/>
    </row>
    <row r="28" spans="2:10" ht="17.100000000000001" customHeight="1" x14ac:dyDescent="0.2">
      <c r="B28" s="114" t="s">
        <v>69</v>
      </c>
      <c r="C28" s="115"/>
      <c r="D28" s="115"/>
      <c r="E28" s="115"/>
      <c r="F28" s="115"/>
      <c r="G28" s="115"/>
      <c r="H28" s="115"/>
      <c r="I28" s="115"/>
      <c r="J28" s="116"/>
    </row>
    <row r="29" spans="2:10" ht="17.100000000000001" customHeight="1" x14ac:dyDescent="0.2">
      <c r="B29" s="84" t="s">
        <v>70</v>
      </c>
      <c r="C29" s="76"/>
      <c r="D29" s="77"/>
      <c r="E29" s="32"/>
      <c r="F29" s="32"/>
      <c r="G29" s="32"/>
      <c r="H29" s="86" t="s">
        <v>71</v>
      </c>
      <c r="I29" s="77"/>
      <c r="J29" s="85"/>
    </row>
    <row r="30" spans="2:10" ht="5.0999999999999996" customHeight="1" x14ac:dyDescent="0.2">
      <c r="B30" s="84"/>
      <c r="C30" s="76"/>
      <c r="D30" s="77"/>
      <c r="E30" s="32"/>
      <c r="F30" s="32"/>
      <c r="G30" s="32"/>
      <c r="H30" s="2"/>
      <c r="I30" s="32"/>
      <c r="J30" s="85"/>
    </row>
    <row r="31" spans="2:10" ht="17.100000000000001" customHeight="1" x14ac:dyDescent="0.2">
      <c r="B31" s="114" t="s">
        <v>72</v>
      </c>
      <c r="C31" s="115"/>
      <c r="D31" s="115"/>
      <c r="E31" s="115"/>
      <c r="F31" s="115"/>
      <c r="G31" s="115"/>
      <c r="H31" s="115"/>
      <c r="I31" s="115"/>
      <c r="J31" s="116"/>
    </row>
    <row r="32" spans="2:10" ht="17.100000000000001" customHeight="1" x14ac:dyDescent="0.2">
      <c r="B32" s="84" t="s">
        <v>73</v>
      </c>
      <c r="C32" s="76"/>
      <c r="D32" s="77"/>
      <c r="E32" s="32"/>
      <c r="F32" s="32"/>
      <c r="G32" s="32"/>
      <c r="H32" s="86" t="s">
        <v>74</v>
      </c>
      <c r="I32" s="77"/>
      <c r="J32" s="85"/>
    </row>
    <row r="33" spans="1:10" ht="17.100000000000001" customHeight="1" x14ac:dyDescent="0.2">
      <c r="B33" s="84" t="s">
        <v>75</v>
      </c>
      <c r="C33" s="76"/>
      <c r="D33" s="77"/>
      <c r="E33" s="32"/>
      <c r="F33" s="32"/>
      <c r="G33" s="32"/>
      <c r="H33" s="86" t="s">
        <v>76</v>
      </c>
      <c r="I33" s="77"/>
      <c r="J33" s="85"/>
    </row>
    <row r="34" spans="1:10" ht="17.100000000000001" customHeight="1" x14ac:dyDescent="0.2">
      <c r="B34" s="84" t="s">
        <v>77</v>
      </c>
      <c r="C34" s="76"/>
      <c r="D34" s="77"/>
      <c r="E34" s="32"/>
      <c r="F34" s="32"/>
      <c r="G34" s="32"/>
      <c r="H34" s="86" t="s">
        <v>78</v>
      </c>
      <c r="I34" s="77"/>
      <c r="J34" s="85"/>
    </row>
    <row r="35" spans="1:10" ht="17.100000000000001" customHeight="1" x14ac:dyDescent="0.2">
      <c r="B35" s="84" t="s">
        <v>79</v>
      </c>
      <c r="C35" s="76"/>
      <c r="D35" s="77"/>
      <c r="E35" s="32"/>
      <c r="F35" s="32"/>
      <c r="G35" s="88"/>
      <c r="H35" s="88" t="str">
        <f>IF(VLOOKUP(H34,Anode_Data_Table,2,FALSE)=H32,VLOOKUP(H34,Anode_Data_Table,2,FALSE),"wrong anode material selected")</f>
        <v>Aluminium</v>
      </c>
      <c r="I35" s="77"/>
      <c r="J35" s="85"/>
    </row>
    <row r="36" spans="1:10" ht="17.100000000000001" customHeight="1" x14ac:dyDescent="0.2">
      <c r="B36" s="84" t="s">
        <v>80</v>
      </c>
      <c r="C36" s="76"/>
      <c r="D36" s="77"/>
      <c r="E36" s="32"/>
      <c r="F36" s="32"/>
      <c r="G36" s="32"/>
      <c r="H36" s="89">
        <f>mai</f>
        <v>350</v>
      </c>
      <c r="I36" s="77" t="s">
        <v>81</v>
      </c>
      <c r="J36" s="85" t="s">
        <v>82</v>
      </c>
    </row>
    <row r="37" spans="1:10" ht="17.100000000000001" customHeight="1" x14ac:dyDescent="0.2">
      <c r="B37" s="84" t="s">
        <v>83</v>
      </c>
      <c r="C37" s="76"/>
      <c r="D37" s="77"/>
      <c r="E37" s="32"/>
      <c r="F37" s="32"/>
      <c r="G37" s="32"/>
      <c r="H37" s="86" t="s">
        <v>84</v>
      </c>
      <c r="I37" s="77"/>
      <c r="J37" s="85"/>
    </row>
    <row r="38" spans="1:10" ht="17.100000000000001" customHeight="1" x14ac:dyDescent="0.2">
      <c r="B38" s="84" t="s">
        <v>85</v>
      </c>
      <c r="C38" s="76"/>
      <c r="D38" s="77"/>
      <c r="E38" s="32"/>
      <c r="F38" s="32"/>
      <c r="G38" s="32"/>
      <c r="H38" s="86" t="s">
        <v>86</v>
      </c>
      <c r="I38" s="77" t="s">
        <v>87</v>
      </c>
      <c r="J38" s="90"/>
    </row>
    <row r="39" spans="1:10" ht="17.100000000000001" customHeight="1" x14ac:dyDescent="0.2">
      <c r="A39" s="72"/>
      <c r="B39" s="84" t="s">
        <v>88</v>
      </c>
      <c r="C39" s="76"/>
      <c r="D39" s="77"/>
      <c r="E39" s="32"/>
      <c r="F39" s="32"/>
      <c r="G39" s="32"/>
      <c r="H39" s="91">
        <f>VLOOKUP(Type,Anode_Type_Data,3,FALSE)</f>
        <v>0.9</v>
      </c>
      <c r="I39" s="77"/>
      <c r="J39" s="85" t="s">
        <v>89</v>
      </c>
    </row>
    <row r="40" spans="1:10" ht="17.100000000000001" customHeight="1" x14ac:dyDescent="0.2">
      <c r="B40" s="84" t="s">
        <v>90</v>
      </c>
      <c r="C40" s="76"/>
      <c r="D40" s="77"/>
      <c r="E40" s="32"/>
      <c r="F40" s="32"/>
      <c r="G40" s="32"/>
      <c r="H40" s="92">
        <f>DGET('Input Parameters'!B14:F26,'Input Parameters'!E14,'Input Parameters'!B10:D11)</f>
        <v>2000</v>
      </c>
      <c r="I40" s="77" t="s">
        <v>91</v>
      </c>
      <c r="J40" s="85" t="s">
        <v>92</v>
      </c>
    </row>
    <row r="41" spans="1:10" ht="17.100000000000001" customHeight="1" x14ac:dyDescent="0.2">
      <c r="B41" s="84" t="s">
        <v>93</v>
      </c>
      <c r="C41" s="76"/>
      <c r="D41" s="77"/>
      <c r="E41" s="32"/>
      <c r="F41" s="32"/>
      <c r="G41" s="32"/>
      <c r="H41" s="91">
        <f>DGET('Input Parameters'!B14:F18,'Input Parameters'!F14,'Input Parameters'!B10:C11)</f>
        <v>-1.05</v>
      </c>
      <c r="I41" s="77" t="s">
        <v>49</v>
      </c>
      <c r="J41" s="85" t="s">
        <v>94</v>
      </c>
    </row>
    <row r="42" spans="1:10" ht="5.0999999999999996" customHeight="1" x14ac:dyDescent="0.2">
      <c r="B42" s="84"/>
      <c r="C42" s="192" t="str">
        <f>IF(AND(OR(Type="Type 1",Type="Type 2"),H38="&lt;0.15"),"for type 1 &amp; type 2 anodes, min. anode to object distance need be 0.15m",IF(AND(OR(Type="Type 3",Type="Type 4"),NOT(H38="&lt;0.15")),"selection not valid for type 3 &amp; type 4 anodes",""))</f>
        <v/>
      </c>
      <c r="D42" s="185"/>
      <c r="E42" s="186"/>
      <c r="F42" s="186"/>
      <c r="G42" s="186"/>
      <c r="H42" s="186"/>
      <c r="I42" s="77"/>
      <c r="J42" s="85"/>
    </row>
    <row r="43" spans="1:10" ht="17.100000000000001" customHeight="1" x14ac:dyDescent="0.2">
      <c r="B43" s="114" t="s">
        <v>95</v>
      </c>
      <c r="C43" s="115"/>
      <c r="D43" s="115"/>
      <c r="E43" s="115"/>
      <c r="F43" s="115"/>
      <c r="G43" s="115"/>
      <c r="H43" s="115"/>
      <c r="I43" s="115"/>
      <c r="J43" s="116"/>
    </row>
    <row r="44" spans="1:10" ht="17.100000000000001" customHeight="1" x14ac:dyDescent="0.2">
      <c r="B44" s="84" t="s">
        <v>96</v>
      </c>
      <c r="C44" s="76"/>
      <c r="D44" s="77"/>
      <c r="E44" s="32"/>
      <c r="F44" s="32"/>
      <c r="G44" s="32"/>
      <c r="H44" s="93">
        <f>ROUNDUP(H91/H90,0)</f>
        <v>18</v>
      </c>
      <c r="I44" s="77" t="s">
        <v>97</v>
      </c>
      <c r="J44" s="85"/>
    </row>
    <row r="45" spans="1:10" ht="17.100000000000001" customHeight="1" x14ac:dyDescent="0.2">
      <c r="A45" s="9"/>
      <c r="B45" s="84" t="s">
        <v>98</v>
      </c>
      <c r="C45" s="76"/>
      <c r="D45" s="77"/>
      <c r="E45" s="32"/>
      <c r="F45" s="32"/>
      <c r="G45" s="32"/>
      <c r="H45" s="93">
        <f>ROUNDUP(Ii/Iai,0)</f>
        <v>8</v>
      </c>
      <c r="I45" s="77" t="s">
        <v>97</v>
      </c>
      <c r="J45" s="85"/>
    </row>
    <row r="46" spans="1:10" ht="17.100000000000001" customHeight="1" x14ac:dyDescent="0.2">
      <c r="B46" s="84" t="s">
        <v>99</v>
      </c>
      <c r="C46" s="76"/>
      <c r="D46" s="77"/>
      <c r="E46" s="32"/>
      <c r="F46" s="32"/>
      <c r="G46" s="32"/>
      <c r="H46" s="93">
        <f>ROUNDUP(If/Iaf,0)</f>
        <v>20</v>
      </c>
      <c r="I46" s="77" t="s">
        <v>97</v>
      </c>
      <c r="J46" s="85"/>
    </row>
    <row r="47" spans="1:10" ht="17.100000000000001" customHeight="1" x14ac:dyDescent="0.2">
      <c r="B47" s="94" t="s">
        <v>100</v>
      </c>
      <c r="C47" s="76"/>
      <c r="D47" s="77"/>
      <c r="E47" s="32"/>
      <c r="F47" s="32"/>
      <c r="G47" s="32"/>
      <c r="H47" s="95">
        <f>MAX(H44:H46)</f>
        <v>20</v>
      </c>
      <c r="I47" s="96" t="s">
        <v>97</v>
      </c>
      <c r="J47" s="97"/>
    </row>
    <row r="48" spans="1:10" ht="17.100000000000001" customHeight="1" x14ac:dyDescent="0.2">
      <c r="B48" s="94" t="s">
        <v>101</v>
      </c>
      <c r="C48" s="76"/>
      <c r="D48" s="77"/>
      <c r="E48" s="32"/>
      <c r="F48" s="32"/>
      <c r="G48" s="32"/>
      <c r="H48" s="98">
        <f>mai</f>
        <v>350</v>
      </c>
      <c r="I48" s="96" t="s">
        <v>81</v>
      </c>
      <c r="J48" s="85"/>
    </row>
    <row r="49" spans="2:10" ht="17.100000000000001" customHeight="1" x14ac:dyDescent="0.2">
      <c r="B49" s="94" t="s">
        <v>102</v>
      </c>
      <c r="C49" s="76"/>
      <c r="D49" s="77"/>
      <c r="E49" s="32"/>
      <c r="F49" s="32"/>
      <c r="G49" s="32"/>
      <c r="H49" s="95">
        <f>H47*mai</f>
        <v>7000</v>
      </c>
      <c r="I49" s="96" t="s">
        <v>81</v>
      </c>
      <c r="J49" s="85"/>
    </row>
    <row r="50" spans="2:10" ht="5.0999999999999996" customHeight="1" x14ac:dyDescent="0.2">
      <c r="B50" s="109"/>
      <c r="C50" s="110"/>
      <c r="D50" s="111"/>
      <c r="E50" s="35"/>
      <c r="F50" s="35"/>
      <c r="G50" s="35"/>
      <c r="H50" s="110"/>
      <c r="I50" s="111"/>
      <c r="J50" s="113"/>
    </row>
    <row r="51" spans="2:10" ht="17.100000000000001" customHeight="1" x14ac:dyDescent="0.2">
      <c r="B51" s="114" t="s">
        <v>103</v>
      </c>
      <c r="C51" s="115"/>
      <c r="D51" s="115"/>
      <c r="E51" s="115"/>
      <c r="F51" s="115"/>
      <c r="G51" s="115"/>
      <c r="H51" s="115"/>
      <c r="I51" s="115"/>
      <c r="J51" s="116"/>
    </row>
    <row r="52" spans="2:10" ht="17.100000000000001" customHeight="1" x14ac:dyDescent="0.2">
      <c r="B52" s="84" t="s">
        <v>104</v>
      </c>
      <c r="C52" s="76"/>
      <c r="D52" s="77"/>
      <c r="E52" s="32"/>
      <c r="F52" s="32"/>
      <c r="G52" s="32"/>
      <c r="H52" s="99">
        <f>IF($D$9="EN 12495: 2000",(Iicd*1.2),Iicd)</f>
        <v>0.17</v>
      </c>
      <c r="I52" s="77" t="s">
        <v>105</v>
      </c>
      <c r="J52" s="85" t="s">
        <v>106</v>
      </c>
    </row>
    <row r="53" spans="2:10" ht="17.100000000000001" customHeight="1" x14ac:dyDescent="0.2">
      <c r="B53" s="84" t="s">
        <v>107</v>
      </c>
      <c r="C53" s="76"/>
      <c r="D53" s="77"/>
      <c r="E53" s="32"/>
      <c r="F53" s="32"/>
      <c r="G53" s="32"/>
      <c r="H53" s="99">
        <f>IF($D$9="EN 12495: 2000",(Imcd*1.2),Imcd)</f>
        <v>0.08</v>
      </c>
      <c r="I53" s="77" t="s">
        <v>105</v>
      </c>
      <c r="J53" s="85" t="s">
        <v>108</v>
      </c>
    </row>
    <row r="54" spans="2:10" ht="17.100000000000001" customHeight="1" x14ac:dyDescent="0.2">
      <c r="B54" s="84" t="s">
        <v>109</v>
      </c>
      <c r="C54" s="76"/>
      <c r="D54" s="77"/>
      <c r="E54" s="32"/>
      <c r="F54" s="32"/>
      <c r="G54" s="32"/>
      <c r="H54" s="99">
        <f>IF($D$9="EN 12495: 2000",(Ifcd*1.2),Ifcd)</f>
        <v>0.11</v>
      </c>
      <c r="I54" s="77" t="s">
        <v>105</v>
      </c>
      <c r="J54" s="85" t="s">
        <v>110</v>
      </c>
    </row>
    <row r="55" spans="2:10" ht="17.100000000000001" customHeight="1" x14ac:dyDescent="0.2">
      <c r="B55" s="84" t="s">
        <v>111</v>
      </c>
      <c r="C55" s="76"/>
      <c r="D55" s="77"/>
      <c r="E55" s="32"/>
      <c r="F55" s="32"/>
      <c r="G55" s="32"/>
      <c r="H55" s="99">
        <f>DGET('Current Density'!A7:F62,'Current Density'!D7,'Current Density'!A1:C2)</f>
        <v>0.17</v>
      </c>
      <c r="I55" s="77" t="s">
        <v>105</v>
      </c>
      <c r="J55" s="85" t="s">
        <v>112</v>
      </c>
    </row>
    <row r="56" spans="2:10" ht="17.100000000000001" customHeight="1" x14ac:dyDescent="0.2">
      <c r="B56" s="84" t="s">
        <v>113</v>
      </c>
      <c r="C56" s="76"/>
      <c r="D56" s="77"/>
      <c r="E56" s="32"/>
      <c r="F56" s="32"/>
      <c r="G56" s="32"/>
      <c r="H56" s="99">
        <f>DGET('Current Density'!A7:F62,'Current Density'!E7,'Current Density'!A1:C2)</f>
        <v>0.08</v>
      </c>
      <c r="I56" s="77" t="s">
        <v>105</v>
      </c>
      <c r="J56" s="85" t="s">
        <v>114</v>
      </c>
    </row>
    <row r="57" spans="2:10" ht="17.100000000000001" customHeight="1" x14ac:dyDescent="0.2">
      <c r="B57" s="84" t="s">
        <v>115</v>
      </c>
      <c r="C57" s="76"/>
      <c r="D57" s="77"/>
      <c r="E57" s="32"/>
      <c r="F57" s="32"/>
      <c r="G57" s="32"/>
      <c r="H57" s="99">
        <f>DGET('Current Density'!A7:F62,'Current Density'!F7,'Current Density'!A1:C2)</f>
        <v>0.11</v>
      </c>
      <c r="I57" s="77" t="s">
        <v>105</v>
      </c>
      <c r="J57" s="85" t="s">
        <v>116</v>
      </c>
    </row>
    <row r="58" spans="2:10" ht="17.100000000000001" customHeight="1" x14ac:dyDescent="0.2">
      <c r="B58" s="84" t="s">
        <v>117</v>
      </c>
      <c r="C58" s="76"/>
      <c r="D58" s="77"/>
      <c r="E58" s="32"/>
      <c r="F58" s="32"/>
      <c r="G58" s="32"/>
      <c r="H58" s="99">
        <f>Isicd</f>
        <v>0.02</v>
      </c>
      <c r="I58" s="77" t="s">
        <v>105</v>
      </c>
      <c r="J58" s="85" t="s">
        <v>118</v>
      </c>
    </row>
    <row r="59" spans="2:10" ht="17.100000000000001" customHeight="1" x14ac:dyDescent="0.2">
      <c r="B59" s="84" t="s">
        <v>119</v>
      </c>
      <c r="C59" s="76"/>
      <c r="D59" s="77"/>
      <c r="E59" s="32"/>
      <c r="F59" s="32"/>
      <c r="G59" s="32"/>
      <c r="H59" s="99">
        <f>Ismfcd</f>
        <v>0.02</v>
      </c>
      <c r="I59" s="77" t="s">
        <v>105</v>
      </c>
      <c r="J59" s="85" t="s">
        <v>120</v>
      </c>
    </row>
    <row r="60" spans="2:10" ht="17.100000000000001" customHeight="1" x14ac:dyDescent="0.2">
      <c r="B60" s="84" t="s">
        <v>121</v>
      </c>
      <c r="C60" s="76"/>
      <c r="D60" s="77"/>
      <c r="E60" s="32"/>
      <c r="F60" s="32"/>
      <c r="G60" s="32"/>
      <c r="H60" s="99">
        <f>DGET('Current Density'!I7:K10,'Current Density'!J7,'Current Density'!I1:I2)</f>
        <v>0.02</v>
      </c>
      <c r="I60" s="77" t="s">
        <v>105</v>
      </c>
      <c r="J60" s="85" t="s">
        <v>122</v>
      </c>
    </row>
    <row r="61" spans="2:10" ht="17.100000000000001" customHeight="1" x14ac:dyDescent="0.2">
      <c r="B61" s="84" t="s">
        <v>123</v>
      </c>
      <c r="C61" s="76"/>
      <c r="D61" s="77"/>
      <c r="E61" s="32"/>
      <c r="F61" s="32"/>
      <c r="G61" s="32"/>
      <c r="H61" s="99">
        <f>DGET('Current Density'!I7:K10,'Current Density'!K7,'Current Density'!I1:I2)</f>
        <v>0.02</v>
      </c>
      <c r="I61" s="77" t="s">
        <v>105</v>
      </c>
      <c r="J61" s="85" t="s">
        <v>124</v>
      </c>
    </row>
    <row r="62" spans="2:10" ht="5.0999999999999996" customHeight="1" x14ac:dyDescent="0.2">
      <c r="B62" s="84"/>
      <c r="C62" s="76"/>
      <c r="D62" s="77"/>
      <c r="E62" s="32"/>
      <c r="F62" s="32"/>
      <c r="G62" s="32"/>
      <c r="H62" s="76"/>
      <c r="I62" s="77"/>
      <c r="J62" s="85"/>
    </row>
    <row r="63" spans="2:10" ht="17.100000000000001" customHeight="1" x14ac:dyDescent="0.2">
      <c r="B63" s="114" t="s">
        <v>125</v>
      </c>
      <c r="C63" s="115"/>
      <c r="D63" s="115"/>
      <c r="E63" s="115"/>
      <c r="F63" s="115"/>
      <c r="G63" s="115"/>
      <c r="H63" s="115"/>
      <c r="I63" s="115"/>
      <c r="J63" s="116"/>
    </row>
    <row r="64" spans="2:10" ht="17.100000000000001" customHeight="1" x14ac:dyDescent="0.2">
      <c r="B64" s="84" t="s">
        <v>126</v>
      </c>
      <c r="C64" s="76"/>
      <c r="D64" s="77"/>
      <c r="E64" s="32"/>
      <c r="F64" s="32"/>
      <c r="G64" s="32"/>
      <c r="H64" s="152">
        <f>a</f>
        <v>0.02</v>
      </c>
      <c r="I64" s="77"/>
      <c r="J64" s="85" t="s">
        <v>127</v>
      </c>
    </row>
    <row r="65" spans="2:10" ht="17.100000000000001" customHeight="1" x14ac:dyDescent="0.2">
      <c r="B65" s="84" t="s">
        <v>128</v>
      </c>
      <c r="C65" s="76"/>
      <c r="D65" s="77"/>
      <c r="E65" s="32"/>
      <c r="F65" s="32"/>
      <c r="G65" s="32"/>
      <c r="H65" s="152">
        <v>0.1</v>
      </c>
      <c r="I65" s="77"/>
      <c r="J65" s="85" t="s">
        <v>129</v>
      </c>
    </row>
    <row r="66" spans="2:10" ht="17.100000000000001" customHeight="1" x14ac:dyDescent="0.2">
      <c r="B66" s="84" t="s">
        <v>130</v>
      </c>
      <c r="C66" s="76"/>
      <c r="D66" s="77"/>
      <c r="E66" s="32"/>
      <c r="F66" s="32"/>
      <c r="G66" s="32"/>
      <c r="H66" s="152">
        <v>0.1</v>
      </c>
      <c r="I66" s="77"/>
      <c r="J66" s="85" t="s">
        <v>131</v>
      </c>
    </row>
    <row r="67" spans="2:10" ht="17.100000000000001" customHeight="1" x14ac:dyDescent="0.2">
      <c r="B67" s="84" t="s">
        <v>132</v>
      </c>
      <c r="C67" s="76"/>
      <c r="D67" s="77"/>
      <c r="E67" s="32"/>
      <c r="F67" s="32"/>
      <c r="G67" s="32"/>
      <c r="H67" s="101">
        <f>b</f>
        <v>8.0000000000000002E-3</v>
      </c>
      <c r="I67" s="102"/>
      <c r="J67" s="103" t="s">
        <v>133</v>
      </c>
    </row>
    <row r="68" spans="2:10" ht="17.100000000000001" customHeight="1" x14ac:dyDescent="0.2">
      <c r="B68" s="84" t="s">
        <v>134</v>
      </c>
      <c r="C68" s="76"/>
      <c r="D68" s="77"/>
      <c r="E68" s="32"/>
      <c r="F68" s="32"/>
      <c r="G68" s="32"/>
      <c r="H68" s="152">
        <f>a+(b*tf/2)</f>
        <v>0.12000000000000001</v>
      </c>
      <c r="I68" s="77"/>
      <c r="J68" s="85" t="s">
        <v>135</v>
      </c>
    </row>
    <row r="69" spans="2:10" ht="17.100000000000001" customHeight="1" x14ac:dyDescent="0.2">
      <c r="B69" s="84" t="s">
        <v>136</v>
      </c>
      <c r="C69" s="76"/>
      <c r="D69" s="77"/>
      <c r="E69" s="32"/>
      <c r="F69" s="32"/>
      <c r="G69" s="32"/>
      <c r="H69" s="152">
        <f>a+(b*tf)</f>
        <v>0.22</v>
      </c>
      <c r="I69" s="77"/>
      <c r="J69" s="85" t="s">
        <v>137</v>
      </c>
    </row>
    <row r="70" spans="2:10" ht="17.100000000000001" customHeight="1" x14ac:dyDescent="0.2">
      <c r="B70" s="84" t="s">
        <v>138</v>
      </c>
      <c r="C70" s="76"/>
      <c r="D70" s="77"/>
      <c r="E70" s="32"/>
      <c r="F70" s="32"/>
      <c r="G70" s="32"/>
      <c r="H70" s="152">
        <f>amud+(b*tf/2)</f>
        <v>0.2</v>
      </c>
      <c r="I70" s="77"/>
      <c r="J70" s="85" t="s">
        <v>139</v>
      </c>
    </row>
    <row r="71" spans="2:10" ht="17.100000000000001" customHeight="1" x14ac:dyDescent="0.2">
      <c r="B71" s="84" t="s">
        <v>140</v>
      </c>
      <c r="C71" s="76"/>
      <c r="D71" s="77"/>
      <c r="E71" s="32"/>
      <c r="F71" s="32"/>
      <c r="G71" s="32"/>
      <c r="H71" s="152">
        <f>amud+(b*tf)</f>
        <v>0.30000000000000004</v>
      </c>
      <c r="I71" s="77"/>
      <c r="J71" s="85" t="s">
        <v>141</v>
      </c>
    </row>
    <row r="72" spans="2:10" ht="17.100000000000001" customHeight="1" x14ac:dyDescent="0.2">
      <c r="B72" s="84" t="s">
        <v>142</v>
      </c>
      <c r="C72" s="76"/>
      <c r="D72" s="77"/>
      <c r="E72" s="32"/>
      <c r="F72" s="32"/>
      <c r="G72" s="32"/>
      <c r="H72" s="152">
        <f>ased+(b*tf/2)</f>
        <v>0.2</v>
      </c>
      <c r="I72" s="77"/>
      <c r="J72" s="85" t="s">
        <v>143</v>
      </c>
    </row>
    <row r="73" spans="2:10" ht="17.100000000000001" customHeight="1" x14ac:dyDescent="0.2">
      <c r="B73" s="84" t="s">
        <v>144</v>
      </c>
      <c r="C73" s="76"/>
      <c r="D73" s="77"/>
      <c r="E73" s="32"/>
      <c r="F73" s="32"/>
      <c r="G73" s="32"/>
      <c r="H73" s="152">
        <f>ased+(b*tf)</f>
        <v>0.30000000000000004</v>
      </c>
      <c r="I73" s="77"/>
      <c r="J73" s="85" t="s">
        <v>145</v>
      </c>
    </row>
    <row r="74" spans="2:10" ht="5.0999999999999996" customHeight="1" x14ac:dyDescent="0.2">
      <c r="B74" s="84"/>
      <c r="C74" s="76"/>
      <c r="D74" s="77"/>
      <c r="E74" s="32"/>
      <c r="F74" s="32"/>
      <c r="G74" s="32"/>
      <c r="H74" s="76"/>
      <c r="I74" s="77"/>
      <c r="J74" s="85"/>
    </row>
    <row r="75" spans="2:10" ht="17.100000000000001" customHeight="1" x14ac:dyDescent="0.2">
      <c r="B75" s="114" t="s">
        <v>146</v>
      </c>
      <c r="C75" s="115"/>
      <c r="D75" s="115"/>
      <c r="E75" s="115"/>
      <c r="F75" s="115"/>
      <c r="G75" s="115"/>
      <c r="H75" s="115"/>
      <c r="I75" s="115"/>
      <c r="J75" s="116"/>
    </row>
    <row r="76" spans="2:10" ht="17.100000000000001" customHeight="1" x14ac:dyDescent="0.2">
      <c r="B76" s="84" t="s">
        <v>147</v>
      </c>
      <c r="C76" s="76"/>
      <c r="D76" s="77"/>
      <c r="E76" s="32"/>
      <c r="F76" s="32"/>
      <c r="G76" s="32"/>
      <c r="H76" s="104">
        <f>(Act*Iticd)+(Actc*Iticd*fcsi)+(Ac*Iicd)+(Acc*Iicd*fcsi)+(Acm*Imicd)+(Acmc*Imicd*fcmi)+(Acs*Isicd)+(Acsc*Isicd*fcsei)</f>
        <v>41.543063051449252</v>
      </c>
      <c r="I76" s="77" t="s">
        <v>148</v>
      </c>
      <c r="J76" s="85" t="s">
        <v>149</v>
      </c>
    </row>
    <row r="77" spans="2:10" ht="17.100000000000001" customHeight="1" x14ac:dyDescent="0.2">
      <c r="B77" s="84" t="s">
        <v>150</v>
      </c>
      <c r="C77" s="76"/>
      <c r="D77" s="77"/>
      <c r="E77" s="32"/>
      <c r="F77" s="32"/>
      <c r="G77" s="32"/>
      <c r="H77" s="104">
        <f>(Act*Itmcd)+(Actc*Itmcd*fcsm)+(Ac*Imcd)+(Acc*Imcd*fcsm)+(Acm*Immfcd)+(Acmc*Immfcd*fcmm)+(Acs*Ismfcd)+(Acsc*Ismfcd*fcsem)</f>
        <v>49.203115616164524</v>
      </c>
      <c r="I77" s="77" t="s">
        <v>148</v>
      </c>
      <c r="J77" s="85" t="s">
        <v>151</v>
      </c>
    </row>
    <row r="78" spans="2:10" ht="17.100000000000001" customHeight="1" x14ac:dyDescent="0.2">
      <c r="B78" s="84" t="s">
        <v>152</v>
      </c>
      <c r="C78" s="76"/>
      <c r="D78" s="77"/>
      <c r="E78" s="32"/>
      <c r="F78" s="32"/>
      <c r="G78" s="32"/>
      <c r="H78" s="104">
        <f>(Act*Itfcd)+(Actc*Itfcd*fcsf)+(Ac*Ifcd)+(Acc*Ifcd*fcsf)+(Acm*Immfcd)+(Acmc*Immfcd*fcmf)+(Acs*Ismfcd)+(Acsc*Ismfcd*fcmsef)</f>
        <v>83.202621427926061</v>
      </c>
      <c r="I78" s="77" t="s">
        <v>148</v>
      </c>
      <c r="J78" s="85" t="s">
        <v>153</v>
      </c>
    </row>
    <row r="79" spans="2:10" ht="5.0999999999999996" customHeight="1" x14ac:dyDescent="0.2">
      <c r="B79" s="84"/>
      <c r="C79" s="76"/>
      <c r="D79" s="77"/>
      <c r="E79" s="32"/>
      <c r="F79" s="32"/>
      <c r="G79" s="32"/>
      <c r="H79" s="76"/>
      <c r="I79" s="77"/>
      <c r="J79" s="85"/>
    </row>
    <row r="80" spans="2:10" ht="17.100000000000001" customHeight="1" x14ac:dyDescent="0.2">
      <c r="B80" s="114" t="s">
        <v>154</v>
      </c>
      <c r="C80" s="115"/>
      <c r="D80" s="115"/>
      <c r="E80" s="115"/>
      <c r="F80" s="115"/>
      <c r="G80" s="115"/>
      <c r="H80" s="115"/>
      <c r="I80" s="115"/>
      <c r="J80" s="116"/>
    </row>
    <row r="81" spans="2:10" ht="17.100000000000001" customHeight="1" x14ac:dyDescent="0.2">
      <c r="B81" s="84" t="s">
        <v>155</v>
      </c>
      <c r="C81" s="76"/>
      <c r="D81" s="77"/>
      <c r="E81" s="32"/>
      <c r="F81" s="32"/>
      <c r="G81" s="32"/>
      <c r="H81" s="99">
        <f>DGET(Anode_Data_Table,'Anode Data'!E5,criteria_1)/1000</f>
        <v>3.0249999999999999</v>
      </c>
      <c r="I81" s="77" t="s">
        <v>87</v>
      </c>
      <c r="J81" s="85" t="s">
        <v>156</v>
      </c>
    </row>
    <row r="82" spans="2:10" ht="17.100000000000001" customHeight="1" x14ac:dyDescent="0.2">
      <c r="B82" s="84" t="s">
        <v>157</v>
      </c>
      <c r="C82" s="76"/>
      <c r="D82" s="77"/>
      <c r="E82" s="32"/>
      <c r="F82" s="32"/>
      <c r="G82" s="32"/>
      <c r="H82" s="99">
        <f>DGET(Anode_Data_Table,'Anode Data'!F5,criteria_1)/1000</f>
        <v>2.9750000000000001</v>
      </c>
      <c r="I82" s="77" t="s">
        <v>87</v>
      </c>
      <c r="J82" s="85" t="s">
        <v>158</v>
      </c>
    </row>
    <row r="83" spans="2:10" ht="17.100000000000001" customHeight="1" x14ac:dyDescent="0.2">
      <c r="B83" s="84" t="s">
        <v>159</v>
      </c>
      <c r="C83" s="76"/>
      <c r="D83" s="77"/>
      <c r="E83" s="32"/>
      <c r="F83" s="32"/>
      <c r="G83" s="32"/>
      <c r="H83" s="99">
        <f>DGET(Anode_Data_Table,'Anode Data'!I5,criteria_1)/1000</f>
        <v>0.21299999999999999</v>
      </c>
      <c r="I83" s="77" t="s">
        <v>87</v>
      </c>
      <c r="J83" s="85" t="s">
        <v>160</v>
      </c>
    </row>
    <row r="84" spans="2:10" ht="17.100000000000001" customHeight="1" x14ac:dyDescent="0.2">
      <c r="B84" s="84" t="s">
        <v>161</v>
      </c>
      <c r="C84" s="76"/>
      <c r="D84" s="77"/>
      <c r="E84" s="32"/>
      <c r="F84" s="32"/>
      <c r="G84" s="32"/>
      <c r="H84" s="99">
        <f>DGET(Anode_Data_Table,'Anode Data'!G5,criteria_1)/1000</f>
        <v>0.26</v>
      </c>
      <c r="I84" s="77" t="s">
        <v>87</v>
      </c>
      <c r="J84" s="85" t="s">
        <v>162</v>
      </c>
    </row>
    <row r="85" spans="2:10" ht="17.100000000000001" customHeight="1" x14ac:dyDescent="0.2">
      <c r="B85" s="84" t="s">
        <v>163</v>
      </c>
      <c r="C85" s="76"/>
      <c r="D85" s="77"/>
      <c r="E85" s="32"/>
      <c r="F85" s="32"/>
      <c r="G85" s="32"/>
      <c r="H85" s="99">
        <f>DGET(Anode_Data_Table,'Anode Data'!H5,criteria_1)/1000</f>
        <v>0.28699999999999998</v>
      </c>
      <c r="I85" s="77" t="s">
        <v>87</v>
      </c>
      <c r="J85" s="85" t="s">
        <v>164</v>
      </c>
    </row>
    <row r="86" spans="2:10" ht="17.100000000000001" customHeight="1" x14ac:dyDescent="0.2">
      <c r="B86" s="84" t="s">
        <v>165</v>
      </c>
      <c r="C86" s="76"/>
      <c r="D86" s="77"/>
      <c r="E86" s="32"/>
      <c r="F86" s="32"/>
      <c r="G86" s="32"/>
      <c r="H86" s="99">
        <f>DGET(Anode_Data_Table,'Anode Data'!J5,criteria_1)/1000</f>
        <v>0.14130000000000001</v>
      </c>
      <c r="I86" s="77" t="s">
        <v>87</v>
      </c>
      <c r="J86" s="85" t="s">
        <v>166</v>
      </c>
    </row>
    <row r="87" spans="2:10" ht="17.100000000000001" customHeight="1" x14ac:dyDescent="0.2">
      <c r="B87" s="84" t="s">
        <v>167</v>
      </c>
      <c r="C87" s="76"/>
      <c r="D87" s="77"/>
      <c r="E87" s="32"/>
      <c r="F87" s="32"/>
      <c r="G87" s="32"/>
      <c r="H87" s="99">
        <f>DGET(Anode_Data_Table,'Anode Data'!K5,criteria_1)/1000</f>
        <v>3.1415926535897931</v>
      </c>
      <c r="I87" s="77" t="s">
        <v>87</v>
      </c>
      <c r="J87" s="85" t="s">
        <v>168</v>
      </c>
    </row>
    <row r="88" spans="2:10" ht="5.0999999999999996" customHeight="1" x14ac:dyDescent="0.2">
      <c r="B88" s="84"/>
      <c r="C88" s="76"/>
      <c r="D88" s="77"/>
      <c r="E88" s="32"/>
      <c r="F88" s="32"/>
      <c r="G88" s="32"/>
      <c r="H88" s="76"/>
      <c r="I88" s="77"/>
      <c r="J88" s="85"/>
    </row>
    <row r="89" spans="2:10" ht="17.100000000000001" customHeight="1" x14ac:dyDescent="0.2">
      <c r="B89" s="114" t="s">
        <v>169</v>
      </c>
      <c r="C89" s="115"/>
      <c r="D89" s="115"/>
      <c r="E89" s="115"/>
      <c r="F89" s="115"/>
      <c r="G89" s="115"/>
      <c r="H89" s="115"/>
      <c r="I89" s="115"/>
      <c r="J89" s="116"/>
    </row>
    <row r="90" spans="2:10" ht="17.100000000000001" customHeight="1" x14ac:dyDescent="0.2">
      <c r="B90" s="84" t="s">
        <v>170</v>
      </c>
      <c r="C90" s="76"/>
      <c r="D90" s="77"/>
      <c r="E90" s="32"/>
      <c r="F90" s="32"/>
      <c r="G90" s="32"/>
      <c r="H90" s="100">
        <f>DGET(Anode_Data_Table,'Anode Data'!C5,criteria_1)</f>
        <v>350</v>
      </c>
      <c r="I90" s="77" t="s">
        <v>81</v>
      </c>
      <c r="J90" s="85" t="s">
        <v>82</v>
      </c>
    </row>
    <row r="91" spans="2:10" ht="17.100000000000001" customHeight="1" x14ac:dyDescent="0.2">
      <c r="B91" s="84" t="s">
        <v>171</v>
      </c>
      <c r="C91" s="76"/>
      <c r="D91" s="77"/>
      <c r="E91" s="32"/>
      <c r="F91" s="32"/>
      <c r="G91" s="32"/>
      <c r="H91" s="104">
        <f>Im*tf*8760/(ε*u)</f>
        <v>5986.3790666333507</v>
      </c>
      <c r="I91" s="77" t="s">
        <v>81</v>
      </c>
      <c r="J91" s="97"/>
    </row>
    <row r="92" spans="2:10" ht="17.100000000000001" customHeight="1" x14ac:dyDescent="0.2">
      <c r="B92" s="84" t="s">
        <v>172</v>
      </c>
      <c r="C92" s="76"/>
      <c r="D92" s="77"/>
      <c r="E92" s="32"/>
      <c r="F92" s="32"/>
      <c r="G92" s="32"/>
      <c r="H92" s="105">
        <f>(Wat+Wab+(Ha*2))/(2*PI())</f>
        <v>0.15485775962841414</v>
      </c>
      <c r="I92" s="77" t="s">
        <v>87</v>
      </c>
      <c r="J92" s="85" t="s">
        <v>173</v>
      </c>
    </row>
    <row r="93" spans="2:10" ht="17.100000000000001" customHeight="1" x14ac:dyDescent="0.2">
      <c r="B93" s="84" t="s">
        <v>174</v>
      </c>
      <c r="C93" s="76"/>
      <c r="D93" s="77"/>
      <c r="E93" s="32"/>
      <c r="F93" s="32"/>
      <c r="G93" s="32"/>
      <c r="H93" s="88">
        <f>spd</f>
        <v>2700</v>
      </c>
      <c r="I93" s="77" t="s">
        <v>175</v>
      </c>
      <c r="J93" s="85"/>
    </row>
    <row r="94" spans="2:10" ht="17.100000000000001" customHeight="1" x14ac:dyDescent="0.2">
      <c r="B94" s="84" t="s">
        <v>176</v>
      </c>
      <c r="C94" s="76"/>
      <c r="D94" s="77"/>
      <c r="E94" s="32"/>
      <c r="F94" s="32"/>
      <c r="G94" s="32"/>
      <c r="H94" s="106">
        <f>maf</f>
        <v>34.999999999999993</v>
      </c>
      <c r="I94" s="77" t="s">
        <v>81</v>
      </c>
      <c r="J94" s="85"/>
    </row>
    <row r="95" spans="2:10" ht="17.100000000000001" customHeight="1" x14ac:dyDescent="0.2">
      <c r="B95" s="84" t="s">
        <v>177</v>
      </c>
      <c r="C95" s="76"/>
      <c r="D95" s="77"/>
      <c r="E95" s="32"/>
      <c r="F95" s="32"/>
      <c r="G95" s="32"/>
      <c r="H95" s="107">
        <f>Vaf</f>
        <v>5.5301706856762528E-2</v>
      </c>
      <c r="I95" s="77" t="s">
        <v>178</v>
      </c>
      <c r="J95" s="85"/>
    </row>
    <row r="96" spans="2:10" ht="17.100000000000001" customHeight="1" x14ac:dyDescent="0.2">
      <c r="B96" s="84" t="s">
        <v>179</v>
      </c>
      <c r="C96" s="76"/>
      <c r="D96" s="77"/>
      <c r="E96" s="32"/>
      <c r="F96" s="32"/>
      <c r="G96" s="32"/>
      <c r="H96" s="108">
        <f>rf</f>
        <v>8.0744407019574763E-2</v>
      </c>
      <c r="I96" s="77" t="s">
        <v>87</v>
      </c>
      <c r="J96" s="85"/>
    </row>
    <row r="97" spans="2:10" ht="17.100000000000001" customHeight="1" x14ac:dyDescent="0.2">
      <c r="B97" s="84" t="s">
        <v>180</v>
      </c>
      <c r="C97" s="76"/>
      <c r="D97" s="77"/>
      <c r="E97" s="32"/>
      <c r="F97" s="32"/>
      <c r="G97" s="32"/>
      <c r="H97" s="105">
        <f>Rai</f>
        <v>4.6210121925630919E-2</v>
      </c>
      <c r="I97" s="77" t="s">
        <v>181</v>
      </c>
      <c r="J97" s="85" t="s">
        <v>182</v>
      </c>
    </row>
    <row r="98" spans="2:10" ht="17.100000000000001" customHeight="1" x14ac:dyDescent="0.2">
      <c r="B98" s="84" t="s">
        <v>183</v>
      </c>
      <c r="C98" s="76"/>
      <c r="D98" s="77"/>
      <c r="E98" s="32"/>
      <c r="F98" s="32"/>
      <c r="G98" s="32"/>
      <c r="H98" s="108">
        <f>Raf</f>
        <v>5.9710413836841669E-2</v>
      </c>
      <c r="I98" s="77" t="s">
        <v>181</v>
      </c>
      <c r="J98" s="85" t="s">
        <v>184</v>
      </c>
    </row>
    <row r="99" spans="2:10" ht="17.100000000000001" customHeight="1" x14ac:dyDescent="0.2">
      <c r="B99" s="84" t="s">
        <v>185</v>
      </c>
      <c r="C99" s="76"/>
      <c r="D99" s="77"/>
      <c r="E99" s="32"/>
      <c r="F99" s="32"/>
      <c r="G99" s="32"/>
      <c r="H99" s="108">
        <f>(Ec-Ea)/Rai</f>
        <v>5.4100701227826651</v>
      </c>
      <c r="I99" s="77" t="s">
        <v>148</v>
      </c>
      <c r="J99" s="85" t="s">
        <v>186</v>
      </c>
    </row>
    <row r="100" spans="2:10" ht="17.100000000000001" customHeight="1" x14ac:dyDescent="0.2">
      <c r="B100" s="109" t="s">
        <v>187</v>
      </c>
      <c r="C100" s="110"/>
      <c r="D100" s="111"/>
      <c r="E100" s="35"/>
      <c r="F100" s="35"/>
      <c r="G100" s="35"/>
      <c r="H100" s="112">
        <f>(Ec-Ea)/Raf</f>
        <v>4.1868743479675663</v>
      </c>
      <c r="I100" s="111" t="s">
        <v>148</v>
      </c>
      <c r="J100" s="113" t="s">
        <v>188</v>
      </c>
    </row>
    <row r="101" spans="2:10" ht="17.100000000000001" customHeight="1" x14ac:dyDescent="0.2">
      <c r="B101" s="32"/>
      <c r="C101" s="76"/>
      <c r="D101" s="77"/>
      <c r="E101" s="32"/>
      <c r="F101" s="32"/>
      <c r="G101" s="32"/>
      <c r="H101" s="32"/>
      <c r="I101" s="32"/>
      <c r="J101" s="32"/>
    </row>
    <row r="102" spans="2:10" ht="17.100000000000001" customHeight="1" x14ac:dyDescent="0.2">
      <c r="B102" s="32"/>
      <c r="C102" s="76"/>
      <c r="D102" s="77"/>
      <c r="E102" s="32"/>
      <c r="F102" s="32"/>
      <c r="G102" s="32"/>
      <c r="H102" s="32"/>
      <c r="I102" s="32"/>
      <c r="J102" s="32"/>
    </row>
    <row r="103" spans="2:10" ht="17.100000000000001" customHeight="1" x14ac:dyDescent="0.2">
      <c r="B103" s="32"/>
      <c r="C103" s="76"/>
      <c r="D103" s="77"/>
      <c r="E103" s="32"/>
      <c r="F103" s="32"/>
      <c r="G103" s="32"/>
      <c r="H103" s="32"/>
      <c r="I103" s="32"/>
      <c r="J103" s="32"/>
    </row>
    <row r="104" spans="2:10" ht="17.100000000000001" customHeight="1" x14ac:dyDescent="0.2"/>
    <row r="105" spans="2:10" ht="17.100000000000001" customHeight="1" x14ac:dyDescent="0.2"/>
    <row r="106" spans="2:10" ht="17.100000000000001" customHeight="1" x14ac:dyDescent="0.2"/>
  </sheetData>
  <mergeCells count="12">
    <mergeCell ref="I2:J2"/>
    <mergeCell ref="C5:G5"/>
    <mergeCell ref="B1:J1"/>
    <mergeCell ref="B2:H2"/>
    <mergeCell ref="I5:J5"/>
    <mergeCell ref="B3:G3"/>
    <mergeCell ref="C17:J17"/>
    <mergeCell ref="C4:G4"/>
    <mergeCell ref="I4:J4"/>
    <mergeCell ref="C42:H42"/>
    <mergeCell ref="I3:J3"/>
    <mergeCell ref="H6:J6"/>
  </mergeCells>
  <conditionalFormatting sqref="C17 C42">
    <cfRule type="notContainsBlanks" dxfId="2" priority="2">
      <formula>LEN(TRIM(C17))&gt;0</formula>
    </cfRule>
  </conditionalFormatting>
  <conditionalFormatting sqref="H35">
    <cfRule type="cellIs" dxfId="1" priority="3" operator="equal">
      <formula>"wrong anode material selected"</formula>
    </cfRule>
  </conditionalFormatting>
  <conditionalFormatting sqref="I38">
    <cfRule type="cellIs" dxfId="0" priority="8" operator="notEqual">
      <formula>"m"</formula>
    </cfRule>
  </conditionalFormatting>
  <dataValidations xWindow="453" yWindow="846" count="11">
    <dataValidation type="list" errorStyle="warning" allowBlank="1" showInputMessage="1" showErrorMessage="1" errorTitle="Depth Range" error="The value does not seem standard, please ignore the message if you are sure the value is right" promptTitle="Depth" prompt="Cathode zone need to fall in the specified range" sqref="D11" xr:uid="{00000000-0002-0000-0100-000000000000}">
      <formula1>Depth</formula1>
    </dataValidation>
    <dataValidation type="list" allowBlank="1" showInputMessage="1" showErrorMessage="1" promptTitle="Depth" prompt="Cathode zone need to fall in the specified range" sqref="H38" xr:uid="{00000000-0002-0000-0100-000001000000}">
      <formula1>Anode_to_Object</formula1>
    </dataValidation>
    <dataValidation type="list" showInputMessage="1" showErrorMessage="1" prompt="Type 1;  Long slender stand-off anode; L ≥ 4r_x000a__x000a_Type 2; Short slender stand-off anode; L &lt; 4r_x000a__x000a_Type 3; Long flush mounted L ≥ 4 width and L ≥ 4 thickness_x000a__x000a_Type 4; Short flush mounted, bracelet and other flush mounted shapes" sqref="H37" xr:uid="{00000000-0002-0000-0100-000002000000}">
      <formula1>Anode_Type</formula1>
    </dataValidation>
    <dataValidation type="list" errorStyle="warning" allowBlank="1" showInputMessage="1" showErrorMessage="1" errorTitle="Design Standard" error="Seems like you are using a anode other than in the library._x000a__x000a_Please manually enter the anode parameters in the orange boxes. This sheet will then select the total required anodes." promptTitle="Anode Selection" prompt="_x000a_Select any anode from the library._x000a__x000a_If you wish to use a different anode than in the library, you may manually enter the anode parameters in the sheet &quot;anode data&quot; in the yellow line for Al-anodes and the green line for Zinc anodes. " sqref="H34" xr:uid="{00000000-0002-0000-0100-000003000000}">
      <formula1>Anode_Name</formula1>
    </dataValidation>
    <dataValidation type="list" allowBlank="1" showInputMessage="1" showErrorMessage="1" sqref="H33" xr:uid="{00000000-0002-0000-0100-000004000000}">
      <formula1>Anode_Environment</formula1>
    </dataValidation>
    <dataValidation type="list" allowBlank="1" showInputMessage="1" showErrorMessage="1" sqref="H32" xr:uid="{00000000-0002-0000-0100-000005000000}">
      <formula1>Anode_Material</formula1>
    </dataValidation>
    <dataValidation type="list" errorStyle="warning" allowBlank="1" showInputMessage="1" showErrorMessage="1" errorTitle="Seawater Resistance" error="The value does not seem standard, please ignore the message if you are sure the value is right" sqref="H14" xr:uid="{00000000-0002-0000-0100-000006000000}">
      <formula1>Seawater_Resistance</formula1>
    </dataValidation>
    <dataValidation type="list" allowBlank="1" showInputMessage="1" showErrorMessage="1" promptTitle="Design Protection Potential" prompt="_x000a_For steel in aerobic conditions, select -0.80 mV v/s Ag/AgCl_x000a__x000a_For steel in anaerobic/ MIC conditions, select -0.90 mV v/s Ag/AgCl" sqref="H16" xr:uid="{00000000-0002-0000-0100-000007000000}">
      <formula1>Protection_Potential</formula1>
    </dataValidation>
    <dataValidation type="list" errorStyle="warning" allowBlank="1" showInputMessage="1" showErrorMessage="1" errorTitle="Design Life" error="The value does not seem standard, please ignore the message if you are sure the value is right" sqref="H15" xr:uid="{00000000-0002-0000-0100-000008000000}">
      <formula1>Life</formula1>
    </dataValidation>
    <dataValidation type="list" errorStyle="warning" allowBlank="1" showInputMessage="1" showErrorMessage="1" errorTitle="Climatic Region" error="The data does not seem standard, please ignore the message if you are sure the value is right" promptTitle="Climatic Region Classification" prompt="Comments box contains details of climatic region classificaiton._x000a__x000a_Please note the current density values shall show error if there is a mismatch between selected design standard and selected climatic region. " sqref="D10" xr:uid="{00000000-0002-0000-0100-000009000000}">
      <formula1>Climatic_Region</formula1>
    </dataValidation>
    <dataValidation type="list" errorStyle="warning" allowBlank="1" showInputMessage="1" showErrorMessage="1" errorTitle="Design Standard" error="Seems like you are using a specification other than DNV/ Norsok/ EN._x000a__x000a_Please manually enter the current density values and/or coating breakdown in the orange boxes. This sheet will then calculate the current requirement." promptTitle="Standard" prompt="_x000a_Select from any of the given standards._x000a__x000a_For deviations from the standard, please enter manually values for current density and coating breakdown factor" sqref="D9" xr:uid="{00000000-0002-0000-0100-00000A000000}">
      <formula1>Standard</formula1>
    </dataValidation>
  </dataValidations>
  <pageMargins left="0.70866141732283472" right="0.70866141732283472" top="0.74803149606299213" bottom="0.74803149606299213" header="0.31496062992125978" footer="0.31496062992125978"/>
  <pageSetup paperSize="9" scale="83" fitToWidth="0" fitToHeight="0" orientation="portrait"/>
  <headerFooter>
    <oddFooter>&amp;LPage &amp;P of &amp;N&amp;R&amp;8 Copyright © 2012 COWI Cathodic Protection Network.</oddFooter>
  </headerFooter>
  <rowBreaks count="1" manualBreakCount="1">
    <brk id="50" max="16383" man="1"/>
  </rowBreaks>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7"/>
  <sheetViews>
    <sheetView workbookViewId="0">
      <selection activeCell="G33" sqref="G33"/>
    </sheetView>
  </sheetViews>
  <sheetFormatPr defaultRowHeight="12.75" x14ac:dyDescent="0.2"/>
  <cols>
    <col min="1" max="2" width="7.28515625" bestFit="1" customWidth="1"/>
    <col min="3" max="3" width="22.7109375" hidden="1" customWidth="1"/>
    <col min="4" max="4" width="27.5703125" bestFit="1" customWidth="1"/>
    <col min="5" max="5" width="23.140625" hidden="1" customWidth="1"/>
    <col min="6" max="6" width="26.85546875" bestFit="1" customWidth="1"/>
    <col min="7" max="7" width="26" bestFit="1" customWidth="1"/>
    <col min="8" max="8" width="31.28515625" bestFit="1" customWidth="1"/>
    <col min="9" max="9" width="25.28515625" bestFit="1" customWidth="1"/>
  </cols>
  <sheetData>
    <row r="1" spans="1:9" x14ac:dyDescent="0.2">
      <c r="B1" s="1" t="s">
        <v>189</v>
      </c>
      <c r="C1" s="1" t="s">
        <v>190</v>
      </c>
      <c r="D1" s="174" t="s">
        <v>191</v>
      </c>
      <c r="E1" s="1" t="s">
        <v>192</v>
      </c>
      <c r="F1" s="176" t="s">
        <v>193</v>
      </c>
      <c r="G1" s="178" t="s">
        <v>194</v>
      </c>
      <c r="H1" s="178" t="s">
        <v>195</v>
      </c>
      <c r="I1" s="178" t="s">
        <v>196</v>
      </c>
    </row>
    <row r="2" spans="1:9" x14ac:dyDescent="0.2">
      <c r="A2" t="s">
        <v>197</v>
      </c>
      <c r="B2">
        <v>2</v>
      </c>
      <c r="C2">
        <v>50.5</v>
      </c>
      <c r="D2" s="142">
        <f>PI()*'Surface area'!$G$19*'Surface areas overview'!C2*4</f>
        <v>2221.1060060879836</v>
      </c>
      <c r="E2" s="170">
        <v>1.5</v>
      </c>
      <c r="F2" s="142">
        <f>PI()*'Surface area'!$G$19*'Surface areas overview'!E2*4</f>
        <v>65.973445725385659</v>
      </c>
      <c r="G2" s="142">
        <f t="array" ref="G2">_xlfn.IFS($B2=1,'Surface area'!B$16,$B2=2,'Surface area'!C$16,$B2=3,'Surface area'!D$16)</f>
        <v>113.39530000000001</v>
      </c>
      <c r="H2" s="142">
        <f t="array" ref="H2">_xlfn.IFS($B2=1,'Surface area'!B$15,$B2=2,'Surface area'!C$15,$B2=3,'Surface area'!D$15)</f>
        <v>99.056000000000012</v>
      </c>
      <c r="I2" s="142">
        <f t="array" ref="I2">_xlfn.IFS($B2=1,'Surface area'!B$14,$B2=2,'Surface area'!C$14,$B2=3,'Surface area'!D$14)</f>
        <v>1718.4547</v>
      </c>
    </row>
    <row r="3" spans="1:9" x14ac:dyDescent="0.2">
      <c r="A3" t="s">
        <v>198</v>
      </c>
      <c r="B3" s="2">
        <v>3</v>
      </c>
      <c r="C3">
        <v>43</v>
      </c>
      <c r="D3" s="142">
        <f>PI()*'Surface area'!$G$19*'Surface areas overview'!C3*4</f>
        <v>1891.2387774610554</v>
      </c>
      <c r="E3" s="170">
        <v>1.5</v>
      </c>
      <c r="F3" s="142">
        <f>PI()*'Surface area'!$G$19*'Surface areas overview'!E3*4</f>
        <v>65.973445725385659</v>
      </c>
      <c r="G3" s="142">
        <f t="array" ref="G3">_xlfn.IFS($B3=1,'Surface area'!B$16,$B3=2,'Surface area'!C$16,$B3=3,'Surface area'!D$16)</f>
        <v>80.164400000000001</v>
      </c>
      <c r="H3" s="142">
        <f t="array" ref="H3">_xlfn.IFS($B3=1,'Surface area'!B$15,$B3=2,'Surface area'!C$15,$B3=3,'Surface area'!D$15)</f>
        <v>98.068999999999988</v>
      </c>
      <c r="I3" s="142">
        <f t="array" ref="I3">_xlfn.IFS($B3=1,'Surface area'!B$14,$B3=2,'Surface area'!C$14,$B3=3,'Surface area'!D$14)</f>
        <v>1144.4028000000001</v>
      </c>
    </row>
    <row r="4" spans="1:9" x14ac:dyDescent="0.2">
      <c r="A4" t="s">
        <v>199</v>
      </c>
      <c r="B4" s="2">
        <v>1</v>
      </c>
      <c r="C4">
        <v>54</v>
      </c>
      <c r="D4" s="142">
        <f>PI()*'Surface area'!$G$19*'Surface areas overview'!C4*4</f>
        <v>2375.0440461138837</v>
      </c>
      <c r="E4" s="170">
        <v>1.5</v>
      </c>
      <c r="F4" s="142">
        <f>PI()*'Surface area'!$G$19*'Surface areas overview'!E4*4</f>
        <v>65.973445725385659</v>
      </c>
      <c r="G4" s="142">
        <f t="array" ref="G4">_xlfn.IFS($B4=1,'Surface area'!B$16,$B4=2,'Surface area'!C$16,$B4=3,'Surface area'!D$16)</f>
        <v>129.4288</v>
      </c>
      <c r="H4" s="142">
        <f t="array" ref="H4">_xlfn.IFS($B4=1,'Surface area'!B$15,$B4=2,'Surface area'!C$15,$B4=3,'Surface area'!D$15)</f>
        <v>94.640400000000085</v>
      </c>
      <c r="I4" s="142">
        <f t="array" ref="I4">_xlfn.IFS($B4=1,'Surface area'!B$14,$B4=2,'Surface area'!C$14,$B4=3,'Surface area'!D$14)</f>
        <v>1969.102199999998</v>
      </c>
    </row>
    <row r="5" spans="1:9" x14ac:dyDescent="0.2">
      <c r="A5" t="s">
        <v>200</v>
      </c>
      <c r="B5" s="2">
        <v>2</v>
      </c>
      <c r="C5" s="2">
        <v>52</v>
      </c>
      <c r="D5" s="142">
        <f>PI()*'Surface area'!$G$19*'Surface areas overview'!C5*4</f>
        <v>2287.0794518133694</v>
      </c>
      <c r="E5" s="170">
        <v>1.5</v>
      </c>
      <c r="F5" s="142">
        <f>PI()*'Surface area'!$G$19*'Surface areas overview'!E5*4</f>
        <v>65.973445725385659</v>
      </c>
      <c r="G5" s="142">
        <f t="array" ref="G5">_xlfn.IFS($B5=1,'Surface area'!B$16,$B5=2,'Surface area'!C$16,$B5=3,'Surface area'!D$16)</f>
        <v>113.39530000000001</v>
      </c>
      <c r="H5" s="142">
        <f t="array" ref="H5">_xlfn.IFS($B5=1,'Surface area'!B$15,$B5=2,'Surface area'!C$15,$B5=3,'Surface area'!D$15)</f>
        <v>99.056000000000012</v>
      </c>
      <c r="I5" s="142">
        <f t="array" ref="I5">_xlfn.IFS($B5=1,'Surface area'!B$14,$B5=2,'Surface area'!C$14,$B5=3,'Surface area'!D$14)</f>
        <v>1718.4547</v>
      </c>
    </row>
    <row r="6" spans="1:9" x14ac:dyDescent="0.2">
      <c r="A6" t="s">
        <v>201</v>
      </c>
      <c r="B6" s="2">
        <v>2</v>
      </c>
      <c r="C6" s="2">
        <v>52</v>
      </c>
      <c r="D6" s="142">
        <f>PI()*'Surface area'!$G$19*'Surface areas overview'!C6*4</f>
        <v>2287.0794518133694</v>
      </c>
      <c r="E6" s="170">
        <v>1.6</v>
      </c>
      <c r="F6" s="142">
        <f>PI()*'Surface area'!$G$19*'Surface areas overview'!E6*4</f>
        <v>70.371675440411366</v>
      </c>
      <c r="G6" s="142">
        <f t="array" ref="G6">_xlfn.IFS($B6=1,'Surface area'!B$16,$B6=2,'Surface area'!C$16,$B6=3,'Surface area'!D$16)</f>
        <v>113.39530000000001</v>
      </c>
      <c r="H6" s="142">
        <f t="array" ref="H6">_xlfn.IFS($B6=1,'Surface area'!B$15,$B6=2,'Surface area'!C$15,$B6=3,'Surface area'!D$15)</f>
        <v>99.056000000000012</v>
      </c>
      <c r="I6" s="142">
        <f t="array" ref="I6">_xlfn.IFS($B6=1,'Surface area'!B$14,$B6=2,'Surface area'!C$14,$B6=3,'Surface area'!D$14)</f>
        <v>1718.4547</v>
      </c>
    </row>
    <row r="7" spans="1:9" x14ac:dyDescent="0.2">
      <c r="A7" t="s">
        <v>202</v>
      </c>
      <c r="B7" s="2">
        <v>2</v>
      </c>
      <c r="C7" s="2">
        <v>47.5</v>
      </c>
      <c r="D7" s="142">
        <f>PI()*'Surface area'!$G$19*'Surface areas overview'!C7*4</f>
        <v>2089.1591146372125</v>
      </c>
      <c r="E7" s="170">
        <v>1.6</v>
      </c>
      <c r="F7" s="142">
        <f>PI()*'Surface area'!$G$19*'Surface areas overview'!E7*4</f>
        <v>70.371675440411366</v>
      </c>
      <c r="G7" s="142">
        <f t="array" ref="G7">_xlfn.IFS($B7=1,'Surface area'!B$16,$B7=2,'Surface area'!C$16,$B7=3,'Surface area'!D$16)</f>
        <v>113.39530000000001</v>
      </c>
      <c r="H7" s="142">
        <f t="array" ref="H7">_xlfn.IFS($B7=1,'Surface area'!B$15,$B7=2,'Surface area'!C$15,$B7=3,'Surface area'!D$15)</f>
        <v>99.056000000000012</v>
      </c>
      <c r="I7" s="142">
        <f t="array" ref="I7">_xlfn.IFS($B7=1,'Surface area'!B$14,$B7=2,'Surface area'!C$14,$B7=3,'Surface area'!D$14)</f>
        <v>1718.4547</v>
      </c>
    </row>
    <row r="8" spans="1:9" x14ac:dyDescent="0.2">
      <c r="A8" t="s">
        <v>203</v>
      </c>
      <c r="B8" s="2">
        <v>2</v>
      </c>
      <c r="C8" s="2">
        <v>48.5</v>
      </c>
      <c r="D8" s="142">
        <f>PI()*'Surface area'!$G$19*'Surface areas overview'!C8*4</f>
        <v>2133.1414117874697</v>
      </c>
      <c r="E8" s="170">
        <v>1.5</v>
      </c>
      <c r="F8" s="142">
        <f>PI()*'Surface area'!$G$19*'Surface areas overview'!E8*4</f>
        <v>65.973445725385659</v>
      </c>
      <c r="G8" s="142">
        <f t="array" ref="G8">_xlfn.IFS($B8=1,'Surface area'!B$16,$B8=2,'Surface area'!C$16,$B8=3,'Surface area'!D$16)</f>
        <v>113.39530000000001</v>
      </c>
      <c r="H8" s="142">
        <f t="array" ref="H8">_xlfn.IFS($B8=1,'Surface area'!B$15,$B8=2,'Surface area'!C$15,$B8=3,'Surface area'!D$15)</f>
        <v>99.056000000000012</v>
      </c>
      <c r="I8" s="142">
        <f t="array" ref="I8">_xlfn.IFS($B8=1,'Surface area'!B$14,$B8=2,'Surface area'!C$14,$B8=3,'Surface area'!D$14)</f>
        <v>1718.4547</v>
      </c>
    </row>
    <row r="9" spans="1:9" x14ac:dyDescent="0.2">
      <c r="A9" t="s">
        <v>204</v>
      </c>
      <c r="B9" s="2">
        <v>3</v>
      </c>
      <c r="C9" s="2">
        <v>46</v>
      </c>
      <c r="D9" s="142">
        <f>PI()*'Surface area'!$G$19*'Surface areas overview'!C9*4</f>
        <v>2023.1856689118267</v>
      </c>
      <c r="E9" s="170">
        <v>1.5</v>
      </c>
      <c r="F9" s="142">
        <f>PI()*'Surface area'!$G$19*'Surface areas overview'!E9*4</f>
        <v>65.973445725385659</v>
      </c>
      <c r="G9" s="142">
        <f t="array" ref="G9">_xlfn.IFS($B9=1,'Surface area'!B$16,$B9=2,'Surface area'!C$16,$B9=3,'Surface area'!D$16)</f>
        <v>80.164400000000001</v>
      </c>
      <c r="H9" s="142">
        <f t="array" ref="H9">_xlfn.IFS($B9=1,'Surface area'!B$15,$B9=2,'Surface area'!C$15,$B9=3,'Surface area'!D$15)</f>
        <v>98.068999999999988</v>
      </c>
      <c r="I9" s="142">
        <f t="array" ref="I9">_xlfn.IFS($B9=1,'Surface area'!B$14,$B9=2,'Surface area'!C$14,$B9=3,'Surface area'!D$14)</f>
        <v>1144.4028000000001</v>
      </c>
    </row>
    <row r="10" spans="1:9" x14ac:dyDescent="0.2">
      <c r="A10" t="s">
        <v>205</v>
      </c>
      <c r="B10" s="2">
        <v>3</v>
      </c>
      <c r="C10" s="2">
        <v>52</v>
      </c>
      <c r="D10" s="142">
        <f>PI()*'Surface area'!$G$19*'Surface areas overview'!C10*4</f>
        <v>2287.0794518133694</v>
      </c>
      <c r="E10" s="170">
        <v>1.5</v>
      </c>
      <c r="F10" s="142">
        <f>PI()*'Surface area'!$G$19*'Surface areas overview'!E10*4</f>
        <v>65.973445725385659</v>
      </c>
      <c r="G10" s="142">
        <f t="array" ref="G10">_xlfn.IFS($B10=1,'Surface area'!B$16,$B10=2,'Surface area'!C$16,$B10=3,'Surface area'!D$16)</f>
        <v>80.164400000000001</v>
      </c>
      <c r="H10" s="142">
        <f t="array" ref="H10">_xlfn.IFS($B10=1,'Surface area'!B$15,$B10=2,'Surface area'!C$15,$B10=3,'Surface area'!D$15)</f>
        <v>98.068999999999988</v>
      </c>
      <c r="I10" s="142">
        <f t="array" ref="I10">_xlfn.IFS($B10=1,'Surface area'!B$14,$B10=2,'Surface area'!C$14,$B10=3,'Surface area'!D$14)</f>
        <v>1144.4028000000001</v>
      </c>
    </row>
    <row r="11" spans="1:9" x14ac:dyDescent="0.2">
      <c r="A11" t="s">
        <v>206</v>
      </c>
      <c r="B11" s="2">
        <v>1</v>
      </c>
      <c r="C11" s="2">
        <v>46</v>
      </c>
      <c r="D11" s="142">
        <f>PI()*'Surface area'!$G$19*'Surface areas overview'!C11*4</f>
        <v>2023.1856689118267</v>
      </c>
      <c r="E11" s="170">
        <v>1.5</v>
      </c>
      <c r="F11" s="142">
        <f>PI()*'Surface area'!$G$19*'Surface areas overview'!E11*4</f>
        <v>65.973445725385659</v>
      </c>
      <c r="G11" s="142">
        <f t="array" ref="G11">_xlfn.IFS($B11=1,'Surface area'!B$16,$B11=2,'Surface area'!C$16,$B11=3,'Surface area'!D$16)</f>
        <v>129.4288</v>
      </c>
      <c r="H11" s="142">
        <f t="array" ref="H11">_xlfn.IFS($B11=1,'Surface area'!B$15,$B11=2,'Surface area'!C$15,$B11=3,'Surface area'!D$15)</f>
        <v>94.640400000000085</v>
      </c>
      <c r="I11" s="142">
        <f t="array" ref="I11">_xlfn.IFS($B11=1,'Surface area'!B$14,$B11=2,'Surface area'!C$14,$B11=3,'Surface area'!D$14)</f>
        <v>1969.102199999998</v>
      </c>
    </row>
    <row r="12" spans="1:9" x14ac:dyDescent="0.2">
      <c r="A12" t="s">
        <v>207</v>
      </c>
      <c r="B12" s="2">
        <v>1</v>
      </c>
      <c r="C12" s="2">
        <v>36</v>
      </c>
      <c r="D12" s="142">
        <f>PI()*'Surface area'!$G$19*'Surface areas overview'!C12*4</f>
        <v>1583.3626974092558</v>
      </c>
      <c r="E12" s="170">
        <v>1.5</v>
      </c>
      <c r="F12" s="142">
        <f>PI()*'Surface area'!$G$19*'Surface areas overview'!E12*4</f>
        <v>65.973445725385659</v>
      </c>
      <c r="G12" s="142">
        <f t="array" ref="G12">_xlfn.IFS($B12=1,'Surface area'!B$16,$B12=2,'Surface area'!C$16,$B12=3,'Surface area'!D$16)</f>
        <v>129.4288</v>
      </c>
      <c r="H12" s="142">
        <f t="array" ref="H12">_xlfn.IFS($B12=1,'Surface area'!B$15,$B12=2,'Surface area'!C$15,$B12=3,'Surface area'!D$15)</f>
        <v>94.640400000000085</v>
      </c>
      <c r="I12" s="142">
        <f t="array" ref="I12">_xlfn.IFS($B12=1,'Surface area'!B$14,$B12=2,'Surface area'!C$14,$B12=3,'Surface area'!D$14)</f>
        <v>1969.102199999998</v>
      </c>
    </row>
    <row r="13" spans="1:9" x14ac:dyDescent="0.2">
      <c r="A13" t="s">
        <v>208</v>
      </c>
      <c r="B13" s="2">
        <v>1</v>
      </c>
      <c r="C13" s="2">
        <v>41</v>
      </c>
      <c r="D13" s="142">
        <f>PI()*'Surface area'!$G$19*'Surface areas overview'!C13*4</f>
        <v>1803.2741831605413</v>
      </c>
      <c r="E13" s="170">
        <v>1.5</v>
      </c>
      <c r="F13" s="142">
        <f>PI()*'Surface area'!$G$19*'Surface areas overview'!E13*4</f>
        <v>65.973445725385659</v>
      </c>
      <c r="G13" s="142">
        <f t="array" ref="G13">_xlfn.IFS($B13=1,'Surface area'!B$16,$B13=2,'Surface area'!C$16,$B13=3,'Surface area'!D$16)</f>
        <v>129.4288</v>
      </c>
      <c r="H13" s="142">
        <f t="array" ref="H13">_xlfn.IFS($B13=1,'Surface area'!B$15,$B13=2,'Surface area'!C$15,$B13=3,'Surface area'!D$15)</f>
        <v>94.640400000000085</v>
      </c>
      <c r="I13" s="142">
        <f t="array" ref="I13">_xlfn.IFS($B13=1,'Surface area'!B$14,$B13=2,'Surface area'!C$14,$B13=3,'Surface area'!D$14)</f>
        <v>1969.102199999998</v>
      </c>
    </row>
    <row r="14" spans="1:9" x14ac:dyDescent="0.2">
      <c r="A14" t="s">
        <v>209</v>
      </c>
      <c r="B14" s="2">
        <v>2</v>
      </c>
      <c r="C14" s="2">
        <v>39.5</v>
      </c>
      <c r="D14" s="142">
        <f>PI()*'Surface area'!$G$19*'Surface areas overview'!C14*4</f>
        <v>1737.3007374351555</v>
      </c>
      <c r="E14" s="170">
        <v>3.8</v>
      </c>
      <c r="F14" s="142">
        <f>PI()*'Surface area'!$G$19*'Surface areas overview'!E14*4</f>
        <v>167.13272917097697</v>
      </c>
      <c r="G14" s="142">
        <f t="array" ref="G14">_xlfn.IFS($B14=1,'Surface area'!B$16,$B14=2,'Surface area'!C$16,$B14=3,'Surface area'!D$16)</f>
        <v>113.39530000000001</v>
      </c>
      <c r="H14" s="142">
        <f t="array" ref="H14">_xlfn.IFS($B14=1,'Surface area'!B$15,$B14=2,'Surface area'!C$15,$B14=3,'Surface area'!D$15)</f>
        <v>99.056000000000012</v>
      </c>
      <c r="I14" s="142">
        <f t="array" ref="I14">_xlfn.IFS($B14=1,'Surface area'!B$14,$B14=2,'Surface area'!C$14,$B14=3,'Surface area'!D$14)</f>
        <v>1718.4547</v>
      </c>
    </row>
    <row r="15" spans="1:9" x14ac:dyDescent="0.2">
      <c r="A15" t="s">
        <v>210</v>
      </c>
      <c r="B15" s="2">
        <v>2</v>
      </c>
      <c r="C15" s="2">
        <v>34</v>
      </c>
      <c r="D15" s="142">
        <f>PI()*'Surface area'!$G$19*'Surface areas overview'!C15*4</f>
        <v>1495.3981031087415</v>
      </c>
      <c r="E15" s="170">
        <v>1.5</v>
      </c>
      <c r="F15" s="142">
        <f>PI()*'Surface area'!$G$19*'Surface areas overview'!E15*4</f>
        <v>65.973445725385659</v>
      </c>
      <c r="G15" s="142">
        <f t="array" ref="G15">_xlfn.IFS($B15=1,'Surface area'!B$16,$B15=2,'Surface area'!C$16,$B15=3,'Surface area'!D$16)</f>
        <v>113.39530000000001</v>
      </c>
      <c r="H15" s="142">
        <f t="array" ref="H15">_xlfn.IFS($B15=1,'Surface area'!B$15,$B15=2,'Surface area'!C$15,$B15=3,'Surface area'!D$15)</f>
        <v>99.056000000000012</v>
      </c>
      <c r="I15" s="142">
        <f t="array" ref="I15">_xlfn.IFS($B15=1,'Surface area'!B$14,$B15=2,'Surface area'!C$14,$B15=3,'Surface area'!D$14)</f>
        <v>1718.4547</v>
      </c>
    </row>
    <row r="16" spans="1:9" x14ac:dyDescent="0.2">
      <c r="A16" t="s">
        <v>211</v>
      </c>
      <c r="B16" s="2">
        <v>2</v>
      </c>
      <c r="C16" s="2">
        <v>62</v>
      </c>
      <c r="D16" s="142">
        <f>PI()*'Surface area'!$G$19*'Surface areas overview'!C16*4</f>
        <v>2726.9024233159403</v>
      </c>
      <c r="E16" s="170">
        <v>1.5</v>
      </c>
      <c r="F16" s="142">
        <f>PI()*'Surface area'!$G$19*'Surface areas overview'!E16*4</f>
        <v>65.973445725385659</v>
      </c>
      <c r="G16" s="142">
        <f t="array" ref="G16">_xlfn.IFS($B16=1,'Surface area'!B$16,$B16=2,'Surface area'!C$16,$B16=3,'Surface area'!D$16)</f>
        <v>113.39530000000001</v>
      </c>
      <c r="H16" s="142">
        <f t="array" ref="H16">_xlfn.IFS($B16=1,'Surface area'!B$15,$B16=2,'Surface area'!C$15,$B16=3,'Surface area'!D$15)</f>
        <v>99.056000000000012</v>
      </c>
      <c r="I16" s="142">
        <f t="array" ref="I16">_xlfn.IFS($B16=1,'Surface area'!B$14,$B16=2,'Surface area'!C$14,$B16=3,'Surface area'!D$14)</f>
        <v>1718.4547</v>
      </c>
    </row>
    <row r="17" spans="1:9" x14ac:dyDescent="0.2">
      <c r="A17" t="s">
        <v>212</v>
      </c>
      <c r="B17" s="2">
        <v>3</v>
      </c>
      <c r="C17" s="2">
        <v>45.5</v>
      </c>
      <c r="D17" s="142">
        <f>PI()*'Surface area'!$G$19*'Surface areas overview'!C17*4</f>
        <v>2001.1945203366981</v>
      </c>
      <c r="E17" s="170">
        <v>1.5</v>
      </c>
      <c r="F17" s="142">
        <f>PI()*'Surface area'!$G$19*'Surface areas overview'!E17*4</f>
        <v>65.973445725385659</v>
      </c>
      <c r="G17" s="142">
        <f t="array" ref="G17">_xlfn.IFS($B17=1,'Surface area'!B$16,$B17=2,'Surface area'!C$16,$B17=3,'Surface area'!D$16)</f>
        <v>80.164400000000001</v>
      </c>
      <c r="H17" s="142">
        <f t="array" ref="H17">_xlfn.IFS($B17=1,'Surface area'!B$15,$B17=2,'Surface area'!C$15,$B17=3,'Surface area'!D$15)</f>
        <v>98.068999999999988</v>
      </c>
      <c r="I17" s="142">
        <f t="array" ref="I17">_xlfn.IFS($B17=1,'Surface area'!B$14,$B17=2,'Surface area'!C$14,$B17=3,'Surface area'!D$14)</f>
        <v>1144.4028000000001</v>
      </c>
    </row>
    <row r="18" spans="1:9" x14ac:dyDescent="0.2">
      <c r="A18" t="s">
        <v>213</v>
      </c>
      <c r="B18" s="2">
        <v>2</v>
      </c>
      <c r="C18" s="2">
        <v>29.5</v>
      </c>
      <c r="D18" s="142">
        <f>PI()*'Surface area'!$G$19*'Surface areas overview'!C18*4</f>
        <v>1297.4777659325846</v>
      </c>
      <c r="E18" s="170">
        <v>1.5</v>
      </c>
      <c r="F18" s="142">
        <f>PI()*'Surface area'!$G$19*'Surface areas overview'!E18*4</f>
        <v>65.973445725385659</v>
      </c>
      <c r="G18" s="142">
        <f t="array" ref="G18">_xlfn.IFS($B18=1,'Surface area'!B$16,$B18=2,'Surface area'!C$16,$B18=3,'Surface area'!D$16)</f>
        <v>113.39530000000001</v>
      </c>
      <c r="H18" s="142">
        <f t="array" ref="H18">_xlfn.IFS($B18=1,'Surface area'!B$15,$B18=2,'Surface area'!C$15,$B18=3,'Surface area'!D$15)</f>
        <v>99.056000000000012</v>
      </c>
      <c r="I18" s="142">
        <f t="array" ref="I18">_xlfn.IFS($B18=1,'Surface area'!B$14,$B18=2,'Surface area'!C$14,$B18=3,'Surface area'!D$14)</f>
        <v>1718.4547</v>
      </c>
    </row>
    <row r="19" spans="1:9" x14ac:dyDescent="0.2">
      <c r="A19" t="s">
        <v>214</v>
      </c>
      <c r="B19" s="2">
        <v>1</v>
      </c>
      <c r="C19" s="2">
        <v>38</v>
      </c>
      <c r="D19" s="142">
        <f>PI()*'Surface area'!$G$19*'Surface areas overview'!C19*4</f>
        <v>1671.32729170977</v>
      </c>
      <c r="E19" s="170">
        <v>1.5</v>
      </c>
      <c r="F19" s="142">
        <f>PI()*'Surface area'!$G$19*'Surface areas overview'!E19*4</f>
        <v>65.973445725385659</v>
      </c>
      <c r="G19" s="142">
        <f t="array" ref="G19">_xlfn.IFS($B19=1,'Surface area'!B$16,$B19=2,'Surface area'!C$16,$B19=3,'Surface area'!D$16)</f>
        <v>129.4288</v>
      </c>
      <c r="H19" s="142">
        <f t="array" ref="H19">_xlfn.IFS($B19=1,'Surface area'!B$15,$B19=2,'Surface area'!C$15,$B19=3,'Surface area'!D$15)</f>
        <v>94.640400000000085</v>
      </c>
      <c r="I19" s="142">
        <f t="array" ref="I19">_xlfn.IFS($B19=1,'Surface area'!B$14,$B19=2,'Surface area'!C$14,$B19=3,'Surface area'!D$14)</f>
        <v>1969.102199999998</v>
      </c>
    </row>
    <row r="20" spans="1:9" x14ac:dyDescent="0.2">
      <c r="A20" t="s">
        <v>215</v>
      </c>
      <c r="B20" s="2">
        <v>1</v>
      </c>
      <c r="C20" s="2">
        <v>57</v>
      </c>
      <c r="D20" s="142">
        <f>PI()*'Surface area'!$G$19*'Surface areas overview'!C20*4</f>
        <v>2506.9909375646548</v>
      </c>
      <c r="E20" s="170">
        <v>1.5</v>
      </c>
      <c r="F20" s="142">
        <f>PI()*'Surface area'!$G$19*'Surface areas overview'!E20*4</f>
        <v>65.973445725385659</v>
      </c>
      <c r="G20" s="142">
        <f t="array" ref="G20">_xlfn.IFS($B20=1,'Surface area'!B$16,$B20=2,'Surface area'!C$16,$B20=3,'Surface area'!D$16)</f>
        <v>129.4288</v>
      </c>
      <c r="H20" s="142">
        <f t="array" ref="H20">_xlfn.IFS($B20=1,'Surface area'!B$15,$B20=2,'Surface area'!C$15,$B20=3,'Surface area'!D$15)</f>
        <v>94.640400000000085</v>
      </c>
      <c r="I20" s="142">
        <f t="array" ref="I20">_xlfn.IFS($B20=1,'Surface area'!B$14,$B20=2,'Surface area'!C$14,$B20=3,'Surface area'!D$14)</f>
        <v>1969.102199999998</v>
      </c>
    </row>
    <row r="21" spans="1:9" x14ac:dyDescent="0.2">
      <c r="A21" t="s">
        <v>216</v>
      </c>
      <c r="B21" s="2">
        <v>1</v>
      </c>
      <c r="C21" s="2">
        <v>54.5</v>
      </c>
      <c r="D21" s="142">
        <f>PI()*'Surface area'!$G$19*'Surface areas overview'!C21*4</f>
        <v>2397.0351946890123</v>
      </c>
      <c r="E21" s="170">
        <v>1.5</v>
      </c>
      <c r="F21" s="142">
        <f>PI()*'Surface area'!$G$19*'Surface areas overview'!E21*4</f>
        <v>65.973445725385659</v>
      </c>
      <c r="G21" s="142">
        <f t="array" ref="G21">_xlfn.IFS($B21=1,'Surface area'!B$16,$B21=2,'Surface area'!C$16,$B21=3,'Surface area'!D$16)</f>
        <v>129.4288</v>
      </c>
      <c r="H21" s="142">
        <f t="array" ref="H21">_xlfn.IFS($B21=1,'Surface area'!B$15,$B21=2,'Surface area'!C$15,$B21=3,'Surface area'!D$15)</f>
        <v>94.640400000000085</v>
      </c>
      <c r="I21" s="142">
        <f t="array" ref="I21">_xlfn.IFS($B21=1,'Surface area'!B$14,$B21=2,'Surface area'!C$14,$B21=3,'Surface area'!D$14)</f>
        <v>1969.102199999998</v>
      </c>
    </row>
    <row r="22" spans="1:9" x14ac:dyDescent="0.2">
      <c r="A22" t="s">
        <v>217</v>
      </c>
      <c r="B22" s="2">
        <v>1</v>
      </c>
      <c r="C22" s="2">
        <v>49.5</v>
      </c>
      <c r="D22" s="142">
        <f>PI()*'Surface area'!$G$19*'Surface areas overview'!C22*4</f>
        <v>2177.1237089377264</v>
      </c>
      <c r="E22" s="170">
        <v>1.5</v>
      </c>
      <c r="F22" s="142">
        <f>PI()*'Surface area'!$G$19*'Surface areas overview'!E22*4</f>
        <v>65.973445725385659</v>
      </c>
      <c r="G22" s="142">
        <f t="array" ref="G22">_xlfn.IFS($B22=1,'Surface area'!B$16,$B22=2,'Surface area'!C$16,$B22=3,'Surface area'!D$16)</f>
        <v>129.4288</v>
      </c>
      <c r="H22" s="142">
        <f t="array" ref="H22">_xlfn.IFS($B22=1,'Surface area'!B$15,$B22=2,'Surface area'!C$15,$B22=3,'Surface area'!D$15)</f>
        <v>94.640400000000085</v>
      </c>
      <c r="I22" s="142">
        <f t="array" ref="I22">_xlfn.IFS($B22=1,'Surface area'!B$14,$B22=2,'Surface area'!C$14,$B22=3,'Surface area'!D$14)</f>
        <v>1969.102199999998</v>
      </c>
    </row>
    <row r="23" spans="1:9" x14ac:dyDescent="0.2">
      <c r="A23" t="s">
        <v>218</v>
      </c>
      <c r="B23" s="2">
        <v>2</v>
      </c>
      <c r="C23" s="2">
        <v>44.5</v>
      </c>
      <c r="D23" s="142">
        <f>PI()*'Surface area'!$G$19*'Surface areas overview'!C23*4</f>
        <v>1957.2122231864412</v>
      </c>
      <c r="E23" s="170">
        <v>3.4</v>
      </c>
      <c r="F23" s="142">
        <f>PI()*'Surface area'!$G$19*'Surface areas overview'!E23*4</f>
        <v>149.53981031087415</v>
      </c>
      <c r="G23" s="142">
        <f t="array" ref="G23">_xlfn.IFS($B23=1,'Surface area'!B$16,$B23=2,'Surface area'!C$16,$B23=3,'Surface area'!D$16)</f>
        <v>113.39530000000001</v>
      </c>
      <c r="H23" s="142">
        <f t="array" ref="H23">_xlfn.IFS($B23=1,'Surface area'!B$15,$B23=2,'Surface area'!C$15,$B23=3,'Surface area'!D$15)</f>
        <v>99.056000000000012</v>
      </c>
      <c r="I23" s="142">
        <f t="array" ref="I23">_xlfn.IFS($B23=1,'Surface area'!B$14,$B23=2,'Surface area'!C$14,$B23=3,'Surface area'!D$14)</f>
        <v>1718.4547</v>
      </c>
    </row>
    <row r="24" spans="1:9" x14ac:dyDescent="0.2">
      <c r="A24" t="s">
        <v>219</v>
      </c>
      <c r="B24" s="2">
        <v>2</v>
      </c>
      <c r="C24" s="2">
        <v>47.5</v>
      </c>
      <c r="D24" s="142">
        <f>PI()*'Surface area'!$G$19*'Surface areas overview'!C24*4</f>
        <v>2089.1591146372125</v>
      </c>
      <c r="E24" s="170">
        <v>1.5</v>
      </c>
      <c r="F24" s="142">
        <f>PI()*'Surface area'!$G$19*'Surface areas overview'!E24*4</f>
        <v>65.973445725385659</v>
      </c>
      <c r="G24" s="142">
        <f t="array" ref="G24">_xlfn.IFS($B24=1,'Surface area'!B$16,$B24=2,'Surface area'!C$16,$B24=3,'Surface area'!D$16)</f>
        <v>113.39530000000001</v>
      </c>
      <c r="H24" s="142">
        <f t="array" ref="H24">_xlfn.IFS($B24=1,'Surface area'!B$15,$B24=2,'Surface area'!C$15,$B24=3,'Surface area'!D$15)</f>
        <v>99.056000000000012</v>
      </c>
      <c r="I24" s="142">
        <f t="array" ref="I24">_xlfn.IFS($B24=1,'Surface area'!B$14,$B24=2,'Surface area'!C$14,$B24=3,'Surface area'!D$14)</f>
        <v>1718.4547</v>
      </c>
    </row>
    <row r="25" spans="1:9" x14ac:dyDescent="0.2">
      <c r="A25" t="s">
        <v>220</v>
      </c>
      <c r="B25" s="2">
        <v>3</v>
      </c>
      <c r="C25" s="2">
        <v>58.5</v>
      </c>
      <c r="D25" s="142">
        <f>PI()*'Surface area'!$G$19*'Surface areas overview'!C25*4</f>
        <v>2572.9643832900406</v>
      </c>
      <c r="E25" s="170">
        <v>1.9</v>
      </c>
      <c r="F25" s="142">
        <f>PI()*'Surface area'!$G$19*'Surface areas overview'!E25*4</f>
        <v>83.566364585488486</v>
      </c>
      <c r="G25" s="142">
        <f t="array" ref="G25">_xlfn.IFS($B25=1,'Surface area'!B$16,$B25=2,'Surface area'!C$16,$B25=3,'Surface area'!D$16)</f>
        <v>80.164400000000001</v>
      </c>
      <c r="H25" s="142">
        <f t="array" ref="H25">_xlfn.IFS($B25=1,'Surface area'!B$15,$B25=2,'Surface area'!C$15,$B25=3,'Surface area'!D$15)</f>
        <v>98.068999999999988</v>
      </c>
      <c r="I25" s="142">
        <f t="array" ref="I25">_xlfn.IFS($B25=1,'Surface area'!B$14,$B25=2,'Surface area'!C$14,$B25=3,'Surface area'!D$14)</f>
        <v>1144.4028000000001</v>
      </c>
    </row>
    <row r="26" spans="1:9" x14ac:dyDescent="0.2">
      <c r="A26" t="s">
        <v>221</v>
      </c>
      <c r="B26" s="2">
        <v>3</v>
      </c>
      <c r="C26" s="2">
        <v>44.5</v>
      </c>
      <c r="D26" s="142">
        <f>PI()*'Surface area'!$G$19*'Surface areas overview'!C26*4</f>
        <v>1957.2122231864412</v>
      </c>
      <c r="E26" s="170">
        <v>1.5</v>
      </c>
      <c r="F26" s="142">
        <f>PI()*'Surface area'!$G$19*'Surface areas overview'!E26*4</f>
        <v>65.973445725385659</v>
      </c>
      <c r="G26" s="142">
        <f t="array" ref="G26">_xlfn.IFS($B26=1,'Surface area'!B$16,$B26=2,'Surface area'!C$16,$B26=3,'Surface area'!D$16)</f>
        <v>80.164400000000001</v>
      </c>
      <c r="H26" s="142">
        <f t="array" ref="H26">_xlfn.IFS($B26=1,'Surface area'!B$15,$B26=2,'Surface area'!C$15,$B26=3,'Surface area'!D$15)</f>
        <v>98.068999999999988</v>
      </c>
      <c r="I26" s="142">
        <f t="array" ref="I26">_xlfn.IFS($B26=1,'Surface area'!B$14,$B26=2,'Surface area'!C$14,$B26=3,'Surface area'!D$14)</f>
        <v>1144.4028000000001</v>
      </c>
    </row>
    <row r="27" spans="1:9" x14ac:dyDescent="0.2">
      <c r="A27" t="s">
        <v>222</v>
      </c>
      <c r="B27" s="2">
        <v>1</v>
      </c>
      <c r="C27" s="2">
        <v>26</v>
      </c>
      <c r="D27" s="142">
        <f>PI()*'Surface area'!$G$19*'Surface areas overview'!C27*4</f>
        <v>1143.5397259066847</v>
      </c>
      <c r="E27" s="170">
        <v>1.5</v>
      </c>
      <c r="F27" s="142">
        <f>PI()*'Surface area'!$G$19*'Surface areas overview'!E27*4</f>
        <v>65.973445725385659</v>
      </c>
      <c r="G27" s="142">
        <f t="array" ref="G27">_xlfn.IFS($B27=1,'Surface area'!B$16,$B27=2,'Surface area'!C$16,$B27=3,'Surface area'!D$16)</f>
        <v>129.4288</v>
      </c>
      <c r="H27" s="142">
        <f t="array" ref="H27">_xlfn.IFS($B27=1,'Surface area'!B$15,$B27=2,'Surface area'!C$15,$B27=3,'Surface area'!D$15)</f>
        <v>94.640400000000085</v>
      </c>
      <c r="I27" s="142">
        <f t="array" ref="I27">_xlfn.IFS($B27=1,'Surface area'!B$14,$B27=2,'Surface area'!C$14,$B27=3,'Surface area'!D$14)</f>
        <v>1969.102199999998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selection activeCell="G21" sqref="G21"/>
    </sheetView>
  </sheetViews>
  <sheetFormatPr defaultRowHeight="12.75" x14ac:dyDescent="0.2"/>
  <cols>
    <col min="1" max="1" width="28.5703125" bestFit="1" customWidth="1"/>
    <col min="2" max="2" width="12" bestFit="1" customWidth="1"/>
    <col min="3" max="3" width="14.42578125" bestFit="1" customWidth="1"/>
    <col min="4" max="4" width="15.28515625" bestFit="1" customWidth="1"/>
    <col min="6" max="6" width="20.28515625" bestFit="1" customWidth="1"/>
  </cols>
  <sheetData>
    <row r="1" spans="1:7" x14ac:dyDescent="0.2">
      <c r="A1" s="2"/>
      <c r="B1" s="2"/>
      <c r="C1" s="2"/>
      <c r="D1" s="2"/>
      <c r="E1" s="2"/>
      <c r="F1" s="2"/>
      <c r="G1" s="2"/>
    </row>
    <row r="2" spans="1:7" x14ac:dyDescent="0.2">
      <c r="A2" s="2"/>
      <c r="B2" s="171"/>
      <c r="C2" s="2"/>
      <c r="D2" s="2"/>
      <c r="E2" s="2"/>
      <c r="F2" s="2"/>
      <c r="G2" s="2"/>
    </row>
    <row r="3" spans="1:7" x14ac:dyDescent="0.2">
      <c r="A3" s="2"/>
      <c r="B3" s="171"/>
      <c r="C3" s="172"/>
      <c r="D3" s="2"/>
      <c r="E3" s="2"/>
      <c r="F3" s="2"/>
      <c r="G3" s="2"/>
    </row>
    <row r="4" spans="1:7" x14ac:dyDescent="0.2">
      <c r="A4" s="2"/>
      <c r="B4" s="173"/>
      <c r="C4" s="172"/>
      <c r="D4" s="2"/>
      <c r="E4" s="2"/>
      <c r="F4" s="2"/>
      <c r="G4" s="2"/>
    </row>
    <row r="5" spans="1:7" x14ac:dyDescent="0.2">
      <c r="A5" s="2"/>
      <c r="B5" s="173"/>
      <c r="C5" s="172"/>
      <c r="D5" s="2"/>
      <c r="E5" s="2"/>
      <c r="F5" s="2"/>
      <c r="G5" s="2"/>
    </row>
    <row r="6" spans="1:7" x14ac:dyDescent="0.2">
      <c r="A6" s="2"/>
      <c r="B6" s="171"/>
      <c r="C6" s="172"/>
      <c r="D6" s="2"/>
      <c r="E6" s="2"/>
      <c r="F6" s="2"/>
      <c r="G6" s="2"/>
    </row>
    <row r="7" spans="1:7" x14ac:dyDescent="0.2">
      <c r="A7" s="2"/>
      <c r="B7" s="2"/>
      <c r="C7" s="2"/>
      <c r="D7" s="2"/>
      <c r="E7" s="2"/>
      <c r="F7" s="2"/>
      <c r="G7" s="2"/>
    </row>
    <row r="8" spans="1:7" x14ac:dyDescent="0.2">
      <c r="C8" s="151"/>
    </row>
    <row r="9" spans="1:7" x14ac:dyDescent="0.2">
      <c r="C9" s="151"/>
    </row>
    <row r="10" spans="1:7" ht="13.5" customHeight="1" thickBot="1" x14ac:dyDescent="0.25">
      <c r="C10" s="151"/>
    </row>
    <row r="11" spans="1:7" x14ac:dyDescent="0.2">
      <c r="A11" s="213" t="s">
        <v>223</v>
      </c>
      <c r="B11" s="210" t="s">
        <v>224</v>
      </c>
      <c r="C11" s="211"/>
      <c r="D11" s="212"/>
    </row>
    <row r="12" spans="1:7" x14ac:dyDescent="0.2">
      <c r="A12" s="214"/>
      <c r="B12" s="161" t="s">
        <v>225</v>
      </c>
      <c r="C12" s="161" t="s">
        <v>226</v>
      </c>
      <c r="D12" s="162" t="s">
        <v>227</v>
      </c>
    </row>
    <row r="13" spans="1:7" x14ac:dyDescent="0.2">
      <c r="A13" s="163" t="s">
        <v>228</v>
      </c>
      <c r="B13" s="164">
        <v>19</v>
      </c>
      <c r="C13" s="164">
        <v>1</v>
      </c>
      <c r="D13" s="165">
        <v>24</v>
      </c>
    </row>
    <row r="14" spans="1:7" x14ac:dyDescent="0.2">
      <c r="A14" s="166" t="s">
        <v>229</v>
      </c>
      <c r="B14" s="164">
        <v>1969.102199999998</v>
      </c>
      <c r="C14" s="164">
        <v>1718.4547</v>
      </c>
      <c r="D14" s="165">
        <v>1144.4028000000001</v>
      </c>
    </row>
    <row r="15" spans="1:7" x14ac:dyDescent="0.2">
      <c r="A15" s="166" t="s">
        <v>230</v>
      </c>
      <c r="B15" s="164">
        <v>94.640400000000085</v>
      </c>
      <c r="C15" s="164">
        <v>99.056000000000012</v>
      </c>
      <c r="D15" s="165">
        <v>98.068999999999988</v>
      </c>
    </row>
    <row r="16" spans="1:7" ht="13.5" customHeight="1" thickBot="1" x14ac:dyDescent="0.25">
      <c r="A16" s="167" t="s">
        <v>231</v>
      </c>
      <c r="B16" s="168">
        <v>129.4288</v>
      </c>
      <c r="C16" s="168">
        <v>113.39530000000001</v>
      </c>
      <c r="D16" s="169">
        <v>80.164400000000001</v>
      </c>
    </row>
    <row r="17" spans="2:8" x14ac:dyDescent="0.2">
      <c r="C17" s="151"/>
    </row>
    <row r="18" spans="2:8" x14ac:dyDescent="0.2">
      <c r="G18" s="2" t="s">
        <v>232</v>
      </c>
    </row>
    <row r="19" spans="2:8" x14ac:dyDescent="0.2">
      <c r="G19">
        <v>3.5</v>
      </c>
      <c r="H19" s="2" t="s">
        <v>87</v>
      </c>
    </row>
    <row r="23" spans="2:8" x14ac:dyDescent="0.2">
      <c r="B23" s="151"/>
    </row>
    <row r="24" spans="2:8" x14ac:dyDescent="0.2">
      <c r="B24" s="151"/>
    </row>
    <row r="25" spans="2:8" x14ac:dyDescent="0.2">
      <c r="B25" s="151"/>
    </row>
  </sheetData>
  <mergeCells count="2">
    <mergeCell ref="B11:D11"/>
    <mergeCell ref="A11:A12"/>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B1:K38"/>
  <sheetViews>
    <sheetView zoomScale="55" zoomScaleNormal="55" workbookViewId="0">
      <selection activeCell="E27" sqref="E27"/>
    </sheetView>
  </sheetViews>
  <sheetFormatPr defaultRowHeight="12.75" x14ac:dyDescent="0.2"/>
  <cols>
    <col min="1" max="1" width="4.7109375" customWidth="1"/>
    <col min="2" max="3" width="29.5703125" customWidth="1"/>
    <col min="4" max="4" width="27.140625" customWidth="1"/>
    <col min="5" max="5" width="50.7109375" customWidth="1"/>
    <col min="6" max="6" width="20.42578125" customWidth="1"/>
    <col min="7" max="7" width="11.140625" customWidth="1"/>
    <col min="8" max="8" width="19.140625" customWidth="1"/>
    <col min="9" max="9" width="26.42578125" customWidth="1"/>
    <col min="10" max="10" width="12.140625" customWidth="1"/>
    <col min="11" max="11" width="69.28515625" customWidth="1"/>
  </cols>
  <sheetData>
    <row r="1" spans="2:11" s="1" customFormat="1" x14ac:dyDescent="0.2">
      <c r="B1" s="51" t="s">
        <v>233</v>
      </c>
      <c r="C1" s="45" t="s">
        <v>42</v>
      </c>
      <c r="D1" s="45" t="s">
        <v>73</v>
      </c>
      <c r="E1" s="45" t="s">
        <v>234</v>
      </c>
      <c r="F1" s="45" t="s">
        <v>235</v>
      </c>
      <c r="G1" s="45" t="s">
        <v>236</v>
      </c>
      <c r="H1" s="45" t="s">
        <v>237</v>
      </c>
      <c r="I1" s="45" t="s">
        <v>238</v>
      </c>
      <c r="J1" s="39" t="s">
        <v>239</v>
      </c>
      <c r="K1" s="51" t="s">
        <v>37</v>
      </c>
    </row>
    <row r="2" spans="2:11" x14ac:dyDescent="0.2">
      <c r="B2" s="52" t="s">
        <v>36</v>
      </c>
      <c r="C2" s="46">
        <v>0.15</v>
      </c>
      <c r="D2" s="49" t="s">
        <v>74</v>
      </c>
      <c r="E2" s="52" t="s">
        <v>76</v>
      </c>
      <c r="F2" s="47">
        <v>-0.8</v>
      </c>
      <c r="G2" s="52" t="s">
        <v>40</v>
      </c>
      <c r="H2" s="52" t="s">
        <v>240</v>
      </c>
      <c r="I2" s="52" t="s">
        <v>241</v>
      </c>
      <c r="J2" s="41">
        <v>5</v>
      </c>
      <c r="K2" s="52" t="s">
        <v>242</v>
      </c>
    </row>
    <row r="3" spans="2:11" x14ac:dyDescent="0.2">
      <c r="B3" s="52" t="s">
        <v>243</v>
      </c>
      <c r="C3" s="46">
        <v>0.2</v>
      </c>
      <c r="D3" s="49" t="s">
        <v>244</v>
      </c>
      <c r="E3" s="52" t="s">
        <v>245</v>
      </c>
      <c r="F3" s="47">
        <v>-0.9</v>
      </c>
      <c r="G3" s="52" t="s">
        <v>246</v>
      </c>
      <c r="H3" s="52" t="s">
        <v>247</v>
      </c>
      <c r="I3" s="52" t="s">
        <v>248</v>
      </c>
      <c r="J3" s="41">
        <v>10</v>
      </c>
      <c r="K3" s="53" t="s">
        <v>249</v>
      </c>
    </row>
    <row r="4" spans="2:11" x14ac:dyDescent="0.2">
      <c r="B4" s="52" t="s">
        <v>250</v>
      </c>
      <c r="C4" s="46">
        <v>0.25</v>
      </c>
      <c r="D4" s="49"/>
      <c r="E4" s="49"/>
      <c r="F4" s="47"/>
      <c r="G4" s="52" t="s">
        <v>251</v>
      </c>
      <c r="H4" s="52" t="s">
        <v>252</v>
      </c>
      <c r="I4" s="52" t="s">
        <v>86</v>
      </c>
      <c r="J4" s="41">
        <v>15</v>
      </c>
      <c r="K4" s="53" t="s">
        <v>38</v>
      </c>
    </row>
    <row r="5" spans="2:11" x14ac:dyDescent="0.2">
      <c r="B5" s="52"/>
      <c r="C5" s="46">
        <v>0.3</v>
      </c>
      <c r="D5" s="49"/>
      <c r="E5" s="49"/>
      <c r="F5" s="47"/>
      <c r="G5" s="52" t="s">
        <v>253</v>
      </c>
      <c r="H5" s="52" t="s">
        <v>254</v>
      </c>
      <c r="I5" s="52"/>
      <c r="J5" s="41">
        <v>20</v>
      </c>
      <c r="K5" s="52" t="s">
        <v>255</v>
      </c>
    </row>
    <row r="6" spans="2:11" x14ac:dyDescent="0.2">
      <c r="B6" s="49"/>
      <c r="C6" s="46"/>
      <c r="D6" s="49"/>
      <c r="E6" s="49"/>
      <c r="F6" s="47"/>
      <c r="G6" s="52" t="s">
        <v>256</v>
      </c>
      <c r="H6" s="52" t="s">
        <v>71</v>
      </c>
      <c r="I6" s="52"/>
      <c r="J6" s="41">
        <v>25</v>
      </c>
      <c r="K6" s="49" t="s">
        <v>257</v>
      </c>
    </row>
    <row r="7" spans="2:11" x14ac:dyDescent="0.2">
      <c r="B7" s="50"/>
      <c r="C7" s="48"/>
      <c r="D7" s="50"/>
      <c r="E7" s="50"/>
      <c r="F7" s="50"/>
      <c r="G7" s="50"/>
      <c r="H7" s="50"/>
      <c r="I7" s="50"/>
      <c r="J7" s="42">
        <v>30</v>
      </c>
      <c r="K7" s="49" t="s">
        <v>258</v>
      </c>
    </row>
    <row r="8" spans="2:11" x14ac:dyDescent="0.2">
      <c r="C8" s="4"/>
      <c r="K8" s="52" t="s">
        <v>259</v>
      </c>
    </row>
    <row r="9" spans="2:11" x14ac:dyDescent="0.2">
      <c r="B9" s="5"/>
      <c r="K9" s="49" t="s">
        <v>260</v>
      </c>
    </row>
    <row r="10" spans="2:11" x14ac:dyDescent="0.2">
      <c r="B10" s="10" t="s">
        <v>73</v>
      </c>
      <c r="C10" s="11" t="s">
        <v>234</v>
      </c>
      <c r="D10" s="11" t="s">
        <v>35</v>
      </c>
      <c r="E10" s="11"/>
      <c r="F10" s="12"/>
      <c r="K10" s="49" t="s">
        <v>261</v>
      </c>
    </row>
    <row r="11" spans="2:11" x14ac:dyDescent="0.2">
      <c r="B11" s="17" t="str">
        <f>'GACP Calculation'!H32</f>
        <v>Aluminium</v>
      </c>
      <c r="C11" t="str">
        <f>'GACP Calculation'!H33</f>
        <v>seawater</v>
      </c>
      <c r="D11" t="str">
        <f>'GACP Calculation'!D9</f>
        <v>DNV-RP-B401:2021</v>
      </c>
      <c r="F11" s="18"/>
      <c r="K11" s="52" t="s">
        <v>262</v>
      </c>
    </row>
    <row r="12" spans="2:11" x14ac:dyDescent="0.2">
      <c r="B12" s="17"/>
      <c r="F12" s="18"/>
      <c r="K12" s="74" t="s">
        <v>263</v>
      </c>
    </row>
    <row r="13" spans="2:11" x14ac:dyDescent="0.2">
      <c r="B13" s="17"/>
      <c r="F13" s="18"/>
    </row>
    <row r="14" spans="2:11" ht="25.5" customHeight="1" x14ac:dyDescent="0.2">
      <c r="B14" s="10" t="s">
        <v>73</v>
      </c>
      <c r="C14" s="11" t="s">
        <v>234</v>
      </c>
      <c r="D14" s="11" t="s">
        <v>35</v>
      </c>
      <c r="E14" s="11" t="s">
        <v>264</v>
      </c>
      <c r="F14" s="12" t="s">
        <v>265</v>
      </c>
    </row>
    <row r="15" spans="2:11" x14ac:dyDescent="0.2">
      <c r="B15" s="20" t="s">
        <v>74</v>
      </c>
      <c r="C15" s="2" t="s">
        <v>76</v>
      </c>
      <c r="D15" s="2" t="s">
        <v>36</v>
      </c>
      <c r="E15" s="21">
        <v>2000</v>
      </c>
      <c r="F15" s="153">
        <v>-1.05</v>
      </c>
    </row>
    <row r="16" spans="2:11" x14ac:dyDescent="0.2">
      <c r="B16" s="17" t="s">
        <v>74</v>
      </c>
      <c r="C16" s="2" t="s">
        <v>245</v>
      </c>
      <c r="D16" s="2" t="s">
        <v>36</v>
      </c>
      <c r="E16" s="21">
        <v>1500</v>
      </c>
      <c r="F16" s="153">
        <v>-1</v>
      </c>
    </row>
    <row r="17" spans="2:6" x14ac:dyDescent="0.2">
      <c r="B17" s="17" t="s">
        <v>244</v>
      </c>
      <c r="C17" s="2" t="s">
        <v>76</v>
      </c>
      <c r="D17" s="2" t="s">
        <v>36</v>
      </c>
      <c r="E17" s="21">
        <v>780</v>
      </c>
      <c r="F17" s="153">
        <v>-1.03</v>
      </c>
    </row>
    <row r="18" spans="2:6" x14ac:dyDescent="0.2">
      <c r="B18" s="22" t="s">
        <v>244</v>
      </c>
      <c r="C18" s="23" t="s">
        <v>245</v>
      </c>
      <c r="D18" s="23" t="s">
        <v>36</v>
      </c>
      <c r="E18" s="24">
        <v>750</v>
      </c>
      <c r="F18" s="154">
        <v>-0.98</v>
      </c>
    </row>
    <row r="19" spans="2:6" x14ac:dyDescent="0.2">
      <c r="B19" s="20" t="s">
        <v>74</v>
      </c>
      <c r="C19" s="2" t="s">
        <v>76</v>
      </c>
      <c r="D19" t="s">
        <v>250</v>
      </c>
      <c r="E19" s="21">
        <v>2000</v>
      </c>
      <c r="F19" s="153">
        <v>-1.05</v>
      </c>
    </row>
    <row r="20" spans="2:6" x14ac:dyDescent="0.2">
      <c r="B20" s="17" t="s">
        <v>74</v>
      </c>
      <c r="C20" s="2" t="s">
        <v>245</v>
      </c>
      <c r="D20" t="s">
        <v>250</v>
      </c>
      <c r="E20" s="21">
        <v>1730</v>
      </c>
      <c r="F20" s="153">
        <v>-1</v>
      </c>
    </row>
    <row r="21" spans="2:6" x14ac:dyDescent="0.2">
      <c r="B21" s="17" t="s">
        <v>244</v>
      </c>
      <c r="C21" s="2" t="s">
        <v>76</v>
      </c>
      <c r="D21" s="2" t="s">
        <v>250</v>
      </c>
      <c r="E21" s="21">
        <v>780</v>
      </c>
      <c r="F21" s="153">
        <v>-1.03</v>
      </c>
    </row>
    <row r="22" spans="2:6" x14ac:dyDescent="0.2">
      <c r="B22" s="22" t="s">
        <v>244</v>
      </c>
      <c r="C22" s="23" t="s">
        <v>245</v>
      </c>
      <c r="D22" s="38" t="s">
        <v>250</v>
      </c>
      <c r="E22" s="24">
        <v>750</v>
      </c>
      <c r="F22" s="154">
        <v>-0.98</v>
      </c>
    </row>
    <row r="23" spans="2:6" x14ac:dyDescent="0.2">
      <c r="B23" s="20" t="s">
        <v>74</v>
      </c>
      <c r="C23" s="2" t="s">
        <v>76</v>
      </c>
      <c r="D23" s="2" t="s">
        <v>243</v>
      </c>
      <c r="E23" s="21">
        <v>2500</v>
      </c>
      <c r="F23" s="153">
        <v>-1.0900000000000001</v>
      </c>
    </row>
    <row r="24" spans="2:6" x14ac:dyDescent="0.2">
      <c r="B24" s="17" t="s">
        <v>74</v>
      </c>
      <c r="C24" s="2" t="s">
        <v>245</v>
      </c>
      <c r="D24" s="2" t="s">
        <v>243</v>
      </c>
      <c r="E24" s="21">
        <v>2000</v>
      </c>
      <c r="F24" s="153">
        <v>-1.05</v>
      </c>
    </row>
    <row r="25" spans="2:6" x14ac:dyDescent="0.2">
      <c r="B25" s="17" t="s">
        <v>244</v>
      </c>
      <c r="C25" s="2" t="s">
        <v>76</v>
      </c>
      <c r="D25" s="2" t="s">
        <v>243</v>
      </c>
      <c r="E25" s="21">
        <v>780</v>
      </c>
      <c r="F25" s="153">
        <v>-1.03</v>
      </c>
    </row>
    <row r="26" spans="2:6" x14ac:dyDescent="0.2">
      <c r="B26" s="22" t="s">
        <v>244</v>
      </c>
      <c r="C26" s="23" t="s">
        <v>245</v>
      </c>
      <c r="D26" s="23" t="s">
        <v>243</v>
      </c>
      <c r="E26" s="24">
        <v>750</v>
      </c>
      <c r="F26" s="154">
        <v>-0.99</v>
      </c>
    </row>
    <row r="27" spans="2:6" x14ac:dyDescent="0.2">
      <c r="B27" s="5"/>
    </row>
    <row r="28" spans="2:6" x14ac:dyDescent="0.2">
      <c r="B28" s="5"/>
    </row>
    <row r="29" spans="2:6" x14ac:dyDescent="0.2">
      <c r="B29" s="39" t="s">
        <v>73</v>
      </c>
      <c r="C29" s="40" t="s">
        <v>266</v>
      </c>
    </row>
    <row r="30" spans="2:6" x14ac:dyDescent="0.2">
      <c r="B30" s="41" t="s">
        <v>74</v>
      </c>
      <c r="C30" s="18">
        <v>2700</v>
      </c>
    </row>
    <row r="31" spans="2:6" x14ac:dyDescent="0.2">
      <c r="B31" s="42" t="s">
        <v>244</v>
      </c>
      <c r="C31" s="70">
        <v>6920</v>
      </c>
    </row>
    <row r="32" spans="2:6" x14ac:dyDescent="0.2">
      <c r="B32" s="5"/>
      <c r="C32" s="2"/>
    </row>
    <row r="33" spans="2:6" x14ac:dyDescent="0.2">
      <c r="B33" s="5"/>
    </row>
    <row r="34" spans="2:6" x14ac:dyDescent="0.2">
      <c r="B34" s="54" t="s">
        <v>83</v>
      </c>
      <c r="C34" s="13" t="s">
        <v>267</v>
      </c>
      <c r="D34" s="13" t="s">
        <v>268</v>
      </c>
      <c r="E34" s="12" t="s">
        <v>269</v>
      </c>
      <c r="F34" s="19"/>
    </row>
    <row r="35" spans="2:6" ht="25.5" customHeight="1" x14ac:dyDescent="0.2">
      <c r="B35" s="55" t="s">
        <v>84</v>
      </c>
      <c r="C35" s="6" t="s">
        <v>270</v>
      </c>
      <c r="D35" s="14">
        <v>0.9</v>
      </c>
      <c r="E35" s="56" t="s">
        <v>271</v>
      </c>
      <c r="F35" s="60"/>
    </row>
    <row r="36" spans="2:6" ht="25.5" customHeight="1" x14ac:dyDescent="0.2">
      <c r="B36" s="55" t="s">
        <v>272</v>
      </c>
      <c r="C36" s="6" t="s">
        <v>273</v>
      </c>
      <c r="D36" s="14">
        <v>0.85</v>
      </c>
      <c r="E36" s="57" t="s">
        <v>274</v>
      </c>
      <c r="F36" s="61"/>
    </row>
    <row r="37" spans="2:6" ht="25.5" customHeight="1" x14ac:dyDescent="0.2">
      <c r="B37" s="55" t="s">
        <v>275</v>
      </c>
      <c r="C37" s="6" t="s">
        <v>276</v>
      </c>
      <c r="D37" s="14">
        <v>0.85</v>
      </c>
      <c r="E37" s="56" t="s">
        <v>277</v>
      </c>
      <c r="F37" s="60"/>
    </row>
    <row r="38" spans="2:6" ht="25.5" customHeight="1" x14ac:dyDescent="0.2">
      <c r="B38" s="58" t="s">
        <v>278</v>
      </c>
      <c r="C38" s="15" t="s">
        <v>279</v>
      </c>
      <c r="D38" s="16">
        <v>0.8</v>
      </c>
      <c r="E38" s="59" t="s">
        <v>280</v>
      </c>
      <c r="F38" s="61"/>
    </row>
  </sheetData>
  <dataValidations count="3">
    <dataValidation type="list" allowBlank="1" showInputMessage="1" showErrorMessage="1" sqref="C15:C26" xr:uid="{00000000-0002-0000-0400-000000000000}">
      <formula1>Anode_Environment</formula1>
    </dataValidation>
    <dataValidation type="list" allowBlank="1" showInputMessage="1" showErrorMessage="1" sqref="B15:B26 B30:B33" xr:uid="{00000000-0002-0000-0400-000001000000}">
      <formula1>Anode_Material</formula1>
    </dataValidation>
    <dataValidation type="list" allowBlank="1" showInputMessage="1" showErrorMessage="1" sqref="D15:D26" xr:uid="{00000000-0002-0000-0400-000002000000}">
      <formula1>Standard</formula1>
    </dataValidation>
  </dataValidation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O19"/>
  <sheetViews>
    <sheetView zoomScale="80" zoomScaleNormal="80" workbookViewId="0">
      <selection activeCell="A18" sqref="A18"/>
    </sheetView>
  </sheetViews>
  <sheetFormatPr defaultRowHeight="12.75" x14ac:dyDescent="0.2"/>
  <cols>
    <col min="2" max="2" width="10.28515625" customWidth="1"/>
    <col min="3" max="3" width="12.5703125" customWidth="1"/>
    <col min="8" max="8" width="12" customWidth="1"/>
    <col min="9" max="9" width="11.42578125" customWidth="1"/>
    <col min="10" max="10" width="11.7109375" customWidth="1"/>
  </cols>
  <sheetData>
    <row r="1" spans="1:15" ht="51" customHeight="1" x14ac:dyDescent="0.2">
      <c r="A1" s="7" t="s">
        <v>281</v>
      </c>
      <c r="B1" s="6" t="s">
        <v>282</v>
      </c>
      <c r="C1" s="6" t="s">
        <v>180</v>
      </c>
      <c r="D1" s="6" t="s">
        <v>283</v>
      </c>
      <c r="E1" s="6" t="s">
        <v>284</v>
      </c>
      <c r="F1" s="6" t="s">
        <v>176</v>
      </c>
      <c r="G1" s="6" t="s">
        <v>285</v>
      </c>
      <c r="H1" s="6" t="s">
        <v>286</v>
      </c>
      <c r="I1" s="6" t="s">
        <v>287</v>
      </c>
      <c r="J1" s="6" t="s">
        <v>183</v>
      </c>
    </row>
    <row r="2" spans="1:15" x14ac:dyDescent="0.2">
      <c r="A2" s="4" t="str">
        <f>'GACP Calculation'!H34</f>
        <v>Platform 350 kg</v>
      </c>
      <c r="B2" s="3">
        <f>(Lat+Lab)/2</f>
        <v>3</v>
      </c>
      <c r="C2" s="3">
        <f>VLOOKUP(Type,A8:H12,3,FALSE)</f>
        <v>4.6210121925630919E-2</v>
      </c>
      <c r="D2" s="3">
        <f>VLOOKUP(Type,A8:H12,4,FALSE)</f>
        <v>2.7</v>
      </c>
      <c r="E2" s="25">
        <f>IF(Tis=PI(), (D2*Wis*Wis/4*Tis), (D2*Wis*Tis))</f>
        <v>4.2338743893799567E-2</v>
      </c>
      <c r="F2" s="3">
        <f>VLOOKUP(Type,A8:H12,5,FALSE)</f>
        <v>34.999999999999993</v>
      </c>
      <c r="G2">
        <f>VLOOKUP('GACP Calculation'!H35,'Input Parameters'!B29:C31,2,FALSE)</f>
        <v>2700</v>
      </c>
      <c r="H2" s="25">
        <f>VLOOKUP(Type,A8:H12,6,FALSE)</f>
        <v>5.5301706856762528E-2</v>
      </c>
      <c r="I2" s="25">
        <f>VLOOKUP(Type,A8:H12,7,FALSE)</f>
        <v>8.0744407019574763E-2</v>
      </c>
      <c r="J2">
        <f>VLOOKUP(Type,A8:H12,8,FALSE)</f>
        <v>5.9710413836841669E-2</v>
      </c>
    </row>
    <row r="8" spans="1:15" ht="27" customHeight="1" x14ac:dyDescent="0.2">
      <c r="A8" s="19" t="s">
        <v>288</v>
      </c>
      <c r="B8" s="19" t="s">
        <v>268</v>
      </c>
      <c r="C8" s="19" t="s">
        <v>289</v>
      </c>
      <c r="D8" s="19" t="s">
        <v>290</v>
      </c>
      <c r="E8" s="19" t="s">
        <v>291</v>
      </c>
      <c r="F8" s="19" t="s">
        <v>292</v>
      </c>
      <c r="G8" s="19" t="s">
        <v>293</v>
      </c>
      <c r="H8" s="19" t="s">
        <v>294</v>
      </c>
      <c r="I8" s="19" t="s">
        <v>295</v>
      </c>
    </row>
    <row r="9" spans="1:15" x14ac:dyDescent="0.2">
      <c r="A9" t="s">
        <v>84</v>
      </c>
      <c r="B9">
        <f>VLOOKUP(A9,Anode_Type_Data,3,FALSE)</f>
        <v>0.9</v>
      </c>
      <c r="C9" s="43">
        <f>I9*(pø/(2*PI()*La))*(LN(4*La/ra)-1)</f>
        <v>4.6210121925630919E-2</v>
      </c>
      <c r="D9" s="3">
        <f>0.9*La</f>
        <v>2.7</v>
      </c>
      <c r="E9">
        <f>(1-B9)*mai</f>
        <v>34.999999999999993</v>
      </c>
      <c r="F9">
        <f>(E9/spd)+vis</f>
        <v>5.5301706856762528E-2</v>
      </c>
      <c r="G9">
        <f>SQRT(F9/(PI()*D9))</f>
        <v>8.0744407019574763E-2</v>
      </c>
      <c r="H9" s="3">
        <f>I9*(pø/(2*PI()*Lf))*(LN(4*Lf/rf)-1)</f>
        <v>5.9710413836841669E-2</v>
      </c>
      <c r="I9">
        <f>IF('GACP Calculation'!H38="&gt;0.30",1,1.3)</f>
        <v>1</v>
      </c>
    </row>
    <row r="10" spans="1:15" x14ac:dyDescent="0.2">
      <c r="A10" t="s">
        <v>272</v>
      </c>
      <c r="B10">
        <f>VLOOKUP(A10,Anode_Type_Data,3,FALSE)</f>
        <v>0.85</v>
      </c>
      <c r="C10" s="44">
        <f>I10*(pø/(PI()*(Lab+Lat)))*(LN(((Lab+Lat)/ra)*(1+SQRT(1+((ra/(Lab+Lat))^2))))+(ra/(Lab+Lat))-SQRT(1+((ra/(Lab+Lat))^2)))</f>
        <v>4.6563828275844196E-2</v>
      </c>
      <c r="D10" s="3">
        <f>0.9*La</f>
        <v>2.7</v>
      </c>
      <c r="E10">
        <f>(1-B10)*mai</f>
        <v>52.500000000000007</v>
      </c>
      <c r="F10">
        <f>(E10/spd)+vis</f>
        <v>6.1783188338244019E-2</v>
      </c>
      <c r="G10">
        <f>SQRT(F10/(PI()*D10))</f>
        <v>8.5345050515036505E-2</v>
      </c>
      <c r="H10" s="44">
        <f>I10*(pø/(PI()*2*Lf))*(LN((2*Lf/rf)*(1+SQRT(1+((rf/(2*Lf))^2))))+(rf/(2*Lf))-SQRT(1+((rf/(2*Lf))^2)))</f>
        <v>5.9938722264631678E-2</v>
      </c>
      <c r="I10">
        <f>IF('GACP Calculation'!H38="&gt;0.30",1,1.3)</f>
        <v>1</v>
      </c>
      <c r="O10" s="2"/>
    </row>
    <row r="11" spans="1:15" x14ac:dyDescent="0.2">
      <c r="A11" s="2" t="s">
        <v>275</v>
      </c>
      <c r="B11">
        <f>VLOOKUP(A11,Anode_Type_Data,3,FALSE)</f>
        <v>0.85</v>
      </c>
      <c r="C11" s="43">
        <f>pø/(2*((Lab+Lat+Wab+Wat)/4))</f>
        <v>7.942569115625478E-2</v>
      </c>
      <c r="D11" s="3">
        <f>0.9*La</f>
        <v>2.7</v>
      </c>
      <c r="E11">
        <f>(1-B11)*mai</f>
        <v>52.500000000000007</v>
      </c>
      <c r="F11">
        <f>(E11/spd)+vis</f>
        <v>6.1783188338244019E-2</v>
      </c>
      <c r="G11">
        <f>SQRT(F11/(PI()*D11))</f>
        <v>8.5345050515036505E-2</v>
      </c>
      <c r="H11" s="43">
        <f>pø/(2*((Lf+(2*rf))/2))</f>
        <v>9.0861791499717806E-2</v>
      </c>
      <c r="I11">
        <v>1</v>
      </c>
      <c r="O11" s="2"/>
    </row>
    <row r="12" spans="1:15" x14ac:dyDescent="0.2">
      <c r="A12" t="s">
        <v>278</v>
      </c>
      <c r="B12">
        <f>VLOOKUP(A12,Anode_Type_Data,3,FALSE)</f>
        <v>0.8</v>
      </c>
      <c r="C12" s="43">
        <f>0.315*pø/SQRT((Lat*Wat)+(2*Ha*(Wab+Lab)))</f>
        <v>5.5519210263141876E-2</v>
      </c>
      <c r="D12">
        <f>La</f>
        <v>3</v>
      </c>
      <c r="E12">
        <f>(1-B12)*mai</f>
        <v>69.999999999999986</v>
      </c>
      <c r="F12">
        <f>(E12/spd)+vis</f>
        <v>6.8264669819725482E-2</v>
      </c>
      <c r="G12">
        <f>ra</f>
        <v>0.15485775962841414</v>
      </c>
      <c r="H12" s="43">
        <f>0.315*pø/SQRT((Lat*Wat)+(2*Ha*(Wab+Lab)))</f>
        <v>5.5519210263141876E-2</v>
      </c>
      <c r="I12">
        <v>1</v>
      </c>
      <c r="O12" s="2"/>
    </row>
    <row r="13" spans="1:15" x14ac:dyDescent="0.2">
      <c r="O13" s="2"/>
    </row>
    <row r="14" spans="1:15" x14ac:dyDescent="0.2">
      <c r="O14" s="2"/>
    </row>
    <row r="17" spans="15:15" x14ac:dyDescent="0.2">
      <c r="O17" s="2"/>
    </row>
    <row r="18" spans="15:15" x14ac:dyDescent="0.2">
      <c r="O18" s="2"/>
    </row>
    <row r="19" spans="15:15" x14ac:dyDescent="0.2">
      <c r="O19" s="2"/>
    </row>
  </sheetData>
  <dataValidations disablePrompts="1" count="1">
    <dataValidation type="list" allowBlank="1" showInputMessage="1" showErrorMessage="1" sqref="A9:A12" xr:uid="{00000000-0002-0000-0500-000000000000}">
      <formula1>Anode_Type</formula1>
    </dataValidation>
  </dataValidations>
  <pageMargins left="0.7" right="0.7" top="0.75" bottom="0.75" header="0.3" footer="0.3"/>
  <pageSetup scale="8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4:Q65"/>
  <sheetViews>
    <sheetView zoomScale="130" zoomScaleNormal="130" workbookViewId="0">
      <pane ySplit="5" topLeftCell="A6" activePane="bottomLeft" state="frozen"/>
      <selection pane="bottomLeft" activeCell="B10" sqref="B10"/>
    </sheetView>
  </sheetViews>
  <sheetFormatPr defaultRowHeight="12.75" x14ac:dyDescent="0.2"/>
  <cols>
    <col min="1" max="1" width="25" customWidth="1"/>
    <col min="2" max="2" width="13.28515625" customWidth="1"/>
    <col min="3" max="3" width="15.140625" customWidth="1"/>
    <col min="4" max="4" width="16" customWidth="1"/>
    <col min="5" max="5" width="11.28515625" customWidth="1"/>
    <col min="6" max="6" width="13.28515625" customWidth="1"/>
    <col min="7" max="7" width="9.7109375" customWidth="1"/>
    <col min="8" max="8" width="12" customWidth="1"/>
    <col min="9" max="9" width="9.7109375" customWidth="1"/>
    <col min="12" max="12" width="9.140625" customWidth="1"/>
    <col min="13" max="14" width="0.140625" customWidth="1"/>
    <col min="15" max="15" width="0.28515625" customWidth="1"/>
    <col min="16" max="16" width="23.85546875" hidden="1" customWidth="1"/>
  </cols>
  <sheetData>
    <row r="4" spans="1:17" x14ac:dyDescent="0.2">
      <c r="D4" t="s">
        <v>296</v>
      </c>
    </row>
    <row r="5" spans="1:17" ht="40.5" customHeight="1" x14ac:dyDescent="0.2">
      <c r="A5" s="7" t="s">
        <v>281</v>
      </c>
      <c r="B5" s="7" t="s">
        <v>297</v>
      </c>
      <c r="C5" s="6" t="s">
        <v>298</v>
      </c>
      <c r="D5" s="6" t="s">
        <v>299</v>
      </c>
      <c r="E5" s="6" t="s">
        <v>300</v>
      </c>
      <c r="F5" s="6" t="s">
        <v>301</v>
      </c>
      <c r="G5" s="6" t="s">
        <v>302</v>
      </c>
      <c r="H5" s="6" t="s">
        <v>303</v>
      </c>
      <c r="I5" s="6" t="s">
        <v>304</v>
      </c>
      <c r="J5" s="6" t="s">
        <v>305</v>
      </c>
      <c r="K5" s="6" t="s">
        <v>306</v>
      </c>
      <c r="L5" s="6" t="s">
        <v>307</v>
      </c>
      <c r="M5" s="6" t="s">
        <v>308</v>
      </c>
      <c r="N5" s="6" t="s">
        <v>309</v>
      </c>
      <c r="O5" s="6" t="s">
        <v>310</v>
      </c>
      <c r="P5" s="6" t="s">
        <v>311</v>
      </c>
      <c r="Q5" s="6" t="s">
        <v>312</v>
      </c>
    </row>
    <row r="6" spans="1:17" x14ac:dyDescent="0.2">
      <c r="A6" t="s">
        <v>313</v>
      </c>
      <c r="B6" t="s">
        <v>74</v>
      </c>
      <c r="C6" s="4">
        <v>1.2</v>
      </c>
      <c r="D6" s="4">
        <v>1.5</v>
      </c>
      <c r="E6">
        <v>160</v>
      </c>
      <c r="F6">
        <v>215</v>
      </c>
      <c r="G6">
        <v>60</v>
      </c>
      <c r="H6">
        <v>95</v>
      </c>
      <c r="I6">
        <v>30</v>
      </c>
      <c r="J6">
        <v>25</v>
      </c>
      <c r="K6">
        <v>5</v>
      </c>
      <c r="L6" s="2" t="s">
        <v>314</v>
      </c>
      <c r="M6" s="2" t="s">
        <v>315</v>
      </c>
      <c r="O6" s="142">
        <f>(((0.5*(G6+H6)*I6)*((E6+F6)/2)-(J6*K6))/1000000000)*2700</f>
        <v>1.1766937500000001</v>
      </c>
      <c r="P6" t="s">
        <v>316</v>
      </c>
      <c r="Q6" s="142"/>
    </row>
    <row r="7" spans="1:17" x14ac:dyDescent="0.2">
      <c r="A7" s="143" t="s">
        <v>317</v>
      </c>
      <c r="B7" s="144" t="s">
        <v>74</v>
      </c>
      <c r="C7" s="145">
        <v>350</v>
      </c>
      <c r="D7" s="145">
        <v>436</v>
      </c>
      <c r="E7" s="144">
        <v>2675</v>
      </c>
      <c r="F7" s="144">
        <v>2725</v>
      </c>
      <c r="G7" s="144">
        <v>260</v>
      </c>
      <c r="H7" s="144">
        <v>287</v>
      </c>
      <c r="I7" s="144">
        <v>210</v>
      </c>
      <c r="J7" s="144">
        <v>114</v>
      </c>
      <c r="K7" s="144">
        <f>386+2675+386</f>
        <v>3447</v>
      </c>
      <c r="L7" s="146"/>
      <c r="M7" s="146"/>
      <c r="N7" s="146"/>
      <c r="O7" s="147"/>
      <c r="P7" s="146"/>
      <c r="Q7" s="142">
        <f>(((0.5*(G7+H7)*I7)*((E7+F7)/2)-(J7*K7))/1000000000)*2700</f>
        <v>417.64016340000001</v>
      </c>
    </row>
    <row r="8" spans="1:17" x14ac:dyDescent="0.2">
      <c r="A8" s="148" t="s">
        <v>318</v>
      </c>
      <c r="B8" s="149" t="s">
        <v>244</v>
      </c>
      <c r="C8" s="150"/>
      <c r="D8" s="150"/>
      <c r="E8" s="149"/>
      <c r="F8" s="149"/>
      <c r="G8" s="149"/>
      <c r="H8" s="149"/>
      <c r="I8" s="149"/>
      <c r="J8" s="149"/>
      <c r="K8" s="149"/>
      <c r="L8" s="146"/>
      <c r="M8" s="146"/>
      <c r="N8" s="146"/>
      <c r="O8" s="147"/>
      <c r="P8" s="146"/>
      <c r="Q8" s="142">
        <f>(((0.5*(G8+H8)*I8)*((E8+F8)/2)-(J8*K8))/1000000000)*2700</f>
        <v>0</v>
      </c>
    </row>
    <row r="9" spans="1:17" x14ac:dyDescent="0.2">
      <c r="A9" t="s">
        <v>319</v>
      </c>
      <c r="B9" t="s">
        <v>74</v>
      </c>
      <c r="C9" s="4">
        <v>2.1</v>
      </c>
      <c r="D9" s="4">
        <v>2.5</v>
      </c>
      <c r="E9">
        <v>205</v>
      </c>
      <c r="F9">
        <v>265</v>
      </c>
      <c r="G9">
        <v>75</v>
      </c>
      <c r="H9">
        <v>115</v>
      </c>
      <c r="I9">
        <v>34</v>
      </c>
      <c r="J9">
        <v>25</v>
      </c>
      <c r="K9">
        <v>5</v>
      </c>
      <c r="L9" s="2" t="s">
        <v>314</v>
      </c>
      <c r="M9" s="2" t="s">
        <v>320</v>
      </c>
      <c r="N9" s="2" t="s">
        <v>315</v>
      </c>
      <c r="O9" s="142">
        <f t="shared" ref="O9:O19" si="0">(((0.5*(G9+H9)*I9)*((E9+F9)/2)-(J9*K9))/1000000000)*2700</f>
        <v>2.0490975000000002</v>
      </c>
      <c r="P9" t="s">
        <v>316</v>
      </c>
      <c r="Q9" s="142"/>
    </row>
    <row r="10" spans="1:17" x14ac:dyDescent="0.2">
      <c r="A10" t="s">
        <v>321</v>
      </c>
      <c r="B10" t="s">
        <v>74</v>
      </c>
      <c r="C10" s="4">
        <v>3.6</v>
      </c>
      <c r="D10" s="4">
        <v>4.0999999999999996</v>
      </c>
      <c r="E10">
        <v>245</v>
      </c>
      <c r="F10">
        <v>340</v>
      </c>
      <c r="G10">
        <v>110</v>
      </c>
      <c r="H10">
        <v>150</v>
      </c>
      <c r="I10">
        <v>35</v>
      </c>
      <c r="J10">
        <v>30</v>
      </c>
      <c r="K10">
        <v>5</v>
      </c>
      <c r="L10" s="2" t="s">
        <v>314</v>
      </c>
      <c r="M10" s="2" t="s">
        <v>315</v>
      </c>
      <c r="O10" s="142">
        <f t="shared" si="0"/>
        <v>3.5929575000000002</v>
      </c>
      <c r="P10" t="s">
        <v>316</v>
      </c>
    </row>
    <row r="11" spans="1:17" x14ac:dyDescent="0.2">
      <c r="A11" t="s">
        <v>322</v>
      </c>
      <c r="B11" t="s">
        <v>74</v>
      </c>
      <c r="C11" s="4">
        <v>5.2</v>
      </c>
      <c r="D11" s="4">
        <v>6</v>
      </c>
      <c r="E11">
        <v>420</v>
      </c>
      <c r="F11">
        <v>570</v>
      </c>
      <c r="G11">
        <v>60</v>
      </c>
      <c r="H11">
        <v>110</v>
      </c>
      <c r="I11">
        <v>43</v>
      </c>
      <c r="J11">
        <v>30</v>
      </c>
      <c r="K11">
        <v>5</v>
      </c>
      <c r="L11" s="2" t="s">
        <v>314</v>
      </c>
      <c r="M11" s="2" t="s">
        <v>315</v>
      </c>
      <c r="O11" s="142">
        <f t="shared" si="0"/>
        <v>4.8845025</v>
      </c>
      <c r="P11" t="s">
        <v>316</v>
      </c>
    </row>
    <row r="12" spans="1:17" x14ac:dyDescent="0.2">
      <c r="A12" t="s">
        <v>323</v>
      </c>
      <c r="B12" t="s">
        <v>74</v>
      </c>
      <c r="C12" s="4">
        <v>7.5</v>
      </c>
      <c r="D12" s="4">
        <v>8</v>
      </c>
      <c r="E12">
        <v>240</v>
      </c>
      <c r="F12">
        <v>350</v>
      </c>
      <c r="G12">
        <v>115</v>
      </c>
      <c r="H12">
        <v>150</v>
      </c>
      <c r="I12">
        <v>62</v>
      </c>
      <c r="J12">
        <v>30</v>
      </c>
      <c r="K12">
        <v>5</v>
      </c>
      <c r="L12" s="2" t="s">
        <v>314</v>
      </c>
      <c r="M12" s="2" t="s">
        <v>315</v>
      </c>
      <c r="O12" s="142">
        <f t="shared" si="0"/>
        <v>6.5428424999999999</v>
      </c>
      <c r="P12" t="s">
        <v>316</v>
      </c>
    </row>
    <row r="13" spans="1:17" x14ac:dyDescent="0.2">
      <c r="A13" t="s">
        <v>324</v>
      </c>
      <c r="B13" t="s">
        <v>74</v>
      </c>
      <c r="C13" s="4">
        <v>7.8</v>
      </c>
      <c r="D13" s="4">
        <v>9</v>
      </c>
      <c r="E13">
        <v>780</v>
      </c>
      <c r="F13">
        <v>930</v>
      </c>
      <c r="G13">
        <v>60</v>
      </c>
      <c r="H13">
        <v>110</v>
      </c>
      <c r="I13">
        <v>40</v>
      </c>
      <c r="J13">
        <v>30</v>
      </c>
      <c r="K13">
        <v>5</v>
      </c>
      <c r="L13" s="2" t="s">
        <v>314</v>
      </c>
      <c r="M13" s="2" t="s">
        <v>315</v>
      </c>
      <c r="O13" s="142">
        <f t="shared" si="0"/>
        <v>7.8484949999999998</v>
      </c>
      <c r="P13" t="s">
        <v>316</v>
      </c>
    </row>
    <row r="14" spans="1:17" x14ac:dyDescent="0.2">
      <c r="A14" t="s">
        <v>325</v>
      </c>
      <c r="B14" t="s">
        <v>74</v>
      </c>
      <c r="C14" s="4">
        <v>7.9</v>
      </c>
      <c r="D14" s="4">
        <v>9.3000000000000007</v>
      </c>
      <c r="E14">
        <v>870</v>
      </c>
      <c r="F14">
        <v>960</v>
      </c>
      <c r="G14">
        <v>60</v>
      </c>
      <c r="H14">
        <v>110</v>
      </c>
      <c r="I14">
        <v>37</v>
      </c>
      <c r="J14">
        <v>30</v>
      </c>
      <c r="K14">
        <v>5</v>
      </c>
      <c r="L14" s="2" t="s">
        <v>314</v>
      </c>
      <c r="M14" s="2" t="s">
        <v>315</v>
      </c>
      <c r="O14" s="142">
        <f t="shared" si="0"/>
        <v>7.7693175000000005</v>
      </c>
      <c r="P14" t="s">
        <v>316</v>
      </c>
    </row>
    <row r="15" spans="1:17" x14ac:dyDescent="0.2">
      <c r="A15" t="s">
        <v>326</v>
      </c>
      <c r="B15" t="s">
        <v>74</v>
      </c>
      <c r="C15" s="4">
        <v>10.6</v>
      </c>
      <c r="D15" s="4">
        <v>11.4</v>
      </c>
      <c r="E15">
        <v>455</v>
      </c>
      <c r="F15">
        <v>600</v>
      </c>
      <c r="G15">
        <v>70</v>
      </c>
      <c r="H15">
        <v>120</v>
      </c>
      <c r="I15">
        <v>79</v>
      </c>
      <c r="J15">
        <v>30</v>
      </c>
      <c r="K15">
        <v>5</v>
      </c>
      <c r="L15" s="2" t="s">
        <v>314</v>
      </c>
      <c r="M15" s="2" t="s">
        <v>315</v>
      </c>
      <c r="O15" s="142">
        <f t="shared" si="0"/>
        <v>10.68859125</v>
      </c>
      <c r="P15" t="s">
        <v>316</v>
      </c>
    </row>
    <row r="16" spans="1:17" x14ac:dyDescent="0.2">
      <c r="A16" t="s">
        <v>327</v>
      </c>
      <c r="B16" t="s">
        <v>74</v>
      </c>
      <c r="C16" s="4">
        <v>15.8</v>
      </c>
      <c r="D16" s="4">
        <v>17</v>
      </c>
      <c r="E16">
        <v>780</v>
      </c>
      <c r="F16">
        <v>950</v>
      </c>
      <c r="G16">
        <v>60</v>
      </c>
      <c r="H16">
        <v>120</v>
      </c>
      <c r="I16">
        <v>75</v>
      </c>
      <c r="J16">
        <v>30</v>
      </c>
      <c r="K16">
        <v>5</v>
      </c>
      <c r="L16" s="2" t="s">
        <v>314</v>
      </c>
      <c r="M16" s="2" t="s">
        <v>328</v>
      </c>
      <c r="N16" s="2" t="s">
        <v>315</v>
      </c>
      <c r="O16" s="142">
        <f t="shared" si="0"/>
        <v>15.76422</v>
      </c>
      <c r="P16" t="s">
        <v>316</v>
      </c>
    </row>
    <row r="17" spans="1:16" x14ac:dyDescent="0.2">
      <c r="A17" t="s">
        <v>329</v>
      </c>
      <c r="B17" t="s">
        <v>74</v>
      </c>
      <c r="C17" s="4">
        <v>16.100000000000001</v>
      </c>
      <c r="D17" s="4">
        <v>17.5</v>
      </c>
      <c r="E17">
        <v>875</v>
      </c>
      <c r="F17">
        <v>960</v>
      </c>
      <c r="G17">
        <v>60</v>
      </c>
      <c r="H17">
        <v>120</v>
      </c>
      <c r="I17">
        <v>75</v>
      </c>
      <c r="J17">
        <v>30</v>
      </c>
      <c r="K17">
        <v>5</v>
      </c>
      <c r="L17" s="2" t="s">
        <v>314</v>
      </c>
      <c r="M17" s="2" t="s">
        <v>315</v>
      </c>
      <c r="O17" s="142">
        <f t="shared" si="0"/>
        <v>16.7210325</v>
      </c>
      <c r="P17" t="s">
        <v>316</v>
      </c>
    </row>
    <row r="18" spans="1:16" x14ac:dyDescent="0.2">
      <c r="A18" t="s">
        <v>330</v>
      </c>
      <c r="B18" t="s">
        <v>74</v>
      </c>
      <c r="C18" s="4">
        <v>29.5</v>
      </c>
      <c r="D18" s="4">
        <v>35</v>
      </c>
      <c r="E18">
        <v>1780</v>
      </c>
      <c r="F18">
        <v>1920</v>
      </c>
      <c r="G18">
        <v>120</v>
      </c>
      <c r="H18">
        <v>70</v>
      </c>
      <c r="I18">
        <v>68</v>
      </c>
      <c r="J18">
        <v>30</v>
      </c>
      <c r="K18">
        <v>5</v>
      </c>
      <c r="L18" s="2" t="s">
        <v>314</v>
      </c>
      <c r="M18" s="2" t="s">
        <v>331</v>
      </c>
      <c r="N18" s="2" t="s">
        <v>332</v>
      </c>
      <c r="O18" s="142">
        <f t="shared" si="0"/>
        <v>32.267295000000004</v>
      </c>
      <c r="P18" t="s">
        <v>316</v>
      </c>
    </row>
    <row r="19" spans="1:16" x14ac:dyDescent="0.2">
      <c r="A19" t="s">
        <v>333</v>
      </c>
      <c r="B19" t="s">
        <v>74</v>
      </c>
      <c r="C19" s="4">
        <v>33.299999999999997</v>
      </c>
      <c r="D19" s="4">
        <v>39.9</v>
      </c>
      <c r="E19">
        <v>2320</v>
      </c>
      <c r="F19">
        <v>2500</v>
      </c>
      <c r="G19">
        <v>70</v>
      </c>
      <c r="H19">
        <v>105</v>
      </c>
      <c r="I19">
        <v>60</v>
      </c>
      <c r="J19">
        <v>40</v>
      </c>
      <c r="K19">
        <v>10</v>
      </c>
      <c r="L19" s="2" t="s">
        <v>314</v>
      </c>
      <c r="M19" s="2" t="s">
        <v>334</v>
      </c>
      <c r="N19" s="2" t="s">
        <v>335</v>
      </c>
      <c r="O19" s="142">
        <f t="shared" si="0"/>
        <v>34.160669999999996</v>
      </c>
      <c r="P19" t="s">
        <v>316</v>
      </c>
    </row>
    <row r="20" spans="1:16" x14ac:dyDescent="0.2">
      <c r="A20" t="s">
        <v>336</v>
      </c>
      <c r="B20" t="s">
        <v>244</v>
      </c>
      <c r="C20" s="4">
        <v>1.9</v>
      </c>
      <c r="D20" s="4">
        <v>2</v>
      </c>
      <c r="E20">
        <v>80</v>
      </c>
      <c r="F20">
        <v>165</v>
      </c>
      <c r="G20">
        <v>60</v>
      </c>
      <c r="H20">
        <v>90</v>
      </c>
      <c r="I20">
        <v>30</v>
      </c>
      <c r="J20">
        <v>25</v>
      </c>
      <c r="K20">
        <v>5</v>
      </c>
      <c r="L20" s="2" t="s">
        <v>314</v>
      </c>
      <c r="M20" s="2" t="s">
        <v>337</v>
      </c>
      <c r="O20" s="142">
        <f>(((0.5*(G20+H20)*I20)*((E20+F20)/2)-(J20*K20))/1000000000)*6920</f>
        <v>1.9064599999999998</v>
      </c>
      <c r="P20" t="s">
        <v>316</v>
      </c>
    </row>
    <row r="21" spans="1:16" x14ac:dyDescent="0.2">
      <c r="A21" t="s">
        <v>338</v>
      </c>
      <c r="B21" t="s">
        <v>244</v>
      </c>
      <c r="C21" s="4">
        <v>2.1</v>
      </c>
      <c r="D21" s="4">
        <v>2.2000000000000002</v>
      </c>
      <c r="E21">
        <v>230</v>
      </c>
      <c r="F21">
        <v>300</v>
      </c>
      <c r="G21">
        <v>77</v>
      </c>
      <c r="H21">
        <v>77</v>
      </c>
      <c r="I21">
        <v>32</v>
      </c>
      <c r="J21">
        <v>25</v>
      </c>
      <c r="K21">
        <v>5</v>
      </c>
      <c r="L21" s="2" t="s">
        <v>314</v>
      </c>
      <c r="M21" s="2" t="s">
        <v>337</v>
      </c>
      <c r="O21" s="142">
        <f>(((0.5*(G21+H21)*I21)*((E21+F21)/2)-(J21*K21))/1000000000)*6920</f>
        <v>4.5176182000000003</v>
      </c>
      <c r="P21" t="s">
        <v>316</v>
      </c>
    </row>
    <row r="22" spans="1:16" x14ac:dyDescent="0.2">
      <c r="A22" t="s">
        <v>339</v>
      </c>
      <c r="B22" t="s">
        <v>244</v>
      </c>
      <c r="C22" s="4">
        <v>3.2</v>
      </c>
      <c r="D22" s="4">
        <v>3.5</v>
      </c>
      <c r="E22">
        <v>186</v>
      </c>
      <c r="F22">
        <v>220</v>
      </c>
      <c r="G22">
        <v>60</v>
      </c>
      <c r="H22">
        <v>96</v>
      </c>
      <c r="I22">
        <v>30</v>
      </c>
      <c r="J22">
        <v>30</v>
      </c>
      <c r="K22">
        <v>5</v>
      </c>
      <c r="L22" s="2" t="s">
        <v>314</v>
      </c>
      <c r="M22" s="2" t="s">
        <v>337</v>
      </c>
      <c r="O22" s="142">
        <f>(((0.5*(G22+H22)*I22)*((E22+F22)/2)-(J22*K22))/1000000000)*6920</f>
        <v>3.2861004</v>
      </c>
      <c r="P22" t="s">
        <v>316</v>
      </c>
    </row>
    <row r="23" spans="1:16" x14ac:dyDescent="0.2">
      <c r="A23" t="s">
        <v>340</v>
      </c>
      <c r="B23" t="s">
        <v>244</v>
      </c>
      <c r="C23" s="4">
        <v>5.0999999999999996</v>
      </c>
      <c r="D23" s="4">
        <v>5.5</v>
      </c>
      <c r="E23">
        <v>215</v>
      </c>
      <c r="F23">
        <v>260</v>
      </c>
      <c r="G23">
        <v>80</v>
      </c>
      <c r="H23">
        <v>113</v>
      </c>
      <c r="I23">
        <v>33</v>
      </c>
      <c r="J23">
        <v>30</v>
      </c>
      <c r="K23">
        <v>5</v>
      </c>
      <c r="L23" s="2" t="s">
        <v>314</v>
      </c>
      <c r="M23" s="2" t="s">
        <v>341</v>
      </c>
      <c r="N23" s="2" t="s">
        <v>315</v>
      </c>
      <c r="O23" s="142">
        <f>(((0.5*(G23+H23)*I23)*((E23+F23)/2)-(J23*K23))/1000000000)*6920</f>
        <v>5.2326877500000002</v>
      </c>
      <c r="P23" t="s">
        <v>316</v>
      </c>
    </row>
    <row r="24" spans="1:16" x14ac:dyDescent="0.2">
      <c r="A24" t="s">
        <v>342</v>
      </c>
      <c r="B24" t="s">
        <v>244</v>
      </c>
      <c r="C24" s="4">
        <v>9.3000000000000007</v>
      </c>
      <c r="D24" s="4">
        <v>10.199999999999999</v>
      </c>
      <c r="E24">
        <v>260</v>
      </c>
      <c r="F24">
        <v>350</v>
      </c>
      <c r="G24">
        <v>126</v>
      </c>
      <c r="H24">
        <v>150</v>
      </c>
      <c r="I24">
        <v>33</v>
      </c>
      <c r="J24">
        <v>40</v>
      </c>
      <c r="K24">
        <v>10</v>
      </c>
      <c r="L24" s="2" t="s">
        <v>314</v>
      </c>
      <c r="M24" s="2" t="s">
        <v>343</v>
      </c>
      <c r="O24" s="142">
        <f t="shared" ref="O24:O46" si="1">(((0.5*(G24+H24)*I24)*((E24+F24)/2)-(PI()*(J24/2)^2*((E24+F24)/2)))/1000000000)*2740</f>
        <v>2.7556062077580039</v>
      </c>
      <c r="P24" s="2" t="s">
        <v>344</v>
      </c>
    </row>
    <row r="25" spans="1:16" x14ac:dyDescent="0.2">
      <c r="A25" t="s">
        <v>345</v>
      </c>
      <c r="B25" t="s">
        <v>244</v>
      </c>
      <c r="C25" s="4">
        <v>14.7</v>
      </c>
      <c r="D25" s="4">
        <v>15.5</v>
      </c>
      <c r="E25">
        <v>450</v>
      </c>
      <c r="F25">
        <v>590</v>
      </c>
      <c r="G25">
        <v>70</v>
      </c>
      <c r="H25">
        <v>116</v>
      </c>
      <c r="I25">
        <v>45</v>
      </c>
      <c r="J25">
        <v>30</v>
      </c>
      <c r="K25">
        <v>5</v>
      </c>
      <c r="L25" s="2" t="s">
        <v>314</v>
      </c>
      <c r="M25" s="2" t="s">
        <v>343</v>
      </c>
      <c r="O25" s="142">
        <f t="shared" si="1"/>
        <v>4.9556562271121845</v>
      </c>
      <c r="P25" s="2" t="s">
        <v>344</v>
      </c>
    </row>
    <row r="26" spans="1:16" ht="14.25" customHeight="1" x14ac:dyDescent="0.2">
      <c r="A26" t="s">
        <v>346</v>
      </c>
      <c r="B26" t="s">
        <v>244</v>
      </c>
      <c r="C26" s="4">
        <v>21.5</v>
      </c>
      <c r="D26" s="4">
        <v>23.5</v>
      </c>
      <c r="E26">
        <v>820</v>
      </c>
      <c r="F26">
        <v>950</v>
      </c>
      <c r="G26">
        <v>60</v>
      </c>
      <c r="H26">
        <v>120</v>
      </c>
      <c r="I26">
        <v>40</v>
      </c>
      <c r="J26">
        <v>40</v>
      </c>
      <c r="K26">
        <v>10</v>
      </c>
      <c r="L26" s="2" t="s">
        <v>314</v>
      </c>
      <c r="M26" s="137" t="s">
        <v>347</v>
      </c>
      <c r="N26" s="2" t="s">
        <v>315</v>
      </c>
      <c r="O26" s="142">
        <f t="shared" si="1"/>
        <v>5.682420789724044</v>
      </c>
      <c r="P26" t="s">
        <v>316</v>
      </c>
    </row>
    <row r="27" spans="1:16" x14ac:dyDescent="0.2">
      <c r="A27" t="s">
        <v>348</v>
      </c>
      <c r="B27" t="s">
        <v>74</v>
      </c>
      <c r="C27" s="4">
        <v>85</v>
      </c>
      <c r="D27" s="4">
        <v>97</v>
      </c>
      <c r="E27">
        <v>1100</v>
      </c>
      <c r="F27">
        <v>1100</v>
      </c>
      <c r="G27">
        <v>160</v>
      </c>
      <c r="H27">
        <v>193</v>
      </c>
      <c r="I27">
        <v>177</v>
      </c>
      <c r="J27">
        <v>60</v>
      </c>
      <c r="K27">
        <f t="shared" ref="K27:K65" si="2">PI()*1000</f>
        <v>3141.5926535897929</v>
      </c>
      <c r="L27" s="2" t="s">
        <v>314</v>
      </c>
      <c r="M27" s="2" t="s">
        <v>343</v>
      </c>
      <c r="O27" s="142">
        <f t="shared" si="1"/>
        <v>85.636982767872325</v>
      </c>
      <c r="P27" s="2" t="s">
        <v>349</v>
      </c>
    </row>
    <row r="28" spans="1:16" ht="15" customHeight="1" x14ac:dyDescent="0.2">
      <c r="A28" t="s">
        <v>350</v>
      </c>
      <c r="B28" t="s">
        <v>74</v>
      </c>
      <c r="C28" s="4">
        <v>97</v>
      </c>
      <c r="D28" s="4">
        <v>124</v>
      </c>
      <c r="E28">
        <v>1300</v>
      </c>
      <c r="F28">
        <v>1300</v>
      </c>
      <c r="G28">
        <v>160</v>
      </c>
      <c r="H28">
        <v>193</v>
      </c>
      <c r="I28">
        <v>170</v>
      </c>
      <c r="J28">
        <v>50</v>
      </c>
      <c r="K28">
        <f t="shared" si="2"/>
        <v>3141.5926535897929</v>
      </c>
      <c r="L28" s="2" t="s">
        <v>314</v>
      </c>
      <c r="M28" s="137" t="s">
        <v>351</v>
      </c>
      <c r="N28" s="2" t="s">
        <v>315</v>
      </c>
      <c r="O28" s="142">
        <f t="shared" si="1"/>
        <v>99.883839354945735</v>
      </c>
      <c r="P28" t="s">
        <v>352</v>
      </c>
    </row>
    <row r="29" spans="1:16" ht="18" customHeight="1" x14ac:dyDescent="0.2">
      <c r="A29" t="s">
        <v>353</v>
      </c>
      <c r="B29" t="s">
        <v>74</v>
      </c>
      <c r="C29" s="4">
        <v>102</v>
      </c>
      <c r="D29" s="4">
        <v>127</v>
      </c>
      <c r="E29">
        <v>1500</v>
      </c>
      <c r="F29">
        <v>1550</v>
      </c>
      <c r="G29">
        <v>160</v>
      </c>
      <c r="H29">
        <v>192</v>
      </c>
      <c r="I29">
        <v>175</v>
      </c>
      <c r="J29">
        <v>76</v>
      </c>
      <c r="K29">
        <f t="shared" si="2"/>
        <v>3141.5926535897929</v>
      </c>
      <c r="L29" s="2" t="s">
        <v>314</v>
      </c>
      <c r="M29" s="137" t="s">
        <v>354</v>
      </c>
      <c r="N29" s="2" t="s">
        <v>315</v>
      </c>
      <c r="O29" s="142">
        <f t="shared" si="1"/>
        <v>109.74220276003196</v>
      </c>
      <c r="P29" t="s">
        <v>355</v>
      </c>
    </row>
    <row r="30" spans="1:16" ht="20.25" customHeight="1" x14ac:dyDescent="0.2">
      <c r="A30" t="s">
        <v>356</v>
      </c>
      <c r="B30" t="s">
        <v>74</v>
      </c>
      <c r="C30" s="4">
        <v>132</v>
      </c>
      <c r="D30" s="4">
        <v>162</v>
      </c>
      <c r="E30">
        <v>2390</v>
      </c>
      <c r="F30">
        <v>2430</v>
      </c>
      <c r="G30">
        <v>130</v>
      </c>
      <c r="H30">
        <v>167</v>
      </c>
      <c r="I30">
        <v>160</v>
      </c>
      <c r="J30">
        <v>76</v>
      </c>
      <c r="K30">
        <f t="shared" si="2"/>
        <v>3141.5926535897929</v>
      </c>
      <c r="L30" s="2" t="s">
        <v>314</v>
      </c>
      <c r="M30" s="137" t="s">
        <v>357</v>
      </c>
      <c r="N30" s="2" t="s">
        <v>315</v>
      </c>
      <c r="O30" s="142">
        <f t="shared" si="1"/>
        <v>126.94072541093577</v>
      </c>
      <c r="P30" t="s">
        <v>352</v>
      </c>
    </row>
    <row r="31" spans="1:16" ht="18.75" customHeight="1" x14ac:dyDescent="0.2">
      <c r="A31" t="s">
        <v>358</v>
      </c>
      <c r="B31" t="s">
        <v>74</v>
      </c>
      <c r="C31" s="4">
        <v>240</v>
      </c>
      <c r="D31" s="4">
        <v>333.5</v>
      </c>
      <c r="E31">
        <v>2730</v>
      </c>
      <c r="F31">
        <v>2770</v>
      </c>
      <c r="G31">
        <v>190</v>
      </c>
      <c r="H31">
        <v>227</v>
      </c>
      <c r="I31">
        <v>207</v>
      </c>
      <c r="J31">
        <v>114.13</v>
      </c>
      <c r="K31">
        <f t="shared" si="2"/>
        <v>3141.5926535897929</v>
      </c>
      <c r="L31" s="2" t="s">
        <v>314</v>
      </c>
      <c r="M31" s="137" t="s">
        <v>359</v>
      </c>
      <c r="O31" s="142">
        <f t="shared" si="1"/>
        <v>248.12131850748955</v>
      </c>
      <c r="P31" t="s">
        <v>360</v>
      </c>
    </row>
    <row r="32" spans="1:16" x14ac:dyDescent="0.2">
      <c r="A32" t="s">
        <v>78</v>
      </c>
      <c r="B32" t="s">
        <v>74</v>
      </c>
      <c r="C32" s="4">
        <v>350</v>
      </c>
      <c r="D32" s="160">
        <v>436</v>
      </c>
      <c r="E32">
        <v>3025</v>
      </c>
      <c r="F32">
        <v>2975</v>
      </c>
      <c r="G32">
        <v>260</v>
      </c>
      <c r="H32">
        <v>287</v>
      </c>
      <c r="I32">
        <v>213</v>
      </c>
      <c r="J32">
        <v>141.30000000000001</v>
      </c>
      <c r="K32">
        <f t="shared" si="2"/>
        <v>3141.5926535897929</v>
      </c>
      <c r="L32" s="2" t="s">
        <v>314</v>
      </c>
      <c r="M32" s="2" t="s">
        <v>361</v>
      </c>
      <c r="O32" s="142">
        <f t="shared" si="1"/>
        <v>349.9622563677658</v>
      </c>
      <c r="P32" t="s">
        <v>360</v>
      </c>
    </row>
    <row r="33" spans="1:16" x14ac:dyDescent="0.2">
      <c r="A33" t="s">
        <v>362</v>
      </c>
      <c r="B33" t="s">
        <v>74</v>
      </c>
      <c r="C33" s="4">
        <v>626</v>
      </c>
      <c r="D33" s="4">
        <v>704.5</v>
      </c>
      <c r="E33">
        <v>2975</v>
      </c>
      <c r="F33">
        <v>3025</v>
      </c>
      <c r="G33">
        <v>265</v>
      </c>
      <c r="H33">
        <v>315</v>
      </c>
      <c r="I33">
        <v>295</v>
      </c>
      <c r="J33">
        <v>114.3</v>
      </c>
      <c r="K33">
        <f t="shared" si="2"/>
        <v>3141.5926535897929</v>
      </c>
      <c r="L33" s="2" t="s">
        <v>314</v>
      </c>
      <c r="M33" s="2" t="s">
        <v>363</v>
      </c>
      <c r="O33" s="142">
        <f t="shared" si="1"/>
        <v>618.87700656682603</v>
      </c>
      <c r="P33" t="s">
        <v>360</v>
      </c>
    </row>
    <row r="34" spans="1:16" x14ac:dyDescent="0.2">
      <c r="A34" s="2" t="s">
        <v>364</v>
      </c>
      <c r="B34" s="2" t="s">
        <v>74</v>
      </c>
      <c r="C34" s="4">
        <v>330</v>
      </c>
      <c r="D34" s="4">
        <v>390</v>
      </c>
      <c r="E34">
        <v>2372</v>
      </c>
      <c r="F34">
        <v>2372</v>
      </c>
      <c r="G34">
        <v>252</v>
      </c>
      <c r="H34">
        <v>252</v>
      </c>
      <c r="I34">
        <v>244</v>
      </c>
      <c r="J34">
        <v>114.3</v>
      </c>
      <c r="K34">
        <f t="shared" si="2"/>
        <v>3141.5926535897929</v>
      </c>
      <c r="L34" s="2" t="s">
        <v>365</v>
      </c>
      <c r="M34" s="2" t="s">
        <v>363</v>
      </c>
      <c r="O34" s="142">
        <f t="shared" si="1"/>
        <v>332.93974449883711</v>
      </c>
      <c r="P34" t="s">
        <v>360</v>
      </c>
    </row>
    <row r="35" spans="1:16" x14ac:dyDescent="0.2">
      <c r="A35" s="2" t="s">
        <v>366</v>
      </c>
      <c r="B35" s="2" t="s">
        <v>74</v>
      </c>
      <c r="C35" s="4">
        <v>246</v>
      </c>
      <c r="D35" s="4"/>
      <c r="E35">
        <v>2350</v>
      </c>
      <c r="F35">
        <v>2350</v>
      </c>
      <c r="G35">
        <v>245</v>
      </c>
      <c r="H35">
        <v>245</v>
      </c>
      <c r="I35">
        <v>250</v>
      </c>
      <c r="J35">
        <v>114.3</v>
      </c>
      <c r="K35">
        <f t="shared" si="2"/>
        <v>3141.5926535897929</v>
      </c>
      <c r="L35" s="2" t="s">
        <v>367</v>
      </c>
      <c r="M35" s="2" t="s">
        <v>361</v>
      </c>
      <c r="O35" s="142">
        <f t="shared" si="1"/>
        <v>328.31928847734702</v>
      </c>
      <c r="P35" t="s">
        <v>349</v>
      </c>
    </row>
    <row r="36" spans="1:16" x14ac:dyDescent="0.2">
      <c r="A36" s="2" t="s">
        <v>368</v>
      </c>
      <c r="B36" s="2" t="s">
        <v>74</v>
      </c>
      <c r="C36" s="4">
        <v>330</v>
      </c>
      <c r="D36" s="4"/>
      <c r="E36">
        <v>3000</v>
      </c>
      <c r="F36">
        <v>3000</v>
      </c>
      <c r="G36">
        <v>225</v>
      </c>
      <c r="H36">
        <v>225</v>
      </c>
      <c r="I36">
        <v>225</v>
      </c>
      <c r="J36">
        <v>114.3</v>
      </c>
      <c r="K36">
        <f t="shared" si="2"/>
        <v>3141.5926535897929</v>
      </c>
      <c r="L36" s="2" t="s">
        <v>367</v>
      </c>
      <c r="M36" s="2" t="s">
        <v>369</v>
      </c>
      <c r="O36" s="142">
        <f t="shared" si="1"/>
        <v>331.79350656682601</v>
      </c>
      <c r="P36" t="s">
        <v>349</v>
      </c>
    </row>
    <row r="37" spans="1:16" x14ac:dyDescent="0.2">
      <c r="A37" s="2" t="s">
        <v>370</v>
      </c>
      <c r="B37" s="2" t="s">
        <v>74</v>
      </c>
      <c r="C37" s="4">
        <v>330</v>
      </c>
      <c r="D37" s="4"/>
      <c r="E37">
        <v>2440</v>
      </c>
      <c r="F37">
        <v>2440</v>
      </c>
      <c r="G37">
        <v>252</v>
      </c>
      <c r="H37">
        <v>252</v>
      </c>
      <c r="I37">
        <v>244</v>
      </c>
      <c r="J37">
        <v>114.3</v>
      </c>
      <c r="K37">
        <f t="shared" si="2"/>
        <v>3141.5926535897929</v>
      </c>
      <c r="L37" s="2" t="s">
        <v>367</v>
      </c>
      <c r="M37" s="2" t="s">
        <v>371</v>
      </c>
      <c r="O37" s="142">
        <f t="shared" si="1"/>
        <v>342.48439147435181</v>
      </c>
      <c r="P37" t="s">
        <v>349</v>
      </c>
    </row>
    <row r="38" spans="1:16" x14ac:dyDescent="0.2">
      <c r="A38" s="2" t="s">
        <v>372</v>
      </c>
      <c r="B38" s="2" t="s">
        <v>74</v>
      </c>
      <c r="C38" s="4">
        <v>570</v>
      </c>
      <c r="D38" s="4"/>
      <c r="E38">
        <v>3000</v>
      </c>
      <c r="F38">
        <v>3000</v>
      </c>
      <c r="G38">
        <v>280</v>
      </c>
      <c r="H38">
        <v>280</v>
      </c>
      <c r="I38">
        <v>287</v>
      </c>
      <c r="J38">
        <v>114.3</v>
      </c>
      <c r="K38">
        <f t="shared" si="2"/>
        <v>3141.5926535897929</v>
      </c>
      <c r="L38" s="2" t="s">
        <v>367</v>
      </c>
      <c r="M38" s="2" t="s">
        <v>369</v>
      </c>
      <c r="O38" s="142">
        <f t="shared" si="1"/>
        <v>576.21520656682605</v>
      </c>
      <c r="P38" t="s">
        <v>349</v>
      </c>
    </row>
    <row r="39" spans="1:16" x14ac:dyDescent="0.2">
      <c r="A39" s="2" t="s">
        <v>373</v>
      </c>
      <c r="B39" s="2" t="s">
        <v>74</v>
      </c>
      <c r="C39" s="4">
        <v>35</v>
      </c>
      <c r="D39" s="4"/>
      <c r="E39">
        <v>1300</v>
      </c>
      <c r="F39">
        <v>1300</v>
      </c>
      <c r="G39">
        <v>101</v>
      </c>
      <c r="H39">
        <v>101</v>
      </c>
      <c r="I39">
        <v>101</v>
      </c>
      <c r="J39">
        <v>20</v>
      </c>
      <c r="K39">
        <f t="shared" si="2"/>
        <v>3141.5926535897929</v>
      </c>
      <c r="L39" s="2" t="s">
        <v>374</v>
      </c>
      <c r="M39" s="2" t="s">
        <v>369</v>
      </c>
      <c r="O39" s="142">
        <f t="shared" si="1"/>
        <v>35.216926696791312</v>
      </c>
      <c r="P39" t="s">
        <v>349</v>
      </c>
    </row>
    <row r="40" spans="1:16" x14ac:dyDescent="0.2">
      <c r="A40" s="2" t="s">
        <v>375</v>
      </c>
      <c r="B40" s="2" t="s">
        <v>74</v>
      </c>
      <c r="C40" s="4">
        <v>80</v>
      </c>
      <c r="D40" s="4"/>
      <c r="E40">
        <v>2360</v>
      </c>
      <c r="F40">
        <v>2360</v>
      </c>
      <c r="G40">
        <v>114</v>
      </c>
      <c r="H40">
        <v>114</v>
      </c>
      <c r="I40">
        <v>114</v>
      </c>
      <c r="J40">
        <v>25</v>
      </c>
      <c r="K40">
        <f t="shared" si="2"/>
        <v>3141.5926535897929</v>
      </c>
      <c r="L40" s="2" t="s">
        <v>374</v>
      </c>
      <c r="M40" s="2" t="s">
        <v>371</v>
      </c>
      <c r="O40" s="142">
        <f t="shared" si="1"/>
        <v>80.863147722629222</v>
      </c>
      <c r="P40" t="s">
        <v>349</v>
      </c>
    </row>
    <row r="41" spans="1:16" x14ac:dyDescent="0.2">
      <c r="A41" s="2" t="s">
        <v>376</v>
      </c>
      <c r="B41" s="2" t="s">
        <v>74</v>
      </c>
      <c r="C41" s="4">
        <v>50</v>
      </c>
      <c r="D41" s="4"/>
      <c r="E41">
        <v>1300</v>
      </c>
      <c r="F41">
        <v>1300</v>
      </c>
      <c r="G41">
        <v>120</v>
      </c>
      <c r="H41">
        <v>120</v>
      </c>
      <c r="I41">
        <v>120</v>
      </c>
      <c r="J41">
        <v>20</v>
      </c>
      <c r="K41">
        <f t="shared" si="2"/>
        <v>3141.5926535897929</v>
      </c>
      <c r="L41" s="2" t="s">
        <v>374</v>
      </c>
      <c r="M41" s="2" t="s">
        <v>377</v>
      </c>
      <c r="O41" s="142">
        <f t="shared" si="1"/>
        <v>50.173764696791316</v>
      </c>
      <c r="P41" t="s">
        <v>349</v>
      </c>
    </row>
    <row r="42" spans="1:16" x14ac:dyDescent="0.2">
      <c r="A42" s="2" t="s">
        <v>378</v>
      </c>
      <c r="B42" s="2" t="s">
        <v>74</v>
      </c>
      <c r="C42" s="4">
        <v>68</v>
      </c>
      <c r="D42" s="4"/>
      <c r="E42">
        <v>1520</v>
      </c>
      <c r="F42">
        <v>1520</v>
      </c>
      <c r="G42">
        <v>133</v>
      </c>
      <c r="H42">
        <v>133</v>
      </c>
      <c r="I42">
        <v>127</v>
      </c>
      <c r="J42">
        <v>20</v>
      </c>
      <c r="K42">
        <f t="shared" si="2"/>
        <v>3141.5926535897929</v>
      </c>
      <c r="L42" s="2" t="s">
        <v>374</v>
      </c>
      <c r="O42" s="142">
        <f t="shared" si="1"/>
        <v>69.039226291632929</v>
      </c>
      <c r="P42" t="s">
        <v>349</v>
      </c>
    </row>
    <row r="43" spans="1:16" x14ac:dyDescent="0.2">
      <c r="A43" s="2" t="s">
        <v>379</v>
      </c>
      <c r="B43" s="2" t="s">
        <v>74</v>
      </c>
      <c r="C43" s="4">
        <v>119</v>
      </c>
      <c r="D43" s="4"/>
      <c r="E43">
        <v>1525</v>
      </c>
      <c r="F43">
        <v>1525</v>
      </c>
      <c r="G43">
        <v>184</v>
      </c>
      <c r="H43">
        <v>184</v>
      </c>
      <c r="I43">
        <v>159</v>
      </c>
      <c r="J43">
        <v>25</v>
      </c>
      <c r="K43">
        <f t="shared" si="2"/>
        <v>3141.5926535897929</v>
      </c>
      <c r="L43" s="2" t="s">
        <v>374</v>
      </c>
      <c r="M43" s="2" t="s">
        <v>380</v>
      </c>
      <c r="O43" s="142">
        <f t="shared" si="1"/>
        <v>120.19507960890236</v>
      </c>
      <c r="P43" t="s">
        <v>349</v>
      </c>
    </row>
    <row r="44" spans="1:16" x14ac:dyDescent="0.2">
      <c r="A44" s="2" t="s">
        <v>381</v>
      </c>
      <c r="B44" s="2" t="s">
        <v>74</v>
      </c>
      <c r="C44" s="4">
        <v>148</v>
      </c>
      <c r="D44" s="4"/>
      <c r="E44">
        <v>2373</v>
      </c>
      <c r="F44">
        <v>2373</v>
      </c>
      <c r="G44">
        <v>160</v>
      </c>
      <c r="H44">
        <v>160</v>
      </c>
      <c r="I44">
        <v>162</v>
      </c>
      <c r="J44">
        <v>60.3</v>
      </c>
      <c r="K44">
        <f t="shared" si="2"/>
        <v>3141.5926535897929</v>
      </c>
      <c r="L44" s="2" t="s">
        <v>374</v>
      </c>
      <c r="M44" s="2" t="s">
        <v>382</v>
      </c>
      <c r="O44" s="142">
        <f t="shared" si="1"/>
        <v>149.96403007595507</v>
      </c>
      <c r="P44" t="s">
        <v>349</v>
      </c>
    </row>
    <row r="45" spans="1:16" x14ac:dyDescent="0.2">
      <c r="A45" s="2" t="s">
        <v>383</v>
      </c>
      <c r="B45" s="2" t="s">
        <v>74</v>
      </c>
      <c r="C45" s="4">
        <v>175</v>
      </c>
      <c r="D45" s="4"/>
      <c r="E45">
        <v>2500</v>
      </c>
      <c r="F45">
        <v>2500</v>
      </c>
      <c r="G45">
        <v>190</v>
      </c>
      <c r="H45">
        <v>190</v>
      </c>
      <c r="I45">
        <v>190</v>
      </c>
      <c r="J45">
        <v>114.3</v>
      </c>
      <c r="K45">
        <f t="shared" si="2"/>
        <v>3141.5926535897929</v>
      </c>
      <c r="L45" s="2" t="s">
        <v>374</v>
      </c>
      <c r="M45" s="2" t="s">
        <v>315</v>
      </c>
      <c r="O45" s="142">
        <f t="shared" si="1"/>
        <v>176.99833880568832</v>
      </c>
      <c r="P45" t="s">
        <v>349</v>
      </c>
    </row>
    <row r="46" spans="1:16" x14ac:dyDescent="0.2">
      <c r="A46" s="2" t="s">
        <v>384</v>
      </c>
      <c r="B46" s="2" t="s">
        <v>74</v>
      </c>
      <c r="C46" s="4">
        <v>240</v>
      </c>
      <c r="D46" s="4"/>
      <c r="E46">
        <v>2622</v>
      </c>
      <c r="F46">
        <v>2622</v>
      </c>
      <c r="G46">
        <v>210</v>
      </c>
      <c r="H46">
        <v>210</v>
      </c>
      <c r="I46">
        <v>210</v>
      </c>
      <c r="J46">
        <v>114.3</v>
      </c>
      <c r="K46">
        <f t="shared" si="2"/>
        <v>3141.5926535897929</v>
      </c>
      <c r="L46" s="2" t="s">
        <v>374</v>
      </c>
      <c r="M46" s="2" t="s">
        <v>315</v>
      </c>
      <c r="O46" s="142">
        <f t="shared" si="1"/>
        <v>243.11009773940594</v>
      </c>
      <c r="P46" t="s">
        <v>349</v>
      </c>
    </row>
    <row r="47" spans="1:16" x14ac:dyDescent="0.2">
      <c r="A47" s="2" t="s">
        <v>385</v>
      </c>
      <c r="B47" s="2" t="s">
        <v>74</v>
      </c>
      <c r="C47" s="4">
        <v>330</v>
      </c>
      <c r="D47" s="4"/>
      <c r="E47">
        <v>2372</v>
      </c>
      <c r="F47">
        <v>2372</v>
      </c>
      <c r="G47">
        <v>252</v>
      </c>
      <c r="H47">
        <v>252</v>
      </c>
      <c r="I47">
        <v>244</v>
      </c>
      <c r="J47">
        <v>114.3</v>
      </c>
      <c r="K47">
        <f t="shared" si="2"/>
        <v>3141.5926535897929</v>
      </c>
      <c r="L47" s="2" t="s">
        <v>374</v>
      </c>
      <c r="M47" s="2" t="s">
        <v>315</v>
      </c>
      <c r="O47" s="142">
        <f t="shared" ref="O47:O62" si="3">(((0.5*(G47+H47)*I47)*((E47+F47)/2)-(PI()*(J47/2)^2*F47))/1000000000)*2700</f>
        <v>328.07931027257672</v>
      </c>
      <c r="P47" t="s">
        <v>349</v>
      </c>
    </row>
    <row r="48" spans="1:16" x14ac:dyDescent="0.2">
      <c r="A48" s="2" t="s">
        <v>386</v>
      </c>
      <c r="B48" s="2" t="s">
        <v>74</v>
      </c>
      <c r="C48" s="4">
        <v>435</v>
      </c>
      <c r="D48" s="4"/>
      <c r="E48">
        <v>2910</v>
      </c>
      <c r="F48">
        <v>2910</v>
      </c>
      <c r="G48">
        <v>254</v>
      </c>
      <c r="H48">
        <v>254</v>
      </c>
      <c r="I48">
        <v>257</v>
      </c>
      <c r="J48">
        <v>114.3</v>
      </c>
      <c r="K48">
        <f t="shared" si="2"/>
        <v>3141.5926535897929</v>
      </c>
      <c r="L48" s="2" t="s">
        <v>374</v>
      </c>
      <c r="M48" s="2" t="s">
        <v>387</v>
      </c>
      <c r="N48" s="2" t="s">
        <v>315</v>
      </c>
      <c r="O48" s="142">
        <f t="shared" si="3"/>
        <v>432.26993256880195</v>
      </c>
      <c r="P48" t="s">
        <v>349</v>
      </c>
    </row>
    <row r="49" spans="1:16" x14ac:dyDescent="0.2">
      <c r="A49" s="2" t="s">
        <v>388</v>
      </c>
      <c r="B49" s="2" t="s">
        <v>74</v>
      </c>
      <c r="C49" s="4">
        <v>565</v>
      </c>
      <c r="D49" s="4"/>
      <c r="E49">
        <v>2973</v>
      </c>
      <c r="F49">
        <v>2973</v>
      </c>
      <c r="G49">
        <v>283</v>
      </c>
      <c r="H49">
        <v>283</v>
      </c>
      <c r="I49">
        <v>283</v>
      </c>
      <c r="J49">
        <v>114.3</v>
      </c>
      <c r="K49">
        <f t="shared" si="2"/>
        <v>3141.5926535897929</v>
      </c>
      <c r="L49" s="2" t="s">
        <v>374</v>
      </c>
      <c r="M49" s="2" t="s">
        <v>315</v>
      </c>
      <c r="O49" s="142">
        <f t="shared" si="3"/>
        <v>560.51773188936363</v>
      </c>
      <c r="P49" t="s">
        <v>349</v>
      </c>
    </row>
    <row r="50" spans="1:16" x14ac:dyDescent="0.2">
      <c r="A50" t="s">
        <v>389</v>
      </c>
      <c r="B50" t="s">
        <v>74</v>
      </c>
      <c r="C50" s="4">
        <v>18.5</v>
      </c>
      <c r="D50" s="4">
        <v>22.4</v>
      </c>
      <c r="E50">
        <v>723</v>
      </c>
      <c r="F50">
        <v>777</v>
      </c>
      <c r="G50">
        <v>80</v>
      </c>
      <c r="H50">
        <v>115</v>
      </c>
      <c r="I50">
        <v>100</v>
      </c>
      <c r="J50">
        <v>25</v>
      </c>
      <c r="K50">
        <f t="shared" si="2"/>
        <v>3141.5926535897929</v>
      </c>
      <c r="L50" s="2" t="s">
        <v>314</v>
      </c>
      <c r="M50" s="2" t="s">
        <v>315</v>
      </c>
      <c r="O50" s="142">
        <f t="shared" si="3"/>
        <v>18.713945745630308</v>
      </c>
      <c r="P50" t="s">
        <v>349</v>
      </c>
    </row>
    <row r="51" spans="1:16" x14ac:dyDescent="0.2">
      <c r="A51" t="s">
        <v>390</v>
      </c>
      <c r="B51" t="s">
        <v>74</v>
      </c>
      <c r="C51" s="4">
        <v>21.5</v>
      </c>
      <c r="D51" s="4">
        <v>27.3</v>
      </c>
      <c r="E51">
        <v>945</v>
      </c>
      <c r="F51">
        <v>1000</v>
      </c>
      <c r="G51">
        <v>80</v>
      </c>
      <c r="H51">
        <v>112</v>
      </c>
      <c r="I51">
        <v>90</v>
      </c>
      <c r="J51">
        <v>25</v>
      </c>
      <c r="K51">
        <f t="shared" si="2"/>
        <v>3141.5926535897929</v>
      </c>
      <c r="L51" s="2" t="s">
        <v>314</v>
      </c>
      <c r="M51" s="2" t="s">
        <v>315</v>
      </c>
      <c r="O51" s="142">
        <f t="shared" si="3"/>
        <v>21.361120599266805</v>
      </c>
      <c r="P51" t="s">
        <v>349</v>
      </c>
    </row>
    <row r="52" spans="1:16" x14ac:dyDescent="0.2">
      <c r="A52" t="s">
        <v>391</v>
      </c>
      <c r="B52" t="s">
        <v>74</v>
      </c>
      <c r="C52" s="4">
        <v>30</v>
      </c>
      <c r="D52" s="4">
        <v>37.700000000000003</v>
      </c>
      <c r="E52">
        <v>1346</v>
      </c>
      <c r="F52">
        <v>1400</v>
      </c>
      <c r="G52">
        <v>80</v>
      </c>
      <c r="H52">
        <v>112</v>
      </c>
      <c r="I52">
        <v>90</v>
      </c>
      <c r="J52">
        <v>25</v>
      </c>
      <c r="K52">
        <f t="shared" si="2"/>
        <v>3141.5926535897929</v>
      </c>
      <c r="L52" s="2" t="s">
        <v>314</v>
      </c>
      <c r="M52" s="2" t="s">
        <v>315</v>
      </c>
      <c r="O52" s="142">
        <f t="shared" si="3"/>
        <v>30.173840838973529</v>
      </c>
      <c r="P52" t="s">
        <v>349</v>
      </c>
    </row>
    <row r="53" spans="1:16" x14ac:dyDescent="0.2">
      <c r="A53" t="s">
        <v>392</v>
      </c>
      <c r="B53" t="s">
        <v>74</v>
      </c>
      <c r="C53" s="4">
        <v>35</v>
      </c>
      <c r="D53" s="4">
        <v>42.7</v>
      </c>
      <c r="E53">
        <v>1475</v>
      </c>
      <c r="F53">
        <v>1525</v>
      </c>
      <c r="G53">
        <v>80</v>
      </c>
      <c r="H53">
        <v>113</v>
      </c>
      <c r="I53">
        <v>95</v>
      </c>
      <c r="J53">
        <v>25</v>
      </c>
      <c r="K53">
        <f t="shared" si="2"/>
        <v>3141.5926535897929</v>
      </c>
      <c r="L53" s="2" t="s">
        <v>314</v>
      </c>
      <c r="M53" s="2" t="s">
        <v>315</v>
      </c>
      <c r="O53" s="142">
        <f t="shared" si="3"/>
        <v>35.10720191388188</v>
      </c>
      <c r="P53" t="s">
        <v>349</v>
      </c>
    </row>
    <row r="54" spans="1:16" x14ac:dyDescent="0.2">
      <c r="A54" t="s">
        <v>393</v>
      </c>
      <c r="B54" t="s">
        <v>74</v>
      </c>
      <c r="C54" s="4">
        <v>40</v>
      </c>
      <c r="D54" s="4">
        <v>51.6</v>
      </c>
      <c r="E54">
        <v>1980</v>
      </c>
      <c r="F54">
        <v>2020</v>
      </c>
      <c r="G54">
        <v>80</v>
      </c>
      <c r="H54">
        <v>110</v>
      </c>
      <c r="I54">
        <v>85</v>
      </c>
      <c r="J54">
        <v>25</v>
      </c>
      <c r="K54">
        <f t="shared" si="2"/>
        <v>3141.5926535897929</v>
      </c>
      <c r="L54" s="2" t="s">
        <v>314</v>
      </c>
      <c r="M54" s="2" t="s">
        <v>315</v>
      </c>
      <c r="O54" s="142">
        <f t="shared" si="3"/>
        <v>40.927774010518952</v>
      </c>
      <c r="P54" t="s">
        <v>349</v>
      </c>
    </row>
    <row r="55" spans="1:16" x14ac:dyDescent="0.2">
      <c r="A55" t="s">
        <v>394</v>
      </c>
      <c r="B55" t="s">
        <v>74</v>
      </c>
      <c r="C55" s="4">
        <v>40</v>
      </c>
      <c r="D55" s="4">
        <v>47.7</v>
      </c>
      <c r="E55">
        <v>1380</v>
      </c>
      <c r="F55">
        <v>1435</v>
      </c>
      <c r="G55">
        <v>85</v>
      </c>
      <c r="H55">
        <v>130</v>
      </c>
      <c r="I55">
        <v>105</v>
      </c>
      <c r="J55">
        <v>25</v>
      </c>
      <c r="K55">
        <f t="shared" si="2"/>
        <v>3141.5926535897929</v>
      </c>
      <c r="L55" s="2" t="s">
        <v>314</v>
      </c>
      <c r="M55" s="2" t="s">
        <v>315</v>
      </c>
      <c r="O55" s="142">
        <f t="shared" si="3"/>
        <v>40.993431134947862</v>
      </c>
      <c r="P55" t="s">
        <v>349</v>
      </c>
    </row>
    <row r="56" spans="1:16" x14ac:dyDescent="0.2">
      <c r="A56" t="s">
        <v>395</v>
      </c>
      <c r="B56" t="s">
        <v>74</v>
      </c>
      <c r="C56" s="4">
        <v>45</v>
      </c>
      <c r="D56" s="4">
        <v>52.7</v>
      </c>
      <c r="E56">
        <v>1475</v>
      </c>
      <c r="F56">
        <v>1525</v>
      </c>
      <c r="G56">
        <v>90</v>
      </c>
      <c r="H56">
        <v>133</v>
      </c>
      <c r="I56">
        <v>104</v>
      </c>
      <c r="J56">
        <v>25</v>
      </c>
      <c r="K56">
        <f t="shared" si="2"/>
        <v>3141.5926535897929</v>
      </c>
      <c r="L56" s="2" t="s">
        <v>314</v>
      </c>
      <c r="M56" s="2" t="s">
        <v>396</v>
      </c>
      <c r="N56" s="2" t="s">
        <v>315</v>
      </c>
      <c r="O56" s="142">
        <f t="shared" si="3"/>
        <v>44.942626913881874</v>
      </c>
      <c r="P56" t="s">
        <v>349</v>
      </c>
    </row>
    <row r="57" spans="1:16" x14ac:dyDescent="0.2">
      <c r="A57" t="s">
        <v>397</v>
      </c>
      <c r="B57" t="s">
        <v>74</v>
      </c>
      <c r="C57" s="4">
        <v>45</v>
      </c>
      <c r="D57" s="4">
        <v>56.6</v>
      </c>
      <c r="E57">
        <v>2210</v>
      </c>
      <c r="F57">
        <v>2250</v>
      </c>
      <c r="G57">
        <v>80</v>
      </c>
      <c r="H57">
        <v>110</v>
      </c>
      <c r="I57">
        <v>85</v>
      </c>
      <c r="J57">
        <v>25</v>
      </c>
      <c r="K57">
        <f t="shared" si="2"/>
        <v>3141.5926535897929</v>
      </c>
      <c r="L57" s="2" t="s">
        <v>314</v>
      </c>
      <c r="M57" s="2" t="s">
        <v>398</v>
      </c>
      <c r="O57" s="142">
        <f t="shared" si="3"/>
        <v>45.637516348350317</v>
      </c>
      <c r="P57" t="s">
        <v>349</v>
      </c>
    </row>
    <row r="58" spans="1:16" x14ac:dyDescent="0.2">
      <c r="A58" t="s">
        <v>399</v>
      </c>
      <c r="B58" t="s">
        <v>74</v>
      </c>
      <c r="C58" s="4">
        <v>50</v>
      </c>
      <c r="D58" s="4">
        <v>61.6</v>
      </c>
      <c r="E58">
        <v>2440</v>
      </c>
      <c r="F58">
        <v>2480</v>
      </c>
      <c r="G58">
        <v>80</v>
      </c>
      <c r="H58">
        <v>110</v>
      </c>
      <c r="I58">
        <v>85</v>
      </c>
      <c r="J58">
        <v>25</v>
      </c>
      <c r="K58">
        <f t="shared" si="2"/>
        <v>3141.5926535897929</v>
      </c>
      <c r="L58" s="2" t="s">
        <v>314</v>
      </c>
      <c r="M58" s="2" t="s">
        <v>396</v>
      </c>
      <c r="N58" s="2" t="s">
        <v>315</v>
      </c>
      <c r="O58" s="142">
        <f t="shared" si="3"/>
        <v>50.347258686181675</v>
      </c>
      <c r="P58" t="s">
        <v>349</v>
      </c>
    </row>
    <row r="59" spans="1:16" x14ac:dyDescent="0.2">
      <c r="A59" t="s">
        <v>400</v>
      </c>
      <c r="B59" t="s">
        <v>74</v>
      </c>
      <c r="C59" s="4">
        <v>50</v>
      </c>
      <c r="D59" s="4">
        <v>57.7</v>
      </c>
      <c r="E59">
        <v>1480</v>
      </c>
      <c r="F59">
        <v>1520</v>
      </c>
      <c r="G59">
        <v>90</v>
      </c>
      <c r="H59">
        <v>140</v>
      </c>
      <c r="I59">
        <v>110</v>
      </c>
      <c r="J59">
        <v>25</v>
      </c>
      <c r="K59">
        <f t="shared" si="2"/>
        <v>3141.5926535897929</v>
      </c>
      <c r="L59" s="2" t="s">
        <v>314</v>
      </c>
      <c r="M59" s="2" t="s">
        <v>315</v>
      </c>
      <c r="O59" s="142">
        <f t="shared" si="3"/>
        <v>49.217953710885538</v>
      </c>
      <c r="P59" t="s">
        <v>349</v>
      </c>
    </row>
    <row r="60" spans="1:16" x14ac:dyDescent="0.2">
      <c r="A60" t="s">
        <v>401</v>
      </c>
      <c r="B60" t="s">
        <v>74</v>
      </c>
      <c r="C60" s="4">
        <v>54.53</v>
      </c>
      <c r="D60" s="4"/>
      <c r="E60">
        <v>1420</v>
      </c>
      <c r="F60">
        <v>1420</v>
      </c>
      <c r="G60">
        <v>120</v>
      </c>
      <c r="H60">
        <v>120</v>
      </c>
      <c r="I60">
        <v>120</v>
      </c>
      <c r="J60">
        <v>25</v>
      </c>
      <c r="K60">
        <f t="shared" si="2"/>
        <v>3141.5926535897929</v>
      </c>
      <c r="L60" s="2" t="s">
        <v>314</v>
      </c>
      <c r="M60" s="2" t="s">
        <v>315</v>
      </c>
      <c r="O60" s="142">
        <f t="shared" si="3"/>
        <v>53.32758965095887</v>
      </c>
      <c r="P60" t="s">
        <v>349</v>
      </c>
    </row>
    <row r="61" spans="1:16" x14ac:dyDescent="0.2">
      <c r="A61" t="s">
        <v>402</v>
      </c>
      <c r="B61" t="s">
        <v>74</v>
      </c>
      <c r="C61" s="4">
        <v>54.8</v>
      </c>
      <c r="D61" s="4">
        <v>62.5</v>
      </c>
      <c r="E61">
        <v>1480</v>
      </c>
      <c r="F61">
        <v>1520</v>
      </c>
      <c r="G61">
        <v>90</v>
      </c>
      <c r="H61">
        <v>145</v>
      </c>
      <c r="I61">
        <v>120</v>
      </c>
      <c r="J61">
        <v>25</v>
      </c>
      <c r="K61">
        <f t="shared" si="2"/>
        <v>3141.5926535897929</v>
      </c>
      <c r="L61" s="2" t="s">
        <v>314</v>
      </c>
      <c r="M61" s="2" t="s">
        <v>398</v>
      </c>
      <c r="N61" s="2" t="s">
        <v>403</v>
      </c>
      <c r="O61" s="142">
        <f t="shared" si="3"/>
        <v>55.090453710885541</v>
      </c>
      <c r="P61" t="s">
        <v>349</v>
      </c>
    </row>
    <row r="62" spans="1:16" x14ac:dyDescent="0.2">
      <c r="A62" t="s">
        <v>404</v>
      </c>
      <c r="B62" t="s">
        <v>74</v>
      </c>
      <c r="C62" s="4">
        <v>55</v>
      </c>
      <c r="D62" s="4">
        <v>66.599999999999994</v>
      </c>
      <c r="E62">
        <v>2440</v>
      </c>
      <c r="F62">
        <v>2480</v>
      </c>
      <c r="G62">
        <v>80</v>
      </c>
      <c r="H62">
        <v>112</v>
      </c>
      <c r="I62">
        <v>90</v>
      </c>
      <c r="J62">
        <v>25</v>
      </c>
      <c r="K62">
        <f t="shared" si="2"/>
        <v>3141.5926535897929</v>
      </c>
      <c r="L62" s="2" t="s">
        <v>314</v>
      </c>
      <c r="M62" s="2" t="s">
        <v>315</v>
      </c>
      <c r="O62" s="142">
        <f t="shared" si="3"/>
        <v>54.099988686181675</v>
      </c>
      <c r="P62" t="s">
        <v>349</v>
      </c>
    </row>
    <row r="63" spans="1:16" x14ac:dyDescent="0.2">
      <c r="A63" t="s">
        <v>405</v>
      </c>
      <c r="B63" t="s">
        <v>74</v>
      </c>
      <c r="C63" s="4">
        <v>60</v>
      </c>
      <c r="D63" s="4">
        <v>71.599999999999994</v>
      </c>
      <c r="E63">
        <v>2475</v>
      </c>
      <c r="F63">
        <v>2525</v>
      </c>
      <c r="G63">
        <v>80</v>
      </c>
      <c r="H63">
        <v>114</v>
      </c>
      <c r="I63">
        <v>97</v>
      </c>
      <c r="J63">
        <v>25</v>
      </c>
      <c r="K63">
        <f t="shared" si="2"/>
        <v>3141.5926535897929</v>
      </c>
      <c r="L63" s="2" t="s">
        <v>314</v>
      </c>
    </row>
    <row r="64" spans="1:16" x14ac:dyDescent="0.2">
      <c r="A64" s="2" t="s">
        <v>406</v>
      </c>
      <c r="B64" s="2" t="s">
        <v>74</v>
      </c>
      <c r="C64" s="4">
        <v>75</v>
      </c>
      <c r="D64" s="4">
        <v>86.6</v>
      </c>
      <c r="E64">
        <v>2475</v>
      </c>
      <c r="F64">
        <v>2525</v>
      </c>
      <c r="G64">
        <v>85</v>
      </c>
      <c r="H64">
        <v>125</v>
      </c>
      <c r="I64">
        <v>105</v>
      </c>
      <c r="J64">
        <v>25</v>
      </c>
      <c r="K64">
        <f t="shared" si="2"/>
        <v>3141.5926535897929</v>
      </c>
      <c r="L64" s="2" t="s">
        <v>314</v>
      </c>
    </row>
    <row r="65" spans="1:12" x14ac:dyDescent="0.2">
      <c r="A65" t="s">
        <v>407</v>
      </c>
      <c r="B65" t="s">
        <v>74</v>
      </c>
      <c r="C65" s="4">
        <v>70</v>
      </c>
      <c r="D65" s="4">
        <v>81.599999999999994</v>
      </c>
      <c r="E65">
        <v>2475</v>
      </c>
      <c r="F65">
        <v>2525</v>
      </c>
      <c r="G65">
        <v>85</v>
      </c>
      <c r="H65">
        <v>129</v>
      </c>
      <c r="I65">
        <v>102</v>
      </c>
      <c r="J65">
        <v>25</v>
      </c>
      <c r="K65">
        <f t="shared" si="2"/>
        <v>3141.5926535897929</v>
      </c>
      <c r="L65" s="2" t="s">
        <v>314</v>
      </c>
    </row>
  </sheetData>
  <dataValidations count="1">
    <dataValidation type="list" showInputMessage="1" showErrorMessage="1" sqref="B6:B65" xr:uid="{00000000-0002-0000-0600-000000000000}">
      <formula1>Anode_Material</formula1>
    </dataValidation>
  </dataValidation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55"/>
  <sheetViews>
    <sheetView topLeftCell="A54" workbookViewId="0">
      <selection activeCell="B48" sqref="B48"/>
    </sheetView>
  </sheetViews>
  <sheetFormatPr defaultRowHeight="12.75" x14ac:dyDescent="0.2"/>
  <cols>
    <col min="1" max="1" width="70.28515625" customWidth="1"/>
    <col min="2" max="2" width="14.85546875" customWidth="1"/>
    <col min="3" max="3" width="13.42578125" customWidth="1"/>
  </cols>
  <sheetData>
    <row r="1" spans="1:4" ht="18" customHeight="1" x14ac:dyDescent="0.25">
      <c r="A1" s="123" t="s">
        <v>408</v>
      </c>
    </row>
    <row r="2" spans="1:4" ht="14.25" customHeight="1" x14ac:dyDescent="0.2">
      <c r="A2" s="215" t="s">
        <v>409</v>
      </c>
      <c r="B2" s="186"/>
      <c r="C2" s="186"/>
      <c r="D2" s="186"/>
    </row>
    <row r="3" spans="1:4" ht="18.75" customHeight="1" x14ac:dyDescent="0.2">
      <c r="A3" s="186"/>
      <c r="B3" s="186"/>
      <c r="C3" s="186"/>
      <c r="D3" s="186"/>
    </row>
    <row r="4" spans="1:4" ht="39.75" customHeight="1" x14ac:dyDescent="0.25">
      <c r="A4" s="216" t="s">
        <v>410</v>
      </c>
      <c r="B4" s="186"/>
      <c r="C4" s="186"/>
      <c r="D4" s="186"/>
    </row>
    <row r="5" spans="1:4" ht="70.5" customHeight="1" x14ac:dyDescent="0.25">
      <c r="A5" s="217" t="s">
        <v>411</v>
      </c>
      <c r="B5" s="186"/>
      <c r="C5" s="186"/>
      <c r="D5" s="186"/>
    </row>
    <row r="39" spans="1:4" ht="15.75" customHeight="1" x14ac:dyDescent="0.25">
      <c r="A39" s="124" t="s">
        <v>412</v>
      </c>
    </row>
    <row r="40" spans="1:4" ht="13.5" customHeight="1" thickBot="1" x14ac:dyDescent="0.25"/>
    <row r="41" spans="1:4" ht="38.25" customHeight="1" x14ac:dyDescent="0.2">
      <c r="A41" s="125" t="s">
        <v>413</v>
      </c>
      <c r="B41" s="126" t="s">
        <v>414</v>
      </c>
      <c r="C41" s="126" t="s">
        <v>415</v>
      </c>
      <c r="D41" s="127" t="s">
        <v>416</v>
      </c>
    </row>
    <row r="42" spans="1:4" ht="47.25" customHeight="1" x14ac:dyDescent="0.2">
      <c r="A42" s="128" t="s">
        <v>417</v>
      </c>
      <c r="B42" s="134"/>
      <c r="C42" s="134">
        <v>0.91</v>
      </c>
      <c r="D42" s="129" t="s">
        <v>418</v>
      </c>
    </row>
    <row r="43" spans="1:4" ht="60.75" customHeight="1" x14ac:dyDescent="0.2">
      <c r="A43" s="128" t="s">
        <v>419</v>
      </c>
      <c r="B43" s="135" t="s">
        <v>420</v>
      </c>
      <c r="C43" s="134"/>
      <c r="D43" s="129" t="s">
        <v>421</v>
      </c>
    </row>
    <row r="44" spans="1:4" ht="42" customHeight="1" x14ac:dyDescent="0.2">
      <c r="A44" s="128" t="s">
        <v>422</v>
      </c>
      <c r="B44" s="135">
        <v>0.4</v>
      </c>
      <c r="C44" s="134"/>
      <c r="D44" s="129" t="s">
        <v>421</v>
      </c>
    </row>
    <row r="45" spans="1:4" ht="22.5" customHeight="1" x14ac:dyDescent="0.2">
      <c r="A45" s="128" t="s">
        <v>423</v>
      </c>
      <c r="B45" s="135">
        <v>0.6</v>
      </c>
      <c r="C45" s="134"/>
      <c r="D45" s="129" t="s">
        <v>421</v>
      </c>
    </row>
    <row r="46" spans="1:4" ht="35.25" customHeight="1" x14ac:dyDescent="0.2">
      <c r="A46" s="128" t="s">
        <v>424</v>
      </c>
      <c r="B46" s="134">
        <v>0.35</v>
      </c>
      <c r="C46" s="134"/>
      <c r="D46" s="129" t="s">
        <v>425</v>
      </c>
    </row>
    <row r="47" spans="1:4" ht="35.25" customHeight="1" x14ac:dyDescent="0.2">
      <c r="A47" s="128" t="s">
        <v>426</v>
      </c>
      <c r="B47" s="134">
        <v>0.55000000000000004</v>
      </c>
      <c r="C47" s="134"/>
      <c r="D47" s="129" t="s">
        <v>421</v>
      </c>
    </row>
    <row r="48" spans="1:4" ht="23.25" customHeight="1" x14ac:dyDescent="0.2">
      <c r="A48" s="128" t="s">
        <v>427</v>
      </c>
      <c r="B48" s="134">
        <v>0.3</v>
      </c>
      <c r="C48" s="134"/>
      <c r="D48" s="129" t="s">
        <v>421</v>
      </c>
    </row>
    <row r="49" spans="1:4" ht="22.5" customHeight="1" x14ac:dyDescent="0.2">
      <c r="A49" s="128" t="s">
        <v>428</v>
      </c>
      <c r="B49" s="134">
        <v>0.28000000000000003</v>
      </c>
      <c r="C49" s="134"/>
      <c r="D49" s="129" t="s">
        <v>421</v>
      </c>
    </row>
    <row r="50" spans="1:4" ht="22.5" customHeight="1" x14ac:dyDescent="0.2">
      <c r="A50" s="138" t="s">
        <v>429</v>
      </c>
      <c r="B50" s="141" t="s">
        <v>430</v>
      </c>
      <c r="C50" s="139"/>
      <c r="D50" s="140" t="s">
        <v>421</v>
      </c>
    </row>
    <row r="51" spans="1:4" ht="26.25" customHeight="1" thickBot="1" x14ac:dyDescent="0.25">
      <c r="A51" s="130" t="s">
        <v>431</v>
      </c>
      <c r="B51" s="136">
        <v>0.3</v>
      </c>
      <c r="C51" s="136"/>
      <c r="D51" s="131" t="s">
        <v>421</v>
      </c>
    </row>
    <row r="55" spans="1:4" x14ac:dyDescent="0.2">
      <c r="A55" s="52"/>
    </row>
  </sheetData>
  <mergeCells count="3">
    <mergeCell ref="A2:D3"/>
    <mergeCell ref="A4:D4"/>
    <mergeCell ref="A5:D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K69"/>
  <sheetViews>
    <sheetView topLeftCell="A5" zoomScaleNormal="100" workbookViewId="0">
      <selection activeCell="I21" sqref="I21"/>
    </sheetView>
  </sheetViews>
  <sheetFormatPr defaultRowHeight="12.75" x14ac:dyDescent="0.2"/>
  <cols>
    <col min="1" max="1" width="16.7109375" customWidth="1"/>
    <col min="3" max="3" width="32.140625" customWidth="1"/>
    <col min="9" max="9" width="17.85546875" customWidth="1"/>
  </cols>
  <sheetData>
    <row r="1" spans="1:11" x14ac:dyDescent="0.2">
      <c r="A1" s="29" t="s">
        <v>233</v>
      </c>
      <c r="B1" s="29" t="s">
        <v>236</v>
      </c>
      <c r="C1" s="29" t="s">
        <v>432</v>
      </c>
      <c r="D1" s="29"/>
      <c r="E1" s="29"/>
      <c r="F1" s="29"/>
      <c r="I1" s="29" t="s">
        <v>233</v>
      </c>
    </row>
    <row r="2" spans="1:11" x14ac:dyDescent="0.2">
      <c r="A2" s="69" t="str">
        <f>'GACP Calculation'!D9</f>
        <v>DNV-RP-B401:2021</v>
      </c>
      <c r="B2" s="29" t="str">
        <f>'GACP Calculation'!D11</f>
        <v>"0-20"</v>
      </c>
      <c r="C2" s="29" t="str">
        <f>'GACP Calculation'!D10</f>
        <v>Sub-Tropical "12-20c"</v>
      </c>
      <c r="D2" s="29"/>
      <c r="E2" s="29"/>
      <c r="F2" s="29"/>
      <c r="I2" s="69" t="str">
        <f>'GACP Calculation'!D9</f>
        <v>DNV-RP-B401:2021</v>
      </c>
    </row>
    <row r="3" spans="1:11" x14ac:dyDescent="0.2">
      <c r="A3" s="69"/>
      <c r="B3" s="29"/>
      <c r="C3" s="29"/>
      <c r="D3" s="29"/>
      <c r="E3" s="29"/>
      <c r="F3" s="29"/>
      <c r="I3" s="69"/>
    </row>
    <row r="4" spans="1:11" x14ac:dyDescent="0.2">
      <c r="A4" s="69"/>
      <c r="B4" s="29"/>
      <c r="C4" s="29"/>
      <c r="D4" s="29"/>
      <c r="E4" s="29"/>
      <c r="F4" s="29"/>
      <c r="I4" s="69"/>
    </row>
    <row r="6" spans="1:11" x14ac:dyDescent="0.2">
      <c r="A6" s="38"/>
      <c r="B6" s="38"/>
      <c r="C6" s="38"/>
      <c r="D6" s="38"/>
      <c r="E6" s="38"/>
      <c r="F6" s="38"/>
    </row>
    <row r="7" spans="1:11" ht="60" customHeight="1" x14ac:dyDescent="0.2">
      <c r="A7" s="31" t="s">
        <v>233</v>
      </c>
      <c r="B7" s="29" t="s">
        <v>236</v>
      </c>
      <c r="C7" s="29" t="s">
        <v>432</v>
      </c>
      <c r="D7" s="29" t="s">
        <v>433</v>
      </c>
      <c r="E7" s="29" t="s">
        <v>434</v>
      </c>
      <c r="F7" s="30" t="s">
        <v>435</v>
      </c>
      <c r="G7" s="7"/>
      <c r="I7" s="75" t="s">
        <v>233</v>
      </c>
      <c r="J7" s="26" t="s">
        <v>436</v>
      </c>
      <c r="K7" s="27" t="s">
        <v>437</v>
      </c>
    </row>
    <row r="8" spans="1:11" ht="15" customHeight="1" x14ac:dyDescent="0.2">
      <c r="A8" s="28" t="s">
        <v>36</v>
      </c>
      <c r="B8" s="32" t="s">
        <v>40</v>
      </c>
      <c r="C8" s="32" t="s">
        <v>255</v>
      </c>
      <c r="D8" s="33">
        <v>0.15</v>
      </c>
      <c r="E8" s="33">
        <v>7.0000000000000007E-2</v>
      </c>
      <c r="F8" s="34">
        <v>0.1</v>
      </c>
      <c r="I8" s="28" t="s">
        <v>36</v>
      </c>
      <c r="J8" s="33">
        <v>0.02</v>
      </c>
      <c r="K8" s="34">
        <v>0.02</v>
      </c>
    </row>
    <row r="9" spans="1:11" ht="15" customHeight="1" x14ac:dyDescent="0.2">
      <c r="A9" s="28" t="s">
        <v>36</v>
      </c>
      <c r="B9" s="32" t="s">
        <v>246</v>
      </c>
      <c r="C9" s="32" t="s">
        <v>255</v>
      </c>
      <c r="D9" s="33">
        <v>0.15</v>
      </c>
      <c r="E9" s="33">
        <v>7.0000000000000007E-2</v>
      </c>
      <c r="F9" s="34">
        <v>0.1</v>
      </c>
      <c r="I9" s="28" t="s">
        <v>438</v>
      </c>
      <c r="J9" s="33">
        <v>2.5000000000000001E-2</v>
      </c>
      <c r="K9" s="34">
        <v>0.02</v>
      </c>
    </row>
    <row r="10" spans="1:11" ht="15" customHeight="1" x14ac:dyDescent="0.2">
      <c r="A10" s="28" t="s">
        <v>36</v>
      </c>
      <c r="B10" s="32" t="s">
        <v>251</v>
      </c>
      <c r="C10" s="32" t="s">
        <v>255</v>
      </c>
      <c r="D10" s="33">
        <v>0.12</v>
      </c>
      <c r="E10" s="33">
        <v>0.06</v>
      </c>
      <c r="F10" s="34">
        <v>0.08</v>
      </c>
      <c r="I10" s="68" t="s">
        <v>250</v>
      </c>
      <c r="J10" s="36">
        <v>0.02</v>
      </c>
      <c r="K10" s="37">
        <v>0.02</v>
      </c>
    </row>
    <row r="11" spans="1:11" ht="15" customHeight="1" x14ac:dyDescent="0.2">
      <c r="A11" s="28" t="s">
        <v>36</v>
      </c>
      <c r="B11" s="32" t="s">
        <v>253</v>
      </c>
      <c r="C11" s="32" t="s">
        <v>255</v>
      </c>
      <c r="D11" s="33">
        <v>0.14000000000000001</v>
      </c>
      <c r="E11" s="33">
        <v>7.0000000000000007E-2</v>
      </c>
      <c r="F11" s="34">
        <v>0.09</v>
      </c>
    </row>
    <row r="12" spans="1:11" ht="15" customHeight="1" x14ac:dyDescent="0.2">
      <c r="A12" s="28" t="s">
        <v>36</v>
      </c>
      <c r="B12" s="32" t="s">
        <v>256</v>
      </c>
      <c r="C12" s="32" t="s">
        <v>255</v>
      </c>
      <c r="D12" s="33">
        <v>0.18</v>
      </c>
      <c r="E12" s="33">
        <v>0.09</v>
      </c>
      <c r="F12" s="34">
        <v>0.13</v>
      </c>
    </row>
    <row r="13" spans="1:11" ht="15" customHeight="1" x14ac:dyDescent="0.2">
      <c r="A13" s="28" t="s">
        <v>36</v>
      </c>
      <c r="B13" s="32" t="s">
        <v>40</v>
      </c>
      <c r="C13" s="32" t="s">
        <v>38</v>
      </c>
      <c r="D13" s="33">
        <v>0.17</v>
      </c>
      <c r="E13" s="33">
        <v>0.08</v>
      </c>
      <c r="F13" s="34">
        <v>0.11</v>
      </c>
    </row>
    <row r="14" spans="1:11" ht="15" customHeight="1" x14ac:dyDescent="0.2">
      <c r="A14" s="28" t="s">
        <v>36</v>
      </c>
      <c r="B14" s="32" t="s">
        <v>246</v>
      </c>
      <c r="C14" s="32" t="s">
        <v>38</v>
      </c>
      <c r="D14" s="33">
        <v>0.17</v>
      </c>
      <c r="E14" s="33">
        <v>0.08</v>
      </c>
      <c r="F14" s="34">
        <v>0.11</v>
      </c>
    </row>
    <row r="15" spans="1:11" ht="15" customHeight="1" x14ac:dyDescent="0.2">
      <c r="A15" s="28" t="s">
        <v>36</v>
      </c>
      <c r="B15" s="32" t="s">
        <v>251</v>
      </c>
      <c r="C15" s="32" t="s">
        <v>38</v>
      </c>
      <c r="D15" s="33">
        <v>0.14000000000000001</v>
      </c>
      <c r="E15" s="33">
        <v>7.0000000000000007E-2</v>
      </c>
      <c r="F15" s="34">
        <v>0.09</v>
      </c>
    </row>
    <row r="16" spans="1:11" ht="15" customHeight="1" x14ac:dyDescent="0.2">
      <c r="A16" s="28" t="s">
        <v>36</v>
      </c>
      <c r="B16" s="32" t="s">
        <v>253</v>
      </c>
      <c r="C16" s="32" t="s">
        <v>38</v>
      </c>
      <c r="D16" s="33">
        <v>0.16</v>
      </c>
      <c r="E16" s="33">
        <v>0.08</v>
      </c>
      <c r="F16" s="34">
        <v>0.11</v>
      </c>
    </row>
    <row r="17" spans="1:6" ht="15" customHeight="1" x14ac:dyDescent="0.2">
      <c r="A17" s="28" t="s">
        <v>36</v>
      </c>
      <c r="B17" s="32" t="s">
        <v>256</v>
      </c>
      <c r="C17" s="32" t="s">
        <v>38</v>
      </c>
      <c r="D17" s="33">
        <v>0.2</v>
      </c>
      <c r="E17" s="33">
        <v>0.1</v>
      </c>
      <c r="F17" s="34">
        <v>0.15</v>
      </c>
    </row>
    <row r="18" spans="1:6" ht="15" customHeight="1" x14ac:dyDescent="0.2">
      <c r="A18" s="28" t="s">
        <v>36</v>
      </c>
      <c r="B18" s="32" t="s">
        <v>40</v>
      </c>
      <c r="C18" s="32" t="s">
        <v>249</v>
      </c>
      <c r="D18" s="33">
        <v>0.2</v>
      </c>
      <c r="E18" s="33">
        <v>0.1</v>
      </c>
      <c r="F18" s="34">
        <v>0.13</v>
      </c>
    </row>
    <row r="19" spans="1:6" ht="15" customHeight="1" x14ac:dyDescent="0.2">
      <c r="A19" s="28" t="s">
        <v>36</v>
      </c>
      <c r="B19" s="32" t="s">
        <v>246</v>
      </c>
      <c r="C19" s="32" t="s">
        <v>249</v>
      </c>
      <c r="D19" s="33">
        <v>0.2</v>
      </c>
      <c r="E19" s="33">
        <v>0.1</v>
      </c>
      <c r="F19" s="34">
        <v>0.13</v>
      </c>
    </row>
    <row r="20" spans="1:6" ht="15" customHeight="1" x14ac:dyDescent="0.2">
      <c r="A20" s="28" t="s">
        <v>36</v>
      </c>
      <c r="B20" s="32" t="s">
        <v>251</v>
      </c>
      <c r="C20" s="32" t="s">
        <v>249</v>
      </c>
      <c r="D20" s="33">
        <v>0.17</v>
      </c>
      <c r="E20" s="33">
        <v>0.08</v>
      </c>
      <c r="F20" s="34">
        <v>0.11</v>
      </c>
    </row>
    <row r="21" spans="1:6" ht="15" customHeight="1" x14ac:dyDescent="0.2">
      <c r="A21" s="28" t="s">
        <v>36</v>
      </c>
      <c r="B21" s="32" t="s">
        <v>253</v>
      </c>
      <c r="C21" s="32" t="s">
        <v>249</v>
      </c>
      <c r="D21" s="33">
        <v>0.19</v>
      </c>
      <c r="E21" s="33">
        <v>0.09</v>
      </c>
      <c r="F21" s="34">
        <v>0.14000000000000001</v>
      </c>
    </row>
    <row r="22" spans="1:6" ht="15" customHeight="1" x14ac:dyDescent="0.2">
      <c r="A22" s="28" t="s">
        <v>36</v>
      </c>
      <c r="B22" s="32" t="s">
        <v>256</v>
      </c>
      <c r="C22" s="32" t="s">
        <v>249</v>
      </c>
      <c r="D22" s="33">
        <v>0.22</v>
      </c>
      <c r="E22" s="33">
        <v>0.11</v>
      </c>
      <c r="F22" s="34">
        <v>0.17</v>
      </c>
    </row>
    <row r="23" spans="1:6" ht="15" customHeight="1" x14ac:dyDescent="0.2">
      <c r="A23" s="28" t="s">
        <v>36</v>
      </c>
      <c r="B23" s="32" t="s">
        <v>40</v>
      </c>
      <c r="C23" s="32" t="s">
        <v>242</v>
      </c>
      <c r="D23" s="33">
        <v>0.25</v>
      </c>
      <c r="E23" s="33">
        <v>0.12</v>
      </c>
      <c r="F23" s="34">
        <v>0.17</v>
      </c>
    </row>
    <row r="24" spans="1:6" ht="15" customHeight="1" x14ac:dyDescent="0.2">
      <c r="A24" s="28" t="s">
        <v>36</v>
      </c>
      <c r="B24" s="32" t="s">
        <v>246</v>
      </c>
      <c r="C24" s="32" t="s">
        <v>242</v>
      </c>
      <c r="D24" s="33">
        <v>0.25</v>
      </c>
      <c r="E24" s="33">
        <v>0.12</v>
      </c>
      <c r="F24" s="34">
        <v>0.17</v>
      </c>
    </row>
    <row r="25" spans="1:6" ht="15" customHeight="1" x14ac:dyDescent="0.2">
      <c r="A25" s="28" t="s">
        <v>36</v>
      </c>
      <c r="B25" s="32" t="s">
        <v>251</v>
      </c>
      <c r="C25" s="32" t="s">
        <v>242</v>
      </c>
      <c r="D25" s="33">
        <v>0.2</v>
      </c>
      <c r="E25" s="33">
        <v>0.1</v>
      </c>
      <c r="F25" s="34">
        <v>0.13</v>
      </c>
    </row>
    <row r="26" spans="1:6" ht="15" customHeight="1" x14ac:dyDescent="0.2">
      <c r="A26" s="28" t="s">
        <v>36</v>
      </c>
      <c r="B26" s="32" t="s">
        <v>253</v>
      </c>
      <c r="C26" s="32" t="s">
        <v>242</v>
      </c>
      <c r="D26" s="33">
        <v>0.22</v>
      </c>
      <c r="E26" s="33">
        <v>0.11</v>
      </c>
      <c r="F26" s="34">
        <v>0.17</v>
      </c>
    </row>
    <row r="27" spans="1:6" ht="15" customHeight="1" x14ac:dyDescent="0.2">
      <c r="A27" s="28" t="s">
        <v>36</v>
      </c>
      <c r="B27" s="32" t="s">
        <v>256</v>
      </c>
      <c r="C27" s="32" t="s">
        <v>242</v>
      </c>
      <c r="D27" s="33">
        <v>0.22</v>
      </c>
      <c r="E27" s="33">
        <v>0.11</v>
      </c>
      <c r="F27" s="34">
        <v>0.17</v>
      </c>
    </row>
    <row r="28" spans="1:6" ht="15" customHeight="1" x14ac:dyDescent="0.2">
      <c r="A28" s="65" t="s">
        <v>438</v>
      </c>
      <c r="B28" s="32" t="s">
        <v>40</v>
      </c>
      <c r="C28" s="32" t="s">
        <v>257</v>
      </c>
      <c r="D28" s="66">
        <v>0.22</v>
      </c>
      <c r="E28" s="66">
        <v>0.1</v>
      </c>
      <c r="F28" s="67">
        <v>0.13</v>
      </c>
    </row>
    <row r="29" spans="1:6" ht="15" customHeight="1" x14ac:dyDescent="0.2">
      <c r="A29" s="28" t="s">
        <v>438</v>
      </c>
      <c r="B29" s="32" t="s">
        <v>246</v>
      </c>
      <c r="C29" s="32" t="s">
        <v>257</v>
      </c>
      <c r="D29" s="33">
        <f t="shared" ref="D29:F32" si="0">D28</f>
        <v>0.22</v>
      </c>
      <c r="E29" s="33">
        <f t="shared" si="0"/>
        <v>0.1</v>
      </c>
      <c r="F29" s="34">
        <f t="shared" si="0"/>
        <v>0.13</v>
      </c>
    </row>
    <row r="30" spans="1:6" ht="15" customHeight="1" x14ac:dyDescent="0.2">
      <c r="A30" s="28" t="s">
        <v>438</v>
      </c>
      <c r="B30" s="32" t="s">
        <v>251</v>
      </c>
      <c r="C30" s="32" t="s">
        <v>257</v>
      </c>
      <c r="D30" s="33">
        <f t="shared" si="0"/>
        <v>0.22</v>
      </c>
      <c r="E30" s="33">
        <f t="shared" si="0"/>
        <v>0.1</v>
      </c>
      <c r="F30" s="34">
        <f t="shared" si="0"/>
        <v>0.13</v>
      </c>
    </row>
    <row r="31" spans="1:6" ht="15" customHeight="1" x14ac:dyDescent="0.2">
      <c r="A31" s="28" t="s">
        <v>438</v>
      </c>
      <c r="B31" s="32" t="s">
        <v>253</v>
      </c>
      <c r="C31" s="32" t="s">
        <v>257</v>
      </c>
      <c r="D31" s="33">
        <f t="shared" si="0"/>
        <v>0.22</v>
      </c>
      <c r="E31" s="33">
        <f t="shared" si="0"/>
        <v>0.1</v>
      </c>
      <c r="F31" s="34">
        <f t="shared" si="0"/>
        <v>0.13</v>
      </c>
    </row>
    <row r="32" spans="1:6" ht="15" customHeight="1" x14ac:dyDescent="0.2">
      <c r="A32" s="28" t="s">
        <v>438</v>
      </c>
      <c r="B32" s="32" t="s">
        <v>256</v>
      </c>
      <c r="C32" s="32" t="s">
        <v>257</v>
      </c>
      <c r="D32" s="33">
        <f t="shared" si="0"/>
        <v>0.22</v>
      </c>
      <c r="E32" s="33">
        <f t="shared" si="0"/>
        <v>0.1</v>
      </c>
      <c r="F32" s="34">
        <f t="shared" si="0"/>
        <v>0.13</v>
      </c>
    </row>
    <row r="33" spans="1:6" ht="15" customHeight="1" x14ac:dyDescent="0.2">
      <c r="A33" s="65" t="s">
        <v>438</v>
      </c>
      <c r="B33" s="32" t="s">
        <v>40</v>
      </c>
      <c r="C33" s="32" t="s">
        <v>258</v>
      </c>
      <c r="D33" s="66">
        <v>0.18</v>
      </c>
      <c r="E33" s="66">
        <v>0.09</v>
      </c>
      <c r="F33" s="67">
        <v>0.12</v>
      </c>
    </row>
    <row r="34" spans="1:6" ht="15" customHeight="1" x14ac:dyDescent="0.2">
      <c r="A34" s="28" t="s">
        <v>438</v>
      </c>
      <c r="B34" s="32" t="s">
        <v>246</v>
      </c>
      <c r="C34" s="32" t="s">
        <v>258</v>
      </c>
      <c r="D34" s="33">
        <f t="shared" ref="D34:F37" si="1">D33</f>
        <v>0.18</v>
      </c>
      <c r="E34" s="33">
        <f t="shared" si="1"/>
        <v>0.09</v>
      </c>
      <c r="F34" s="34">
        <f t="shared" si="1"/>
        <v>0.12</v>
      </c>
    </row>
    <row r="35" spans="1:6" ht="15" customHeight="1" x14ac:dyDescent="0.2">
      <c r="A35" s="28" t="s">
        <v>438</v>
      </c>
      <c r="B35" s="32" t="s">
        <v>251</v>
      </c>
      <c r="C35" s="32" t="s">
        <v>258</v>
      </c>
      <c r="D35" s="33">
        <f t="shared" si="1"/>
        <v>0.18</v>
      </c>
      <c r="E35" s="33">
        <f t="shared" si="1"/>
        <v>0.09</v>
      </c>
      <c r="F35" s="34">
        <f t="shared" si="1"/>
        <v>0.12</v>
      </c>
    </row>
    <row r="36" spans="1:6" ht="15" customHeight="1" x14ac:dyDescent="0.2">
      <c r="A36" s="28" t="s">
        <v>438</v>
      </c>
      <c r="B36" s="32" t="s">
        <v>253</v>
      </c>
      <c r="C36" s="32" t="s">
        <v>258</v>
      </c>
      <c r="D36" s="33">
        <f t="shared" si="1"/>
        <v>0.18</v>
      </c>
      <c r="E36" s="33">
        <f t="shared" si="1"/>
        <v>0.09</v>
      </c>
      <c r="F36" s="34">
        <f t="shared" si="1"/>
        <v>0.12</v>
      </c>
    </row>
    <row r="37" spans="1:6" ht="15" customHeight="1" x14ac:dyDescent="0.2">
      <c r="A37" s="28" t="s">
        <v>438</v>
      </c>
      <c r="B37" s="32" t="s">
        <v>256</v>
      </c>
      <c r="C37" s="32" t="s">
        <v>258</v>
      </c>
      <c r="D37" s="33">
        <f t="shared" si="1"/>
        <v>0.18</v>
      </c>
      <c r="E37" s="33">
        <f t="shared" si="1"/>
        <v>0.09</v>
      </c>
      <c r="F37" s="34">
        <f t="shared" si="1"/>
        <v>0.12</v>
      </c>
    </row>
    <row r="38" spans="1:6" ht="15" customHeight="1" x14ac:dyDescent="0.2">
      <c r="A38" s="65" t="s">
        <v>438</v>
      </c>
      <c r="B38" s="32" t="s">
        <v>40</v>
      </c>
      <c r="C38" s="32" t="s">
        <v>259</v>
      </c>
      <c r="D38" s="66">
        <v>0.15</v>
      </c>
      <c r="E38" s="66">
        <v>0.09</v>
      </c>
      <c r="F38" s="67">
        <v>0.1</v>
      </c>
    </row>
    <row r="39" spans="1:6" ht="15" customHeight="1" x14ac:dyDescent="0.2">
      <c r="A39" s="28" t="s">
        <v>438</v>
      </c>
      <c r="B39" s="32" t="s">
        <v>246</v>
      </c>
      <c r="C39" s="32" t="s">
        <v>259</v>
      </c>
      <c r="D39" s="33">
        <f t="shared" ref="D39:F42" si="2">D38</f>
        <v>0.15</v>
      </c>
      <c r="E39" s="33">
        <f t="shared" si="2"/>
        <v>0.09</v>
      </c>
      <c r="F39" s="34">
        <f t="shared" si="2"/>
        <v>0.1</v>
      </c>
    </row>
    <row r="40" spans="1:6" ht="15" customHeight="1" x14ac:dyDescent="0.2">
      <c r="A40" s="28" t="s">
        <v>438</v>
      </c>
      <c r="B40" s="32" t="s">
        <v>251</v>
      </c>
      <c r="C40" s="32" t="s">
        <v>259</v>
      </c>
      <c r="D40" s="33">
        <f t="shared" si="2"/>
        <v>0.15</v>
      </c>
      <c r="E40" s="33">
        <f t="shared" si="2"/>
        <v>0.09</v>
      </c>
      <c r="F40" s="34">
        <f t="shared" si="2"/>
        <v>0.1</v>
      </c>
    </row>
    <row r="41" spans="1:6" ht="15" customHeight="1" x14ac:dyDescent="0.2">
      <c r="A41" s="28" t="s">
        <v>438</v>
      </c>
      <c r="B41" s="32" t="s">
        <v>253</v>
      </c>
      <c r="C41" s="32" t="s">
        <v>259</v>
      </c>
      <c r="D41" s="33">
        <f t="shared" si="2"/>
        <v>0.15</v>
      </c>
      <c r="E41" s="33">
        <f t="shared" si="2"/>
        <v>0.09</v>
      </c>
      <c r="F41" s="34">
        <f t="shared" si="2"/>
        <v>0.1</v>
      </c>
    </row>
    <row r="42" spans="1:6" ht="15" customHeight="1" x14ac:dyDescent="0.2">
      <c r="A42" s="28" t="s">
        <v>438</v>
      </c>
      <c r="B42" s="32" t="s">
        <v>256</v>
      </c>
      <c r="C42" s="32" t="s">
        <v>259</v>
      </c>
      <c r="D42" s="33">
        <f t="shared" si="2"/>
        <v>0.15</v>
      </c>
      <c r="E42" s="33">
        <f t="shared" si="2"/>
        <v>0.09</v>
      </c>
      <c r="F42" s="34">
        <f t="shared" si="2"/>
        <v>0.1</v>
      </c>
    </row>
    <row r="43" spans="1:6" ht="15" customHeight="1" x14ac:dyDescent="0.2">
      <c r="A43" s="65" t="s">
        <v>438</v>
      </c>
      <c r="B43" s="32" t="s">
        <v>40</v>
      </c>
      <c r="C43" s="32" t="s">
        <v>260</v>
      </c>
      <c r="D43" s="66">
        <v>0.13</v>
      </c>
      <c r="E43" s="66">
        <v>7.0000000000000007E-2</v>
      </c>
      <c r="F43" s="67">
        <v>0.09</v>
      </c>
    </row>
    <row r="44" spans="1:6" ht="15" customHeight="1" x14ac:dyDescent="0.2">
      <c r="A44" s="28" t="s">
        <v>438</v>
      </c>
      <c r="B44" s="32" t="s">
        <v>246</v>
      </c>
      <c r="C44" s="32" t="s">
        <v>260</v>
      </c>
      <c r="D44" s="33">
        <f t="shared" ref="D44:F47" si="3">D43</f>
        <v>0.13</v>
      </c>
      <c r="E44" s="33">
        <f t="shared" si="3"/>
        <v>7.0000000000000007E-2</v>
      </c>
      <c r="F44" s="34">
        <f t="shared" si="3"/>
        <v>0.09</v>
      </c>
    </row>
    <row r="45" spans="1:6" ht="15" customHeight="1" x14ac:dyDescent="0.2">
      <c r="A45" s="28" t="s">
        <v>438</v>
      </c>
      <c r="B45" s="32" t="s">
        <v>251</v>
      </c>
      <c r="C45" s="32" t="s">
        <v>260</v>
      </c>
      <c r="D45" s="33">
        <f t="shared" si="3"/>
        <v>0.13</v>
      </c>
      <c r="E45" s="33">
        <f t="shared" si="3"/>
        <v>7.0000000000000007E-2</v>
      </c>
      <c r="F45" s="34">
        <f t="shared" si="3"/>
        <v>0.09</v>
      </c>
    </row>
    <row r="46" spans="1:6" ht="15" customHeight="1" x14ac:dyDescent="0.2">
      <c r="A46" s="28" t="s">
        <v>438</v>
      </c>
      <c r="B46" s="32" t="s">
        <v>253</v>
      </c>
      <c r="C46" s="32" t="s">
        <v>260</v>
      </c>
      <c r="D46" s="33">
        <f t="shared" si="3"/>
        <v>0.13</v>
      </c>
      <c r="E46" s="33">
        <f t="shared" si="3"/>
        <v>7.0000000000000007E-2</v>
      </c>
      <c r="F46" s="34">
        <f t="shared" si="3"/>
        <v>0.09</v>
      </c>
    </row>
    <row r="47" spans="1:6" ht="15" customHeight="1" x14ac:dyDescent="0.2">
      <c r="A47" s="28" t="s">
        <v>438</v>
      </c>
      <c r="B47" s="32" t="s">
        <v>256</v>
      </c>
      <c r="C47" s="32" t="s">
        <v>260</v>
      </c>
      <c r="D47" s="33">
        <f t="shared" si="3"/>
        <v>0.13</v>
      </c>
      <c r="E47" s="33">
        <f t="shared" si="3"/>
        <v>7.0000000000000007E-2</v>
      </c>
      <c r="F47" s="34">
        <f t="shared" si="3"/>
        <v>0.09</v>
      </c>
    </row>
    <row r="48" spans="1:6" ht="15" customHeight="1" x14ac:dyDescent="0.2">
      <c r="A48" s="65" t="s">
        <v>438</v>
      </c>
      <c r="B48" s="32" t="s">
        <v>40</v>
      </c>
      <c r="C48" s="32" t="s">
        <v>261</v>
      </c>
      <c r="D48" s="66">
        <v>0.11</v>
      </c>
      <c r="E48" s="66">
        <v>0.06</v>
      </c>
      <c r="F48" s="67">
        <v>0.08</v>
      </c>
    </row>
    <row r="49" spans="1:6" ht="15" customHeight="1" x14ac:dyDescent="0.2">
      <c r="A49" s="28" t="s">
        <v>438</v>
      </c>
      <c r="B49" s="32" t="s">
        <v>246</v>
      </c>
      <c r="C49" s="32" t="s">
        <v>261</v>
      </c>
      <c r="D49" s="33">
        <f t="shared" ref="D49:F52" si="4">D48</f>
        <v>0.11</v>
      </c>
      <c r="E49" s="33">
        <f t="shared" si="4"/>
        <v>0.06</v>
      </c>
      <c r="F49" s="34">
        <f t="shared" si="4"/>
        <v>0.08</v>
      </c>
    </row>
    <row r="50" spans="1:6" ht="15" customHeight="1" x14ac:dyDescent="0.2">
      <c r="A50" s="28" t="s">
        <v>438</v>
      </c>
      <c r="B50" s="32" t="s">
        <v>251</v>
      </c>
      <c r="C50" s="32" t="s">
        <v>261</v>
      </c>
      <c r="D50" s="33">
        <f t="shared" si="4"/>
        <v>0.11</v>
      </c>
      <c r="E50" s="33">
        <f t="shared" si="4"/>
        <v>0.06</v>
      </c>
      <c r="F50" s="34">
        <f t="shared" si="4"/>
        <v>0.08</v>
      </c>
    </row>
    <row r="51" spans="1:6" ht="15" customHeight="1" x14ac:dyDescent="0.2">
      <c r="A51" s="28" t="s">
        <v>438</v>
      </c>
      <c r="B51" s="32" t="s">
        <v>253</v>
      </c>
      <c r="C51" s="32" t="s">
        <v>261</v>
      </c>
      <c r="D51" s="33">
        <f t="shared" si="4"/>
        <v>0.11</v>
      </c>
      <c r="E51" s="33">
        <f t="shared" si="4"/>
        <v>0.06</v>
      </c>
      <c r="F51" s="34">
        <f t="shared" si="4"/>
        <v>0.08</v>
      </c>
    </row>
    <row r="52" spans="1:6" ht="15" customHeight="1" x14ac:dyDescent="0.2">
      <c r="A52" s="28" t="s">
        <v>438</v>
      </c>
      <c r="B52" s="32" t="s">
        <v>256</v>
      </c>
      <c r="C52" s="32" t="s">
        <v>261</v>
      </c>
      <c r="D52" s="33">
        <f t="shared" si="4"/>
        <v>0.11</v>
      </c>
      <c r="E52" s="33">
        <f t="shared" si="4"/>
        <v>0.06</v>
      </c>
      <c r="F52" s="34">
        <f t="shared" si="4"/>
        <v>0.08</v>
      </c>
    </row>
    <row r="53" spans="1:6" ht="15" customHeight="1" x14ac:dyDescent="0.2">
      <c r="A53" s="65" t="s">
        <v>250</v>
      </c>
      <c r="B53" s="32" t="s">
        <v>40</v>
      </c>
      <c r="C53" s="32" t="s">
        <v>262</v>
      </c>
      <c r="D53" s="66">
        <v>0.2</v>
      </c>
      <c r="E53" s="66">
        <v>0.1</v>
      </c>
      <c r="F53" s="67">
        <v>0.13</v>
      </c>
    </row>
    <row r="54" spans="1:6" ht="15" customHeight="1" x14ac:dyDescent="0.2">
      <c r="A54" s="28" t="s">
        <v>250</v>
      </c>
      <c r="B54" s="32" t="s">
        <v>246</v>
      </c>
      <c r="C54" s="32" t="s">
        <v>262</v>
      </c>
      <c r="D54" s="33">
        <v>0.2</v>
      </c>
      <c r="E54" s="33">
        <v>0.1</v>
      </c>
      <c r="F54" s="34">
        <v>0.13</v>
      </c>
    </row>
    <row r="55" spans="1:6" ht="15" customHeight="1" x14ac:dyDescent="0.2">
      <c r="A55" s="28" t="s">
        <v>250</v>
      </c>
      <c r="B55" s="32" t="s">
        <v>251</v>
      </c>
      <c r="C55" s="32" t="s">
        <v>262</v>
      </c>
      <c r="D55" s="33">
        <v>0.17</v>
      </c>
      <c r="E55" s="33">
        <v>0.08</v>
      </c>
      <c r="F55" s="34">
        <v>0.11</v>
      </c>
    </row>
    <row r="56" spans="1:6" ht="15" customHeight="1" x14ac:dyDescent="0.2">
      <c r="A56" s="28" t="s">
        <v>250</v>
      </c>
      <c r="B56" s="32" t="s">
        <v>253</v>
      </c>
      <c r="C56" s="32" t="s">
        <v>262</v>
      </c>
      <c r="D56" s="33">
        <v>0.19</v>
      </c>
      <c r="E56" s="33">
        <v>0.09</v>
      </c>
      <c r="F56" s="34">
        <v>0.14000000000000001</v>
      </c>
    </row>
    <row r="57" spans="1:6" ht="15" customHeight="1" x14ac:dyDescent="0.2">
      <c r="A57" s="28" t="s">
        <v>250</v>
      </c>
      <c r="B57" s="32" t="s">
        <v>256</v>
      </c>
      <c r="C57" s="32" t="s">
        <v>262</v>
      </c>
      <c r="D57" s="33">
        <v>0.22</v>
      </c>
      <c r="E57" s="33">
        <v>0.14000000000000001</v>
      </c>
      <c r="F57" s="34">
        <v>0.17</v>
      </c>
    </row>
    <row r="58" spans="1:6" ht="15" customHeight="1" x14ac:dyDescent="0.2">
      <c r="A58" s="65" t="s">
        <v>250</v>
      </c>
      <c r="B58" s="32" t="s">
        <v>40</v>
      </c>
      <c r="C58" s="32" t="s">
        <v>263</v>
      </c>
      <c r="D58" s="66">
        <v>0.25</v>
      </c>
      <c r="E58" s="66">
        <v>0.12</v>
      </c>
      <c r="F58" s="67">
        <v>0.17</v>
      </c>
    </row>
    <row r="59" spans="1:6" ht="15" customHeight="1" x14ac:dyDescent="0.2">
      <c r="A59" s="28" t="s">
        <v>250</v>
      </c>
      <c r="B59" s="32" t="s">
        <v>246</v>
      </c>
      <c r="C59" s="32" t="s">
        <v>263</v>
      </c>
      <c r="D59" s="33">
        <v>0.25</v>
      </c>
      <c r="E59" s="33">
        <v>0.12</v>
      </c>
      <c r="F59" s="34">
        <v>0.17</v>
      </c>
    </row>
    <row r="60" spans="1:6" ht="15" customHeight="1" x14ac:dyDescent="0.2">
      <c r="A60" s="28" t="s">
        <v>250</v>
      </c>
      <c r="B60" s="32" t="s">
        <v>251</v>
      </c>
      <c r="C60" s="32" t="s">
        <v>263</v>
      </c>
      <c r="D60" s="33">
        <v>0.2</v>
      </c>
      <c r="E60" s="33">
        <v>0.1</v>
      </c>
      <c r="F60" s="34">
        <v>0.13</v>
      </c>
    </row>
    <row r="61" spans="1:6" ht="15" customHeight="1" x14ac:dyDescent="0.2">
      <c r="A61" s="28" t="s">
        <v>250</v>
      </c>
      <c r="B61" s="32" t="s">
        <v>253</v>
      </c>
      <c r="C61" s="32" t="s">
        <v>263</v>
      </c>
      <c r="D61" s="33">
        <v>0.22</v>
      </c>
      <c r="E61" s="33">
        <v>0.11</v>
      </c>
      <c r="F61" s="34">
        <v>0.17</v>
      </c>
    </row>
    <row r="62" spans="1:6" ht="15" customHeight="1" x14ac:dyDescent="0.2">
      <c r="A62" s="68" t="s">
        <v>250</v>
      </c>
      <c r="B62" s="35" t="s">
        <v>256</v>
      </c>
      <c r="C62" s="35" t="s">
        <v>263</v>
      </c>
      <c r="D62" s="36">
        <v>0.22</v>
      </c>
      <c r="E62" s="36">
        <v>0.11</v>
      </c>
      <c r="F62" s="37">
        <v>0.17</v>
      </c>
    </row>
    <row r="63" spans="1:6" ht="15" customHeight="1" x14ac:dyDescent="0.2"/>
    <row r="64" spans="1:6" ht="15" customHeight="1" x14ac:dyDescent="0.2"/>
    <row r="65" ht="15" customHeight="1" x14ac:dyDescent="0.2"/>
    <row r="66" ht="15" customHeight="1" x14ac:dyDescent="0.2"/>
    <row r="67" ht="15" customHeight="1" x14ac:dyDescent="0.2"/>
    <row r="68" ht="15" customHeight="1" x14ac:dyDescent="0.2"/>
    <row r="69" ht="15" customHeight="1" x14ac:dyDescent="0.2"/>
  </sheetData>
  <dataValidations count="3">
    <dataValidation type="list" allowBlank="1" showInputMessage="1" showErrorMessage="1" promptTitle="Depth" prompt="Select based on given parameters" sqref="B8:B62" xr:uid="{00000000-0002-0000-0800-000000000000}">
      <formula1>Depth</formula1>
    </dataValidation>
    <dataValidation type="list" allowBlank="1" showInputMessage="1" showErrorMessage="1" promptTitle="Standard" prompt="Select from DNV, Norsok, or other Project Standard" sqref="A8:A62 I8:I10" xr:uid="{00000000-0002-0000-0800-000001000000}">
      <formula1>Standard</formula1>
    </dataValidation>
    <dataValidation type="list" allowBlank="1" showInputMessage="1" showErrorMessage="1" sqref="C8:C62" xr:uid="{00000000-0002-0000-0800-000002000000}">
      <formula1>Climatic_Region</formula1>
    </dataValidation>
  </dataValidation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A1:E34"/>
  <sheetViews>
    <sheetView workbookViewId="0">
      <selection activeCell="R32" sqref="R32"/>
    </sheetView>
  </sheetViews>
  <sheetFormatPr defaultRowHeight="12.75" x14ac:dyDescent="0.2"/>
  <cols>
    <col min="2" max="2" width="12" customWidth="1"/>
    <col min="3" max="3" width="9.140625" customWidth="1"/>
  </cols>
  <sheetData>
    <row r="1" spans="1:5" ht="33.75" customHeight="1" x14ac:dyDescent="0.2">
      <c r="A1" s="26" t="s">
        <v>236</v>
      </c>
      <c r="B1" s="26" t="s">
        <v>237</v>
      </c>
      <c r="C1" s="29" t="s">
        <v>439</v>
      </c>
      <c r="D1" s="29" t="s">
        <v>440</v>
      </c>
    </row>
    <row r="2" spans="1:5" x14ac:dyDescent="0.2">
      <c r="A2" s="29" t="str">
        <f>'GACP Calculation'!D11</f>
        <v>"0-20"</v>
      </c>
      <c r="B2" s="29" t="str">
        <f>'GACP Calculation'!H29</f>
        <v>"Category IV"</v>
      </c>
      <c r="C2" s="29">
        <f>DGET('Coating Breakdown'!A7:D32,'Coating Breakdown'!C7,'Coating Breakdown'!A1:B2)</f>
        <v>0.02</v>
      </c>
      <c r="D2" s="29">
        <f>DGET('Coating Breakdown'!A7:D32,'Coating Breakdown'!D7,'Coating Breakdown'!A1:B2)</f>
        <v>8.0000000000000002E-3</v>
      </c>
    </row>
    <row r="3" spans="1:5" x14ac:dyDescent="0.2">
      <c r="A3" s="29"/>
      <c r="B3" s="29"/>
      <c r="C3" s="29"/>
      <c r="D3" s="29"/>
    </row>
    <row r="4" spans="1:5" x14ac:dyDescent="0.2">
      <c r="A4" s="29"/>
      <c r="B4" s="29"/>
      <c r="C4" s="29"/>
      <c r="D4" s="29"/>
    </row>
    <row r="6" spans="1:5" x14ac:dyDescent="0.2">
      <c r="A6" s="38"/>
      <c r="B6" s="38"/>
      <c r="C6" s="38"/>
      <c r="D6" s="38"/>
    </row>
    <row r="7" spans="1:5" ht="48.75" customHeight="1" x14ac:dyDescent="0.2">
      <c r="A7" s="156" t="s">
        <v>236</v>
      </c>
      <c r="B7" s="156" t="s">
        <v>237</v>
      </c>
      <c r="C7" s="156" t="s">
        <v>439</v>
      </c>
      <c r="D7" s="156" t="s">
        <v>440</v>
      </c>
      <c r="E7" s="7"/>
    </row>
    <row r="8" spans="1:5" ht="15" customHeight="1" x14ac:dyDescent="0.2">
      <c r="A8" s="157" t="s">
        <v>40</v>
      </c>
      <c r="B8" s="157" t="s">
        <v>240</v>
      </c>
      <c r="C8" s="158">
        <v>1</v>
      </c>
      <c r="D8" s="158">
        <v>0</v>
      </c>
    </row>
    <row r="9" spans="1:5" ht="15" customHeight="1" x14ac:dyDescent="0.2">
      <c r="A9" s="157" t="s">
        <v>246</v>
      </c>
      <c r="B9" s="157" t="s">
        <v>240</v>
      </c>
      <c r="C9" s="158">
        <v>1</v>
      </c>
      <c r="D9" s="158">
        <v>0</v>
      </c>
    </row>
    <row r="10" spans="1:5" ht="15" customHeight="1" x14ac:dyDescent="0.2">
      <c r="A10" s="157" t="s">
        <v>251</v>
      </c>
      <c r="B10" s="157" t="s">
        <v>240</v>
      </c>
      <c r="C10" s="158">
        <v>1</v>
      </c>
      <c r="D10" s="158">
        <v>0</v>
      </c>
    </row>
    <row r="11" spans="1:5" ht="15" customHeight="1" x14ac:dyDescent="0.2">
      <c r="A11" s="157" t="s">
        <v>253</v>
      </c>
      <c r="B11" s="157" t="s">
        <v>240</v>
      </c>
      <c r="C11" s="158">
        <v>1</v>
      </c>
      <c r="D11" s="158">
        <v>0</v>
      </c>
    </row>
    <row r="12" spans="1:5" ht="15" customHeight="1" x14ac:dyDescent="0.2">
      <c r="A12" s="157" t="s">
        <v>256</v>
      </c>
      <c r="B12" s="157" t="s">
        <v>240</v>
      </c>
      <c r="C12" s="158">
        <v>1</v>
      </c>
      <c r="D12" s="158">
        <v>0</v>
      </c>
    </row>
    <row r="13" spans="1:5" ht="15" customHeight="1" x14ac:dyDescent="0.2">
      <c r="A13" s="157" t="s">
        <v>40</v>
      </c>
      <c r="B13" s="157" t="s">
        <v>247</v>
      </c>
      <c r="C13" s="158">
        <v>0.1</v>
      </c>
      <c r="D13" s="158">
        <v>0.1</v>
      </c>
    </row>
    <row r="14" spans="1:5" ht="15" customHeight="1" x14ac:dyDescent="0.2">
      <c r="A14" s="157" t="s">
        <v>246</v>
      </c>
      <c r="B14" s="157" t="s">
        <v>247</v>
      </c>
      <c r="C14" s="158">
        <v>0.1</v>
      </c>
      <c r="D14" s="158">
        <v>0.1</v>
      </c>
    </row>
    <row r="15" spans="1:5" ht="15" customHeight="1" x14ac:dyDescent="0.2">
      <c r="A15" s="157" t="s">
        <v>251</v>
      </c>
      <c r="B15" s="157" t="s">
        <v>247</v>
      </c>
      <c r="C15" s="158">
        <v>0.1</v>
      </c>
      <c r="D15" s="158">
        <v>0.05</v>
      </c>
    </row>
    <row r="16" spans="1:5" ht="15" customHeight="1" x14ac:dyDescent="0.2">
      <c r="A16" s="157" t="s">
        <v>253</v>
      </c>
      <c r="B16" s="157" t="s">
        <v>247</v>
      </c>
      <c r="C16" s="158">
        <v>0.1</v>
      </c>
      <c r="D16" s="158">
        <v>0.05</v>
      </c>
    </row>
    <row r="17" spans="1:4" ht="15" customHeight="1" x14ac:dyDescent="0.2">
      <c r="A17" s="157" t="s">
        <v>256</v>
      </c>
      <c r="B17" s="157" t="s">
        <v>247</v>
      </c>
      <c r="C17" s="158">
        <v>0.1</v>
      </c>
      <c r="D17" s="158">
        <v>0.05</v>
      </c>
    </row>
    <row r="18" spans="1:4" ht="15" customHeight="1" x14ac:dyDescent="0.2">
      <c r="A18" s="157" t="s">
        <v>40</v>
      </c>
      <c r="B18" s="157" t="s">
        <v>252</v>
      </c>
      <c r="C18" s="158">
        <v>0.05</v>
      </c>
      <c r="D18" s="158">
        <v>2.5000000000000001E-2</v>
      </c>
    </row>
    <row r="19" spans="1:4" ht="15" customHeight="1" x14ac:dyDescent="0.2">
      <c r="A19" s="157" t="s">
        <v>246</v>
      </c>
      <c r="B19" s="157" t="s">
        <v>252</v>
      </c>
      <c r="C19" s="158">
        <v>0.05</v>
      </c>
      <c r="D19" s="158">
        <v>2.5000000000000001E-2</v>
      </c>
    </row>
    <row r="20" spans="1:4" ht="15" customHeight="1" x14ac:dyDescent="0.2">
      <c r="A20" s="157" t="s">
        <v>251</v>
      </c>
      <c r="B20" s="157" t="s">
        <v>252</v>
      </c>
      <c r="C20" s="158">
        <v>0.05</v>
      </c>
      <c r="D20" s="158">
        <v>1.4999999999999999E-2</v>
      </c>
    </row>
    <row r="21" spans="1:4" ht="15" customHeight="1" x14ac:dyDescent="0.2">
      <c r="A21" s="157" t="s">
        <v>253</v>
      </c>
      <c r="B21" s="157" t="s">
        <v>252</v>
      </c>
      <c r="C21" s="158">
        <v>0.05</v>
      </c>
      <c r="D21" s="158">
        <v>1.4999999999999999E-2</v>
      </c>
    </row>
    <row r="22" spans="1:4" ht="15" customHeight="1" x14ac:dyDescent="0.2">
      <c r="A22" s="157" t="s">
        <v>256</v>
      </c>
      <c r="B22" s="157" t="s">
        <v>252</v>
      </c>
      <c r="C22" s="158">
        <v>0.05</v>
      </c>
      <c r="D22" s="158">
        <v>1.4999999999999999E-2</v>
      </c>
    </row>
    <row r="23" spans="1:4" ht="15" customHeight="1" x14ac:dyDescent="0.2">
      <c r="A23" s="157" t="s">
        <v>40</v>
      </c>
      <c r="B23" s="157" t="s">
        <v>254</v>
      </c>
      <c r="C23" s="158">
        <v>0.02</v>
      </c>
      <c r="D23" s="158">
        <v>1.2E-2</v>
      </c>
    </row>
    <row r="24" spans="1:4" ht="15" customHeight="1" x14ac:dyDescent="0.2">
      <c r="A24" s="157" t="s">
        <v>246</v>
      </c>
      <c r="B24" s="157" t="s">
        <v>254</v>
      </c>
      <c r="C24" s="158">
        <v>0.02</v>
      </c>
      <c r="D24" s="158">
        <v>1.2E-2</v>
      </c>
    </row>
    <row r="25" spans="1:4" ht="15" customHeight="1" x14ac:dyDescent="0.2">
      <c r="A25" s="157" t="s">
        <v>251</v>
      </c>
      <c r="B25" s="157" t="s">
        <v>254</v>
      </c>
      <c r="C25" s="158">
        <v>0.02</v>
      </c>
      <c r="D25" s="158">
        <v>8.0000000000000002E-3</v>
      </c>
    </row>
    <row r="26" spans="1:4" ht="15" customHeight="1" x14ac:dyDescent="0.2">
      <c r="A26" s="157" t="s">
        <v>253</v>
      </c>
      <c r="B26" s="157" t="s">
        <v>254</v>
      </c>
      <c r="C26" s="158">
        <v>0.02</v>
      </c>
      <c r="D26" s="158">
        <v>8.0000000000000002E-3</v>
      </c>
    </row>
    <row r="27" spans="1:4" ht="15" customHeight="1" x14ac:dyDescent="0.2">
      <c r="A27" s="157" t="s">
        <v>256</v>
      </c>
      <c r="B27" s="157" t="s">
        <v>254</v>
      </c>
      <c r="C27" s="158">
        <v>0.02</v>
      </c>
      <c r="D27" s="158">
        <v>8.0000000000000002E-3</v>
      </c>
    </row>
    <row r="28" spans="1:4" ht="15" customHeight="1" x14ac:dyDescent="0.2">
      <c r="A28" s="157" t="s">
        <v>40</v>
      </c>
      <c r="B28" s="157" t="s">
        <v>71</v>
      </c>
      <c r="C28" s="158">
        <v>0.02</v>
      </c>
      <c r="D28" s="158">
        <v>8.0000000000000002E-3</v>
      </c>
    </row>
    <row r="29" spans="1:4" ht="15" customHeight="1" x14ac:dyDescent="0.2">
      <c r="A29" s="157" t="s">
        <v>246</v>
      </c>
      <c r="B29" s="157" t="s">
        <v>71</v>
      </c>
      <c r="C29" s="158">
        <v>0.02</v>
      </c>
      <c r="D29" s="158">
        <v>8.0000000000000002E-3</v>
      </c>
    </row>
    <row r="30" spans="1:4" ht="15" customHeight="1" x14ac:dyDescent="0.2">
      <c r="A30" s="157" t="s">
        <v>251</v>
      </c>
      <c r="B30" s="157" t="s">
        <v>71</v>
      </c>
      <c r="C30" s="158">
        <v>0.02</v>
      </c>
      <c r="D30" s="158">
        <v>5.0000000000000001E-3</v>
      </c>
    </row>
    <row r="31" spans="1:4" ht="15" customHeight="1" x14ac:dyDescent="0.2">
      <c r="A31" s="157" t="s">
        <v>253</v>
      </c>
      <c r="B31" s="157" t="s">
        <v>71</v>
      </c>
      <c r="C31" s="158">
        <v>0.02</v>
      </c>
      <c r="D31" s="158">
        <v>5.0000000000000001E-3</v>
      </c>
    </row>
    <row r="32" spans="1:4" ht="15" customHeight="1" x14ac:dyDescent="0.2">
      <c r="A32" s="157" t="s">
        <v>256</v>
      </c>
      <c r="B32" s="157" t="s">
        <v>71</v>
      </c>
      <c r="C32" s="158">
        <v>0.02</v>
      </c>
      <c r="D32" s="158">
        <v>5.0000000000000001E-3</v>
      </c>
    </row>
    <row r="33" ht="15" customHeight="1" x14ac:dyDescent="0.2"/>
    <row r="34" ht="15" customHeight="1" x14ac:dyDescent="0.2"/>
  </sheetData>
  <dataValidations count="2">
    <dataValidation type="list" allowBlank="1" showInputMessage="1" showErrorMessage="1" promptTitle="Coating_Category" prompt="Select based on given parameters" sqref="B8:B27" xr:uid="{00000000-0002-0000-0900-000000000000}">
      <formula1>Coating_Category</formula1>
    </dataValidation>
    <dataValidation type="list" allowBlank="1" showInputMessage="1" showErrorMessage="1" promptTitle="Depth" prompt="Select based on given parameters" sqref="A8:A32" xr:uid="{00000000-0002-0000-0900-000001000000}">
      <formula1>Depth</formula1>
    </dataValidation>
  </dataValidation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F22"/>
  <sheetViews>
    <sheetView workbookViewId="0">
      <selection activeCell="H10" sqref="H10"/>
    </sheetView>
  </sheetViews>
  <sheetFormatPr defaultRowHeight="12.75" x14ac:dyDescent="0.2"/>
  <cols>
    <col min="2" max="2" width="9.140625" customWidth="1"/>
    <col min="3" max="3" width="48" customWidth="1"/>
  </cols>
  <sheetData>
    <row r="1" spans="1:6" x14ac:dyDescent="0.2">
      <c r="A1" s="32"/>
      <c r="B1" s="32"/>
      <c r="C1" s="32"/>
    </row>
    <row r="2" spans="1:6" x14ac:dyDescent="0.2">
      <c r="A2" s="119" t="s">
        <v>441</v>
      </c>
      <c r="B2" s="119" t="s">
        <v>442</v>
      </c>
      <c r="C2" s="119" t="s">
        <v>443</v>
      </c>
      <c r="D2" s="119" t="s">
        <v>444</v>
      </c>
      <c r="E2" s="119" t="s">
        <v>445</v>
      </c>
      <c r="F2" s="119" t="s">
        <v>446</v>
      </c>
    </row>
    <row r="3" spans="1:6" ht="11.85" customHeight="1" x14ac:dyDescent="0.2">
      <c r="A3" s="118">
        <v>1</v>
      </c>
      <c r="B3" s="133">
        <v>41163</v>
      </c>
      <c r="C3" s="32" t="s">
        <v>447</v>
      </c>
      <c r="D3" s="32" t="s">
        <v>448</v>
      </c>
      <c r="E3" s="32" t="s">
        <v>449</v>
      </c>
      <c r="F3" s="32" t="s">
        <v>450</v>
      </c>
    </row>
    <row r="4" spans="1:6" ht="11.85" customHeight="1" x14ac:dyDescent="0.2">
      <c r="A4" s="118">
        <v>1.1000000000000001</v>
      </c>
      <c r="B4" s="133">
        <v>41992</v>
      </c>
      <c r="C4" s="132" t="s">
        <v>451</v>
      </c>
      <c r="D4" s="32" t="s">
        <v>449</v>
      </c>
      <c r="E4" s="32" t="s">
        <v>452</v>
      </c>
      <c r="F4" s="32" t="s">
        <v>452</v>
      </c>
    </row>
    <row r="5" spans="1:6" ht="11.85" customHeight="1" x14ac:dyDescent="0.2">
      <c r="A5" s="118" t="s">
        <v>453</v>
      </c>
      <c r="B5" s="133">
        <v>42538</v>
      </c>
      <c r="C5" s="32" t="s">
        <v>454</v>
      </c>
      <c r="D5" s="32" t="s">
        <v>455</v>
      </c>
      <c r="E5" s="32" t="s">
        <v>452</v>
      </c>
      <c r="F5" s="32" t="s">
        <v>452</v>
      </c>
    </row>
    <row r="6" spans="1:6" ht="78.75" customHeight="1" x14ac:dyDescent="0.2">
      <c r="A6" s="118" t="s">
        <v>456</v>
      </c>
      <c r="B6" s="32" t="s">
        <v>457</v>
      </c>
      <c r="C6" s="132" t="s">
        <v>458</v>
      </c>
      <c r="D6" s="32" t="s">
        <v>449</v>
      </c>
      <c r="E6" s="32" t="s">
        <v>452</v>
      </c>
      <c r="F6" s="32" t="s">
        <v>452</v>
      </c>
    </row>
    <row r="7" spans="1:6" ht="45" customHeight="1" x14ac:dyDescent="0.2">
      <c r="A7" s="118" t="s">
        <v>459</v>
      </c>
      <c r="B7" s="32" t="s">
        <v>460</v>
      </c>
      <c r="C7" s="132" t="s">
        <v>461</v>
      </c>
      <c r="D7" s="32" t="s">
        <v>455</v>
      </c>
      <c r="E7" s="32" t="s">
        <v>449</v>
      </c>
      <c r="F7" s="32" t="s">
        <v>449</v>
      </c>
    </row>
    <row r="8" spans="1:6" x14ac:dyDescent="0.2">
      <c r="A8" s="118"/>
      <c r="B8" s="32"/>
      <c r="C8" s="32"/>
    </row>
    <row r="9" spans="1:6" x14ac:dyDescent="0.2">
      <c r="A9" s="118"/>
    </row>
    <row r="10" spans="1:6" x14ac:dyDescent="0.2">
      <c r="A10" s="118"/>
    </row>
    <row r="11" spans="1:6" x14ac:dyDescent="0.2">
      <c r="A11" s="117"/>
    </row>
    <row r="12" spans="1:6" x14ac:dyDescent="0.2">
      <c r="A12" s="117"/>
      <c r="C12" s="5"/>
    </row>
    <row r="13" spans="1:6" x14ac:dyDescent="0.2">
      <c r="A13" s="117"/>
    </row>
    <row r="14" spans="1:6" x14ac:dyDescent="0.2">
      <c r="A14" s="117"/>
    </row>
    <row r="15" spans="1:6" x14ac:dyDescent="0.2">
      <c r="A15" s="117"/>
    </row>
    <row r="16" spans="1:6" x14ac:dyDescent="0.2">
      <c r="A16" s="117"/>
    </row>
    <row r="17" spans="1:1" x14ac:dyDescent="0.2">
      <c r="A17" s="117"/>
    </row>
    <row r="18" spans="1:1" x14ac:dyDescent="0.2">
      <c r="A18" s="117"/>
    </row>
    <row r="19" spans="1:1" x14ac:dyDescent="0.2">
      <c r="A19" s="117"/>
    </row>
    <row r="20" spans="1:1" x14ac:dyDescent="0.2">
      <c r="A20" s="117"/>
    </row>
    <row r="21" spans="1:1" x14ac:dyDescent="0.2">
      <c r="A21" s="117"/>
    </row>
    <row r="22" spans="1:1" x14ac:dyDescent="0.2">
      <c r="A22" s="117"/>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84</vt:i4>
      </vt:variant>
    </vt:vector>
  </HeadingPairs>
  <TitlesOfParts>
    <vt:vector size="95" baseType="lpstr">
      <vt:lpstr>Instructions</vt:lpstr>
      <vt:lpstr>GACP Calculation</vt:lpstr>
      <vt:lpstr>Surface areas overview</vt:lpstr>
      <vt:lpstr>Surface area</vt:lpstr>
      <vt:lpstr>Input Parameters</vt:lpstr>
      <vt:lpstr>Anode Resistance Sheet</vt:lpstr>
      <vt:lpstr>Anode Data</vt:lpstr>
      <vt:lpstr>Seawater Resistivity</vt:lpstr>
      <vt:lpstr>Current Density</vt:lpstr>
      <vt:lpstr>Coating Breakdown</vt:lpstr>
      <vt:lpstr>Version History</vt:lpstr>
      <vt:lpstr>a</vt:lpstr>
      <vt:lpstr>a__fci</vt:lpstr>
      <vt:lpstr>Ac</vt:lpstr>
      <vt:lpstr>Acc</vt:lpstr>
      <vt:lpstr>Acm</vt:lpstr>
      <vt:lpstr>Acmc</vt:lpstr>
      <vt:lpstr>Acs</vt:lpstr>
      <vt:lpstr>Acsc</vt:lpstr>
      <vt:lpstr>Act</vt:lpstr>
      <vt:lpstr>Actc</vt:lpstr>
      <vt:lpstr>amud</vt:lpstr>
      <vt:lpstr>Anode_Data_Table</vt:lpstr>
      <vt:lpstr>Anode_Environment</vt:lpstr>
      <vt:lpstr>Anode_Material</vt:lpstr>
      <vt:lpstr>Anode_Name</vt:lpstr>
      <vt:lpstr>Anode_to_Object</vt:lpstr>
      <vt:lpstr>Anode_Type</vt:lpstr>
      <vt:lpstr>Anode_Type_Data</vt:lpstr>
      <vt:lpstr>ased</vt:lpstr>
      <vt:lpstr>asub__fci</vt:lpstr>
      <vt:lpstr>asubm__fci</vt:lpstr>
      <vt:lpstr>b</vt:lpstr>
      <vt:lpstr>Climatic_Region</vt:lpstr>
      <vt:lpstr>Coating_Category</vt:lpstr>
      <vt:lpstr>criteria_1</vt:lpstr>
      <vt:lpstr>Depth</vt:lpstr>
      <vt:lpstr>Ea</vt:lpstr>
      <vt:lpstr>Ec</vt:lpstr>
      <vt:lpstr>fcmf</vt:lpstr>
      <vt:lpstr>fcmi</vt:lpstr>
      <vt:lpstr>fcmm</vt:lpstr>
      <vt:lpstr>fcmsef</vt:lpstr>
      <vt:lpstr>fcsei</vt:lpstr>
      <vt:lpstr>fcsem</vt:lpstr>
      <vt:lpstr>fcsf</vt:lpstr>
      <vt:lpstr>fcsi</vt:lpstr>
      <vt:lpstr>fcsm</vt:lpstr>
      <vt:lpstr>Ha</vt:lpstr>
      <vt:lpstr>Iaf</vt:lpstr>
      <vt:lpstr>Iai</vt:lpstr>
      <vt:lpstr>If</vt:lpstr>
      <vt:lpstr>Ifcd</vt:lpstr>
      <vt:lpstr>Ii</vt:lpstr>
      <vt:lpstr>Iicd</vt:lpstr>
      <vt:lpstr>Im</vt:lpstr>
      <vt:lpstr>Imcd</vt:lpstr>
      <vt:lpstr>Imicd</vt:lpstr>
      <vt:lpstr>Immfcd</vt:lpstr>
      <vt:lpstr>Isicd</vt:lpstr>
      <vt:lpstr>Ismfcd</vt:lpstr>
      <vt:lpstr>Itfcd</vt:lpstr>
      <vt:lpstr>Iticd</vt:lpstr>
      <vt:lpstr>Itmcd</vt:lpstr>
      <vt:lpstr>La</vt:lpstr>
      <vt:lpstr>Lab</vt:lpstr>
      <vt:lpstr>Lat</vt:lpstr>
      <vt:lpstr>Lf</vt:lpstr>
      <vt:lpstr>Life</vt:lpstr>
      <vt:lpstr>maf</vt:lpstr>
      <vt:lpstr>mai</vt:lpstr>
      <vt:lpstr>'GACP Calculation'!Print_Area</vt:lpstr>
      <vt:lpstr>Instructions!Print_Area</vt:lpstr>
      <vt:lpstr>'GACP Calculation'!Print_Titles</vt:lpstr>
      <vt:lpstr>Protection_Potential</vt:lpstr>
      <vt:lpstr>pø</vt:lpstr>
      <vt:lpstr>ra</vt:lpstr>
      <vt:lpstr>Raf</vt:lpstr>
      <vt:lpstr>Rai</vt:lpstr>
      <vt:lpstr>rf</vt:lpstr>
      <vt:lpstr>Seawater_Resistance</vt:lpstr>
      <vt:lpstr>spd</vt:lpstr>
      <vt:lpstr>Standard</vt:lpstr>
      <vt:lpstr>tf</vt:lpstr>
      <vt:lpstr>Tis</vt:lpstr>
      <vt:lpstr>Type</vt:lpstr>
      <vt:lpstr>u</vt:lpstr>
      <vt:lpstr>Vaf</vt:lpstr>
      <vt:lpstr>vis</vt:lpstr>
      <vt:lpstr>Wab</vt:lpstr>
      <vt:lpstr>Wat</vt:lpstr>
      <vt:lpstr>Wis</vt:lpstr>
      <vt:lpstr>'Anode Data'!zinc_1</vt:lpstr>
      <vt:lpstr>ε</vt:lpstr>
      <vt:lpstr>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Brink Jansson</dc:creator>
  <cp:lastModifiedBy>Troels Stoklund Larsen</cp:lastModifiedBy>
  <cp:lastPrinted>2022-11-11T09:30:42Z</cp:lastPrinted>
  <dcterms:created xsi:type="dcterms:W3CDTF">2014-11-18T07:49:56Z</dcterms:created>
  <dcterms:modified xsi:type="dcterms:W3CDTF">2024-09-24T11:11:58Z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0x010100256C4C0DECB4EF49B5E89E3460461E38</vt:lpwstr>
  </property>
  <property fmtid="{D5CDD505-2E9C-101B-9397-08002B2CF9AE}" pid="4" name="Date Completed">
    <vt:lpwstr/>
  </property>
  <property fmtid="{D5CDD505-2E9C-101B-9397-08002B2CF9AE}" pid="5" name="NoOfPages">
    <vt:lpwstr/>
  </property>
  <property fmtid="{D5CDD505-2E9C-101B-9397-08002B2CF9AE}" pid="6" name="Client">
    <vt:lpwstr/>
  </property>
  <property fmtid="{D5CDD505-2E9C-101B-9397-08002B2CF9AE}" pid="7" name="Locality">
    <vt:lpwstr/>
  </property>
  <property fmtid="{D5CDD505-2E9C-101B-9397-08002B2CF9AE}" pid="8" name="Attension">
    <vt:lpwstr/>
  </property>
  <property fmtid="{D5CDD505-2E9C-101B-9397-08002B2CF9AE}" pid="9" name="Order">
    <vt:r8>534900</vt:r8>
  </property>
  <property fmtid="{D5CDD505-2E9C-101B-9397-08002B2CF9AE}" pid="10" name="Type">
    <vt:lpwstr/>
  </property>
  <property fmtid="{D5CDD505-2E9C-101B-9397-08002B2CF9AE}" pid="11" name="Document no">
    <vt:lpwstr/>
  </property>
  <property fmtid="{D5CDD505-2E9C-101B-9397-08002B2CF9AE}" pid="12" name="xd_ProgID">
    <vt:lpwstr/>
  </property>
  <property fmtid="{D5CDD505-2E9C-101B-9397-08002B2CF9AE}" pid="13" name="PortalAuthor">
    <vt:lpwstr/>
  </property>
  <property fmtid="{D5CDD505-2E9C-101B-9397-08002B2CF9AE}" pid="14" name="COWIKeywords">
    <vt:lpwstr/>
  </property>
  <property fmtid="{D5CDD505-2E9C-101B-9397-08002B2CF9AE}" pid="15" name="PageNo">
    <vt:lpwstr/>
  </property>
  <property fmtid="{D5CDD505-2E9C-101B-9397-08002B2CF9AE}" pid="16" name="WorkFax">
    <vt:lpwstr/>
  </property>
  <property fmtid="{D5CDD505-2E9C-101B-9397-08002B2CF9AE}" pid="17" name="Company">
    <vt:lpwstr/>
  </property>
  <property fmtid="{D5CDD505-2E9C-101B-9397-08002B2CF9AE}" pid="18" name="MonthYear">
    <vt:lpwstr/>
  </property>
  <property fmtid="{D5CDD505-2E9C-101B-9397-08002B2CF9AE}" pid="19" name="TemplateUrl">
    <vt:lpwstr/>
  </property>
  <property fmtid="{D5CDD505-2E9C-101B-9397-08002B2CF9AE}" pid="20" name="CC">
    <vt:lpwstr/>
  </property>
  <property fmtid="{D5CDD505-2E9C-101B-9397-08002B2CF9AE}" pid="21" name="Department">
    <vt:lpwstr/>
  </property>
  <property fmtid="{D5CDD505-2E9C-101B-9397-08002B2CF9AE}" pid="22" name="YoursFaithfully">
    <vt:lpwstr/>
  </property>
  <property fmtid="{D5CDD505-2E9C-101B-9397-08002B2CF9AE}" pid="23" name="ProjectManager">
    <vt:lpwstr/>
  </property>
  <property fmtid="{D5CDD505-2E9C-101B-9397-08002B2CF9AE}" pid="24" name="PortalLanguage">
    <vt:lpwstr/>
  </property>
  <property fmtid="{D5CDD505-2E9C-101B-9397-08002B2CF9AE}" pid="25" name="Address">
    <vt:lpwstr/>
  </property>
  <property fmtid="{D5CDD505-2E9C-101B-9397-08002B2CF9AE}" pid="26" name="MediaServiceImageTags">
    <vt:lpwstr/>
  </property>
</Properties>
</file>