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fan\Desktop\Develop\Group3-orflib\"/>
    </mc:Choice>
  </mc:AlternateContent>
  <xr:revisionPtr revIDLastSave="0" documentId="10_ncr:100000_{6DDB2CF4-95A5-4872-9D38-0C5A33B4D808}" xr6:coauthVersionLast="31" xr6:coauthVersionMax="31" xr10:uidLastSave="{00000000-0000-0000-0000-000000000000}"/>
  <bookViews>
    <workbookView xWindow="0" yWindow="0" windowWidth="23040" windowHeight="9072" xr2:uid="{68880187-0EC6-4487-AE91-7E9B7FCAB64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G7" i="1" l="1"/>
  <c r="G9" i="1" s="1"/>
  <c r="D25" i="1"/>
  <c r="D27" i="1"/>
  <c r="D28" i="1"/>
  <c r="D29" i="1"/>
  <c r="D30" i="1"/>
  <c r="D24" i="1"/>
  <c r="D15" i="1"/>
  <c r="D17" i="1"/>
  <c r="D18" i="1"/>
  <c r="D19" i="1"/>
  <c r="D20" i="1"/>
  <c r="D14" i="1"/>
  <c r="G25" i="1"/>
  <c r="G24" i="1"/>
  <c r="G15" i="1"/>
  <c r="G14" i="1"/>
  <c r="D12" i="1"/>
  <c r="D16" i="1" s="1"/>
  <c r="G4" i="1"/>
  <c r="G3" i="1"/>
  <c r="D26" i="1" l="1"/>
  <c r="G28" i="1"/>
  <c r="G18" i="1"/>
  <c r="G20" i="1" s="1"/>
  <c r="G26" i="1"/>
  <c r="G16" i="1"/>
  <c r="J14" i="1" s="1"/>
  <c r="G17" i="1"/>
  <c r="G5" i="1"/>
  <c r="J3" i="1" s="1"/>
  <c r="G27" i="1"/>
  <c r="K30" i="1" s="1"/>
  <c r="G6" i="1"/>
  <c r="G10" i="1"/>
  <c r="J8" i="1" s="1"/>
  <c r="G8" i="1"/>
  <c r="J5" i="1" s="1"/>
  <c r="G29" i="1" l="1"/>
  <c r="J26" i="1" s="1"/>
  <c r="J27" i="1" s="1"/>
  <c r="G30" i="1"/>
  <c r="G31" i="1"/>
  <c r="G19" i="1"/>
  <c r="K18" i="1" s="1"/>
  <c r="G21" i="1"/>
  <c r="J19" i="1" s="1"/>
  <c r="J18" i="1" s="1"/>
  <c r="K6" i="1"/>
  <c r="K7" i="1"/>
  <c r="J6" i="1"/>
  <c r="K9" i="1"/>
  <c r="J7" i="1"/>
  <c r="J9" i="1"/>
  <c r="J10" i="1" s="1"/>
  <c r="L10" i="1" s="1"/>
  <c r="K3" i="1"/>
  <c r="L3" i="1" s="1"/>
  <c r="K27" i="1" l="1"/>
  <c r="K26" i="1" s="1"/>
  <c r="L26" i="1" s="1"/>
  <c r="M5" i="1" s="1"/>
  <c r="J30" i="1"/>
  <c r="J31" i="1" s="1"/>
  <c r="L31" i="1" s="1"/>
  <c r="M10" i="1" s="1"/>
  <c r="L18" i="1"/>
  <c r="M7" i="1" s="1"/>
  <c r="L7" i="1"/>
  <c r="L6" i="1"/>
  <c r="L9" i="1"/>
  <c r="K14" i="1"/>
  <c r="L14" i="1" s="1"/>
  <c r="M3" i="1" s="1"/>
  <c r="K19" i="1"/>
  <c r="L19" i="1" s="1"/>
  <c r="M8" i="1" s="1"/>
  <c r="K8" i="1"/>
  <c r="L8" i="1" s="1"/>
  <c r="K5" i="1"/>
  <c r="L5" i="1" s="1"/>
  <c r="K4" i="1"/>
  <c r="L4" i="1" s="1"/>
  <c r="L27" i="1" l="1"/>
  <c r="L30" i="1"/>
  <c r="M9" i="1" s="1"/>
  <c r="K15" i="1"/>
  <c r="L15" i="1" s="1"/>
  <c r="M4" i="1" s="1"/>
</calcChain>
</file>

<file path=xl/sharedStrings.xml><?xml version="1.0" encoding="utf-8"?>
<sst xmlns="http://schemas.openxmlformats.org/spreadsheetml/2006/main" count="101" uniqueCount="43">
  <si>
    <t>spot</t>
  </si>
  <si>
    <t>strike</t>
  </si>
  <si>
    <t>barrier</t>
  </si>
  <si>
    <t>timeToExp</t>
  </si>
  <si>
    <t>intRate</t>
  </si>
  <si>
    <t>divYield</t>
  </si>
  <si>
    <t>volatility</t>
  </si>
  <si>
    <t>C_di</t>
  </si>
  <si>
    <t>C_do</t>
  </si>
  <si>
    <t>C_uo</t>
  </si>
  <si>
    <t>C_ui</t>
  </si>
  <si>
    <t>H&lt;=K</t>
  </si>
  <si>
    <t>H&gt;=K</t>
  </si>
  <si>
    <t>d1</t>
  </si>
  <si>
    <t>d2</t>
  </si>
  <si>
    <t>C</t>
  </si>
  <si>
    <t>P</t>
  </si>
  <si>
    <t>P_di</t>
  </si>
  <si>
    <t>P_ui</t>
  </si>
  <si>
    <t>P_uo</t>
  </si>
  <si>
    <t>P_do</t>
  </si>
  <si>
    <t>S</t>
  </si>
  <si>
    <t>T</t>
  </si>
  <si>
    <t>K</t>
  </si>
  <si>
    <t>H</t>
  </si>
  <si>
    <t>r</t>
  </si>
  <si>
    <t>q</t>
  </si>
  <si>
    <t>sig</t>
  </si>
  <si>
    <t>lambda</t>
  </si>
  <si>
    <t>y</t>
  </si>
  <si>
    <t>x1</t>
  </si>
  <si>
    <t>y1</t>
  </si>
  <si>
    <t>m</t>
  </si>
  <si>
    <t>Cmpd times</t>
  </si>
  <si>
    <t>Time interval</t>
  </si>
  <si>
    <t>T/m</t>
  </si>
  <si>
    <t>Closed-Form</t>
  </si>
  <si>
    <t>BGK H*</t>
  </si>
  <si>
    <t>NOTE:</t>
  </si>
  <si>
    <r>
      <t xml:space="preserve">Barrier options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supposed to have a negative price</t>
    </r>
  </si>
  <si>
    <t>In the event where spot &gt;= barrier (S &gt;= H), up-and-?? options are NOT applicable</t>
  </si>
  <si>
    <t>In the event where spot &lt;= barrier (S &lt;= H), down-and-?? options are NOT applicable</t>
  </si>
  <si>
    <t>Have blacked out any irrelevant option prices on the left.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</si>
</sst>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2"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C5003-9D4C-4BBC-9C39-17A95043FCF1}">
  <dimension ref="B2:X31"/>
  <sheetViews>
    <sheetView tabSelected="1" zoomScaleNormal="100" workbookViewId="0">
      <selection activeCell="G2" sqref="G2"/>
    </sheetView>
  </sheetViews>
  <sheetFormatPr defaultRowHeight="14.4" x14ac:dyDescent="0.3"/>
  <cols>
    <col min="2" max="2" width="11.6640625" style="1" customWidth="1"/>
    <col min="3" max="3" width="4.33203125" style="1" bestFit="1" customWidth="1"/>
    <col min="4" max="4" width="7.6640625" style="1" customWidth="1"/>
    <col min="5" max="9" width="8.88671875" style="1"/>
    <col min="10" max="11" width="8.88671875" style="1" hidden="1" customWidth="1"/>
    <col min="12" max="12" width="12.6640625" style="1" bestFit="1" customWidth="1"/>
    <col min="13" max="13" width="12.6640625" bestFit="1" customWidth="1"/>
    <col min="19" max="19" width="16.109375" customWidth="1"/>
  </cols>
  <sheetData>
    <row r="2" spans="2:24" x14ac:dyDescent="0.3">
      <c r="I2" s="8"/>
      <c r="J2" s="8" t="s">
        <v>11</v>
      </c>
      <c r="K2" s="8" t="s">
        <v>12</v>
      </c>
      <c r="L2" s="8" t="s">
        <v>36</v>
      </c>
      <c r="M2" s="8" t="s">
        <v>37</v>
      </c>
      <c r="N2" s="1"/>
      <c r="O2" s="5" t="s">
        <v>38</v>
      </c>
      <c r="P2" s="1"/>
      <c r="Q2" s="1"/>
      <c r="R2" s="1"/>
      <c r="S2" s="1"/>
      <c r="T2" s="1"/>
      <c r="U2" s="2"/>
      <c r="V2" s="2"/>
      <c r="W2" s="2"/>
      <c r="X2" s="2"/>
    </row>
    <row r="3" spans="2:24" x14ac:dyDescent="0.3">
      <c r="B3" s="1" t="s">
        <v>0</v>
      </c>
      <c r="C3" s="1" t="s">
        <v>21</v>
      </c>
      <c r="D3" s="1">
        <v>100</v>
      </c>
      <c r="F3" s="1" t="s">
        <v>13</v>
      </c>
      <c r="G3" s="1">
        <f>(LN($D$3/$D$4)+($D$7-$D$8+$D$9^2/2)*$D$6)/$D$9/SQRT($D$6)</f>
        <v>0.245</v>
      </c>
      <c r="I3" s="8" t="s">
        <v>10</v>
      </c>
      <c r="J3" s="8">
        <f>G5</f>
        <v>11.123761928058137</v>
      </c>
      <c r="K3" s="8">
        <f>D3*_xlfn.NORM.DIST(G9,0,1,TRUE)*EXP(-D8*D6) - D4*EXP(-D7*D6)*_xlfn.NORM.DIST(G9-D9*SQRT(D6),0,1,TRUE) - D3*EXP(-D8*D6)*(D5/D3)^(2*G7)*(_xlfn.NORM.DIST(-G8,0,1,TRUE)-_xlfn.NORM.DIST(-G10,0,1,TRUE)) + D4*EXP(-D7*D6)*(D5/D3)^(2*G7-2)*(_xlfn.NORM.DIST(-G8+D9*SQRT(D6),0,1,TRUE)-_xlfn.NORM.DIST(-G10+D9*SQRT(D6),0,1,TRUE))</f>
        <v>11.061479567785307</v>
      </c>
      <c r="L3" s="9">
        <f>IF($D$5&gt;=$D$4,K3,J3)</f>
        <v>11.061479567785307</v>
      </c>
      <c r="M3" s="10">
        <f>L14</f>
        <v>10.877572469212788</v>
      </c>
      <c r="N3" s="1"/>
      <c r="O3" s="6" t="s">
        <v>39</v>
      </c>
      <c r="P3" s="1"/>
      <c r="Q3" s="1"/>
      <c r="R3" s="1"/>
      <c r="S3" s="1"/>
      <c r="T3" s="1"/>
      <c r="U3" s="2"/>
      <c r="V3" s="2"/>
      <c r="W3" s="2"/>
      <c r="X3" s="3"/>
    </row>
    <row r="4" spans="2:24" x14ac:dyDescent="0.3">
      <c r="B4" s="1" t="s">
        <v>1</v>
      </c>
      <c r="C4" s="1" t="s">
        <v>23</v>
      </c>
      <c r="D4" s="1">
        <v>100</v>
      </c>
      <c r="F4" s="1" t="s">
        <v>14</v>
      </c>
      <c r="G4" s="1">
        <f>(LN($D$3/$D$4)+($D$7-$D$8-$D$9^2/2)*$D$6)/$D$9/SQRT($D$6)</f>
        <v>-4.9999999999999906E-3</v>
      </c>
      <c r="I4" s="8" t="s">
        <v>9</v>
      </c>
      <c r="J4" s="8">
        <v>0</v>
      </c>
      <c r="K4" s="8">
        <f>G5-K3</f>
        <v>6.2282360272829962E-2</v>
      </c>
      <c r="L4" s="9">
        <f t="shared" ref="L4:L10" si="0">IF($D$5&gt;=$D$4,K4,J4)</f>
        <v>6.2282360272829962E-2</v>
      </c>
      <c r="M4" s="10">
        <f>L15</f>
        <v>0.2461894588453486</v>
      </c>
      <c r="N4" s="1"/>
      <c r="O4" s="6" t="s">
        <v>40</v>
      </c>
      <c r="P4" s="1"/>
      <c r="Q4" s="1"/>
      <c r="R4" s="1"/>
      <c r="S4" s="1"/>
      <c r="T4" s="1"/>
      <c r="U4" s="2"/>
      <c r="V4" s="2"/>
      <c r="W4" s="2"/>
      <c r="X4" s="3"/>
    </row>
    <row r="5" spans="2:24" x14ac:dyDescent="0.3">
      <c r="B5" s="1" t="s">
        <v>2</v>
      </c>
      <c r="C5" s="1" t="s">
        <v>24</v>
      </c>
      <c r="D5" s="1">
        <v>110</v>
      </c>
      <c r="F5" s="1" t="s">
        <v>15</v>
      </c>
      <c r="G5" s="1">
        <f>D3*EXP(-D8*D6)*_xlfn.NORM.DIST(G3,0,1,TRUE) - D4*EXP(-D7*D6)*_xlfn.NORM.DIST(G4,0,1,TRUE)</f>
        <v>11.123761928058137</v>
      </c>
      <c r="I5" s="8" t="s">
        <v>7</v>
      </c>
      <c r="J5" s="8">
        <f>D3*EXP(-D8*D6)*(D5/D3)^(2*G7)*_xlfn.NORM.DIST(G8,0,1,TRUE)-D4*EXP(-D7*D6)*(D5/D3)^(2*G7-2)*_xlfn.NORM.DIST(G8-D9*SQRT(D6),0,1,TRUE)</f>
        <v>26.121826668454972</v>
      </c>
      <c r="K5" s="8">
        <f>G5-K6</f>
        <v>26.184109028727789</v>
      </c>
      <c r="L5" s="9">
        <f t="shared" si="0"/>
        <v>26.184109028727789</v>
      </c>
      <c r="M5" s="10">
        <f>L26</f>
        <v>18.546393627998746</v>
      </c>
      <c r="N5" s="1"/>
      <c r="O5" s="6" t="s">
        <v>41</v>
      </c>
      <c r="P5" s="1"/>
      <c r="Q5" s="1"/>
      <c r="R5" s="1"/>
      <c r="S5" s="1"/>
      <c r="T5" s="1"/>
      <c r="U5" s="2"/>
      <c r="V5" s="2"/>
      <c r="W5" s="2"/>
      <c r="X5" s="3"/>
    </row>
    <row r="6" spans="2:24" x14ac:dyDescent="0.3">
      <c r="B6" s="1" t="s">
        <v>3</v>
      </c>
      <c r="C6" s="1" t="s">
        <v>22</v>
      </c>
      <c r="D6" s="1">
        <v>1</v>
      </c>
      <c r="F6" s="1" t="s">
        <v>16</v>
      </c>
      <c r="G6" s="1">
        <f>D4*EXP(-D7*D6)*_xlfn.NORM.DIST(-G4,0,1,TRUE) - D3*EXP(-D8*D6)*_xlfn.NORM.DIST(-G3,0,1,TRUE)</f>
        <v>8.2268370474540049</v>
      </c>
      <c r="I6" s="8" t="s">
        <v>8</v>
      </c>
      <c r="J6" s="8">
        <f>G5-J5</f>
        <v>-14.998064740396835</v>
      </c>
      <c r="K6" s="8">
        <f>D3*_xlfn.NORM.DIST(G9,0,1,TRUE)*EXP(-D8*D6) - D4*EXP(-D7*D6)*_xlfn.NORM.DIST(G9-D9*SQRT(D6),0,1,TRUE) - D3*EXP(-D8*D6)*(D5/D3)^(2*G7)*_xlfn.NORM.DIST(G10,0,1,TRUE) + D4*EXP(-D7*D6)*(D5/D3)^(2*G7-2)*_xlfn.NORM.DIST(G10-D9*SQRT(D6),0,1,TRUE)</f>
        <v>-15.060347100669652</v>
      </c>
      <c r="L6" s="9">
        <f t="shared" si="0"/>
        <v>-15.060347100669652</v>
      </c>
      <c r="M6" s="11">
        <f>L27</f>
        <v>-7.4226316999406095</v>
      </c>
      <c r="N6" s="1"/>
      <c r="O6" s="6"/>
      <c r="P6" s="1"/>
      <c r="Q6" s="1"/>
      <c r="R6" s="1"/>
      <c r="S6" s="1"/>
      <c r="T6" s="1"/>
      <c r="U6" s="2"/>
      <c r="V6" s="2"/>
      <c r="W6" s="2"/>
      <c r="X6" s="3"/>
    </row>
    <row r="7" spans="2:24" x14ac:dyDescent="0.3">
      <c r="B7" s="1" t="s">
        <v>4</v>
      </c>
      <c r="C7" s="1" t="s">
        <v>25</v>
      </c>
      <c r="D7" s="1">
        <v>0.05</v>
      </c>
      <c r="F7" s="1" t="s">
        <v>28</v>
      </c>
      <c r="G7" s="1">
        <f>(D7-D8+(D9^2)/2)/(D9^2)</f>
        <v>0.98</v>
      </c>
      <c r="I7" s="8" t="s">
        <v>18</v>
      </c>
      <c r="J7" s="8">
        <f>G6-J8</f>
        <v>2.7923610860885333</v>
      </c>
      <c r="K7" s="8">
        <f>-D3*EXP(-D8*D6)*(D5/D3)^(2*G7)*_xlfn.NORM.DIST(-G8,0,1,TRUE)+D4*EXP(-D7*D6)*(D5/D3)^(2*G7-2)*_xlfn.NORM.DIST(-G8+D9*SQRT(D6),0,1,TRUE)</f>
        <v>2.7300787258157264</v>
      </c>
      <c r="L7" s="9">
        <f t="shared" si="0"/>
        <v>2.7300787258157264</v>
      </c>
      <c r="M7" s="10">
        <f>L18</f>
        <v>1.4785860352231062</v>
      </c>
      <c r="N7" s="1"/>
      <c r="O7" s="7" t="s">
        <v>42</v>
      </c>
      <c r="P7" s="1"/>
      <c r="Q7" s="1"/>
      <c r="R7" s="1"/>
      <c r="S7" s="1"/>
      <c r="T7" s="1"/>
      <c r="U7" s="2"/>
      <c r="V7" s="2"/>
      <c r="W7" s="2"/>
      <c r="X7" s="3"/>
    </row>
    <row r="8" spans="2:24" x14ac:dyDescent="0.3">
      <c r="B8" s="1" t="s">
        <v>5</v>
      </c>
      <c r="C8" s="1" t="s">
        <v>26</v>
      </c>
      <c r="D8" s="1">
        <v>0.02</v>
      </c>
      <c r="F8" s="1" t="s">
        <v>29</v>
      </c>
      <c r="G8" s="1">
        <f>(LN(D5^2/D3/D4))/D9/SQRT(D6)+G7*D9*SQRT(D6)</f>
        <v>1.0074814384345987</v>
      </c>
      <c r="I8" s="8" t="s">
        <v>19</v>
      </c>
      <c r="J8" s="8">
        <f>-D3*_xlfn.NORM.DIST(-G9,0,1,TRUE)*EXP(-D8*D6) + D4*EXP(-D7*D6)*_xlfn.NORM.DIST(-G9+D9*SQRT(D6),0,1,TRUE) + D3*EXP(-D8*D6)*(D5/D3)^(2*G7)*_xlfn.NORM.DIST(-G10,0,1,TRUE) - D4*EXP(-D7*D6)*(D5/D3)^(2*G7-2)*_xlfn.NORM.DIST(-G10+D9*SQRT(D6),0,1,TRUE)</f>
        <v>5.4344759613654716</v>
      </c>
      <c r="K8" s="8">
        <f>G6-K7</f>
        <v>5.4967583216382785</v>
      </c>
      <c r="L8" s="9">
        <f t="shared" si="0"/>
        <v>5.4967583216382785</v>
      </c>
      <c r="M8" s="10">
        <f>L19</f>
        <v>6.7482510122308987</v>
      </c>
      <c r="N8" s="1"/>
      <c r="O8" s="1"/>
      <c r="P8" s="1"/>
      <c r="Q8" s="1"/>
      <c r="R8" s="1"/>
      <c r="S8" s="1"/>
      <c r="T8" s="1"/>
      <c r="U8" s="2"/>
      <c r="V8" s="2"/>
      <c r="W8" s="2"/>
      <c r="X8" s="3"/>
    </row>
    <row r="9" spans="2:24" x14ac:dyDescent="0.3">
      <c r="B9" s="1" t="s">
        <v>6</v>
      </c>
      <c r="C9" s="1" t="s">
        <v>27</v>
      </c>
      <c r="D9" s="1">
        <v>0.25</v>
      </c>
      <c r="F9" s="1" t="s">
        <v>30</v>
      </c>
      <c r="G9" s="1">
        <f>(LN(D3/D5))/D9/SQRT(D6)+G7*D9*SQRT(D6)</f>
        <v>-0.13624071921729958</v>
      </c>
      <c r="I9" s="8" t="s">
        <v>17</v>
      </c>
      <c r="J9" s="8">
        <f>-D3*_xlfn.NORM.DIST(-G9,0,1,TRUE)*EXP(-D8*D6) + D4*EXP(-D7*D6)*_xlfn.NORM.DIST(-G9+D9*SQRT(D6),0,1,TRUE) + D3*EXP(-D8*D6)*(D5/D3)^(2*G7)*(_xlfn.NORM.DIST(G8,0,1,TRUE)-_xlfn.NORM.DIST(G10,0,1,TRUE)) - D4*EXP(-D7*D6)*(D5/D3)^(2*G7-2)*(_xlfn.NORM.DIST(G8-D9*SQRT(D6),0,1,TRUE)-_xlfn.NORM.DIST(G10-D9*SQRT(D6),0,1,TRUE))</f>
        <v>8.1645546871811945</v>
      </c>
      <c r="K9" s="8">
        <f>G6</f>
        <v>8.2268370474540049</v>
      </c>
      <c r="L9" s="9">
        <f t="shared" si="0"/>
        <v>8.2268370474540049</v>
      </c>
      <c r="M9" s="10">
        <f>L30</f>
        <v>8.2268370474540049</v>
      </c>
      <c r="N9" s="1"/>
      <c r="O9" s="1"/>
      <c r="P9" s="1"/>
      <c r="Q9" s="1"/>
      <c r="R9" s="1"/>
      <c r="S9" s="1"/>
      <c r="T9" s="1"/>
      <c r="U9" s="2"/>
      <c r="V9" s="2"/>
      <c r="W9" s="2"/>
      <c r="X9" s="3"/>
    </row>
    <row r="10" spans="2:24" x14ac:dyDescent="0.3">
      <c r="F10" s="1" t="s">
        <v>31</v>
      </c>
      <c r="G10" s="1">
        <f>(LN(D5/D3))/D9/SQRT(D6)+G7*D9*SQRT(D6)</f>
        <v>0.62624071921729973</v>
      </c>
      <c r="I10" s="8" t="s">
        <v>20</v>
      </c>
      <c r="J10" s="8">
        <f>G6-J9</f>
        <v>6.2282360272810422E-2</v>
      </c>
      <c r="K10" s="8">
        <v>0</v>
      </c>
      <c r="L10" s="9">
        <f t="shared" si="0"/>
        <v>0</v>
      </c>
      <c r="M10" s="10">
        <f>L31</f>
        <v>0</v>
      </c>
      <c r="N10" s="1"/>
      <c r="O10" s="1"/>
      <c r="P10" s="1"/>
      <c r="Q10" s="1"/>
      <c r="R10" s="1"/>
      <c r="S10" s="1"/>
      <c r="T10" s="1"/>
      <c r="U10" s="2"/>
      <c r="V10" s="2"/>
      <c r="W10" s="2"/>
      <c r="X10" s="3"/>
    </row>
    <row r="11" spans="2:24" x14ac:dyDescent="0.3">
      <c r="B11" s="1" t="s">
        <v>33</v>
      </c>
      <c r="C11" s="1" t="s">
        <v>32</v>
      </c>
      <c r="D11" s="1">
        <v>12</v>
      </c>
    </row>
    <row r="12" spans="2:24" x14ac:dyDescent="0.3">
      <c r="B12" s="1" t="s">
        <v>34</v>
      </c>
      <c r="C12" s="1" t="s">
        <v>35</v>
      </c>
      <c r="D12" s="1">
        <f>D6/D11</f>
        <v>8.3333333333333329E-2</v>
      </c>
    </row>
    <row r="13" spans="2:24" hidden="1" x14ac:dyDescent="0.3">
      <c r="I13" s="2"/>
      <c r="J13" s="2" t="s">
        <v>11</v>
      </c>
      <c r="K13" s="2" t="s">
        <v>12</v>
      </c>
      <c r="L13" s="2" t="s">
        <v>36</v>
      </c>
    </row>
    <row r="14" spans="2:24" hidden="1" x14ac:dyDescent="0.3">
      <c r="B14" s="1" t="s">
        <v>0</v>
      </c>
      <c r="C14" s="1" t="s">
        <v>21</v>
      </c>
      <c r="D14" s="1">
        <f>D3</f>
        <v>100</v>
      </c>
      <c r="F14" s="1" t="s">
        <v>13</v>
      </c>
      <c r="G14" s="1">
        <f>(LN($D$3/$D$4)+($D$7-$D$8+$D$9^2/2)*$D$6)/$D$9/SQRT($D$6)</f>
        <v>0.245</v>
      </c>
      <c r="I14" s="2" t="s">
        <v>10</v>
      </c>
      <c r="J14" s="2">
        <f>G16</f>
        <v>11.123761928058137</v>
      </c>
      <c r="K14" s="2">
        <f>D14*_xlfn.NORM.DIST(G20,0,1,TRUE)*EXP(-D19*D17) - D15*EXP(-D18*D17)*_xlfn.NORM.DIST(G20-D20*SQRT(D17),0,1,TRUE) - D14*EXP(-D19*D17)*(D16/D14)^(2*G18)*(_xlfn.NORM.DIST(-G19,0,1,TRUE)-_xlfn.NORM.DIST(-G21,0,1,TRUE)) + D15*EXP(-D18*D17)*(D16/D14)^(2*G18-2)*(_xlfn.NORM.DIST(-G19+D20*SQRT(D17),0,1,TRUE)-_xlfn.NORM.DIST(-G21+D20*SQRT(D17),0,1,TRUE))</f>
        <v>10.877572469212788</v>
      </c>
      <c r="L14" s="3">
        <f>IF($D$5&gt;=$D$4,K14,J14)</f>
        <v>10.877572469212788</v>
      </c>
    </row>
    <row r="15" spans="2:24" hidden="1" x14ac:dyDescent="0.3">
      <c r="B15" s="1" t="s">
        <v>1</v>
      </c>
      <c r="C15" s="1" t="s">
        <v>23</v>
      </c>
      <c r="D15" s="1">
        <f t="shared" ref="D15:D20" si="1">D4</f>
        <v>100</v>
      </c>
      <c r="F15" s="1" t="s">
        <v>14</v>
      </c>
      <c r="G15" s="1">
        <f>(LN($D$3/$D$4)+($D$7-$D$8-$D$9^2/2)*$D$6)/$D$9/SQRT($D$6)</f>
        <v>-4.9999999999999906E-3</v>
      </c>
      <c r="I15" s="2" t="s">
        <v>9</v>
      </c>
      <c r="J15" s="2">
        <v>0</v>
      </c>
      <c r="K15" s="2">
        <f>G16-K14</f>
        <v>0.2461894588453486</v>
      </c>
      <c r="L15" s="3">
        <f t="shared" ref="L15:L19" si="2">IF($D$5&gt;=$D$4,K15,J15)</f>
        <v>0.2461894588453486</v>
      </c>
    </row>
    <row r="16" spans="2:24" hidden="1" x14ac:dyDescent="0.3">
      <c r="B16" s="1" t="s">
        <v>2</v>
      </c>
      <c r="C16" s="1" t="s">
        <v>24</v>
      </c>
      <c r="D16" s="4">
        <f>D5*EXP(0.5826*D9*SQRT(D12))</f>
        <v>114.72361629466076</v>
      </c>
      <c r="F16" s="1" t="s">
        <v>15</v>
      </c>
      <c r="G16" s="1">
        <f>D14*EXP(-D19*D17)*_xlfn.NORM.DIST(G14,0,1,TRUE) - D15*EXP(-D18*D17)*_xlfn.NORM.DIST(G15,0,1,TRUE)</f>
        <v>11.123761928058137</v>
      </c>
      <c r="I16" s="2"/>
      <c r="J16" s="2"/>
      <c r="K16" s="2"/>
      <c r="L16" s="3"/>
    </row>
    <row r="17" spans="2:12" hidden="1" x14ac:dyDescent="0.3">
      <c r="B17" s="1" t="s">
        <v>3</v>
      </c>
      <c r="C17" s="1" t="s">
        <v>22</v>
      </c>
      <c r="D17" s="1">
        <f t="shared" si="1"/>
        <v>1</v>
      </c>
      <c r="F17" s="1" t="s">
        <v>16</v>
      </c>
      <c r="G17" s="1">
        <f>D15*EXP(-D18*D17)*_xlfn.NORM.DIST(-G15,0,1,TRUE) - D14*EXP(-D19*D17)*_xlfn.NORM.DIST(-G14,0,1,TRUE)</f>
        <v>8.2268370474540049</v>
      </c>
      <c r="I17" s="2"/>
      <c r="J17" s="2"/>
      <c r="K17" s="2"/>
      <c r="L17" s="3"/>
    </row>
    <row r="18" spans="2:12" hidden="1" x14ac:dyDescent="0.3">
      <c r="B18" s="1" t="s">
        <v>4</v>
      </c>
      <c r="C18" s="1" t="s">
        <v>25</v>
      </c>
      <c r="D18" s="1">
        <f t="shared" si="1"/>
        <v>0.05</v>
      </c>
      <c r="F18" s="1" t="s">
        <v>28</v>
      </c>
      <c r="G18" s="1">
        <f>(D18-D19+D20^2/2)/D20^2</f>
        <v>0.98</v>
      </c>
      <c r="I18" s="2" t="s">
        <v>18</v>
      </c>
      <c r="J18" s="2">
        <f>G17-J19</f>
        <v>1.7247754940684459</v>
      </c>
      <c r="K18" s="2">
        <f>-D14*EXP(-D19*D17)*(D16/D14)^(2*G18)*_xlfn.NORM.DIST(-G19,0,1,TRUE)+D15*EXP(-D18*D17)*(D16/D14)^(2*G18-2)*_xlfn.NORM.DIST(-G19+D20*SQRT(D17),0,1,TRUE)</f>
        <v>1.4785860352231062</v>
      </c>
      <c r="L18" s="3">
        <f t="shared" si="2"/>
        <v>1.4785860352231062</v>
      </c>
    </row>
    <row r="19" spans="2:12" hidden="1" x14ac:dyDescent="0.3">
      <c r="B19" s="1" t="s">
        <v>5</v>
      </c>
      <c r="C19" s="1" t="s">
        <v>26</v>
      </c>
      <c r="D19" s="1">
        <f t="shared" si="1"/>
        <v>0.02</v>
      </c>
      <c r="F19" s="1" t="s">
        <v>29</v>
      </c>
      <c r="G19" s="1">
        <f>(LN(D16^2/D14/D15))/D20/SQRT(D17)+G18*D20*SQRT(D17)</f>
        <v>1.3438457052644748</v>
      </c>
      <c r="I19" s="2" t="s">
        <v>19</v>
      </c>
      <c r="J19" s="2">
        <f>-D14*_xlfn.NORM.DIST(-G20,0,1,TRUE)*EXP(-D19*D17) + D15*EXP(-D18*D17)*_xlfn.NORM.DIST(-G20+D20*SQRT(D17),0,1,TRUE) + D14*EXP(-D19*D17)*(D16/D14)^(2*G18)*_xlfn.NORM.DIST(-G21,0,1,TRUE) - D15*EXP(-D18*D17)*(D16/D14)^(2*G18-2)*_xlfn.NORM.DIST(-G21+D20*SQRT(D17),0,1,TRUE)</f>
        <v>6.502061553385559</v>
      </c>
      <c r="K19" s="2">
        <f>G17-K18</f>
        <v>6.7482510122308987</v>
      </c>
      <c r="L19" s="3">
        <f t="shared" si="2"/>
        <v>6.7482510122308987</v>
      </c>
    </row>
    <row r="20" spans="2:12" hidden="1" x14ac:dyDescent="0.3">
      <c r="B20" s="1" t="s">
        <v>6</v>
      </c>
      <c r="C20" s="1" t="s">
        <v>27</v>
      </c>
      <c r="D20" s="1">
        <f t="shared" si="1"/>
        <v>0.25</v>
      </c>
      <c r="F20" s="1" t="s">
        <v>30</v>
      </c>
      <c r="G20" s="1">
        <f>(LN(D14/D16))/D20/SQRT(D17)+G18*D20*SQRT(D17)</f>
        <v>-0.30442285263223745</v>
      </c>
      <c r="I20" s="2"/>
      <c r="J20" s="2"/>
      <c r="K20" s="2"/>
      <c r="L20" s="3"/>
    </row>
    <row r="21" spans="2:12" hidden="1" x14ac:dyDescent="0.3">
      <c r="F21" s="1" t="s">
        <v>31</v>
      </c>
      <c r="G21" s="1">
        <f>(LN(D16/D14))/D20/SQRT(D17)+G18*D20*SQRT(D17)</f>
        <v>0.79442285263223789</v>
      </c>
      <c r="I21" s="2"/>
      <c r="J21" s="2"/>
      <c r="K21" s="2"/>
      <c r="L21" s="3"/>
    </row>
    <row r="22" spans="2:12" hidden="1" x14ac:dyDescent="0.3"/>
    <row r="23" spans="2:12" hidden="1" x14ac:dyDescent="0.3">
      <c r="I23" s="2"/>
      <c r="J23" s="2" t="s">
        <v>11</v>
      </c>
      <c r="K23" s="2" t="s">
        <v>12</v>
      </c>
      <c r="L23" s="2" t="s">
        <v>36</v>
      </c>
    </row>
    <row r="24" spans="2:12" hidden="1" x14ac:dyDescent="0.3">
      <c r="B24" s="1" t="s">
        <v>0</v>
      </c>
      <c r="C24" s="1" t="s">
        <v>21</v>
      </c>
      <c r="D24" s="1">
        <f>D3</f>
        <v>100</v>
      </c>
      <c r="F24" s="1" t="s">
        <v>13</v>
      </c>
      <c r="G24" s="1">
        <f>(LN($D$3/$D$4)+($D$7-$D$8+$D$9^2/2)*$D$6)/$D$9/SQRT($D$6)</f>
        <v>0.245</v>
      </c>
      <c r="I24" s="2"/>
      <c r="J24" s="2"/>
      <c r="K24" s="2"/>
      <c r="L24" s="3"/>
    </row>
    <row r="25" spans="2:12" hidden="1" x14ac:dyDescent="0.3">
      <c r="B25" s="1" t="s">
        <v>1</v>
      </c>
      <c r="C25" s="1" t="s">
        <v>23</v>
      </c>
      <c r="D25" s="1">
        <f t="shared" ref="D25:D30" si="3">D4</f>
        <v>100</v>
      </c>
      <c r="F25" s="1" t="s">
        <v>14</v>
      </c>
      <c r="G25" s="1">
        <f>(LN($D$3/$D$4)+($D$7-$D$8-$D$9^2/2)*$D$6)/$D$9/SQRT($D$6)</f>
        <v>-4.9999999999999906E-3</v>
      </c>
      <c r="I25" s="2"/>
      <c r="J25" s="2"/>
      <c r="K25" s="2"/>
      <c r="L25" s="3"/>
    </row>
    <row r="26" spans="2:12" hidden="1" x14ac:dyDescent="0.3">
      <c r="B26" s="1" t="s">
        <v>2</v>
      </c>
      <c r="C26" s="1" t="s">
        <v>24</v>
      </c>
      <c r="D26" s="1">
        <f>D5*EXP(-0.5826*D9*SQRT(D12))</f>
        <v>105.47087331105283</v>
      </c>
      <c r="F26" s="1" t="s">
        <v>15</v>
      </c>
      <c r="G26" s="1">
        <f>D24*EXP(-D29*D27)*_xlfn.NORM.DIST(G24,0,1,TRUE) - D25*EXP(-D28*D27)*_xlfn.NORM.DIST(G25,0,1,TRUE)</f>
        <v>11.123761928058137</v>
      </c>
      <c r="I26" s="2" t="s">
        <v>7</v>
      </c>
      <c r="J26" s="2">
        <f>D24*EXP(-D29*D27)*(D26/D24)^(2*G28)*_xlfn.NORM.DIST(G29,0,1,TRUE)-D25*EXP(-D28*D27)*(D26/D24)^(2*G28-2)*_xlfn.NORM.DIST(G29-D30*SQRT(D27),0,1,TRUE)</f>
        <v>18.539984074335294</v>
      </c>
      <c r="K26" s="2">
        <f>G26-K27</f>
        <v>18.546393627998746</v>
      </c>
      <c r="L26" s="3">
        <f t="shared" ref="L26:L31" si="4">IF($D$5&gt;=$D$4,K26,J26)</f>
        <v>18.546393627998746</v>
      </c>
    </row>
    <row r="27" spans="2:12" hidden="1" x14ac:dyDescent="0.3">
      <c r="B27" s="1" t="s">
        <v>3</v>
      </c>
      <c r="C27" s="1" t="s">
        <v>22</v>
      </c>
      <c r="D27" s="1">
        <f t="shared" si="3"/>
        <v>1</v>
      </c>
      <c r="F27" s="1" t="s">
        <v>16</v>
      </c>
      <c r="G27" s="1">
        <f>D25*EXP(-D28*D27)*_xlfn.NORM.DIST(-G25,0,1,TRUE) - D24*EXP(-D29*D27)*_xlfn.NORM.DIST(-G24,0,1,TRUE)</f>
        <v>8.2268370474540049</v>
      </c>
      <c r="I27" s="2" t="s">
        <v>8</v>
      </c>
      <c r="J27" s="2">
        <f>G26-J26</f>
        <v>-7.4162221462771569</v>
      </c>
      <c r="K27" s="2">
        <f>D24*_xlfn.NORM.DIST(G30,0,1,TRUE)*EXP(-D29*D27) - D25*EXP(-D28*D27)*_xlfn.NORM.DIST(G30-D30*SQRT(D27),0,1,TRUE) - D24*EXP(-D29*D27)*(D26/D24)^(2*G28)*_xlfn.NORM.DIST(G31,0,1,TRUE) + D25*EXP(-D28*D27)*(D26/D24)^(2*G28-2)*_xlfn.NORM.DIST(G31-D30*SQRT(D27),0,1,TRUE)</f>
        <v>-7.4226316999406095</v>
      </c>
      <c r="L27" s="3">
        <f t="shared" si="4"/>
        <v>-7.4226316999406095</v>
      </c>
    </row>
    <row r="28" spans="2:12" hidden="1" x14ac:dyDescent="0.3">
      <c r="B28" s="1" t="s">
        <v>4</v>
      </c>
      <c r="C28" s="1" t="s">
        <v>25</v>
      </c>
      <c r="D28" s="1">
        <f t="shared" si="3"/>
        <v>0.05</v>
      </c>
      <c r="F28" s="1" t="s">
        <v>28</v>
      </c>
      <c r="G28" s="1">
        <f>(D28-D29+D30^2/2)/D30^2</f>
        <v>0.98</v>
      </c>
      <c r="I28" s="2"/>
      <c r="J28" s="2"/>
      <c r="K28" s="2"/>
      <c r="L28" s="3"/>
    </row>
    <row r="29" spans="2:12" hidden="1" x14ac:dyDescent="0.3">
      <c r="B29" s="1" t="s">
        <v>5</v>
      </c>
      <c r="C29" s="1" t="s">
        <v>26</v>
      </c>
      <c r="D29" s="1">
        <f t="shared" si="3"/>
        <v>0.02</v>
      </c>
      <c r="F29" s="1" t="s">
        <v>29</v>
      </c>
      <c r="G29" s="1">
        <f>(LN(D26^2/D24/D25))/D30/SQRT(D27)+G28*D30*SQRT(D27)</f>
        <v>0.67111717160472284</v>
      </c>
      <c r="I29" s="2"/>
      <c r="J29" s="2"/>
      <c r="K29" s="2"/>
      <c r="L29" s="3"/>
    </row>
    <row r="30" spans="2:12" hidden="1" x14ac:dyDescent="0.3">
      <c r="B30" s="1" t="s">
        <v>6</v>
      </c>
      <c r="C30" s="1" t="s">
        <v>27</v>
      </c>
      <c r="D30" s="1">
        <f t="shared" si="3"/>
        <v>0.25</v>
      </c>
      <c r="F30" s="1" t="s">
        <v>30</v>
      </c>
      <c r="G30" s="1">
        <f>(LN(D24/D26))/D30/SQRT(D27)+G28*D30*SQRT(D27)</f>
        <v>3.1941414197638407E-2</v>
      </c>
      <c r="I30" s="2" t="s">
        <v>17</v>
      </c>
      <c r="J30" s="2">
        <f>-D24*_xlfn.NORM.DIST(-G30,0,1,TRUE)*EXP(-D29*D27) + D25*EXP(-D28*D27)*_xlfn.NORM.DIST(-G30+D30*SQRT(D27),0,1,TRUE) + D24*EXP(-D29*D27)*(D26/D24)^(2*G28)*(_xlfn.NORM.DIST(G29,0,1,TRUE)-_xlfn.NORM.DIST(G31,0,1,TRUE)) - D25*EXP(-D28*D27)*(D26/D24)^(2*G28-2)*(_xlfn.NORM.DIST(G29-D30*SQRT(D27),0,1,TRUE)-_xlfn.NORM.DIST(G31-D30*SQRT(D27),0,1,TRUE))</f>
        <v>8.2204274937905524</v>
      </c>
      <c r="K30" s="2">
        <f>G27</f>
        <v>8.2268370474540049</v>
      </c>
      <c r="L30" s="3">
        <f t="shared" si="4"/>
        <v>8.2268370474540049</v>
      </c>
    </row>
    <row r="31" spans="2:12" hidden="1" x14ac:dyDescent="0.3">
      <c r="F31" s="1" t="s">
        <v>31</v>
      </c>
      <c r="G31" s="1">
        <f>(LN(D26/D24))/D30/SQRT(D27)+G28*D30*SQRT(D27)</f>
        <v>0.45805858580236153</v>
      </c>
      <c r="I31" s="2" t="s">
        <v>20</v>
      </c>
      <c r="J31" s="2">
        <f>G27-J30</f>
        <v>6.4095536634525274E-3</v>
      </c>
      <c r="K31" s="2">
        <v>0</v>
      </c>
      <c r="L31" s="3">
        <f t="shared" si="4"/>
        <v>0</v>
      </c>
    </row>
  </sheetData>
  <conditionalFormatting sqref="L3:M4 L7:M8">
    <cfRule type="expression" dxfId="1" priority="2">
      <formula>$D$3&gt;=$D$5</formula>
    </cfRule>
  </conditionalFormatting>
  <conditionalFormatting sqref="L5:M6 L9:M10">
    <cfRule type="expression" dxfId="0" priority="1">
      <formula>$D$3&lt;=$D$5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Rong Fan</dc:creator>
  <cp:lastModifiedBy>Jia Rong Fan</cp:lastModifiedBy>
  <dcterms:created xsi:type="dcterms:W3CDTF">2019-01-01T04:58:17Z</dcterms:created>
  <dcterms:modified xsi:type="dcterms:W3CDTF">2019-01-01T20:13:29Z</dcterms:modified>
</cp:coreProperties>
</file>