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FINAL ING ECONOMICA\"/>
    </mc:Choice>
  </mc:AlternateContent>
  <bookViews>
    <workbookView xWindow="-120" yWindow="-120" windowWidth="20730" windowHeight="11760" tabRatio="1000"/>
  </bookViews>
  <sheets>
    <sheet name="TEMAS 6" sheetId="9" r:id="rId1"/>
    <sheet name="Amort. Cuota Fija" sheetId="1" r:id="rId2"/>
    <sheet name="Amort. Cuota Fija con p.gracia " sheetId="8" r:id="rId3"/>
    <sheet name="Amort. Cuota Fija + Cuota Extr" sheetId="10" r:id="rId4"/>
    <sheet name="PARCIAL FINAL" sheetId="2" r:id="rId5"/>
    <sheet name="Amort. Cuota Variable" sheetId="4" r:id="rId6"/>
    <sheet name="Amort. Abono Const de Capital" sheetId="5" r:id="rId7"/>
    <sheet name="UVR" sheetId="6" r:id="rId8"/>
    <sheet name="Cuota Fija a 20 años" sheetId="7" r:id="rId9"/>
  </sheets>
  <calcPr calcId="152511"/>
</workbook>
</file>

<file path=xl/calcChain.xml><?xml version="1.0" encoding="utf-8"?>
<calcChain xmlns="http://schemas.openxmlformats.org/spreadsheetml/2006/main">
  <c r="H25" i="9" l="1"/>
  <c r="H3" i="8"/>
  <c r="F3" i="8"/>
  <c r="G2" i="8"/>
  <c r="B33" i="9"/>
  <c r="F4" i="8" l="1"/>
  <c r="H4" i="8"/>
  <c r="F5" i="8" s="1"/>
  <c r="B11" i="2"/>
  <c r="B13" i="2" s="1"/>
  <c r="B14" i="2" s="1"/>
  <c r="E6" i="2" s="1"/>
  <c r="G45" i="9"/>
  <c r="B9" i="9"/>
  <c r="B16" i="9"/>
  <c r="B14" i="10"/>
  <c r="E10" i="10" s="1"/>
  <c r="B13" i="10"/>
  <c r="F4" i="2"/>
  <c r="B4" i="2"/>
  <c r="B38" i="10"/>
  <c r="F36" i="10"/>
  <c r="H35" i="10"/>
  <c r="B22" i="10"/>
  <c r="F20" i="10"/>
  <c r="H19" i="10"/>
  <c r="B12" i="10"/>
  <c r="B11" i="10"/>
  <c r="B6" i="10"/>
  <c r="E41" i="10" s="1"/>
  <c r="F4" i="10"/>
  <c r="H3" i="10"/>
  <c r="H5" i="8" l="1"/>
  <c r="E7" i="2"/>
  <c r="E7" i="10"/>
  <c r="E11" i="10"/>
  <c r="E8" i="10"/>
  <c r="E27" i="10"/>
  <c r="E23" i="10"/>
  <c r="E25" i="10"/>
  <c r="E15" i="10"/>
  <c r="E21" i="10"/>
  <c r="E24" i="10"/>
  <c r="E20" i="10"/>
  <c r="G20" i="10" s="1"/>
  <c r="H20" i="10" s="1"/>
  <c r="F21" i="10" s="1"/>
  <c r="E22" i="10"/>
  <c r="E26" i="10"/>
  <c r="E36" i="10"/>
  <c r="G36" i="10" s="1"/>
  <c r="H36" i="10" s="1"/>
  <c r="E37" i="10"/>
  <c r="E38" i="10"/>
  <c r="E39" i="10"/>
  <c r="E40" i="10"/>
  <c r="G21" i="10" l="1"/>
  <c r="H21" i="10" s="1"/>
  <c r="F22" i="10" s="1"/>
  <c r="G22" i="10" s="1"/>
  <c r="H22" i="10" s="1"/>
  <c r="E12" i="10"/>
  <c r="E5" i="10"/>
  <c r="E6" i="10"/>
  <c r="E4" i="10"/>
  <c r="G4" i="10" s="1"/>
  <c r="H4" i="10" s="1"/>
  <c r="F5" i="10" s="1"/>
  <c r="G5" i="10" s="1"/>
  <c r="H5" i="10" s="1"/>
  <c r="E14" i="10"/>
  <c r="E13" i="10"/>
  <c r="E9" i="10"/>
  <c r="F37" i="10"/>
  <c r="G37" i="10" s="1"/>
  <c r="H37" i="10" s="1"/>
  <c r="F38" i="10" l="1"/>
  <c r="G38" i="10" s="1"/>
  <c r="H38" i="10" s="1"/>
  <c r="F6" i="10"/>
  <c r="G6" i="10" s="1"/>
  <c r="H6" i="10" s="1"/>
  <c r="F23" i="10"/>
  <c r="G23" i="10" s="1"/>
  <c r="H23" i="10" s="1"/>
  <c r="F7" i="10" l="1"/>
  <c r="G7" i="10" s="1"/>
  <c r="H7" i="10" s="1"/>
  <c r="F8" i="10" s="1"/>
  <c r="G8" i="10" s="1"/>
  <c r="H8" i="10" s="1"/>
  <c r="F9" i="10" s="1"/>
  <c r="G9" i="10" s="1"/>
  <c r="H9" i="10" s="1"/>
  <c r="F10" i="10" s="1"/>
  <c r="G10" i="10" s="1"/>
  <c r="H10" i="10" s="1"/>
  <c r="F39" i="10"/>
  <c r="G39" i="10" s="1"/>
  <c r="H39" i="10" s="1"/>
  <c r="F24" i="10"/>
  <c r="G24" i="10" s="1"/>
  <c r="H24" i="10" s="1"/>
  <c r="F11" i="10" l="1"/>
  <c r="G11" i="10" s="1"/>
  <c r="H11" i="10" s="1"/>
  <c r="F25" i="10"/>
  <c r="G25" i="10" s="1"/>
  <c r="H25" i="10" s="1"/>
  <c r="F40" i="10"/>
  <c r="G40" i="10" s="1"/>
  <c r="H40" i="10" s="1"/>
  <c r="F41" i="10" l="1"/>
  <c r="G41" i="10" s="1"/>
  <c r="H41" i="10" s="1"/>
  <c r="F26" i="10"/>
  <c r="G26" i="10" s="1"/>
  <c r="H26" i="10" s="1"/>
  <c r="B42" i="10" l="1"/>
  <c r="B43" i="10" s="1"/>
  <c r="F42" i="10"/>
  <c r="F27" i="10"/>
  <c r="G27" i="10" s="1"/>
  <c r="H27" i="10" s="1"/>
  <c r="E42" i="10" l="1"/>
  <c r="G42" i="10" s="1"/>
  <c r="H42" i="10" s="1"/>
  <c r="E47" i="10"/>
  <c r="E46" i="10"/>
  <c r="E45" i="10"/>
  <c r="E44" i="10"/>
  <c r="E43" i="10"/>
  <c r="F28" i="10"/>
  <c r="E28" i="10" s="1"/>
  <c r="G28" i="10" s="1"/>
  <c r="H28" i="10" s="1"/>
  <c r="F12" i="10" l="1"/>
  <c r="G12" i="10" s="1"/>
  <c r="H12" i="10" s="1"/>
  <c r="F13" i="10" s="1"/>
  <c r="G13" i="10" s="1"/>
  <c r="H13" i="10" s="1"/>
  <c r="F14" i="10" s="1"/>
  <c r="G14" i="10" s="1"/>
  <c r="H14" i="10" s="1"/>
  <c r="F43" i="10"/>
  <c r="G43" i="10" s="1"/>
  <c r="H43" i="10" s="1"/>
  <c r="F44" i="10" l="1"/>
  <c r="G44" i="10" s="1"/>
  <c r="H44" i="10" s="1"/>
  <c r="F45" i="10" l="1"/>
  <c r="G45" i="10" s="1"/>
  <c r="H45" i="10" s="1"/>
  <c r="B80" i="9"/>
  <c r="B71" i="9"/>
  <c r="G79" i="9"/>
  <c r="G70" i="9"/>
  <c r="G62" i="9"/>
  <c r="G54" i="9"/>
  <c r="B62" i="9"/>
  <c r="B54" i="9"/>
  <c r="D53" i="9" s="1"/>
  <c r="F46" i="10" l="1"/>
  <c r="G46" i="10" s="1"/>
  <c r="H46" i="10" s="1"/>
  <c r="F15" i="10"/>
  <c r="G15" i="10" s="1"/>
  <c r="H15" i="10" s="1"/>
  <c r="G46" i="9"/>
  <c r="B9" i="4"/>
  <c r="B10" i="4"/>
  <c r="B43" i="9"/>
  <c r="B44" i="9" s="1"/>
  <c r="I24" i="9"/>
  <c r="C32" i="9"/>
  <c r="B26" i="9"/>
  <c r="B25" i="9"/>
  <c r="C14" i="9"/>
  <c r="F47" i="10" l="1"/>
  <c r="G47" i="10" s="1"/>
  <c r="H47" i="10" s="1"/>
  <c r="B45" i="9"/>
  <c r="C8" i="9"/>
  <c r="C7" i="9"/>
  <c r="H2" i="8" l="1"/>
  <c r="K5" i="8" s="1"/>
  <c r="F36" i="2"/>
  <c r="F20" i="2"/>
  <c r="B6" i="4"/>
  <c r="B38" i="2"/>
  <c r="B5" i="1"/>
  <c r="B4" i="7" l="1"/>
  <c r="B5" i="7"/>
  <c r="H2" i="7"/>
  <c r="B6" i="7" l="1"/>
  <c r="E7" i="7" s="1"/>
  <c r="E241" i="7"/>
  <c r="E233" i="7"/>
  <c r="E225" i="7"/>
  <c r="E217" i="7"/>
  <c r="E209" i="7"/>
  <c r="E201" i="7"/>
  <c r="E193" i="7"/>
  <c r="E185" i="7"/>
  <c r="E177" i="7"/>
  <c r="E169" i="7"/>
  <c r="E161" i="7"/>
  <c r="E153" i="7"/>
  <c r="E145" i="7"/>
  <c r="E137" i="7"/>
  <c r="E129" i="7"/>
  <c r="E121" i="7"/>
  <c r="E113" i="7"/>
  <c r="E105" i="7"/>
  <c r="E97" i="7"/>
  <c r="E89" i="7"/>
  <c r="E81" i="7"/>
  <c r="E73" i="7"/>
  <c r="E65" i="7"/>
  <c r="E57" i="7"/>
  <c r="E46" i="7"/>
  <c r="E30" i="7"/>
  <c r="E238" i="7"/>
  <c r="E230" i="7"/>
  <c r="E222" i="7"/>
  <c r="E214" i="7"/>
  <c r="E206" i="7"/>
  <c r="E198" i="7"/>
  <c r="E190" i="7"/>
  <c r="E182" i="7"/>
  <c r="E174" i="7"/>
  <c r="E166" i="7"/>
  <c r="E158" i="7"/>
  <c r="E150" i="7"/>
  <c r="E142" i="7"/>
  <c r="E134" i="7"/>
  <c r="E126" i="7"/>
  <c r="E118" i="7"/>
  <c r="E110" i="7"/>
  <c r="E102" i="7"/>
  <c r="E94" i="7"/>
  <c r="E86" i="7"/>
  <c r="E78" i="7"/>
  <c r="E70" i="7"/>
  <c r="E62" i="7"/>
  <c r="E54" i="7"/>
  <c r="E42" i="7"/>
  <c r="E26" i="7"/>
  <c r="E237" i="7"/>
  <c r="E229" i="7"/>
  <c r="E221" i="7"/>
  <c r="E213" i="7"/>
  <c r="E205" i="7"/>
  <c r="E189" i="7"/>
  <c r="E173" i="7"/>
  <c r="E165" i="7"/>
  <c r="E157" i="7"/>
  <c r="E149" i="7"/>
  <c r="E141" i="7"/>
  <c r="E133" i="7"/>
  <c r="E125" i="7"/>
  <c r="E117" i="7"/>
  <c r="E109" i="7"/>
  <c r="E101" i="7"/>
  <c r="E93" i="7"/>
  <c r="E85" i="7"/>
  <c r="E77" i="7"/>
  <c r="E69" i="7"/>
  <c r="E61" i="7"/>
  <c r="E53" i="7"/>
  <c r="E38" i="7"/>
  <c r="E22" i="7"/>
  <c r="E197" i="7"/>
  <c r="E181" i="7"/>
  <c r="E242" i="7"/>
  <c r="E234" i="7"/>
  <c r="E226" i="7"/>
  <c r="E218" i="7"/>
  <c r="E210" i="7"/>
  <c r="E202" i="7"/>
  <c r="E194" i="7"/>
  <c r="E186" i="7"/>
  <c r="E178" i="7"/>
  <c r="E170" i="7"/>
  <c r="E162" i="7"/>
  <c r="E154" i="7"/>
  <c r="E146" i="7"/>
  <c r="E138" i="7"/>
  <c r="E130" i="7"/>
  <c r="E122" i="7"/>
  <c r="E114" i="7"/>
  <c r="E106" i="7"/>
  <c r="E98" i="7"/>
  <c r="E90" i="7"/>
  <c r="E82" i="7"/>
  <c r="E74" i="7"/>
  <c r="E66" i="7"/>
  <c r="E58" i="7"/>
  <c r="E50" i="7"/>
  <c r="E34" i="7"/>
  <c r="E18" i="7"/>
  <c r="E49" i="7"/>
  <c r="E45" i="7"/>
  <c r="E41" i="7"/>
  <c r="E37" i="7"/>
  <c r="E33" i="7"/>
  <c r="E29" i="7"/>
  <c r="E25" i="7"/>
  <c r="E21" i="7"/>
  <c r="E17" i="7"/>
  <c r="E240" i="7"/>
  <c r="E236" i="7"/>
  <c r="E232" i="7"/>
  <c r="E228" i="7"/>
  <c r="E224" i="7"/>
  <c r="E220" i="7"/>
  <c r="E216" i="7"/>
  <c r="E212" i="7"/>
  <c r="E208" i="7"/>
  <c r="E204" i="7"/>
  <c r="E200" i="7"/>
  <c r="E196" i="7"/>
  <c r="E192" i="7"/>
  <c r="E188" i="7"/>
  <c r="E184" i="7"/>
  <c r="E180" i="7"/>
  <c r="E176" i="7"/>
  <c r="E172" i="7"/>
  <c r="E168" i="7"/>
  <c r="E164" i="7"/>
  <c r="E160" i="7"/>
  <c r="E156" i="7"/>
  <c r="E152" i="7"/>
  <c r="E148" i="7"/>
  <c r="E144" i="7"/>
  <c r="E140" i="7"/>
  <c r="E136" i="7"/>
  <c r="E132" i="7"/>
  <c r="E128" i="7"/>
  <c r="E124" i="7"/>
  <c r="E120" i="7"/>
  <c r="E116" i="7"/>
  <c r="E112" i="7"/>
  <c r="E108" i="7"/>
  <c r="E104" i="7"/>
  <c r="E100" i="7"/>
  <c r="E96" i="7"/>
  <c r="E92" i="7"/>
  <c r="E88" i="7"/>
  <c r="E84" i="7"/>
  <c r="E80" i="7"/>
  <c r="E76" i="7"/>
  <c r="E72" i="7"/>
  <c r="E68" i="7"/>
  <c r="E64" i="7"/>
  <c r="E60" i="7"/>
  <c r="E56" i="7"/>
  <c r="E52" i="7"/>
  <c r="E48" i="7"/>
  <c r="E44" i="7"/>
  <c r="E40" i="7"/>
  <c r="E36" i="7"/>
  <c r="E32" i="7"/>
  <c r="E28" i="7"/>
  <c r="E24" i="7"/>
  <c r="E20" i="7"/>
  <c r="E16" i="7"/>
  <c r="E239" i="7"/>
  <c r="E235" i="7"/>
  <c r="E231" i="7"/>
  <c r="E227" i="7"/>
  <c r="E223" i="7"/>
  <c r="E219" i="7"/>
  <c r="E215" i="7"/>
  <c r="E211" i="7"/>
  <c r="E207" i="7"/>
  <c r="E203" i="7"/>
  <c r="E199" i="7"/>
  <c r="E195" i="7"/>
  <c r="E191" i="7"/>
  <c r="E187" i="7"/>
  <c r="E183" i="7"/>
  <c r="E179" i="7"/>
  <c r="E175" i="7"/>
  <c r="E171" i="7"/>
  <c r="E167" i="7"/>
  <c r="E163" i="7"/>
  <c r="E159" i="7"/>
  <c r="E155" i="7"/>
  <c r="E151" i="7"/>
  <c r="E147" i="7"/>
  <c r="E143" i="7"/>
  <c r="E139" i="7"/>
  <c r="E135" i="7"/>
  <c r="E131" i="7"/>
  <c r="E127" i="7"/>
  <c r="E123" i="7"/>
  <c r="E119" i="7"/>
  <c r="E115" i="7"/>
  <c r="E111" i="7"/>
  <c r="E107" i="7"/>
  <c r="E103" i="7"/>
  <c r="E99" i="7"/>
  <c r="E95" i="7"/>
  <c r="E91" i="7"/>
  <c r="E87" i="7"/>
  <c r="E83" i="7"/>
  <c r="E79" i="7"/>
  <c r="E75" i="7"/>
  <c r="E71" i="7"/>
  <c r="E67" i="7"/>
  <c r="E63" i="7"/>
  <c r="E59" i="7"/>
  <c r="E55" i="7"/>
  <c r="E51" i="7"/>
  <c r="E47" i="7"/>
  <c r="E43" i="7"/>
  <c r="E39" i="7"/>
  <c r="E35" i="7"/>
  <c r="E31" i="7"/>
  <c r="E27" i="7"/>
  <c r="E23" i="7"/>
  <c r="E19" i="7"/>
  <c r="E15" i="7"/>
  <c r="F3" i="7"/>
  <c r="E3" i="7"/>
  <c r="E4" i="7"/>
  <c r="E5" i="7"/>
  <c r="E6" i="7"/>
  <c r="E8" i="7"/>
  <c r="E9" i="7"/>
  <c r="E10" i="7"/>
  <c r="E11" i="7"/>
  <c r="E12" i="7"/>
  <c r="E13" i="7"/>
  <c r="E14" i="7"/>
  <c r="B21" i="6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I20" i="6"/>
  <c r="B24" i="6"/>
  <c r="B29" i="6" s="1"/>
  <c r="F21" i="6" s="1"/>
  <c r="B7" i="6"/>
  <c r="B5" i="6"/>
  <c r="B12" i="6" l="1"/>
  <c r="G3" i="7"/>
  <c r="H3" i="7" s="1"/>
  <c r="F4" i="7" s="1"/>
  <c r="G4" i="7" s="1"/>
  <c r="H4" i="7" s="1"/>
  <c r="B22" i="6"/>
  <c r="F4" i="6"/>
  <c r="H3" i="6"/>
  <c r="G21" i="6"/>
  <c r="H21" i="6" s="1"/>
  <c r="I21" i="6" s="1"/>
  <c r="G22" i="6" s="1"/>
  <c r="F30" i="6"/>
  <c r="F22" i="6"/>
  <c r="F29" i="6"/>
  <c r="F31" i="6"/>
  <c r="F27" i="6"/>
  <c r="F23" i="6"/>
  <c r="F26" i="6"/>
  <c r="F25" i="6"/>
  <c r="F32" i="6"/>
  <c r="F28" i="6"/>
  <c r="F24" i="6"/>
  <c r="E5" i="6"/>
  <c r="E6" i="6"/>
  <c r="E7" i="6"/>
  <c r="E8" i="6"/>
  <c r="E9" i="6"/>
  <c r="E10" i="6"/>
  <c r="E11" i="6"/>
  <c r="E12" i="6"/>
  <c r="E13" i="6"/>
  <c r="E14" i="6"/>
  <c r="E15" i="6"/>
  <c r="E4" i="6"/>
  <c r="B24" i="4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B25" i="4"/>
  <c r="H22" i="6" l="1"/>
  <c r="I22" i="6" s="1"/>
  <c r="G23" i="6" s="1"/>
  <c r="H23" i="6" s="1"/>
  <c r="I23" i="6" s="1"/>
  <c r="F5" i="7"/>
  <c r="G5" i="7" s="1"/>
  <c r="H5" i="7" s="1"/>
  <c r="G4" i="6"/>
  <c r="H4" i="6" s="1"/>
  <c r="F5" i="6" s="1"/>
  <c r="G5" i="6" s="1"/>
  <c r="H5" i="6" s="1"/>
  <c r="B6" i="5"/>
  <c r="F3" i="1"/>
  <c r="F6" i="7" l="1"/>
  <c r="G6" i="7" s="1"/>
  <c r="H6" i="7" s="1"/>
  <c r="G24" i="6"/>
  <c r="H24" i="6" s="1"/>
  <c r="I24" i="6" s="1"/>
  <c r="F6" i="6"/>
  <c r="G6" i="6" s="1"/>
  <c r="H6" i="6" s="1"/>
  <c r="E3" i="1"/>
  <c r="G3" i="1" s="1"/>
  <c r="E5" i="2" l="1"/>
  <c r="E4" i="2"/>
  <c r="F7" i="7"/>
  <c r="G7" i="7" s="1"/>
  <c r="H7" i="7" s="1"/>
  <c r="G25" i="6"/>
  <c r="H25" i="6" s="1"/>
  <c r="I25" i="6" s="1"/>
  <c r="F7" i="6"/>
  <c r="G7" i="6" s="1"/>
  <c r="H7" i="6" s="1"/>
  <c r="E25" i="2"/>
  <c r="G4" i="5"/>
  <c r="F4" i="5"/>
  <c r="H3" i="5"/>
  <c r="F20" i="4"/>
  <c r="G4" i="2" l="1"/>
  <c r="F8" i="7"/>
  <c r="G8" i="7" s="1"/>
  <c r="H8" i="7" s="1"/>
  <c r="G26" i="6"/>
  <c r="H26" i="6" s="1"/>
  <c r="I26" i="6" s="1"/>
  <c r="F8" i="6"/>
  <c r="G8" i="6" s="1"/>
  <c r="H8" i="6" s="1"/>
  <c r="G5" i="5"/>
  <c r="E4" i="5"/>
  <c r="H4" i="5"/>
  <c r="F9" i="7" l="1"/>
  <c r="G9" i="7" s="1"/>
  <c r="H9" i="7" s="1"/>
  <c r="G27" i="6"/>
  <c r="H27" i="6" s="1"/>
  <c r="I27" i="6" s="1"/>
  <c r="F9" i="6"/>
  <c r="G9" i="6" s="1"/>
  <c r="H9" i="6" s="1"/>
  <c r="G6" i="5"/>
  <c r="F5" i="5"/>
  <c r="E5" i="5" s="1"/>
  <c r="E4" i="1"/>
  <c r="E5" i="1"/>
  <c r="H19" i="4"/>
  <c r="E4" i="4"/>
  <c r="E5" i="4" s="1"/>
  <c r="F4" i="4"/>
  <c r="H3" i="4"/>
  <c r="H35" i="2"/>
  <c r="B22" i="2"/>
  <c r="H19" i="2"/>
  <c r="F10" i="7" l="1"/>
  <c r="G10" i="7" s="1"/>
  <c r="H10" i="7" s="1"/>
  <c r="G28" i="6"/>
  <c r="H28" i="6" s="1"/>
  <c r="I28" i="6" s="1"/>
  <c r="F10" i="6"/>
  <c r="G10" i="6" s="1"/>
  <c r="H10" i="6" s="1"/>
  <c r="G7" i="5"/>
  <c r="G20" i="4"/>
  <c r="H20" i="4" s="1"/>
  <c r="F21" i="4" s="1"/>
  <c r="F11" i="7" l="1"/>
  <c r="G11" i="7" s="1"/>
  <c r="H11" i="7" s="1"/>
  <c r="G29" i="6"/>
  <c r="H29" i="6" s="1"/>
  <c r="I29" i="6" s="1"/>
  <c r="F11" i="6"/>
  <c r="G11" i="6" s="1"/>
  <c r="H11" i="6" s="1"/>
  <c r="E6" i="4"/>
  <c r="E7" i="4" s="1"/>
  <c r="E8" i="4" s="1"/>
  <c r="E9" i="4" s="1"/>
  <c r="E10" i="4" s="1"/>
  <c r="E11" i="4" s="1"/>
  <c r="E12" i="4" s="1"/>
  <c r="E13" i="4" s="1"/>
  <c r="E14" i="4" s="1"/>
  <c r="E15" i="4" s="1"/>
  <c r="G8" i="5"/>
  <c r="G4" i="4"/>
  <c r="H4" i="4" s="1"/>
  <c r="F5" i="4" s="1"/>
  <c r="G21" i="4"/>
  <c r="H21" i="4" s="1"/>
  <c r="F22" i="4" s="1"/>
  <c r="G22" i="4" s="1"/>
  <c r="H22" i="4" s="1"/>
  <c r="F23" i="4" s="1"/>
  <c r="G23" i="4" s="1"/>
  <c r="H23" i="4" s="1"/>
  <c r="F24" i="4" s="1"/>
  <c r="G24" i="4" s="1"/>
  <c r="H24" i="4" s="1"/>
  <c r="F12" i="7" l="1"/>
  <c r="G12" i="7" s="1"/>
  <c r="H12" i="7" s="1"/>
  <c r="G30" i="6"/>
  <c r="H30" i="6" s="1"/>
  <c r="I30" i="6" s="1"/>
  <c r="F12" i="6"/>
  <c r="G12" i="6" s="1"/>
  <c r="H12" i="6" s="1"/>
  <c r="G9" i="5"/>
  <c r="F25" i="4"/>
  <c r="G25" i="4" s="1"/>
  <c r="H25" i="4" s="1"/>
  <c r="G5" i="4"/>
  <c r="H5" i="4" s="1"/>
  <c r="F6" i="4" s="1"/>
  <c r="G6" i="4" s="1"/>
  <c r="H6" i="4" s="1"/>
  <c r="F7" i="4" s="1"/>
  <c r="G7" i="4" s="1"/>
  <c r="H7" i="4" s="1"/>
  <c r="F8" i="4" s="1"/>
  <c r="G8" i="4" s="1"/>
  <c r="H8" i="4" s="1"/>
  <c r="F9" i="4" s="1"/>
  <c r="G9" i="4" s="1"/>
  <c r="H9" i="4" s="1"/>
  <c r="F13" i="7" l="1"/>
  <c r="G13" i="7" s="1"/>
  <c r="H13" i="7" s="1"/>
  <c r="G31" i="6"/>
  <c r="H31" i="6" s="1"/>
  <c r="I31" i="6" s="1"/>
  <c r="F13" i="6"/>
  <c r="G13" i="6" s="1"/>
  <c r="H13" i="6" s="1"/>
  <c r="G10" i="5"/>
  <c r="F26" i="4"/>
  <c r="G26" i="4" s="1"/>
  <c r="H26" i="4" s="1"/>
  <c r="F10" i="4"/>
  <c r="G10" i="4" s="1"/>
  <c r="H10" i="4" s="1"/>
  <c r="F14" i="7" l="1"/>
  <c r="G14" i="7" s="1"/>
  <c r="H14" i="7" s="1"/>
  <c r="G32" i="6"/>
  <c r="H32" i="6" s="1"/>
  <c r="I32" i="6" s="1"/>
  <c r="F14" i="6"/>
  <c r="G14" i="6" s="1"/>
  <c r="H14" i="6" s="1"/>
  <c r="G11" i="5"/>
  <c r="F27" i="4"/>
  <c r="G27" i="4" s="1"/>
  <c r="H27" i="4" s="1"/>
  <c r="F11" i="4"/>
  <c r="G11" i="4" s="1"/>
  <c r="H11" i="4" s="1"/>
  <c r="F15" i="7" l="1"/>
  <c r="G15" i="7" s="1"/>
  <c r="H15" i="7" s="1"/>
  <c r="F15" i="6"/>
  <c r="G15" i="6" s="1"/>
  <c r="H15" i="6" s="1"/>
  <c r="G12" i="5"/>
  <c r="F28" i="4"/>
  <c r="G28" i="4" s="1"/>
  <c r="H28" i="4" s="1"/>
  <c r="F12" i="4"/>
  <c r="G12" i="4" s="1"/>
  <c r="H12" i="4" s="1"/>
  <c r="F16" i="7" l="1"/>
  <c r="G16" i="7" s="1"/>
  <c r="H16" i="7" s="1"/>
  <c r="F17" i="7" s="1"/>
  <c r="G17" i="7" s="1"/>
  <c r="H17" i="7" s="1"/>
  <c r="F18" i="7" s="1"/>
  <c r="G18" i="7" s="1"/>
  <c r="H18" i="7" s="1"/>
  <c r="F19" i="7" s="1"/>
  <c r="G19" i="7" s="1"/>
  <c r="H19" i="7" s="1"/>
  <c r="F20" i="7" s="1"/>
  <c r="G20" i="7" s="1"/>
  <c r="H20" i="7" s="1"/>
  <c r="F21" i="7" s="1"/>
  <c r="G21" i="7" s="1"/>
  <c r="H21" i="7" s="1"/>
  <c r="F22" i="7" s="1"/>
  <c r="G22" i="7" s="1"/>
  <c r="H22" i="7" s="1"/>
  <c r="F23" i="7" s="1"/>
  <c r="G23" i="7" s="1"/>
  <c r="H23" i="7" s="1"/>
  <c r="F24" i="7" s="1"/>
  <c r="G24" i="7" s="1"/>
  <c r="H24" i="7" s="1"/>
  <c r="F25" i="7" s="1"/>
  <c r="G25" i="7" s="1"/>
  <c r="H25" i="7" s="1"/>
  <c r="G13" i="5"/>
  <c r="F29" i="4"/>
  <c r="G29" i="4" s="1"/>
  <c r="H29" i="4" s="1"/>
  <c r="F13" i="4"/>
  <c r="G13" i="4" s="1"/>
  <c r="H13" i="4" s="1"/>
  <c r="F26" i="7" l="1"/>
  <c r="G26" i="7" s="1"/>
  <c r="H26" i="7"/>
  <c r="F27" i="7" s="1"/>
  <c r="G27" i="7" s="1"/>
  <c r="H27" i="7" s="1"/>
  <c r="F28" i="7" s="1"/>
  <c r="G28" i="7" s="1"/>
  <c r="H28" i="7" s="1"/>
  <c r="F29" i="7" s="1"/>
  <c r="G29" i="7" s="1"/>
  <c r="H29" i="7" s="1"/>
  <c r="F30" i="7" s="1"/>
  <c r="G30" i="7" s="1"/>
  <c r="H30" i="7" s="1"/>
  <c r="G14" i="5"/>
  <c r="F30" i="4"/>
  <c r="G30" i="4" s="1"/>
  <c r="H30" i="4" s="1"/>
  <c r="F14" i="4"/>
  <c r="G14" i="4" s="1"/>
  <c r="H14" i="4" s="1"/>
  <c r="H3" i="2"/>
  <c r="H4" i="2" s="1"/>
  <c r="F5" i="2" s="1"/>
  <c r="G5" i="2" s="1"/>
  <c r="E6" i="1"/>
  <c r="E7" i="1"/>
  <c r="E8" i="1"/>
  <c r="E9" i="1"/>
  <c r="E10" i="1"/>
  <c r="E11" i="1"/>
  <c r="E12" i="1"/>
  <c r="E13" i="1"/>
  <c r="E14" i="1"/>
  <c r="H2" i="1"/>
  <c r="H3" i="1" s="1"/>
  <c r="F4" i="1" l="1"/>
  <c r="F31" i="7"/>
  <c r="G31" i="7" s="1"/>
  <c r="H31" i="7" s="1"/>
  <c r="G15" i="5"/>
  <c r="E41" i="2"/>
  <c r="E39" i="2"/>
  <c r="E40" i="2"/>
  <c r="E38" i="2"/>
  <c r="E37" i="2"/>
  <c r="E36" i="2"/>
  <c r="G36" i="2" s="1"/>
  <c r="H36" i="2" s="1"/>
  <c r="F37" i="2" s="1"/>
  <c r="G4" i="1"/>
  <c r="H4" i="1" s="1"/>
  <c r="F5" i="1" s="1"/>
  <c r="F31" i="4"/>
  <c r="G31" i="4" s="1"/>
  <c r="H31" i="4" s="1"/>
  <c r="F15" i="4"/>
  <c r="G15" i="4" s="1"/>
  <c r="H15" i="4" s="1"/>
  <c r="E27" i="2"/>
  <c r="E23" i="2"/>
  <c r="E26" i="2"/>
  <c r="E24" i="2"/>
  <c r="E22" i="2"/>
  <c r="E21" i="2"/>
  <c r="E20" i="2"/>
  <c r="G20" i="2" s="1"/>
  <c r="H20" i="2" s="1"/>
  <c r="F32" i="7" l="1"/>
  <c r="G32" i="7" s="1"/>
  <c r="H32" i="7" s="1"/>
  <c r="G37" i="2"/>
  <c r="H37" i="2" s="1"/>
  <c r="F38" i="2" s="1"/>
  <c r="G38" i="2" s="1"/>
  <c r="H38" i="2" s="1"/>
  <c r="F39" i="2" s="1"/>
  <c r="G39" i="2" s="1"/>
  <c r="H39" i="2" s="1"/>
  <c r="F40" i="2" s="1"/>
  <c r="G40" i="2" s="1"/>
  <c r="H40" i="2" s="1"/>
  <c r="G5" i="1"/>
  <c r="H5" i="1" s="1"/>
  <c r="F21" i="2"/>
  <c r="G21" i="2" s="1"/>
  <c r="H21" i="2" s="1"/>
  <c r="H5" i="2"/>
  <c r="F6" i="2" s="1"/>
  <c r="F41" i="2" l="1"/>
  <c r="G41" i="2" s="1"/>
  <c r="H41" i="2" s="1"/>
  <c r="F6" i="1"/>
  <c r="G6" i="1" s="1"/>
  <c r="H6" i="1" s="1"/>
  <c r="F7" i="1" s="1"/>
  <c r="G7" i="1" s="1"/>
  <c r="H7" i="1" s="1"/>
  <c r="F33" i="7"/>
  <c r="G33" i="7" s="1"/>
  <c r="H33" i="7" s="1"/>
  <c r="F22" i="2"/>
  <c r="G22" i="2" s="1"/>
  <c r="H22" i="2" s="1"/>
  <c r="F23" i="2" s="1"/>
  <c r="G23" i="2" s="1"/>
  <c r="H23" i="2" s="1"/>
  <c r="G6" i="2"/>
  <c r="H6" i="2" s="1"/>
  <c r="B42" i="2" l="1"/>
  <c r="B43" i="2" s="1"/>
  <c r="E47" i="2" s="1"/>
  <c r="F42" i="2"/>
  <c r="F34" i="7"/>
  <c r="G34" i="7" s="1"/>
  <c r="H34" i="7" s="1"/>
  <c r="F24" i="2"/>
  <c r="G24" i="2" s="1"/>
  <c r="H24" i="2" s="1"/>
  <c r="F25" i="2" s="1"/>
  <c r="F7" i="2"/>
  <c r="G7" i="2" s="1"/>
  <c r="F8" i="1"/>
  <c r="G8" i="1" s="1"/>
  <c r="H8" i="1" s="1"/>
  <c r="H7" i="2" l="1"/>
  <c r="E43" i="2"/>
  <c r="E42" i="2"/>
  <c r="G42" i="2" s="1"/>
  <c r="H42" i="2" s="1"/>
  <c r="F43" i="2" s="1"/>
  <c r="E46" i="2"/>
  <c r="E45" i="2"/>
  <c r="E44" i="2"/>
  <c r="F35" i="7"/>
  <c r="G35" i="7" s="1"/>
  <c r="H35" i="7" s="1"/>
  <c r="G43" i="2"/>
  <c r="H43" i="2" s="1"/>
  <c r="F44" i="2" s="1"/>
  <c r="G44" i="2" s="1"/>
  <c r="H44" i="2" s="1"/>
  <c r="F45" i="2" s="1"/>
  <c r="G45" i="2" s="1"/>
  <c r="H45" i="2" s="1"/>
  <c r="F46" i="2" s="1"/>
  <c r="G46" i="2" s="1"/>
  <c r="H46" i="2" s="1"/>
  <c r="F9" i="1"/>
  <c r="G9" i="1" s="1"/>
  <c r="H9" i="1" s="1"/>
  <c r="F8" i="2" l="1"/>
  <c r="H13" i="2"/>
  <c r="H14" i="2" s="1"/>
  <c r="F47" i="2"/>
  <c r="G47" i="2" s="1"/>
  <c r="H47" i="2" s="1"/>
  <c r="F36" i="7"/>
  <c r="G36" i="7" s="1"/>
  <c r="H36" i="7" s="1"/>
  <c r="G25" i="2"/>
  <c r="H25" i="2" s="1"/>
  <c r="F26" i="2" s="1"/>
  <c r="G26" i="2" s="1"/>
  <c r="H26" i="2" s="1"/>
  <c r="F27" i="2" s="1"/>
  <c r="G27" i="2" s="1"/>
  <c r="H27" i="2" s="1"/>
  <c r="F10" i="1"/>
  <c r="G10" i="1" s="1"/>
  <c r="H10" i="1" s="1"/>
  <c r="E9" i="2" l="1"/>
  <c r="E8" i="2"/>
  <c r="G8" i="2" s="1"/>
  <c r="H8" i="2" s="1"/>
  <c r="F9" i="2" s="1"/>
  <c r="F28" i="2"/>
  <c r="E28" i="2" s="1"/>
  <c r="G28" i="2" s="1"/>
  <c r="F37" i="7"/>
  <c r="G37" i="7" s="1"/>
  <c r="H37" i="7" s="1"/>
  <c r="F11" i="1"/>
  <c r="G11" i="1" s="1"/>
  <c r="H11" i="1" s="1"/>
  <c r="G9" i="2" l="1"/>
  <c r="H9" i="2" s="1"/>
  <c r="F38" i="7"/>
  <c r="G38" i="7" s="1"/>
  <c r="H38" i="7" s="1"/>
  <c r="H28" i="2"/>
  <c r="F12" i="1"/>
  <c r="G12" i="1" s="1"/>
  <c r="H12" i="1" s="1"/>
  <c r="F39" i="7" l="1"/>
  <c r="G39" i="7" s="1"/>
  <c r="H39" i="7" s="1"/>
  <c r="F13" i="1"/>
  <c r="G13" i="1" s="1"/>
  <c r="H13" i="1" s="1"/>
  <c r="F14" i="1" l="1"/>
  <c r="H14" i="1"/>
  <c r="F40" i="7"/>
  <c r="G40" i="7" s="1"/>
  <c r="H40" i="7" s="1"/>
  <c r="G14" i="1"/>
  <c r="H5" i="5"/>
  <c r="F41" i="7" l="1"/>
  <c r="G41" i="7" s="1"/>
  <c r="H41" i="7" s="1"/>
  <c r="F6" i="5"/>
  <c r="F42" i="7" l="1"/>
  <c r="G42" i="7" s="1"/>
  <c r="H42" i="7" s="1"/>
  <c r="H6" i="5"/>
  <c r="F7" i="5" s="1"/>
  <c r="E6" i="5"/>
  <c r="F43" i="7" l="1"/>
  <c r="G43" i="7" s="1"/>
  <c r="H43" i="7" s="1"/>
  <c r="H7" i="5"/>
  <c r="E7" i="5"/>
  <c r="F8" i="5"/>
  <c r="F44" i="7" l="1"/>
  <c r="G44" i="7" s="1"/>
  <c r="H44" i="7" s="1"/>
  <c r="H8" i="5"/>
  <c r="F9" i="5" s="1"/>
  <c r="E8" i="5"/>
  <c r="F45" i="7" l="1"/>
  <c r="G45" i="7" s="1"/>
  <c r="H45" i="7" s="1"/>
  <c r="H9" i="5"/>
  <c r="F10" i="5" s="1"/>
  <c r="E9" i="5"/>
  <c r="F46" i="7" l="1"/>
  <c r="G46" i="7" s="1"/>
  <c r="H46" i="7" s="1"/>
  <c r="H10" i="5"/>
  <c r="E10" i="5"/>
  <c r="F11" i="5"/>
  <c r="F47" i="7" l="1"/>
  <c r="G47" i="7" s="1"/>
  <c r="H47" i="7" s="1"/>
  <c r="H11" i="5"/>
  <c r="E11" i="5"/>
  <c r="F12" i="5"/>
  <c r="F48" i="7" l="1"/>
  <c r="G48" i="7" s="1"/>
  <c r="H48" i="7" s="1"/>
  <c r="H12" i="5"/>
  <c r="H13" i="5" s="1"/>
  <c r="E12" i="5"/>
  <c r="F13" i="5"/>
  <c r="E13" i="5" s="1"/>
  <c r="F49" i="7" l="1"/>
  <c r="G49" i="7" s="1"/>
  <c r="H49" i="7" s="1"/>
  <c r="F14" i="5"/>
  <c r="F50" i="7" l="1"/>
  <c r="G50" i="7" s="1"/>
  <c r="H50" i="7" s="1"/>
  <c r="H14" i="5"/>
  <c r="E14" i="5"/>
  <c r="F15" i="5"/>
  <c r="F51" i="7" l="1"/>
  <c r="G51" i="7" s="1"/>
  <c r="H51" i="7" s="1"/>
  <c r="H15" i="5"/>
  <c r="E15" i="5"/>
  <c r="F52" i="7" l="1"/>
  <c r="G52" i="7" s="1"/>
  <c r="H52" i="7" s="1"/>
  <c r="F53" i="7" l="1"/>
  <c r="G53" i="7" s="1"/>
  <c r="H53" i="7" s="1"/>
  <c r="F54" i="7" l="1"/>
  <c r="G54" i="7" s="1"/>
  <c r="H54" i="7" s="1"/>
  <c r="F55" i="7" l="1"/>
  <c r="G55" i="7" s="1"/>
  <c r="H55" i="7" s="1"/>
  <c r="F56" i="7" l="1"/>
  <c r="G56" i="7" s="1"/>
  <c r="H56" i="7" s="1"/>
  <c r="F57" i="7" l="1"/>
  <c r="G57" i="7" s="1"/>
  <c r="H57" i="7" s="1"/>
  <c r="F58" i="7" l="1"/>
  <c r="G58" i="7" s="1"/>
  <c r="H58" i="7"/>
  <c r="F59" i="7" l="1"/>
  <c r="G59" i="7" s="1"/>
  <c r="H59" i="7" s="1"/>
  <c r="F60" i="7" l="1"/>
  <c r="G60" i="7" s="1"/>
  <c r="H60" i="7" s="1"/>
  <c r="F61" i="7" l="1"/>
  <c r="G61" i="7" s="1"/>
  <c r="H61" i="7" s="1"/>
  <c r="F62" i="7" l="1"/>
  <c r="G62" i="7" s="1"/>
  <c r="H62" i="7" s="1"/>
  <c r="F63" i="7" l="1"/>
  <c r="G63" i="7" s="1"/>
  <c r="H63" i="7" s="1"/>
  <c r="F64" i="7" l="1"/>
  <c r="G64" i="7" s="1"/>
  <c r="H64" i="7" s="1"/>
  <c r="F65" i="7" l="1"/>
  <c r="G65" i="7" s="1"/>
  <c r="H65" i="7" s="1"/>
  <c r="F66" i="7" l="1"/>
  <c r="G66" i="7" s="1"/>
  <c r="H66" i="7" s="1"/>
  <c r="F67" i="7" l="1"/>
  <c r="G67" i="7" s="1"/>
  <c r="H67" i="7" s="1"/>
  <c r="F68" i="7" l="1"/>
  <c r="G68" i="7" s="1"/>
  <c r="H68" i="7" s="1"/>
  <c r="F69" i="7" l="1"/>
  <c r="G69" i="7" s="1"/>
  <c r="H69" i="7" s="1"/>
  <c r="F70" i="7" l="1"/>
  <c r="G70" i="7" s="1"/>
  <c r="H70" i="7" s="1"/>
  <c r="F71" i="7" l="1"/>
  <c r="G71" i="7" s="1"/>
  <c r="H71" i="7" s="1"/>
  <c r="F72" i="7" l="1"/>
  <c r="G72" i="7" s="1"/>
  <c r="H72" i="7" s="1"/>
  <c r="F73" i="7" l="1"/>
  <c r="G73" i="7" s="1"/>
  <c r="H73" i="7" s="1"/>
  <c r="F74" i="7" l="1"/>
  <c r="G74" i="7" s="1"/>
  <c r="H74" i="7" s="1"/>
  <c r="F75" i="7" l="1"/>
  <c r="G75" i="7" s="1"/>
  <c r="H75" i="7" s="1"/>
  <c r="F76" i="7" l="1"/>
  <c r="G76" i="7" s="1"/>
  <c r="H76" i="7" s="1"/>
  <c r="F77" i="7" l="1"/>
  <c r="G77" i="7" s="1"/>
  <c r="H77" i="7" s="1"/>
  <c r="F78" i="7" l="1"/>
  <c r="G78" i="7" s="1"/>
  <c r="H78" i="7" s="1"/>
  <c r="F79" i="7" l="1"/>
  <c r="G79" i="7" s="1"/>
  <c r="H79" i="7" s="1"/>
  <c r="F80" i="7" l="1"/>
  <c r="G80" i="7" s="1"/>
  <c r="H80" i="7" s="1"/>
  <c r="F81" i="7" l="1"/>
  <c r="G81" i="7" s="1"/>
  <c r="H81" i="7" s="1"/>
  <c r="F82" i="7" l="1"/>
  <c r="G82" i="7" s="1"/>
  <c r="H82" i="7" s="1"/>
  <c r="F83" i="7" l="1"/>
  <c r="G83" i="7" s="1"/>
  <c r="H83" i="7" s="1"/>
  <c r="F84" i="7" l="1"/>
  <c r="G84" i="7" s="1"/>
  <c r="H84" i="7" s="1"/>
  <c r="F85" i="7" l="1"/>
  <c r="G85" i="7" s="1"/>
  <c r="H85" i="7" s="1"/>
  <c r="F86" i="7" l="1"/>
  <c r="G86" i="7" s="1"/>
  <c r="H86" i="7" s="1"/>
  <c r="F87" i="7" l="1"/>
  <c r="G87" i="7" s="1"/>
  <c r="H87" i="7" s="1"/>
  <c r="F88" i="7" l="1"/>
  <c r="G88" i="7" s="1"/>
  <c r="H88" i="7" s="1"/>
  <c r="F89" i="7" l="1"/>
  <c r="G89" i="7" s="1"/>
  <c r="H89" i="7" s="1"/>
  <c r="F90" i="7" l="1"/>
  <c r="G90" i="7" s="1"/>
  <c r="H90" i="7"/>
  <c r="F91" i="7" l="1"/>
  <c r="G91" i="7" s="1"/>
  <c r="H91" i="7" s="1"/>
  <c r="F92" i="7" l="1"/>
  <c r="G92" i="7" s="1"/>
  <c r="H92" i="7" s="1"/>
  <c r="F93" i="7" l="1"/>
  <c r="G93" i="7" s="1"/>
  <c r="H93" i="7" s="1"/>
  <c r="F94" i="7" l="1"/>
  <c r="G94" i="7" s="1"/>
  <c r="H94" i="7" s="1"/>
  <c r="F95" i="7" l="1"/>
  <c r="G95" i="7" s="1"/>
  <c r="H95" i="7" s="1"/>
  <c r="F96" i="7" l="1"/>
  <c r="G96" i="7" s="1"/>
  <c r="H96" i="7" s="1"/>
  <c r="F97" i="7" l="1"/>
  <c r="G97" i="7" s="1"/>
  <c r="H97" i="7" s="1"/>
  <c r="F98" i="7" l="1"/>
  <c r="G98" i="7" s="1"/>
  <c r="H98" i="7" s="1"/>
  <c r="F99" i="7" l="1"/>
  <c r="G99" i="7" s="1"/>
  <c r="H99" i="7" s="1"/>
  <c r="F100" i="7" l="1"/>
  <c r="G100" i="7" s="1"/>
  <c r="H100" i="7" s="1"/>
  <c r="F101" i="7" l="1"/>
  <c r="G101" i="7" s="1"/>
  <c r="H101" i="7" s="1"/>
  <c r="F102" i="7" l="1"/>
  <c r="G102" i="7" s="1"/>
  <c r="H102" i="7"/>
  <c r="F103" i="7" l="1"/>
  <c r="G103" i="7" s="1"/>
  <c r="H103" i="7" s="1"/>
  <c r="F104" i="7" l="1"/>
  <c r="G104" i="7" s="1"/>
  <c r="H104" i="7" s="1"/>
  <c r="F105" i="7" l="1"/>
  <c r="G105" i="7" s="1"/>
  <c r="H105" i="7" s="1"/>
  <c r="F106" i="7" l="1"/>
  <c r="G106" i="7" s="1"/>
  <c r="H106" i="7" s="1"/>
  <c r="F107" i="7" l="1"/>
  <c r="G107" i="7" s="1"/>
  <c r="H107" i="7" s="1"/>
  <c r="F108" i="7" l="1"/>
  <c r="G108" i="7" s="1"/>
  <c r="H108" i="7" s="1"/>
  <c r="F109" i="7" l="1"/>
  <c r="G109" i="7" s="1"/>
  <c r="H109" i="7" s="1"/>
  <c r="F110" i="7" l="1"/>
  <c r="G110" i="7" s="1"/>
  <c r="H110" i="7" s="1"/>
  <c r="F111" i="7" l="1"/>
  <c r="G111" i="7" s="1"/>
  <c r="H111" i="7" s="1"/>
  <c r="F112" i="7" l="1"/>
  <c r="G112" i="7" s="1"/>
  <c r="H112" i="7" s="1"/>
  <c r="F113" i="7" l="1"/>
  <c r="G113" i="7" s="1"/>
  <c r="H113" i="7" s="1"/>
  <c r="F114" i="7" l="1"/>
  <c r="G114" i="7" s="1"/>
  <c r="H114" i="7" s="1"/>
  <c r="F115" i="7" l="1"/>
  <c r="G115" i="7" s="1"/>
  <c r="H115" i="7" s="1"/>
  <c r="F116" i="7" l="1"/>
  <c r="G116" i="7" s="1"/>
  <c r="H116" i="7" s="1"/>
  <c r="F117" i="7" l="1"/>
  <c r="G117" i="7" s="1"/>
  <c r="H117" i="7" s="1"/>
  <c r="F118" i="7" l="1"/>
  <c r="G118" i="7" s="1"/>
  <c r="H118" i="7"/>
  <c r="F119" i="7" l="1"/>
  <c r="G119" i="7" s="1"/>
  <c r="H119" i="7" s="1"/>
  <c r="F120" i="7" l="1"/>
  <c r="G120" i="7" s="1"/>
  <c r="H120" i="7" s="1"/>
  <c r="F121" i="7" l="1"/>
  <c r="G121" i="7" s="1"/>
  <c r="H121" i="7" s="1"/>
  <c r="F122" i="7" l="1"/>
  <c r="G122" i="7" s="1"/>
  <c r="H122" i="7"/>
  <c r="F123" i="7" l="1"/>
  <c r="G123" i="7" s="1"/>
  <c r="H123" i="7" s="1"/>
  <c r="F124" i="7" l="1"/>
  <c r="G124" i="7" s="1"/>
  <c r="H124" i="7" s="1"/>
  <c r="F125" i="7" l="1"/>
  <c r="G125" i="7" s="1"/>
  <c r="H125" i="7" s="1"/>
  <c r="F126" i="7" l="1"/>
  <c r="G126" i="7" s="1"/>
  <c r="H126" i="7" s="1"/>
  <c r="F127" i="7" l="1"/>
  <c r="G127" i="7" s="1"/>
  <c r="H127" i="7" s="1"/>
  <c r="F128" i="7" l="1"/>
  <c r="G128" i="7" s="1"/>
  <c r="H128" i="7" s="1"/>
  <c r="F129" i="7" l="1"/>
  <c r="G129" i="7" s="1"/>
  <c r="H129" i="7" s="1"/>
  <c r="F130" i="7" l="1"/>
  <c r="G130" i="7" s="1"/>
  <c r="H130" i="7" s="1"/>
  <c r="F131" i="7" l="1"/>
  <c r="G131" i="7" s="1"/>
  <c r="H131" i="7" s="1"/>
  <c r="F132" i="7" l="1"/>
  <c r="G132" i="7" s="1"/>
  <c r="H132" i="7" s="1"/>
  <c r="F133" i="7" l="1"/>
  <c r="G133" i="7" s="1"/>
  <c r="H133" i="7" s="1"/>
  <c r="F134" i="7" l="1"/>
  <c r="G134" i="7" s="1"/>
  <c r="H134" i="7"/>
  <c r="F135" i="7" l="1"/>
  <c r="G135" i="7" s="1"/>
  <c r="H135" i="7" s="1"/>
  <c r="F136" i="7" l="1"/>
  <c r="G136" i="7" s="1"/>
  <c r="H136" i="7" s="1"/>
  <c r="F137" i="7" l="1"/>
  <c r="G137" i="7" s="1"/>
  <c r="H137" i="7" s="1"/>
  <c r="F138" i="7" l="1"/>
  <c r="G138" i="7" s="1"/>
  <c r="H138" i="7" s="1"/>
  <c r="F139" i="7" l="1"/>
  <c r="G139" i="7" s="1"/>
  <c r="H139" i="7" s="1"/>
  <c r="F140" i="7" l="1"/>
  <c r="G140" i="7" s="1"/>
  <c r="H140" i="7" s="1"/>
  <c r="F141" i="7" l="1"/>
  <c r="G141" i="7" s="1"/>
  <c r="H141" i="7" s="1"/>
  <c r="F142" i="7" l="1"/>
  <c r="G142" i="7" s="1"/>
  <c r="H142" i="7" s="1"/>
  <c r="F143" i="7" l="1"/>
  <c r="G143" i="7" s="1"/>
  <c r="H143" i="7" s="1"/>
  <c r="F144" i="7" l="1"/>
  <c r="G144" i="7" s="1"/>
  <c r="H144" i="7" s="1"/>
  <c r="F145" i="7" l="1"/>
  <c r="G145" i="7" s="1"/>
  <c r="H145" i="7" s="1"/>
  <c r="F146" i="7" l="1"/>
  <c r="G146" i="7" s="1"/>
  <c r="H146" i="7" s="1"/>
  <c r="F147" i="7" l="1"/>
  <c r="G147" i="7" s="1"/>
  <c r="H147" i="7" s="1"/>
  <c r="F148" i="7" l="1"/>
  <c r="G148" i="7" s="1"/>
  <c r="H148" i="7" s="1"/>
  <c r="F149" i="7" l="1"/>
  <c r="G149" i="7" s="1"/>
  <c r="H149" i="7" s="1"/>
  <c r="F150" i="7" l="1"/>
  <c r="G150" i="7" s="1"/>
  <c r="H150" i="7" s="1"/>
  <c r="F151" i="7" l="1"/>
  <c r="G151" i="7" s="1"/>
  <c r="H151" i="7" s="1"/>
  <c r="F152" i="7" l="1"/>
  <c r="G152" i="7" s="1"/>
  <c r="H152" i="7" s="1"/>
  <c r="F153" i="7" l="1"/>
  <c r="G153" i="7" s="1"/>
  <c r="H153" i="7" s="1"/>
  <c r="F154" i="7" l="1"/>
  <c r="G154" i="7" s="1"/>
  <c r="H154" i="7"/>
  <c r="F155" i="7" l="1"/>
  <c r="G155" i="7" s="1"/>
  <c r="H155" i="7" s="1"/>
  <c r="F156" i="7" l="1"/>
  <c r="G156" i="7" s="1"/>
  <c r="H156" i="7" s="1"/>
  <c r="F157" i="7" l="1"/>
  <c r="G157" i="7" s="1"/>
  <c r="H157" i="7" s="1"/>
  <c r="F158" i="7" l="1"/>
  <c r="G158" i="7" s="1"/>
  <c r="H158" i="7" s="1"/>
  <c r="F159" i="7" l="1"/>
  <c r="G159" i="7" s="1"/>
  <c r="H159" i="7" s="1"/>
  <c r="F160" i="7" l="1"/>
  <c r="G160" i="7" s="1"/>
  <c r="H160" i="7" s="1"/>
  <c r="F161" i="7" l="1"/>
  <c r="G161" i="7" s="1"/>
  <c r="H161" i="7" s="1"/>
  <c r="F162" i="7" l="1"/>
  <c r="G162" i="7" s="1"/>
  <c r="H162" i="7" s="1"/>
  <c r="F163" i="7" l="1"/>
  <c r="G163" i="7" s="1"/>
  <c r="H163" i="7" s="1"/>
  <c r="F164" i="7" l="1"/>
  <c r="G164" i="7" s="1"/>
  <c r="H164" i="7" s="1"/>
  <c r="F165" i="7" l="1"/>
  <c r="G165" i="7" s="1"/>
  <c r="H165" i="7" s="1"/>
  <c r="F166" i="7" l="1"/>
  <c r="G166" i="7" s="1"/>
  <c r="H166" i="7" s="1"/>
  <c r="F167" i="7" l="1"/>
  <c r="G167" i="7" s="1"/>
  <c r="H167" i="7" s="1"/>
  <c r="F168" i="7" l="1"/>
  <c r="G168" i="7" s="1"/>
  <c r="H168" i="7" s="1"/>
  <c r="F169" i="7" l="1"/>
  <c r="G169" i="7" s="1"/>
  <c r="H169" i="7" s="1"/>
  <c r="F170" i="7" l="1"/>
  <c r="G170" i="7" s="1"/>
  <c r="H170" i="7" s="1"/>
  <c r="F171" i="7" l="1"/>
  <c r="G171" i="7" s="1"/>
  <c r="H171" i="7" s="1"/>
  <c r="F172" i="7" l="1"/>
  <c r="G172" i="7" s="1"/>
  <c r="H172" i="7" s="1"/>
  <c r="F173" i="7" l="1"/>
  <c r="G173" i="7" s="1"/>
  <c r="H173" i="7" s="1"/>
  <c r="F174" i="7" l="1"/>
  <c r="G174" i="7" s="1"/>
  <c r="H174" i="7" s="1"/>
  <c r="F175" i="7" l="1"/>
  <c r="G175" i="7" s="1"/>
  <c r="H175" i="7" s="1"/>
  <c r="F176" i="7" l="1"/>
  <c r="G176" i="7" s="1"/>
  <c r="H176" i="7" s="1"/>
  <c r="F177" i="7" l="1"/>
  <c r="G177" i="7" s="1"/>
  <c r="H177" i="7" s="1"/>
  <c r="F178" i="7" l="1"/>
  <c r="G178" i="7" s="1"/>
  <c r="H178" i="7" s="1"/>
  <c r="F179" i="7" l="1"/>
  <c r="G179" i="7" s="1"/>
  <c r="H179" i="7" s="1"/>
  <c r="F180" i="7" l="1"/>
  <c r="G180" i="7" s="1"/>
  <c r="H180" i="7" s="1"/>
  <c r="F181" i="7" l="1"/>
  <c r="G181" i="7" s="1"/>
  <c r="H181" i="7" s="1"/>
  <c r="F182" i="7" l="1"/>
  <c r="G182" i="7" s="1"/>
  <c r="H182" i="7" s="1"/>
  <c r="F183" i="7" l="1"/>
  <c r="G183" i="7" s="1"/>
  <c r="H183" i="7" s="1"/>
  <c r="F184" i="7" l="1"/>
  <c r="G184" i="7" s="1"/>
  <c r="H184" i="7" s="1"/>
  <c r="F185" i="7" l="1"/>
  <c r="G185" i="7" s="1"/>
  <c r="H185" i="7" s="1"/>
  <c r="F186" i="7" l="1"/>
  <c r="G186" i="7" s="1"/>
  <c r="H186" i="7" s="1"/>
  <c r="F187" i="7" l="1"/>
  <c r="G187" i="7" s="1"/>
  <c r="H187" i="7" s="1"/>
  <c r="F188" i="7" l="1"/>
  <c r="G188" i="7" s="1"/>
  <c r="H188" i="7" s="1"/>
  <c r="F189" i="7" l="1"/>
  <c r="G189" i="7" s="1"/>
  <c r="H189" i="7" s="1"/>
  <c r="F190" i="7" l="1"/>
  <c r="G190" i="7" s="1"/>
  <c r="H190" i="7" s="1"/>
  <c r="F191" i="7" l="1"/>
  <c r="G191" i="7" s="1"/>
  <c r="H191" i="7" s="1"/>
  <c r="F192" i="7" l="1"/>
  <c r="G192" i="7" s="1"/>
  <c r="H192" i="7" s="1"/>
  <c r="F193" i="7" l="1"/>
  <c r="G193" i="7" s="1"/>
  <c r="H193" i="7" s="1"/>
  <c r="F194" i="7" l="1"/>
  <c r="G194" i="7" s="1"/>
  <c r="H194" i="7" s="1"/>
  <c r="F195" i="7" l="1"/>
  <c r="G195" i="7" s="1"/>
  <c r="H195" i="7" s="1"/>
  <c r="F196" i="7" l="1"/>
  <c r="G196" i="7" s="1"/>
  <c r="H196" i="7" s="1"/>
  <c r="F197" i="7" l="1"/>
  <c r="G197" i="7" s="1"/>
  <c r="H197" i="7" s="1"/>
  <c r="F198" i="7" l="1"/>
  <c r="G198" i="7" s="1"/>
  <c r="H198" i="7" s="1"/>
  <c r="F199" i="7" l="1"/>
  <c r="G199" i="7" s="1"/>
  <c r="H199" i="7" s="1"/>
  <c r="F200" i="7" l="1"/>
  <c r="G200" i="7" s="1"/>
  <c r="H200" i="7" s="1"/>
  <c r="F201" i="7" l="1"/>
  <c r="G201" i="7" s="1"/>
  <c r="H201" i="7" s="1"/>
  <c r="F202" i="7" l="1"/>
  <c r="G202" i="7" s="1"/>
  <c r="H202" i="7" s="1"/>
  <c r="F203" i="7" l="1"/>
  <c r="G203" i="7" s="1"/>
  <c r="H203" i="7" s="1"/>
  <c r="F204" i="7" l="1"/>
  <c r="G204" i="7" s="1"/>
  <c r="H204" i="7" s="1"/>
  <c r="F205" i="7" l="1"/>
  <c r="G205" i="7" s="1"/>
  <c r="H205" i="7" s="1"/>
  <c r="F206" i="7" l="1"/>
  <c r="G206" i="7" s="1"/>
  <c r="H206" i="7" s="1"/>
  <c r="F207" i="7" l="1"/>
  <c r="G207" i="7" s="1"/>
  <c r="H207" i="7" s="1"/>
  <c r="F208" i="7" l="1"/>
  <c r="G208" i="7" s="1"/>
  <c r="H208" i="7" s="1"/>
  <c r="F209" i="7" l="1"/>
  <c r="G209" i="7" s="1"/>
  <c r="H209" i="7" s="1"/>
  <c r="F210" i="7" l="1"/>
  <c r="G210" i="7" s="1"/>
  <c r="H210" i="7" s="1"/>
  <c r="F211" i="7" l="1"/>
  <c r="G211" i="7" s="1"/>
  <c r="H211" i="7" s="1"/>
  <c r="F212" i="7" l="1"/>
  <c r="G212" i="7" s="1"/>
  <c r="H212" i="7" s="1"/>
  <c r="F213" i="7" l="1"/>
  <c r="G213" i="7" s="1"/>
  <c r="H213" i="7" s="1"/>
  <c r="F214" i="7" l="1"/>
  <c r="G214" i="7" s="1"/>
  <c r="H214" i="7" s="1"/>
  <c r="F215" i="7" l="1"/>
  <c r="G215" i="7" s="1"/>
  <c r="H215" i="7" s="1"/>
  <c r="F216" i="7" l="1"/>
  <c r="G216" i="7" s="1"/>
  <c r="H216" i="7" s="1"/>
  <c r="F217" i="7" l="1"/>
  <c r="G217" i="7" s="1"/>
  <c r="H217" i="7" s="1"/>
  <c r="F218" i="7" l="1"/>
  <c r="G218" i="7" s="1"/>
  <c r="H218" i="7"/>
  <c r="F219" i="7" l="1"/>
  <c r="G219" i="7" s="1"/>
  <c r="H219" i="7" s="1"/>
  <c r="F220" i="7" l="1"/>
  <c r="G220" i="7" s="1"/>
  <c r="H220" i="7" s="1"/>
  <c r="F221" i="7" l="1"/>
  <c r="G221" i="7" s="1"/>
  <c r="H221" i="7" s="1"/>
  <c r="F222" i="7" l="1"/>
  <c r="G222" i="7" s="1"/>
  <c r="H222" i="7" s="1"/>
  <c r="F223" i="7" l="1"/>
  <c r="G223" i="7" s="1"/>
  <c r="H223" i="7" s="1"/>
  <c r="F224" i="7" l="1"/>
  <c r="G224" i="7" s="1"/>
  <c r="H224" i="7" s="1"/>
  <c r="F225" i="7" l="1"/>
  <c r="G225" i="7" s="1"/>
  <c r="H225" i="7" s="1"/>
  <c r="F226" i="7" l="1"/>
  <c r="G226" i="7" s="1"/>
  <c r="H226" i="7" s="1"/>
  <c r="F227" i="7" l="1"/>
  <c r="G227" i="7" s="1"/>
  <c r="H227" i="7" s="1"/>
  <c r="F228" i="7" l="1"/>
  <c r="G228" i="7" s="1"/>
  <c r="H228" i="7" s="1"/>
  <c r="F229" i="7" l="1"/>
  <c r="G229" i="7" s="1"/>
  <c r="H229" i="7" s="1"/>
  <c r="F230" i="7" l="1"/>
  <c r="G230" i="7" s="1"/>
  <c r="H230" i="7" s="1"/>
  <c r="F231" i="7" l="1"/>
  <c r="G231" i="7" s="1"/>
  <c r="H231" i="7" s="1"/>
  <c r="F232" i="7" l="1"/>
  <c r="G232" i="7" s="1"/>
  <c r="H232" i="7" s="1"/>
  <c r="F233" i="7" l="1"/>
  <c r="G233" i="7" s="1"/>
  <c r="H233" i="7" s="1"/>
  <c r="F234" i="7" l="1"/>
  <c r="G234" i="7" s="1"/>
  <c r="H234" i="7" s="1"/>
  <c r="F235" i="7" l="1"/>
  <c r="G235" i="7" s="1"/>
  <c r="H235" i="7" s="1"/>
  <c r="F236" i="7" l="1"/>
  <c r="G236" i="7" s="1"/>
  <c r="H236" i="7" s="1"/>
  <c r="F237" i="7" l="1"/>
  <c r="G237" i="7" s="1"/>
  <c r="H237" i="7" s="1"/>
  <c r="F238" i="7" l="1"/>
  <c r="G238" i="7" s="1"/>
  <c r="H238" i="7" s="1"/>
  <c r="F239" i="7" l="1"/>
  <c r="G239" i="7" s="1"/>
  <c r="H239" i="7" s="1"/>
  <c r="F240" i="7" l="1"/>
  <c r="G240" i="7" s="1"/>
  <c r="H240" i="7" s="1"/>
  <c r="F241" i="7" l="1"/>
  <c r="G241" i="7" s="1"/>
  <c r="H241" i="7" s="1"/>
  <c r="F242" i="7" l="1"/>
  <c r="G242" i="7" s="1"/>
  <c r="H242" i="7" s="1"/>
  <c r="F6" i="8"/>
  <c r="B5" i="8"/>
  <c r="E8" i="8" s="1"/>
  <c r="E13" i="8" l="1"/>
  <c r="E9" i="8"/>
  <c r="E6" i="8"/>
  <c r="G6" i="8" s="1"/>
  <c r="H6" i="8" s="1"/>
  <c r="E11" i="8"/>
  <c r="E14" i="8"/>
  <c r="E7" i="8"/>
  <c r="E10" i="8"/>
  <c r="E12" i="8"/>
  <c r="F7" i="8" l="1"/>
  <c r="G7" i="8" s="1"/>
  <c r="H7" i="8" s="1"/>
  <c r="F8" i="8" l="1"/>
  <c r="G8" i="8" s="1"/>
  <c r="H8" i="8" s="1"/>
  <c r="F9" i="8" l="1"/>
  <c r="G9" i="8" s="1"/>
  <c r="H9" i="8" s="1"/>
  <c r="F10" i="8" l="1"/>
  <c r="G10" i="8" s="1"/>
  <c r="H10" i="8" s="1"/>
  <c r="F11" i="8" l="1"/>
  <c r="G11" i="8" s="1"/>
  <c r="H11" i="8" s="1"/>
  <c r="F12" i="8" l="1"/>
  <c r="G12" i="8" s="1"/>
  <c r="H12" i="8" s="1"/>
  <c r="F13" i="8" l="1"/>
  <c r="G13" i="8" s="1"/>
  <c r="H13" i="8" s="1"/>
  <c r="F14" i="8" l="1"/>
  <c r="G14" i="8" s="1"/>
  <c r="H14" i="8" s="1"/>
</calcChain>
</file>

<file path=xl/comments1.xml><?xml version="1.0" encoding="utf-8"?>
<comments xmlns="http://schemas.openxmlformats.org/spreadsheetml/2006/main">
  <authors>
    <author>Full name</author>
    <author>tc={4CCF3B41-F330-422A-BF34-D6733A79F154}</author>
  </authors>
  <commentList>
    <comment ref="B6" authorId="0" shapeId="0">
      <text>
        <r>
          <rPr>
            <b/>
            <sz val="9"/>
            <color indexed="81"/>
            <rFont val="Tahoma"/>
            <charset val="1"/>
          </rPr>
          <t>Como invertir en un CDT</t>
        </r>
      </text>
    </comment>
    <comment ref="B59" authorId="1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OJO QUE YA ESTA EN VALOR ABSOLUTO</t>
        </r>
      </text>
    </comment>
  </commentList>
</comments>
</file>

<file path=xl/comments2.xml><?xml version="1.0" encoding="utf-8"?>
<comments xmlns="http://schemas.openxmlformats.org/spreadsheetml/2006/main">
  <authors>
    <author>Full name</author>
  </authors>
  <commentList>
    <comment ref="F1" authorId="0" shapeId="0">
      <text>
        <r>
          <rPr>
            <b/>
            <sz val="9"/>
            <color indexed="81"/>
            <rFont val="Tahoma"/>
            <charset val="1"/>
          </rPr>
          <t>Interés esta decreciendo!</t>
        </r>
      </text>
    </comment>
    <comment ref="G7" authorId="0" shapeId="0">
      <text>
        <r>
          <rPr>
            <b/>
            <sz val="9"/>
            <color indexed="81"/>
            <rFont val="Tahoma"/>
            <charset val="1"/>
          </rPr>
          <t>Cada vez mas vas aumentando el pago a la deuda.</t>
        </r>
      </text>
    </comment>
  </commentList>
</comments>
</file>

<file path=xl/comments3.xml><?xml version="1.0" encoding="utf-8"?>
<comments xmlns="http://schemas.openxmlformats.org/spreadsheetml/2006/main">
  <authors>
    <author>Full name</author>
  </authors>
  <commentList>
    <comment ref="F1" authorId="0" shapeId="0">
      <text>
        <r>
          <rPr>
            <b/>
            <sz val="9"/>
            <color indexed="81"/>
            <rFont val="Tahoma"/>
            <charset val="1"/>
          </rPr>
          <t>Interés esta decreciendo!</t>
        </r>
      </text>
    </comment>
    <comment ref="G7" authorId="0" shapeId="0">
      <text>
        <r>
          <rPr>
            <b/>
            <sz val="9"/>
            <color indexed="81"/>
            <rFont val="Tahoma"/>
            <charset val="1"/>
          </rPr>
          <t>Cada vez mas vas aumentando el pago a la deuda.</t>
        </r>
      </text>
    </comment>
  </commentList>
</comments>
</file>

<file path=xl/comments4.xml><?xml version="1.0" encoding="utf-8"?>
<comments xmlns="http://schemas.openxmlformats.org/spreadsheetml/2006/main">
  <authors>
    <author>Full name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Traer esta cuota valor presente.</t>
        </r>
      </text>
    </comment>
    <comment ref="B12" authorId="0" shapeId="0">
      <text>
        <r>
          <rPr>
            <sz val="9"/>
            <color indexed="81"/>
            <rFont val="Tahoma"/>
            <charset val="1"/>
          </rPr>
          <t xml:space="preserve">El banco ua cuenta con esa plata!!!
</t>
        </r>
      </text>
    </comment>
    <comment ref="H41" authorId="0" shapeId="0">
      <text>
        <r>
          <rPr>
            <b/>
            <sz val="9"/>
            <color indexed="81"/>
            <rFont val="Tahoma"/>
            <charset val="1"/>
          </rPr>
          <t>Full name: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Full name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Traer esta cuota valor presente.</t>
        </r>
      </text>
    </comment>
    <comment ref="B12" authorId="0" shapeId="0">
      <text>
        <r>
          <rPr>
            <sz val="9"/>
            <color indexed="81"/>
            <rFont val="Tahoma"/>
            <charset val="1"/>
          </rPr>
          <t xml:space="preserve">El banco ua cuenta con esa plata!!!
</t>
        </r>
      </text>
    </comment>
    <comment ref="H41" authorId="0" shapeId="0">
      <text>
        <r>
          <rPr>
            <b/>
            <sz val="9"/>
            <color indexed="81"/>
            <rFont val="Tahoma"/>
            <charset val="1"/>
          </rPr>
          <t>Full name: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<sst xmlns="http://schemas.openxmlformats.org/spreadsheetml/2006/main" count="309" uniqueCount="112">
  <si>
    <t>Condiciones del Crédito</t>
  </si>
  <si>
    <t>Préstamo = P</t>
  </si>
  <si>
    <t>Costo Financiero = i%</t>
  </si>
  <si>
    <t>Plazo del Préstamo = n</t>
  </si>
  <si>
    <t>Cuota a pagar períodica = A</t>
  </si>
  <si>
    <t>Período</t>
  </si>
  <si>
    <t>Cuota</t>
  </si>
  <si>
    <t>Intereses</t>
  </si>
  <si>
    <t>Saldo</t>
  </si>
  <si>
    <t>Cuota Extra No Pactada en 6</t>
  </si>
  <si>
    <t>Cuota Extra Pactada</t>
  </si>
  <si>
    <t>Cuota Extra Pactada en 4</t>
  </si>
  <si>
    <t>Cuota Extra Pactada en 8</t>
  </si>
  <si>
    <t>VP - Cuota Extra de 4</t>
  </si>
  <si>
    <t>VP - Cuota Extra de 8</t>
  </si>
  <si>
    <t>VP Préstamo</t>
  </si>
  <si>
    <t>Nueva Cuota a pagar</t>
  </si>
  <si>
    <t>Cuota Extra No Pactada con Acortamiento de Plazo</t>
  </si>
  <si>
    <t>Cuota Extra No Pactada con Disminución del Valor de la Cuota</t>
  </si>
  <si>
    <t>VP Préstamo en 6</t>
  </si>
  <si>
    <t>Nueva Cuota a pagar a partir del 7</t>
  </si>
  <si>
    <t>Cuota Variable - Gradiente Aritmético</t>
  </si>
  <si>
    <t>Cuota Variable - Gradiente Geométrico</t>
  </si>
  <si>
    <t>G</t>
  </si>
  <si>
    <t>G = j%</t>
  </si>
  <si>
    <t>Pago constante de Cuota, con Intereses que disminuyen y abono a Capital que crecen.</t>
  </si>
  <si>
    <t>Pago constante de Cuota, con Cuotas Extras previamente pactadas, Intereses que disminuyen y abono a Capital que crecen.</t>
  </si>
  <si>
    <t>Pago constante de Cuota, con Cuotas Extras no pactadas, Intereses que disminuyen, abono a Capital que crecen y recorte de plazo de pago.</t>
  </si>
  <si>
    <t>Pago constante de Cuota, con Cuotas Extras no pactadas, Intereses que disminuyen, abono a Capital que crecen y valor de Cuota que disminuye.</t>
  </si>
  <si>
    <t>Abono Constante de Capital</t>
  </si>
  <si>
    <t>Capital = K</t>
  </si>
  <si>
    <t>Forma 1. Despejando A</t>
  </si>
  <si>
    <t>Forma 2. Calculando A con G</t>
  </si>
  <si>
    <t>Pago de Cuota Variable, Intereses que disminuyen y abono a Capital que crecen.</t>
  </si>
  <si>
    <t>Forma 2. Despejando A</t>
  </si>
  <si>
    <t>Valor UVR</t>
  </si>
  <si>
    <t>Préstamos en UVRs</t>
  </si>
  <si>
    <t>Plazo del Préstamo = n en Años</t>
  </si>
  <si>
    <t>Plazo del Préstamo = n en Meses</t>
  </si>
  <si>
    <t>Costo Financiero = i% E.A.</t>
  </si>
  <si>
    <t>Costo Financiero = i% E.M.</t>
  </si>
  <si>
    <t>Inflación Anual</t>
  </si>
  <si>
    <t>Pago constante de Cuota en UVR, con Intereses que disminuyen y abono a Capital que crecen.</t>
  </si>
  <si>
    <t>Abono a Capital</t>
  </si>
  <si>
    <t>Plazo del Préstamo = n (Meses)</t>
  </si>
  <si>
    <t>Cuota a pagar períodica = A (Mes)</t>
  </si>
  <si>
    <t>Pago de Cuota Variable, Intereses que disminuyen y abono a Capital constante.</t>
  </si>
  <si>
    <t>K periódo = P / n</t>
  </si>
  <si>
    <t>Cuota Fija en Pesos</t>
  </si>
  <si>
    <t>Cuota Fija en UVR</t>
  </si>
  <si>
    <t>Pago constante de Cuota en Pesos, con Intereses que disminuyen y abono a Capital que crecen.</t>
  </si>
  <si>
    <t xml:space="preserve">Periodo de gracia </t>
  </si>
  <si>
    <t>No cuota, si intereses, no abono capital</t>
  </si>
  <si>
    <t>COMPROBACION</t>
  </si>
  <si>
    <t>VF(3)</t>
  </si>
  <si>
    <t>VP</t>
  </si>
  <si>
    <t>i% E.A</t>
  </si>
  <si>
    <t>n (plazo) Años</t>
  </si>
  <si>
    <t>n Trimestral</t>
  </si>
  <si>
    <t>VF=?</t>
  </si>
  <si>
    <t>VF</t>
  </si>
  <si>
    <t>i% E.M</t>
  </si>
  <si>
    <t>n (plazo) Meses</t>
  </si>
  <si>
    <t>n Anual</t>
  </si>
  <si>
    <t>VP=?</t>
  </si>
  <si>
    <t>A Mes</t>
  </si>
  <si>
    <t>%i M.V</t>
  </si>
  <si>
    <t>n(plazo) Meses</t>
  </si>
  <si>
    <t>VP=VA=?</t>
  </si>
  <si>
    <t>VP=Prestamo</t>
  </si>
  <si>
    <t>Función Pago</t>
  </si>
  <si>
    <t>i% M.V</t>
  </si>
  <si>
    <t>Meses</t>
  </si>
  <si>
    <t>A Mes=?</t>
  </si>
  <si>
    <t>A Anual</t>
  </si>
  <si>
    <t>G+</t>
  </si>
  <si>
    <t>n Años</t>
  </si>
  <si>
    <t>A´</t>
  </si>
  <si>
    <t>j %</t>
  </si>
  <si>
    <t>PAGOS UNICOS</t>
  </si>
  <si>
    <t>Valor Futuro dado un valor presente</t>
  </si>
  <si>
    <t>Valor presente dado un valor futuro</t>
  </si>
  <si>
    <t>Valor futuro y presente apartir de una anualidad</t>
  </si>
  <si>
    <t>Anualidad apartir de valor presente</t>
  </si>
  <si>
    <t>Anualidad apartir de valor Futuro</t>
  </si>
  <si>
    <t>ANUALIDADES-SERIES UNIFORMES</t>
  </si>
  <si>
    <t>GRADIENTES-SERIES NO UNIFORMES</t>
  </si>
  <si>
    <t>Valor futuro Y  presente apartir de un gradiente aritmetico G</t>
  </si>
  <si>
    <t>A con VP</t>
  </si>
  <si>
    <t>A con VF</t>
  </si>
  <si>
    <r>
      <t xml:space="preserve">Anualidad apartir de un valor presento o futuro de un gradiente aritmetico </t>
    </r>
    <r>
      <rPr>
        <b/>
        <sz val="12"/>
        <color theme="1"/>
        <rFont val="Calibri"/>
        <family val="2"/>
        <scheme val="minor"/>
      </rPr>
      <t>G</t>
    </r>
  </si>
  <si>
    <t>Valor futuro apartir de un gradiente Geometrico J% CRECIENTE</t>
  </si>
  <si>
    <t>Valor futuro apartir de un gradiente Geometrico J% DECRECIENTE</t>
  </si>
  <si>
    <t>Valor Presente apartir de un gradiente Geometrico J% CRECIENTE</t>
  </si>
  <si>
    <t>Valor Presente apartir de un gradiente Geometrico J% DECRECIENTE</t>
  </si>
  <si>
    <t>Anualidad apartir de un valor presente  de un gradiente Geometrico J% creciente</t>
  </si>
  <si>
    <t>j%</t>
  </si>
  <si>
    <t>A=?</t>
  </si>
  <si>
    <t>Anualidad apartir de un valor presente  de un gradiente Geometrico J% Decreciente</t>
  </si>
  <si>
    <t>Anualidad apartir de un valor futuro de un gradiente geometrico J% creciente</t>
  </si>
  <si>
    <t>Anualidad apartir de un valor futuro de un gradiente geometrico J% Decreciente</t>
  </si>
  <si>
    <t>A mes</t>
  </si>
  <si>
    <t>n meses</t>
  </si>
  <si>
    <t>i% E.Mes</t>
  </si>
  <si>
    <t>Cuota Extra Pactada en 3</t>
  </si>
  <si>
    <t>VP - Cuota Extra de 7</t>
  </si>
  <si>
    <t>Cuota Extra No Pactada en 4</t>
  </si>
  <si>
    <t>VP Préstamo en 12</t>
  </si>
  <si>
    <t>n mes</t>
  </si>
  <si>
    <t>i% E.q</t>
  </si>
  <si>
    <t>n quincenas</t>
  </si>
  <si>
    <t>Nueva Cuota a pagar a partir del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</si>
</sst>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$&quot;#,##0.00;[Red]\-&quot;$&quot;#,##0.00"/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#,##0.00_ ;\-#,##0.00\ "/>
    <numFmt numFmtId="165" formatCode="#,##0.0000_ ;\-#,##0.0000\ "/>
    <numFmt numFmtId="166" formatCode="#,##0.00000_ ;\-#,##0.00000\ "/>
    <numFmt numFmtId="167" formatCode="&quot;$&quot;#,##0.0000;[Red]\-&quot;$&quot;#,##0.0000"/>
    <numFmt numFmtId="168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mediumGray">
        <fgColor indexed="9"/>
        <bgColor indexed="9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0" fontId="0" fillId="0" borderId="0" xfId="1" applyNumberFormat="1" applyFont="1"/>
    <xf numFmtId="10" fontId="1" fillId="0" borderId="0" xfId="1" applyNumberFormat="1" applyFont="1"/>
    <xf numFmtId="164" fontId="0" fillId="0" borderId="0" xfId="0" applyNumberFormat="1" applyFont="1"/>
    <xf numFmtId="0" fontId="0" fillId="0" borderId="0" xfId="0" applyAlignment="1">
      <alignment horizontal="left"/>
    </xf>
    <xf numFmtId="165" fontId="0" fillId="0" borderId="0" xfId="0" applyNumberFormat="1"/>
    <xf numFmtId="10" fontId="0" fillId="0" borderId="0" xfId="0" applyNumberFormat="1"/>
    <xf numFmtId="9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top" wrapText="1"/>
    </xf>
    <xf numFmtId="0" fontId="0" fillId="0" borderId="0" xfId="0" applyAlignment="1">
      <alignment horizontal="center"/>
    </xf>
    <xf numFmtId="164" fontId="0" fillId="3" borderId="0" xfId="0" applyNumberFormat="1" applyFill="1"/>
    <xf numFmtId="166" fontId="0" fillId="0" borderId="0" xfId="0" applyNumberFormat="1"/>
    <xf numFmtId="0" fontId="0" fillId="0" borderId="1" xfId="0" applyBorder="1"/>
    <xf numFmtId="8" fontId="0" fillId="0" borderId="1" xfId="0" applyNumberFormat="1" applyBorder="1"/>
    <xf numFmtId="0" fontId="0" fillId="4" borderId="1" xfId="0" applyFill="1" applyBorder="1"/>
    <xf numFmtId="0" fontId="0" fillId="0" borderId="2" xfId="0" applyBorder="1"/>
    <xf numFmtId="42" fontId="0" fillId="0" borderId="1" xfId="2" applyFont="1" applyBorder="1"/>
    <xf numFmtId="42" fontId="0" fillId="0" borderId="7" xfId="2" applyFont="1" applyBorder="1"/>
    <xf numFmtId="10" fontId="0" fillId="0" borderId="1" xfId="2" applyNumberFormat="1" applyFont="1" applyBorder="1"/>
    <xf numFmtId="0" fontId="0" fillId="0" borderId="0" xfId="0"/>
    <xf numFmtId="0" fontId="0" fillId="0" borderId="1" xfId="0" applyBorder="1"/>
    <xf numFmtId="10" fontId="0" fillId="0" borderId="1" xfId="0" applyNumberFormat="1" applyBorder="1"/>
    <xf numFmtId="167" fontId="0" fillId="0" borderId="1" xfId="0" applyNumberFormat="1" applyBorder="1"/>
    <xf numFmtId="168" fontId="0" fillId="0" borderId="3" xfId="1" applyNumberFormat="1" applyFont="1" applyBorder="1" applyAlignment="1">
      <alignment horizontal="center"/>
    </xf>
    <xf numFmtId="0" fontId="0" fillId="0" borderId="3" xfId="0" applyBorder="1"/>
    <xf numFmtId="3" fontId="0" fillId="0" borderId="1" xfId="0" applyNumberFormat="1" applyBorder="1"/>
    <xf numFmtId="0" fontId="0" fillId="0" borderId="1" xfId="0" applyFill="1" applyBorder="1"/>
    <xf numFmtId="10" fontId="0" fillId="0" borderId="1" xfId="1" applyNumberFormat="1" applyFont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0" xfId="0" applyBorder="1"/>
    <xf numFmtId="42" fontId="0" fillId="0" borderId="1" xfId="2" applyFont="1" applyFill="1" applyBorder="1"/>
    <xf numFmtId="0" fontId="0" fillId="5" borderId="1" xfId="0" applyFill="1" applyBorder="1"/>
    <xf numFmtId="0" fontId="0" fillId="0" borderId="1" xfId="2" applyNumberFormat="1" applyFont="1" applyBorder="1"/>
    <xf numFmtId="9" fontId="0" fillId="0" borderId="1" xfId="2" applyNumberFormat="1" applyFont="1" applyBorder="1"/>
    <xf numFmtId="0" fontId="0" fillId="0" borderId="0" xfId="0" applyFill="1" applyBorder="1" applyAlignment="1">
      <alignment wrapText="1"/>
    </xf>
    <xf numFmtId="0" fontId="0" fillId="0" borderId="9" xfId="0" applyBorder="1"/>
    <xf numFmtId="0" fontId="0" fillId="0" borderId="8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Fill="1" applyBorder="1" applyAlignment="1">
      <alignment horizontal="center"/>
    </xf>
    <xf numFmtId="0" fontId="0" fillId="0" borderId="16" xfId="0" applyBorder="1"/>
    <xf numFmtId="0" fontId="0" fillId="0" borderId="16" xfId="0" applyFill="1" applyBorder="1"/>
    <xf numFmtId="9" fontId="0" fillId="3" borderId="1" xfId="2" applyNumberFormat="1" applyFont="1" applyFill="1" applyBorder="1"/>
    <xf numFmtId="44" fontId="0" fillId="0" borderId="1" xfId="0" applyNumberFormat="1" applyBorder="1"/>
    <xf numFmtId="164" fontId="0" fillId="0" borderId="0" xfId="0" applyNumberFormat="1" applyFill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right"/>
    </xf>
    <xf numFmtId="0" fontId="0" fillId="4" borderId="0" xfId="0" applyFill="1" applyAlignment="1">
      <alignment horizontal="right"/>
    </xf>
    <xf numFmtId="164" fontId="0" fillId="4" borderId="0" xfId="0" applyNumberFormat="1" applyFill="1"/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5" borderId="6" xfId="0" applyFill="1" applyBorder="1" applyAlignment="1">
      <alignment horizontal="center" wrapText="1"/>
    </xf>
    <xf numFmtId="0" fontId="0" fillId="5" borderId="9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9" xfId="0" applyFill="1" applyBorder="1" applyAlignment="1">
      <alignment horizontal="center" wrapText="1"/>
    </xf>
    <xf numFmtId="0" fontId="0" fillId="5" borderId="8" xfId="0" applyFill="1" applyBorder="1" applyAlignment="1">
      <alignment horizontal="center" wrapText="1"/>
    </xf>
    <xf numFmtId="0" fontId="0" fillId="5" borderId="10" xfId="0" applyFill="1" applyBorder="1" applyAlignment="1">
      <alignment horizontal="center" wrapText="1"/>
    </xf>
    <xf numFmtId="0" fontId="0" fillId="5" borderId="11" xfId="0" applyFill="1" applyBorder="1" applyAlignment="1">
      <alignment horizontal="center" wrapText="1"/>
    </xf>
    <xf numFmtId="0" fontId="0" fillId="5" borderId="12" xfId="0" applyFill="1" applyBorder="1" applyAlignment="1">
      <alignment horizontal="center" wrapText="1"/>
    </xf>
    <xf numFmtId="0" fontId="0" fillId="5" borderId="13" xfId="0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  <xf numFmtId="168" fontId="7" fillId="6" borderId="17" xfId="1" applyNumberFormat="1" applyFont="1" applyFill="1" applyBorder="1" applyProtection="1">
      <protection hidden="1"/>
    </xf>
  </cellXfs>
  <cellStyles count="4">
    <cellStyle name="Moneda [0]" xfId="2" builtinId="7"/>
    <cellStyle name="Moneda [0] 2" xf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66676</xdr:colOff>
      <xdr:row>5</xdr:row>
      <xdr:rowOff>35788</xdr:rowOff>
    </xdr:from>
    <xdr:to>
      <xdr:col>12</xdr:col>
      <xdr:colOff>657226</xdr:colOff>
      <xdr:row>8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6" y="988288"/>
          <a:ext cx="2876550" cy="6214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180975</xdr:colOff>
      <xdr:row>21</xdr:row>
      <xdr:rowOff>123825</xdr:rowOff>
    </xdr:from>
    <xdr:to>
      <xdr:col>12</xdr:col>
      <xdr:colOff>616708</xdr:colOff>
      <xdr:row>25</xdr:row>
      <xdr:rowOff>28575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4124325"/>
          <a:ext cx="2721733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edro Arango" id="{100000D0-B727-4DD1-ADB1-240705E6EEE4}" userId="dd7f0d32976be39a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9" dT="2020-05-20T17:24:04.19" personId="{100000D0-B727-4DD1-ADB1-240705E6EEE4}" id="{4CCF3B41-F330-422A-BF34-D6733A79F154}">
    <text>OJO QUE YA ESTA EN VALOR ABSOLUTO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1"/>
  <sheetViews>
    <sheetView tabSelected="1" zoomScale="115" zoomScaleNormal="115" workbookViewId="0">
      <selection activeCell="B45" sqref="B45"/>
    </sheetView>
  </sheetViews>
  <sheetFormatPr baseColWidth="10" defaultRowHeight="15" x14ac:dyDescent="0.25"/>
  <cols>
    <col min="1" max="1" width="13.28515625" customWidth="1"/>
    <col min="2" max="2" width="19" customWidth="1"/>
    <col min="3" max="3" width="15.7109375" bestFit="1" customWidth="1"/>
    <col min="4" max="4" width="20.85546875" customWidth="1"/>
    <col min="6" max="6" width="15.140625" customWidth="1"/>
    <col min="7" max="7" width="21.5703125" customWidth="1"/>
    <col min="8" max="8" width="16.85546875" customWidth="1"/>
    <col min="9" max="9" width="25.42578125" customWidth="1"/>
    <col min="11" max="11" width="15.7109375" bestFit="1" customWidth="1"/>
    <col min="12" max="12" width="15.85546875" customWidth="1"/>
  </cols>
  <sheetData>
    <row r="1" spans="1:11" ht="15.75" thickBot="1" x14ac:dyDescent="0.3">
      <c r="A1" s="44"/>
      <c r="B1" s="45"/>
      <c r="C1" s="45"/>
      <c r="D1" s="45"/>
      <c r="E1" s="45"/>
      <c r="F1" s="45"/>
      <c r="G1" s="45"/>
      <c r="H1" s="45"/>
      <c r="I1" s="45"/>
      <c r="J1" s="45"/>
      <c r="K1" s="46"/>
    </row>
    <row r="2" spans="1:11" ht="15.75" thickBot="1" x14ac:dyDescent="0.3">
      <c r="A2" s="83" t="s">
        <v>79</v>
      </c>
      <c r="B2" s="84"/>
      <c r="C2" s="84"/>
      <c r="D2" s="84"/>
      <c r="E2" s="84"/>
      <c r="F2" s="84"/>
      <c r="G2" s="84"/>
      <c r="H2" s="84"/>
      <c r="I2" s="84"/>
      <c r="J2" s="84"/>
      <c r="K2" s="85"/>
    </row>
    <row r="3" spans="1:11" ht="15.75" thickBot="1" x14ac:dyDescent="0.3">
      <c r="A3" s="47"/>
      <c r="B3" s="38"/>
      <c r="C3" s="38"/>
      <c r="D3" s="38"/>
      <c r="E3" s="38"/>
      <c r="F3" s="38"/>
      <c r="G3" s="38"/>
      <c r="H3" s="38"/>
      <c r="I3" s="38"/>
      <c r="J3" s="38"/>
      <c r="K3" s="48"/>
    </row>
    <row r="4" spans="1:11" ht="15.75" thickBot="1" x14ac:dyDescent="0.3">
      <c r="A4" s="62" t="s">
        <v>80</v>
      </c>
      <c r="B4" s="63"/>
      <c r="C4" s="63"/>
      <c r="D4" s="64"/>
      <c r="E4" s="38"/>
      <c r="J4" s="38"/>
      <c r="K4" s="48"/>
    </row>
    <row r="5" spans="1:11" x14ac:dyDescent="0.25">
      <c r="A5" s="38"/>
      <c r="B5" s="38"/>
      <c r="C5" s="38"/>
      <c r="D5" s="38"/>
      <c r="E5" s="38"/>
      <c r="J5" s="38"/>
      <c r="K5" s="48"/>
    </row>
    <row r="6" spans="1:11" x14ac:dyDescent="0.25">
      <c r="A6" s="27" t="s">
        <v>55</v>
      </c>
      <c r="B6" s="23">
        <v>300000000</v>
      </c>
      <c r="C6" s="22"/>
      <c r="D6" s="38"/>
      <c r="E6" s="38"/>
      <c r="J6" s="38"/>
      <c r="K6" s="48"/>
    </row>
    <row r="7" spans="1:11" x14ac:dyDescent="0.25">
      <c r="A7" s="27" t="s">
        <v>56</v>
      </c>
      <c r="B7" s="28">
        <v>0.14449999999999999</v>
      </c>
      <c r="C7" s="34">
        <f>(1+B7)^4-1</f>
        <v>0.71578626934006295</v>
      </c>
      <c r="D7" s="27" t="s">
        <v>56</v>
      </c>
      <c r="E7" s="38"/>
      <c r="J7" s="38"/>
      <c r="K7" s="48"/>
    </row>
    <row r="8" spans="1:11" x14ac:dyDescent="0.25">
      <c r="A8" s="27" t="s">
        <v>62</v>
      </c>
      <c r="B8" s="27">
        <v>1</v>
      </c>
      <c r="C8" s="27">
        <f>B8*4</f>
        <v>4</v>
      </c>
      <c r="D8" s="27" t="s">
        <v>58</v>
      </c>
      <c r="E8" s="38"/>
      <c r="J8" s="38"/>
      <c r="K8" s="48"/>
    </row>
    <row r="9" spans="1:11" x14ac:dyDescent="0.25">
      <c r="A9" s="27" t="s">
        <v>59</v>
      </c>
      <c r="B9" s="29">
        <f>FV(B7,B8,,-B6,0)</f>
        <v>343350000</v>
      </c>
      <c r="C9" s="38"/>
      <c r="D9" s="38"/>
      <c r="E9" s="38"/>
      <c r="J9" s="38"/>
      <c r="K9" s="48"/>
    </row>
    <row r="10" spans="1:11" ht="15.75" thickBot="1" x14ac:dyDescent="0.3">
      <c r="A10" s="38"/>
      <c r="B10" s="38"/>
      <c r="C10" s="38"/>
      <c r="D10" s="38"/>
      <c r="E10" s="38"/>
      <c r="J10" s="38"/>
      <c r="K10" s="48"/>
    </row>
    <row r="11" spans="1:11" ht="15.75" thickBot="1" x14ac:dyDescent="0.3">
      <c r="A11" s="62" t="s">
        <v>81</v>
      </c>
      <c r="B11" s="63"/>
      <c r="C11" s="63"/>
      <c r="D11" s="64"/>
      <c r="E11" s="38"/>
      <c r="J11" s="38"/>
      <c r="K11" s="48"/>
    </row>
    <row r="12" spans="1:11" x14ac:dyDescent="0.25">
      <c r="A12" s="38"/>
      <c r="B12" s="38"/>
      <c r="C12" s="38"/>
      <c r="D12" s="38"/>
      <c r="E12" s="38"/>
      <c r="J12" s="38"/>
      <c r="K12" s="48"/>
    </row>
    <row r="13" spans="1:11" x14ac:dyDescent="0.25">
      <c r="A13" s="27" t="s">
        <v>60</v>
      </c>
      <c r="B13" s="23">
        <v>-181564849.5416238</v>
      </c>
      <c r="C13" s="38"/>
      <c r="D13" s="38"/>
      <c r="E13" s="38"/>
      <c r="J13" s="38"/>
      <c r="K13" s="48"/>
    </row>
    <row r="14" spans="1:11" x14ac:dyDescent="0.25">
      <c r="A14" s="27" t="s">
        <v>61</v>
      </c>
      <c r="B14" s="28">
        <v>1.5900000000000001E-2</v>
      </c>
      <c r="C14" s="30">
        <f>((1+B14)^(1/12)-1)</f>
        <v>1.3154410275031392E-3</v>
      </c>
      <c r="D14" s="27" t="s">
        <v>61</v>
      </c>
      <c r="E14" s="38"/>
      <c r="J14" s="38"/>
      <c r="K14" s="48"/>
    </row>
    <row r="15" spans="1:11" x14ac:dyDescent="0.25">
      <c r="A15" s="27" t="s">
        <v>62</v>
      </c>
      <c r="B15" s="27">
        <v>5</v>
      </c>
      <c r="C15" s="31">
        <v>2</v>
      </c>
      <c r="D15" s="27" t="s">
        <v>63</v>
      </c>
      <c r="E15" s="38"/>
      <c r="J15" s="38"/>
      <c r="K15" s="48"/>
    </row>
    <row r="16" spans="1:11" x14ac:dyDescent="0.25">
      <c r="A16" s="27" t="s">
        <v>64</v>
      </c>
      <c r="B16" s="20">
        <f>PV(B14,B15,,B13,0)</f>
        <v>167794210.66919568</v>
      </c>
      <c r="C16" s="38"/>
      <c r="D16" s="38"/>
      <c r="E16" s="38"/>
      <c r="J16" s="38"/>
      <c r="K16" s="48"/>
    </row>
    <row r="17" spans="1:11" ht="15.75" thickBot="1" x14ac:dyDescent="0.3">
      <c r="A17" s="49"/>
      <c r="B17" s="50"/>
      <c r="C17" s="50"/>
      <c r="D17" s="50"/>
      <c r="E17" s="50"/>
      <c r="F17" s="50"/>
      <c r="G17" s="50"/>
      <c r="H17" s="50"/>
      <c r="I17" s="50"/>
      <c r="J17" s="50"/>
      <c r="K17" s="51"/>
    </row>
    <row r="18" spans="1:11" ht="15.75" thickBot="1" x14ac:dyDescent="0.3">
      <c r="A18" s="83" t="s">
        <v>85</v>
      </c>
      <c r="B18" s="84"/>
      <c r="C18" s="84"/>
      <c r="D18" s="84"/>
      <c r="E18" s="84"/>
      <c r="F18" s="84"/>
      <c r="G18" s="84"/>
      <c r="H18" s="84"/>
      <c r="I18" s="84"/>
      <c r="J18" s="84"/>
      <c r="K18" s="85"/>
    </row>
    <row r="19" spans="1:11" ht="15.75" thickBot="1" x14ac:dyDescent="0.3">
      <c r="A19" s="44"/>
      <c r="B19" s="45"/>
      <c r="C19" s="45"/>
      <c r="D19" s="45"/>
      <c r="E19" s="45"/>
      <c r="F19" s="45"/>
      <c r="G19" s="45"/>
      <c r="H19" s="45"/>
      <c r="I19" s="45"/>
      <c r="J19" s="45"/>
      <c r="K19" s="46"/>
    </row>
    <row r="20" spans="1:11" ht="15.75" thickBot="1" x14ac:dyDescent="0.3">
      <c r="A20" s="62" t="s">
        <v>82</v>
      </c>
      <c r="B20" s="63"/>
      <c r="C20" s="63"/>
      <c r="D20" s="64"/>
      <c r="E20" s="38"/>
      <c r="F20" s="38"/>
      <c r="G20" s="62" t="s">
        <v>84</v>
      </c>
      <c r="H20" s="63"/>
      <c r="I20" s="64"/>
      <c r="J20" s="52"/>
      <c r="K20" s="48"/>
    </row>
    <row r="21" spans="1:11" ht="15.75" thickBot="1" x14ac:dyDescent="0.3">
      <c r="A21" s="47"/>
      <c r="B21" s="38"/>
      <c r="C21" s="38"/>
      <c r="D21" s="38"/>
      <c r="E21" s="38"/>
      <c r="F21" s="38"/>
      <c r="G21" s="38"/>
      <c r="H21" s="38"/>
      <c r="I21" s="38"/>
      <c r="J21" s="38"/>
      <c r="K21" s="48"/>
    </row>
    <row r="22" spans="1:11" ht="15.75" thickBot="1" x14ac:dyDescent="0.3">
      <c r="A22" s="53" t="s">
        <v>65</v>
      </c>
      <c r="B22" s="32">
        <v>-150000</v>
      </c>
      <c r="C22" s="38"/>
      <c r="D22" s="38"/>
      <c r="E22" s="38"/>
      <c r="F22" s="38"/>
      <c r="G22" s="27" t="s">
        <v>60</v>
      </c>
      <c r="H22" s="32">
        <v>400000000</v>
      </c>
      <c r="I22" s="35" t="s">
        <v>70</v>
      </c>
      <c r="J22" s="36"/>
      <c r="K22" s="37"/>
    </row>
    <row r="23" spans="1:11" x14ac:dyDescent="0.25">
      <c r="A23" s="53" t="s">
        <v>66</v>
      </c>
      <c r="B23" s="28">
        <v>5.5999999999999999E-3</v>
      </c>
      <c r="C23" s="38"/>
      <c r="D23" s="38"/>
      <c r="E23" s="38"/>
      <c r="F23" s="38"/>
      <c r="G23" s="27" t="s">
        <v>71</v>
      </c>
      <c r="H23" s="25">
        <v>1.35E-2</v>
      </c>
      <c r="I23" s="38"/>
      <c r="J23" s="38"/>
      <c r="K23" s="48"/>
    </row>
    <row r="24" spans="1:11" x14ac:dyDescent="0.25">
      <c r="A24" s="53" t="s">
        <v>67</v>
      </c>
      <c r="B24" s="27">
        <v>36</v>
      </c>
      <c r="C24" s="38"/>
      <c r="D24" s="38"/>
      <c r="E24" s="38"/>
      <c r="F24" s="38"/>
      <c r="G24" s="27" t="s">
        <v>57</v>
      </c>
      <c r="H24" s="27">
        <v>5</v>
      </c>
      <c r="I24" s="27">
        <f>5*12</f>
        <v>60</v>
      </c>
      <c r="J24" s="27" t="s">
        <v>72</v>
      </c>
      <c r="K24" s="48"/>
    </row>
    <row r="25" spans="1:11" x14ac:dyDescent="0.25">
      <c r="A25" s="53" t="s">
        <v>68</v>
      </c>
      <c r="B25" s="20">
        <f>PV(B23,B24,B22,,0)</f>
        <v>4878169.7296070093</v>
      </c>
      <c r="C25" s="38"/>
      <c r="D25" s="38"/>
      <c r="E25" s="38"/>
      <c r="F25" s="38"/>
      <c r="G25" s="27" t="s">
        <v>73</v>
      </c>
      <c r="H25" s="20">
        <f>PMT(H23,I24,,H22,0)</f>
        <v>-4369780.5431606993</v>
      </c>
      <c r="I25" s="38"/>
      <c r="J25" s="38"/>
      <c r="K25" s="48"/>
    </row>
    <row r="26" spans="1:11" x14ac:dyDescent="0.25">
      <c r="A26" s="53" t="s">
        <v>59</v>
      </c>
      <c r="B26" s="20">
        <f>FV(B23,B24,B22,,0)</f>
        <v>5964395.520448559</v>
      </c>
      <c r="C26" s="38"/>
      <c r="D26" s="38"/>
      <c r="E26" s="38"/>
      <c r="F26" s="38"/>
      <c r="G26" s="38"/>
      <c r="H26" s="38"/>
      <c r="I26" s="38"/>
      <c r="J26" s="38"/>
      <c r="K26" s="48"/>
    </row>
    <row r="27" spans="1:11" ht="15.75" thickBot="1" x14ac:dyDescent="0.3">
      <c r="A27" s="47"/>
      <c r="B27" s="38"/>
      <c r="C27" s="38"/>
      <c r="D27" s="38"/>
      <c r="E27" s="38"/>
      <c r="F27" s="38"/>
      <c r="G27" s="38"/>
      <c r="H27" s="38"/>
      <c r="I27" s="38"/>
      <c r="J27" s="38"/>
      <c r="K27" s="48"/>
    </row>
    <row r="28" spans="1:11" ht="15.75" thickBot="1" x14ac:dyDescent="0.3">
      <c r="A28" s="62" t="s">
        <v>83</v>
      </c>
      <c r="B28" s="63"/>
      <c r="C28" s="63"/>
      <c r="D28" s="64"/>
      <c r="E28" s="38"/>
      <c r="F28" s="38"/>
      <c r="G28" s="38"/>
      <c r="H28" s="38"/>
      <c r="I28" s="38"/>
      <c r="J28" s="38"/>
      <c r="K28" s="48"/>
    </row>
    <row r="29" spans="1:11" ht="15.75" thickBot="1" x14ac:dyDescent="0.3">
      <c r="A29" s="47"/>
      <c r="B29" s="38"/>
      <c r="C29" s="38"/>
      <c r="D29" s="38"/>
      <c r="E29" s="38"/>
      <c r="F29" s="38"/>
      <c r="G29" s="38"/>
      <c r="H29" s="38"/>
      <c r="I29" s="38"/>
      <c r="J29" s="38"/>
      <c r="K29" s="48"/>
    </row>
    <row r="30" spans="1:11" ht="15.75" thickBot="1" x14ac:dyDescent="0.3">
      <c r="A30" s="53" t="s">
        <v>69</v>
      </c>
      <c r="B30" s="24">
        <v>300000000</v>
      </c>
      <c r="C30" s="80" t="s">
        <v>70</v>
      </c>
      <c r="D30" s="81"/>
      <c r="E30" s="82"/>
      <c r="F30" s="38"/>
      <c r="G30" s="38"/>
      <c r="H30" s="38"/>
      <c r="I30" s="38"/>
      <c r="J30" s="38"/>
      <c r="K30" s="48"/>
    </row>
    <row r="31" spans="1:11" x14ac:dyDescent="0.25">
      <c r="A31" s="53" t="s">
        <v>71</v>
      </c>
      <c r="B31" s="91">
        <v>6.9744453618584945E-2</v>
      </c>
      <c r="C31" s="38"/>
      <c r="D31" s="38"/>
      <c r="E31" s="38"/>
      <c r="F31" s="38"/>
      <c r="G31" s="38"/>
      <c r="H31" s="38"/>
      <c r="I31" s="38"/>
      <c r="J31" s="38"/>
      <c r="K31" s="48"/>
    </row>
    <row r="32" spans="1:11" x14ac:dyDescent="0.25">
      <c r="A32" s="53" t="s">
        <v>57</v>
      </c>
      <c r="B32" s="27">
        <v>10</v>
      </c>
      <c r="C32" s="27">
        <f>5*12</f>
        <v>60</v>
      </c>
      <c r="D32" s="27" t="s">
        <v>72</v>
      </c>
      <c r="E32" s="38"/>
      <c r="F32" s="38"/>
      <c r="G32" s="38"/>
      <c r="H32" s="38"/>
      <c r="I32" s="38"/>
      <c r="J32" s="38"/>
      <c r="K32" s="48"/>
    </row>
    <row r="33" spans="1:11" x14ac:dyDescent="0.25">
      <c r="A33" s="53" t="s">
        <v>73</v>
      </c>
      <c r="B33" s="20">
        <f>PMT(B31,B32,B30,,0)</f>
        <v>-42662809.226495899</v>
      </c>
      <c r="C33" s="38"/>
      <c r="D33" s="38"/>
      <c r="E33" s="38"/>
      <c r="F33" s="38"/>
      <c r="G33" s="38"/>
      <c r="H33" s="38"/>
      <c r="I33" s="38"/>
      <c r="J33" s="38"/>
      <c r="K33" s="48"/>
    </row>
    <row r="34" spans="1:11" ht="15.75" thickBot="1" x14ac:dyDescent="0.3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1"/>
    </row>
    <row r="35" spans="1:11" ht="15.75" thickBot="1" x14ac:dyDescent="0.3">
      <c r="A35" s="83" t="s">
        <v>86</v>
      </c>
      <c r="B35" s="84"/>
      <c r="C35" s="84"/>
      <c r="D35" s="84"/>
      <c r="E35" s="84"/>
      <c r="F35" s="84"/>
      <c r="G35" s="84"/>
      <c r="H35" s="84"/>
      <c r="I35" s="84"/>
      <c r="J35" s="84"/>
      <c r="K35" s="85"/>
    </row>
    <row r="36" spans="1:11" ht="15.75" thickBot="1" x14ac:dyDescent="0.3">
      <c r="A36" s="47"/>
      <c r="B36" s="38"/>
      <c r="C36" s="38"/>
      <c r="D36" s="38"/>
      <c r="E36" s="38"/>
      <c r="F36" s="38"/>
      <c r="G36" s="38"/>
      <c r="H36" s="38"/>
      <c r="I36" s="38"/>
      <c r="J36" s="38"/>
      <c r="K36" s="48"/>
    </row>
    <row r="37" spans="1:11" ht="15.75" thickBot="1" x14ac:dyDescent="0.3">
      <c r="A37" s="62" t="s">
        <v>87</v>
      </c>
      <c r="B37" s="63"/>
      <c r="C37" s="63"/>
      <c r="D37" s="64"/>
      <c r="E37" s="38"/>
      <c r="F37" s="74" t="s">
        <v>90</v>
      </c>
      <c r="G37" s="75"/>
      <c r="H37" s="75"/>
      <c r="I37" s="76"/>
      <c r="J37" s="38"/>
      <c r="K37" s="48"/>
    </row>
    <row r="38" spans="1:11" ht="15.75" thickBot="1" x14ac:dyDescent="0.3">
      <c r="A38" s="47"/>
      <c r="B38" s="38"/>
      <c r="C38" s="38"/>
      <c r="D38" s="38"/>
      <c r="E38" s="38"/>
      <c r="F38" s="77"/>
      <c r="G38" s="78"/>
      <c r="H38" s="78"/>
      <c r="I38" s="79"/>
      <c r="J38" s="38"/>
      <c r="K38" s="48"/>
    </row>
    <row r="39" spans="1:11" x14ac:dyDescent="0.25">
      <c r="A39" s="27" t="s">
        <v>101</v>
      </c>
      <c r="B39" s="23">
        <v>-30000000</v>
      </c>
      <c r="C39" s="38"/>
      <c r="D39" s="38"/>
      <c r="E39" s="38"/>
      <c r="F39" s="38"/>
      <c r="G39" s="38"/>
      <c r="H39" s="38"/>
      <c r="I39" s="38"/>
      <c r="J39" s="38"/>
      <c r="K39" s="48"/>
    </row>
    <row r="40" spans="1:11" x14ac:dyDescent="0.25">
      <c r="A40" s="53" t="s">
        <v>75</v>
      </c>
      <c r="B40" s="23">
        <v>-1000000</v>
      </c>
      <c r="C40" s="38"/>
      <c r="D40" s="38"/>
      <c r="E40" s="38"/>
      <c r="F40" s="27" t="s">
        <v>60</v>
      </c>
      <c r="G40" s="41"/>
      <c r="H40" s="38"/>
      <c r="I40" s="38"/>
      <c r="J40" s="38"/>
      <c r="K40" s="48"/>
    </row>
    <row r="41" spans="1:11" x14ac:dyDescent="0.25">
      <c r="A41" s="53" t="s">
        <v>102</v>
      </c>
      <c r="B41" s="27">
        <v>5</v>
      </c>
      <c r="C41" s="38"/>
      <c r="D41" s="38"/>
      <c r="E41" s="38"/>
      <c r="F41" s="27" t="s">
        <v>55</v>
      </c>
      <c r="G41" s="23">
        <v>-263818.13981638598</v>
      </c>
      <c r="H41" s="38"/>
      <c r="I41" s="38"/>
      <c r="J41" s="38"/>
      <c r="K41" s="48"/>
    </row>
    <row r="42" spans="1:11" x14ac:dyDescent="0.25">
      <c r="A42" s="53" t="s">
        <v>61</v>
      </c>
      <c r="B42" s="28">
        <v>2.6169999999999999E-2</v>
      </c>
      <c r="C42" s="38"/>
      <c r="D42" s="38"/>
      <c r="E42" s="38"/>
      <c r="F42" s="27" t="s">
        <v>109</v>
      </c>
      <c r="G42" s="28">
        <v>1.0732764552568108E-2</v>
      </c>
      <c r="H42" s="38"/>
      <c r="I42" s="38"/>
      <c r="J42" s="38"/>
      <c r="K42" s="48"/>
    </row>
    <row r="43" spans="1:11" x14ac:dyDescent="0.25">
      <c r="A43" s="53" t="s">
        <v>77</v>
      </c>
      <c r="B43" s="27">
        <f>(B39+(B40*(1/B42-(B41/((1+B42)^B41-1)))))</f>
        <v>-31948348.085628964</v>
      </c>
      <c r="C43" s="38"/>
      <c r="D43" s="38"/>
      <c r="E43" s="38"/>
      <c r="F43" s="27" t="s">
        <v>110</v>
      </c>
      <c r="G43" s="27">
        <v>24</v>
      </c>
      <c r="H43" s="38"/>
      <c r="I43" s="38"/>
      <c r="J43" s="38"/>
      <c r="K43" s="48"/>
    </row>
    <row r="44" spans="1:11" x14ac:dyDescent="0.25">
      <c r="A44" s="53" t="s">
        <v>59</v>
      </c>
      <c r="B44" s="20">
        <f>FV(B42,B41,-B43,,0)</f>
        <v>-168324305.46174955</v>
      </c>
      <c r="C44" s="38"/>
      <c r="D44" s="38"/>
      <c r="E44" s="38"/>
      <c r="F44" s="33" t="s">
        <v>75</v>
      </c>
      <c r="G44" s="39">
        <v>2500</v>
      </c>
      <c r="H44" s="38"/>
      <c r="I44" s="38"/>
      <c r="J44" s="38"/>
      <c r="K44" s="48"/>
    </row>
    <row r="45" spans="1:11" x14ac:dyDescent="0.25">
      <c r="A45" s="54" t="s">
        <v>64</v>
      </c>
      <c r="B45" s="20">
        <f>PV(B42,B41,B43,,)</f>
        <v>147927957.72058952</v>
      </c>
      <c r="C45" s="38"/>
      <c r="D45" s="38"/>
      <c r="E45" s="38"/>
      <c r="F45" s="40" t="s">
        <v>88</v>
      </c>
      <c r="G45" s="23">
        <f>+G41*(1+G42)^G43*G42/((1+G42)^G43-1)-G44*(1/G42-G43/((1+G42)^G43-1))</f>
        <v>-40000.000000000015</v>
      </c>
      <c r="H45" s="38"/>
      <c r="I45" s="38"/>
      <c r="J45" s="38"/>
      <c r="K45" s="48"/>
    </row>
    <row r="46" spans="1:11" x14ac:dyDescent="0.25">
      <c r="A46" s="47"/>
      <c r="B46" s="38"/>
      <c r="C46" s="38"/>
      <c r="D46" s="38"/>
      <c r="E46" s="38"/>
      <c r="F46" s="33" t="s">
        <v>89</v>
      </c>
      <c r="G46" s="23">
        <f>(G40*G42)/((1+G42)^G43-1)-G44*(1/G42-G43/((1+G42)^G43-1))</f>
        <v>-27472.554224542484</v>
      </c>
      <c r="H46" s="38"/>
      <c r="I46" s="38"/>
      <c r="J46" s="38"/>
      <c r="K46" s="48"/>
    </row>
    <row r="47" spans="1:11" ht="15.75" thickBot="1" x14ac:dyDescent="0.3">
      <c r="A47" s="47"/>
      <c r="B47" s="38"/>
      <c r="C47" s="38"/>
      <c r="D47" s="38"/>
      <c r="E47" s="38"/>
      <c r="F47" s="38"/>
      <c r="G47" s="38"/>
      <c r="H47" s="38"/>
      <c r="I47" s="38"/>
      <c r="J47" s="38"/>
      <c r="K47" s="48"/>
    </row>
    <row r="48" spans="1:11" ht="15.75" customHeight="1" thickBot="1" x14ac:dyDescent="0.3">
      <c r="A48" s="62" t="s">
        <v>91</v>
      </c>
      <c r="B48" s="63"/>
      <c r="C48" s="63"/>
      <c r="D48" s="64"/>
      <c r="E48" s="38"/>
      <c r="F48" s="62" t="s">
        <v>93</v>
      </c>
      <c r="G48" s="63"/>
      <c r="H48" s="63"/>
      <c r="I48" s="64"/>
      <c r="J48" s="38"/>
      <c r="K48" s="48"/>
    </row>
    <row r="49" spans="1:11" x14ac:dyDescent="0.25">
      <c r="A49" s="47"/>
      <c r="B49" s="38"/>
      <c r="C49" s="38"/>
      <c r="D49" s="38"/>
      <c r="E49" s="38"/>
      <c r="F49" s="38"/>
      <c r="G49" s="38"/>
      <c r="H49" s="38"/>
      <c r="I49" s="38"/>
      <c r="J49" s="38"/>
      <c r="K49" s="48"/>
    </row>
    <row r="50" spans="1:11" x14ac:dyDescent="0.25">
      <c r="A50" s="53" t="s">
        <v>101</v>
      </c>
      <c r="B50" s="23">
        <v>-2200000</v>
      </c>
      <c r="C50" s="38"/>
      <c r="D50" s="38"/>
      <c r="E50" s="38"/>
      <c r="F50" s="27" t="s">
        <v>74</v>
      </c>
      <c r="G50" s="23">
        <v>4000000</v>
      </c>
      <c r="H50" s="38"/>
      <c r="I50" s="38"/>
      <c r="J50" s="38"/>
      <c r="K50" s="48"/>
    </row>
    <row r="51" spans="1:11" x14ac:dyDescent="0.25">
      <c r="A51" s="53" t="s">
        <v>78</v>
      </c>
      <c r="B51" s="42">
        <v>2.1999999999999999E-2</v>
      </c>
      <c r="C51" s="38"/>
      <c r="D51" s="38"/>
      <c r="E51" s="38"/>
      <c r="F51" s="27" t="s">
        <v>78</v>
      </c>
      <c r="G51" s="42">
        <v>0.05</v>
      </c>
      <c r="H51" s="38"/>
      <c r="I51" s="38"/>
      <c r="J51" s="38"/>
      <c r="K51" s="48"/>
    </row>
    <row r="52" spans="1:11" x14ac:dyDescent="0.25">
      <c r="A52" s="53" t="s">
        <v>108</v>
      </c>
      <c r="B52" s="27">
        <v>60</v>
      </c>
      <c r="C52" s="38"/>
      <c r="D52" s="38"/>
      <c r="E52" s="38"/>
      <c r="F52" s="27" t="s">
        <v>76</v>
      </c>
      <c r="G52" s="27">
        <v>24</v>
      </c>
      <c r="H52" s="38"/>
      <c r="I52" s="38"/>
      <c r="J52" s="38"/>
      <c r="K52" s="48"/>
    </row>
    <row r="53" spans="1:11" x14ac:dyDescent="0.25">
      <c r="A53" s="53" t="s">
        <v>61</v>
      </c>
      <c r="B53" s="28">
        <v>1.8490382019409557E-2</v>
      </c>
      <c r="C53" s="38"/>
      <c r="D53" s="56">
        <f>B54+B9</f>
        <v>-88045140.423323035</v>
      </c>
      <c r="E53" s="38"/>
      <c r="F53" s="27" t="s">
        <v>56</v>
      </c>
      <c r="G53" s="28">
        <v>3.8807013771815502E-2</v>
      </c>
      <c r="H53" s="38"/>
      <c r="I53" s="38"/>
      <c r="J53" s="38"/>
      <c r="K53" s="48"/>
    </row>
    <row r="54" spans="1:11" x14ac:dyDescent="0.25">
      <c r="A54" s="53" t="s">
        <v>59</v>
      </c>
      <c r="B54" s="23">
        <f>B50*((1+B53)^B52-(1+B51)^B52)/(B53-B51)</f>
        <v>-431395140.42332304</v>
      </c>
      <c r="C54" s="38"/>
      <c r="D54" s="38"/>
      <c r="E54" s="38"/>
      <c r="F54" s="27" t="s">
        <v>64</v>
      </c>
      <c r="G54" s="23">
        <f>((1-((1+G51)/(1+G53))^G52)/(G53-G51))*G50</f>
        <v>104823027.42855403</v>
      </c>
      <c r="H54" s="38"/>
      <c r="I54" s="38"/>
      <c r="J54" s="38"/>
      <c r="K54" s="48"/>
    </row>
    <row r="55" spans="1:11" ht="15.75" thickBot="1" x14ac:dyDescent="0.3">
      <c r="A55" s="47"/>
      <c r="B55" s="38"/>
      <c r="C55" s="38"/>
      <c r="D55" s="38"/>
      <c r="E55" s="38"/>
      <c r="F55" s="38"/>
      <c r="G55" s="38"/>
      <c r="H55" s="38"/>
      <c r="I55" s="38"/>
      <c r="J55" s="38"/>
      <c r="K55" s="48"/>
    </row>
    <row r="56" spans="1:11" ht="15.75" customHeight="1" thickBot="1" x14ac:dyDescent="0.3">
      <c r="A56" s="62" t="s">
        <v>92</v>
      </c>
      <c r="B56" s="63"/>
      <c r="C56" s="63"/>
      <c r="D56" s="64"/>
      <c r="E56" s="38"/>
      <c r="F56" s="62" t="s">
        <v>94</v>
      </c>
      <c r="G56" s="63"/>
      <c r="H56" s="63"/>
      <c r="I56" s="64"/>
      <c r="J56" s="38"/>
      <c r="K56" s="48"/>
    </row>
    <row r="57" spans="1:11" x14ac:dyDescent="0.25">
      <c r="A57" s="47"/>
      <c r="B57" s="38"/>
      <c r="C57" s="38"/>
      <c r="D57" s="38"/>
      <c r="E57" s="38"/>
      <c r="F57" s="38"/>
      <c r="G57" s="38"/>
      <c r="H57" s="38"/>
      <c r="I57" s="38"/>
      <c r="J57" s="38"/>
      <c r="K57" s="48"/>
    </row>
    <row r="58" spans="1:11" x14ac:dyDescent="0.25">
      <c r="A58" s="53" t="s">
        <v>65</v>
      </c>
      <c r="B58" s="23">
        <v>500000</v>
      </c>
      <c r="C58" s="38"/>
      <c r="D58" s="38"/>
      <c r="E58" s="38"/>
      <c r="F58" s="27" t="s">
        <v>74</v>
      </c>
      <c r="G58" s="23">
        <v>2000000</v>
      </c>
      <c r="H58" s="38"/>
      <c r="I58" s="38"/>
      <c r="J58" s="38"/>
      <c r="K58" s="48"/>
    </row>
    <row r="59" spans="1:11" x14ac:dyDescent="0.25">
      <c r="A59" s="53" t="s">
        <v>78</v>
      </c>
      <c r="B59" s="55">
        <v>0.02</v>
      </c>
      <c r="C59" s="38"/>
      <c r="D59" s="38"/>
      <c r="E59" s="38"/>
      <c r="F59" s="27" t="s">
        <v>78</v>
      </c>
      <c r="G59" s="42">
        <v>0.1</v>
      </c>
      <c r="H59" s="38"/>
      <c r="I59" s="38"/>
      <c r="J59" s="38"/>
      <c r="K59" s="48"/>
    </row>
    <row r="60" spans="1:11" x14ac:dyDescent="0.25">
      <c r="A60" s="53" t="s">
        <v>102</v>
      </c>
      <c r="B60" s="27">
        <v>36</v>
      </c>
      <c r="C60" s="38"/>
      <c r="D60" s="38"/>
      <c r="E60" s="38"/>
      <c r="F60" s="27" t="s">
        <v>76</v>
      </c>
      <c r="G60" s="27">
        <v>10</v>
      </c>
      <c r="H60" s="38"/>
      <c r="I60" s="38"/>
      <c r="J60" s="38"/>
      <c r="K60" s="48"/>
    </row>
    <row r="61" spans="1:11" x14ac:dyDescent="0.25">
      <c r="A61" s="53" t="s">
        <v>103</v>
      </c>
      <c r="B61" s="28">
        <v>5.7000000000000002E-3</v>
      </c>
      <c r="C61" s="38"/>
      <c r="D61" s="38"/>
      <c r="E61" s="38"/>
      <c r="F61" s="27" t="s">
        <v>56</v>
      </c>
      <c r="G61" s="28">
        <v>7.4999999999999997E-2</v>
      </c>
      <c r="H61" s="38"/>
      <c r="I61" s="38"/>
      <c r="J61" s="38"/>
      <c r="K61" s="48"/>
    </row>
    <row r="62" spans="1:11" x14ac:dyDescent="0.25">
      <c r="A62" s="53" t="s">
        <v>59</v>
      </c>
      <c r="B62" s="23">
        <f>B58*((1+B61)^B60-(1-B59)^B60)/(B61+B59)</f>
        <v>14471641.376218893</v>
      </c>
      <c r="C62" s="38"/>
      <c r="D62" s="38"/>
      <c r="E62" s="38"/>
      <c r="F62" s="27" t="s">
        <v>64</v>
      </c>
      <c r="G62" s="23">
        <f>((1-((1-G59)/(1+G61))^G60)/(G61+G59))*G58</f>
        <v>9495123.8621011898</v>
      </c>
      <c r="H62" s="38"/>
      <c r="I62" s="38"/>
      <c r="J62" s="38"/>
      <c r="K62" s="48"/>
    </row>
    <row r="63" spans="1:11" ht="15.75" thickBot="1" x14ac:dyDescent="0.3">
      <c r="A63" s="47"/>
      <c r="B63" s="38"/>
      <c r="C63" s="38"/>
      <c r="D63" s="38"/>
      <c r="E63" s="38"/>
      <c r="F63" s="38"/>
      <c r="G63" s="38"/>
      <c r="H63" s="38"/>
      <c r="I63" s="38"/>
      <c r="J63" s="38"/>
      <c r="K63" s="48"/>
    </row>
    <row r="64" spans="1:11" ht="15.75" thickBot="1" x14ac:dyDescent="0.3">
      <c r="A64" s="74" t="s">
        <v>99</v>
      </c>
      <c r="B64" s="75"/>
      <c r="C64" s="75"/>
      <c r="D64" s="76"/>
      <c r="E64" s="38"/>
      <c r="F64" s="65" t="s">
        <v>95</v>
      </c>
      <c r="G64" s="66"/>
      <c r="H64" s="66"/>
      <c r="I64" s="66"/>
      <c r="J64" s="66"/>
      <c r="K64" s="67"/>
    </row>
    <row r="65" spans="1:11" ht="15.75" thickBot="1" x14ac:dyDescent="0.3">
      <c r="A65" s="77"/>
      <c r="B65" s="78"/>
      <c r="C65" s="78"/>
      <c r="D65" s="79"/>
      <c r="E65" s="38"/>
      <c r="F65" s="43"/>
      <c r="G65" s="43"/>
      <c r="H65" s="43"/>
      <c r="I65" s="43"/>
      <c r="J65" s="38"/>
      <c r="K65" s="48"/>
    </row>
    <row r="66" spans="1:11" x14ac:dyDescent="0.25">
      <c r="A66" s="47"/>
      <c r="B66" s="38"/>
      <c r="C66" s="38"/>
      <c r="D66" s="38"/>
      <c r="E66" s="38"/>
      <c r="F66" s="27" t="s">
        <v>55</v>
      </c>
      <c r="G66" s="23">
        <v>20677447.457457855</v>
      </c>
      <c r="H66" s="38"/>
      <c r="I66" s="38"/>
      <c r="J66" s="38"/>
      <c r="K66" s="48"/>
    </row>
    <row r="67" spans="1:11" x14ac:dyDescent="0.25">
      <c r="A67" s="53" t="s">
        <v>60</v>
      </c>
      <c r="B67" s="23">
        <v>42616871.834823251</v>
      </c>
      <c r="C67" s="38"/>
      <c r="D67" s="38"/>
      <c r="E67" s="38"/>
      <c r="F67" s="27" t="s">
        <v>96</v>
      </c>
      <c r="G67" s="42">
        <v>0.1</v>
      </c>
      <c r="H67" s="38"/>
      <c r="I67" s="38"/>
      <c r="J67" s="38"/>
      <c r="K67" s="48"/>
    </row>
    <row r="68" spans="1:11" x14ac:dyDescent="0.25">
      <c r="A68" s="53" t="s">
        <v>96</v>
      </c>
      <c r="B68" s="42">
        <v>0.1</v>
      </c>
      <c r="C68" s="38"/>
      <c r="D68" s="38"/>
      <c r="E68" s="38"/>
      <c r="F68" s="27" t="s">
        <v>76</v>
      </c>
      <c r="G68" s="27">
        <v>10</v>
      </c>
      <c r="H68" s="38"/>
      <c r="I68" s="38"/>
      <c r="J68" s="38"/>
      <c r="K68" s="48"/>
    </row>
    <row r="69" spans="1:11" x14ac:dyDescent="0.25">
      <c r="A69" s="53" t="s">
        <v>76</v>
      </c>
      <c r="B69" s="27">
        <v>10</v>
      </c>
      <c r="C69" s="38"/>
      <c r="D69" s="38"/>
      <c r="E69" s="38"/>
      <c r="F69" s="27" t="s">
        <v>56</v>
      </c>
      <c r="G69" s="28">
        <v>7.4999999999999997E-2</v>
      </c>
      <c r="H69" s="38"/>
      <c r="I69" s="38"/>
      <c r="J69" s="38"/>
      <c r="K69" s="48"/>
    </row>
    <row r="70" spans="1:11" x14ac:dyDescent="0.25">
      <c r="A70" s="53" t="s">
        <v>56</v>
      </c>
      <c r="B70" s="28">
        <v>7.4999999999999997E-2</v>
      </c>
      <c r="C70" s="38"/>
      <c r="D70" s="38"/>
      <c r="E70" s="38"/>
      <c r="F70" s="27" t="s">
        <v>97</v>
      </c>
      <c r="G70" s="23">
        <f>G66*(G69-G67)/(1-((1+G67)/(1+G69))^G68)</f>
        <v>2000000</v>
      </c>
      <c r="H70" s="38"/>
      <c r="I70" s="38"/>
      <c r="J70" s="38"/>
      <c r="K70" s="48"/>
    </row>
    <row r="71" spans="1:11" ht="15.75" thickBot="1" x14ac:dyDescent="0.3">
      <c r="A71" s="53" t="s">
        <v>97</v>
      </c>
      <c r="B71" s="23">
        <f>B67*((B70-B68)/((1+B70)^B69-(1+B68)^B69))</f>
        <v>2000000</v>
      </c>
      <c r="C71" s="38"/>
      <c r="D71" s="38"/>
      <c r="E71" s="38"/>
      <c r="F71" s="38"/>
      <c r="G71" s="38"/>
      <c r="H71" s="38"/>
      <c r="I71" s="38"/>
      <c r="J71" s="38"/>
      <c r="K71" s="48"/>
    </row>
    <row r="72" spans="1:11" ht="15.75" thickBot="1" x14ac:dyDescent="0.3">
      <c r="A72" s="47"/>
      <c r="B72" s="38"/>
      <c r="C72" s="38"/>
      <c r="D72" s="38"/>
      <c r="E72" s="38"/>
      <c r="F72" s="68" t="s">
        <v>98</v>
      </c>
      <c r="G72" s="69"/>
      <c r="H72" s="69"/>
      <c r="I72" s="69"/>
      <c r="J72" s="69"/>
      <c r="K72" s="70"/>
    </row>
    <row r="73" spans="1:11" ht="17.25" customHeight="1" thickBot="1" x14ac:dyDescent="0.3">
      <c r="A73" s="74" t="s">
        <v>100</v>
      </c>
      <c r="B73" s="75"/>
      <c r="C73" s="75"/>
      <c r="D73" s="76"/>
      <c r="E73" s="38"/>
      <c r="F73" s="71"/>
      <c r="G73" s="72"/>
      <c r="H73" s="72"/>
      <c r="I73" s="72"/>
      <c r="J73" s="72"/>
      <c r="K73" s="73"/>
    </row>
    <row r="74" spans="1:11" ht="15.75" thickBot="1" x14ac:dyDescent="0.3">
      <c r="A74" s="77"/>
      <c r="B74" s="78"/>
      <c r="C74" s="78"/>
      <c r="D74" s="79"/>
      <c r="E74" s="38"/>
      <c r="F74" s="38"/>
      <c r="G74" s="38"/>
      <c r="H74" s="38"/>
      <c r="I74" s="38"/>
      <c r="J74" s="38"/>
      <c r="K74" s="48"/>
    </row>
    <row r="75" spans="1:11" x14ac:dyDescent="0.25">
      <c r="A75" s="47"/>
      <c r="B75" s="38"/>
      <c r="C75" s="38"/>
      <c r="D75" s="38"/>
      <c r="E75" s="38"/>
      <c r="F75" s="27" t="s">
        <v>55</v>
      </c>
      <c r="G75" s="23">
        <v>9495123.8621011898</v>
      </c>
      <c r="H75" s="38"/>
      <c r="I75" s="38"/>
      <c r="J75" s="38"/>
      <c r="K75" s="48"/>
    </row>
    <row r="76" spans="1:11" x14ac:dyDescent="0.25">
      <c r="A76" s="53" t="s">
        <v>60</v>
      </c>
      <c r="B76" s="23">
        <v>19569749.966453843</v>
      </c>
      <c r="C76" s="38"/>
      <c r="D76" s="38"/>
      <c r="E76" s="38"/>
      <c r="F76" s="27" t="s">
        <v>96</v>
      </c>
      <c r="G76" s="42">
        <v>0.1</v>
      </c>
      <c r="H76" s="38"/>
      <c r="I76" s="38"/>
      <c r="J76" s="38"/>
      <c r="K76" s="48"/>
    </row>
    <row r="77" spans="1:11" x14ac:dyDescent="0.25">
      <c r="A77" s="53" t="s">
        <v>96</v>
      </c>
      <c r="B77" s="42">
        <v>0.1</v>
      </c>
      <c r="C77" s="38"/>
      <c r="D77" s="38"/>
      <c r="E77" s="38"/>
      <c r="F77" s="27" t="s">
        <v>76</v>
      </c>
      <c r="G77" s="27">
        <v>10</v>
      </c>
      <c r="H77" s="38"/>
      <c r="I77" s="38"/>
      <c r="J77" s="38"/>
      <c r="K77" s="48"/>
    </row>
    <row r="78" spans="1:11" x14ac:dyDescent="0.25">
      <c r="A78" s="53" t="s">
        <v>76</v>
      </c>
      <c r="B78" s="27">
        <v>10</v>
      </c>
      <c r="C78" s="38"/>
      <c r="D78" s="38"/>
      <c r="E78" s="38"/>
      <c r="F78" s="27" t="s">
        <v>56</v>
      </c>
      <c r="G78" s="28">
        <v>7.4999999999999997E-2</v>
      </c>
      <c r="H78" s="38"/>
      <c r="I78" s="38"/>
      <c r="J78" s="38"/>
      <c r="K78" s="48"/>
    </row>
    <row r="79" spans="1:11" x14ac:dyDescent="0.25">
      <c r="A79" s="53" t="s">
        <v>56</v>
      </c>
      <c r="B79" s="28">
        <v>7.4999999999999997E-2</v>
      </c>
      <c r="C79" s="38"/>
      <c r="D79" s="38"/>
      <c r="E79" s="38"/>
      <c r="F79" s="27" t="s">
        <v>97</v>
      </c>
      <c r="G79" s="23">
        <f>G75*(G78+G76)/(1-((1-G76)/(1+G78))^G77)</f>
        <v>2000000</v>
      </c>
      <c r="H79" s="38"/>
      <c r="I79" s="38"/>
      <c r="J79" s="38"/>
      <c r="K79" s="48"/>
    </row>
    <row r="80" spans="1:11" x14ac:dyDescent="0.25">
      <c r="A80" s="53" t="s">
        <v>97</v>
      </c>
      <c r="B80" s="23">
        <f>B76*((B79+B77)/((1+B79)^B78-(1-B77)^B78))</f>
        <v>2000000.0000000002</v>
      </c>
      <c r="C80" s="38"/>
      <c r="D80" s="38"/>
      <c r="E80" s="38"/>
      <c r="F80" s="38"/>
      <c r="G80" s="38"/>
      <c r="H80" s="38"/>
      <c r="I80" s="38"/>
      <c r="J80" s="38"/>
      <c r="K80" s="48"/>
    </row>
    <row r="81" spans="1:11" ht="15.75" thickBot="1" x14ac:dyDescent="0.3">
      <c r="A81" s="49"/>
      <c r="B81" s="50"/>
      <c r="C81" s="50"/>
      <c r="D81" s="50"/>
      <c r="E81" s="50"/>
      <c r="F81" s="50"/>
      <c r="G81" s="50"/>
      <c r="H81" s="50"/>
      <c r="I81" s="50"/>
      <c r="J81" s="50"/>
      <c r="K81" s="51"/>
    </row>
  </sheetData>
  <mergeCells count="19">
    <mergeCell ref="A4:D4"/>
    <mergeCell ref="A11:D11"/>
    <mergeCell ref="A20:D20"/>
    <mergeCell ref="G20:I20"/>
    <mergeCell ref="A2:K2"/>
    <mergeCell ref="A18:K18"/>
    <mergeCell ref="A37:D37"/>
    <mergeCell ref="F37:I38"/>
    <mergeCell ref="A48:D48"/>
    <mergeCell ref="A28:D28"/>
    <mergeCell ref="C30:E30"/>
    <mergeCell ref="A35:K35"/>
    <mergeCell ref="A56:D56"/>
    <mergeCell ref="F48:I48"/>
    <mergeCell ref="F56:I56"/>
    <mergeCell ref="F64:K64"/>
    <mergeCell ref="F72:K73"/>
    <mergeCell ref="A64:D65"/>
    <mergeCell ref="A73:D74"/>
  </mergeCells>
  <pageMargins left="0.7" right="0.7" top="0.75" bottom="0.75" header="0.3" footer="0.3"/>
  <pageSetup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workbookViewId="0">
      <selection activeCell="F25" sqref="F25"/>
    </sheetView>
  </sheetViews>
  <sheetFormatPr baseColWidth="10" defaultRowHeight="15" x14ac:dyDescent="0.25"/>
  <cols>
    <col min="1" max="1" width="24.85546875" bestFit="1" customWidth="1"/>
    <col min="2" max="2" width="13.140625" bestFit="1" customWidth="1"/>
    <col min="3" max="3" width="1.85546875" customWidth="1"/>
    <col min="4" max="4" width="8" bestFit="1" customWidth="1"/>
    <col min="5" max="5" width="12.140625" customWidth="1"/>
    <col min="7" max="7" width="14.85546875" bestFit="1" customWidth="1"/>
    <col min="8" max="8" width="13.140625" bestFit="1" customWidth="1"/>
  </cols>
  <sheetData>
    <row r="1" spans="1:8" x14ac:dyDescent="0.25">
      <c r="A1" s="1" t="s">
        <v>0</v>
      </c>
      <c r="D1" s="3" t="s">
        <v>5</v>
      </c>
      <c r="E1" s="3" t="s">
        <v>6</v>
      </c>
      <c r="F1" s="3" t="s">
        <v>7</v>
      </c>
      <c r="G1" s="3" t="s">
        <v>43</v>
      </c>
      <c r="H1" s="3" t="s">
        <v>8</v>
      </c>
    </row>
    <row r="2" spans="1:8" ht="15" customHeight="1" x14ac:dyDescent="0.25">
      <c r="A2" s="2" t="s">
        <v>1</v>
      </c>
      <c r="B2" s="5">
        <v>20000000</v>
      </c>
      <c r="D2" s="4">
        <v>0</v>
      </c>
      <c r="E2" s="5">
        <v>0</v>
      </c>
      <c r="F2" s="5">
        <v>0</v>
      </c>
      <c r="G2" s="5">
        <v>0</v>
      </c>
      <c r="H2" s="5">
        <f>B2</f>
        <v>20000000</v>
      </c>
    </row>
    <row r="3" spans="1:8" ht="15" customHeight="1" x14ac:dyDescent="0.25">
      <c r="A3" s="2" t="s">
        <v>2</v>
      </c>
      <c r="B3" s="6">
        <v>2.1999999999999999E-2</v>
      </c>
      <c r="D3" s="4">
        <v>1</v>
      </c>
      <c r="E3" s="5">
        <f>$B$5</f>
        <v>1914497.6985699385</v>
      </c>
      <c r="F3" s="5">
        <f>B2*B3</f>
        <v>440000</v>
      </c>
      <c r="G3" s="17">
        <f>E3-F3</f>
        <v>1474497.6985699385</v>
      </c>
      <c r="H3" s="17">
        <f>H2-G3</f>
        <v>18525502.301430061</v>
      </c>
    </row>
    <row r="4" spans="1:8" ht="15" customHeight="1" x14ac:dyDescent="0.25">
      <c r="A4" s="2" t="s">
        <v>3</v>
      </c>
      <c r="B4">
        <v>12</v>
      </c>
      <c r="D4" s="4">
        <v>2</v>
      </c>
      <c r="E4" s="5">
        <f>$B$5</f>
        <v>1914497.6985699385</v>
      </c>
      <c r="F4" s="5">
        <f>H3*$B$3</f>
        <v>407561.05063146132</v>
      </c>
      <c r="G4" s="5">
        <f>E4-F4</f>
        <v>1506936.6479384773</v>
      </c>
      <c r="H4" s="5">
        <f>H3-G4</f>
        <v>17018565.653491583</v>
      </c>
    </row>
    <row r="5" spans="1:8" ht="15" customHeight="1" x14ac:dyDescent="0.25">
      <c r="A5" s="2" t="s">
        <v>4</v>
      </c>
      <c r="B5" s="5">
        <f>PMT(B3,B4,-B2)</f>
        <v>1914497.6985699385</v>
      </c>
      <c r="D5" s="4">
        <v>3</v>
      </c>
      <c r="E5" s="5">
        <f>$B$5</f>
        <v>1914497.6985699385</v>
      </c>
      <c r="F5" s="5">
        <f>H4*$B$3</f>
        <v>374408.44437681482</v>
      </c>
      <c r="G5" s="5">
        <f t="shared" ref="G5:G14" si="0">E5-F5</f>
        <v>1540089.2541931237</v>
      </c>
      <c r="H5" s="5">
        <f t="shared" ref="H5:H13" si="1">H4-G5</f>
        <v>15478476.399298459</v>
      </c>
    </row>
    <row r="6" spans="1:8" ht="15" customHeight="1" x14ac:dyDescent="0.25">
      <c r="D6" s="4">
        <v>4</v>
      </c>
      <c r="E6" s="5">
        <f t="shared" ref="E6:E14" si="2">$B$5</f>
        <v>1914497.6985699385</v>
      </c>
      <c r="F6" s="5">
        <f>H5*$B$3</f>
        <v>340526.48078456608</v>
      </c>
      <c r="G6" s="5">
        <f t="shared" si="0"/>
        <v>1573971.2177853724</v>
      </c>
      <c r="H6" s="5">
        <f>H5-G6</f>
        <v>13904505.181513086</v>
      </c>
    </row>
    <row r="7" spans="1:8" ht="15" customHeight="1" x14ac:dyDescent="0.25">
      <c r="A7" s="86" t="s">
        <v>25</v>
      </c>
      <c r="B7" s="86"/>
      <c r="D7" s="4">
        <v>5</v>
      </c>
      <c r="E7" s="5">
        <f t="shared" si="2"/>
        <v>1914497.6985699385</v>
      </c>
      <c r="F7" s="5">
        <f>H6*$B$3</f>
        <v>305899.1139932879</v>
      </c>
      <c r="G7" s="5">
        <f t="shared" si="0"/>
        <v>1608598.5845766505</v>
      </c>
      <c r="H7" s="5">
        <f t="shared" si="1"/>
        <v>12295906.596936435</v>
      </c>
    </row>
    <row r="8" spans="1:8" ht="15" customHeight="1" x14ac:dyDescent="0.25">
      <c r="A8" s="86"/>
      <c r="B8" s="86"/>
      <c r="D8" s="4">
        <v>6</v>
      </c>
      <c r="E8" s="5">
        <f t="shared" si="2"/>
        <v>1914497.6985699385</v>
      </c>
      <c r="F8" s="5">
        <f t="shared" ref="F8:F13" si="3">H7*$B$3</f>
        <v>270509.94513260154</v>
      </c>
      <c r="G8" s="5">
        <f t="shared" si="0"/>
        <v>1643987.753437337</v>
      </c>
      <c r="H8" s="5">
        <f t="shared" si="1"/>
        <v>10651918.843499098</v>
      </c>
    </row>
    <row r="9" spans="1:8" ht="15" customHeight="1" x14ac:dyDescent="0.25">
      <c r="A9" s="86"/>
      <c r="B9" s="86"/>
      <c r="D9" s="4">
        <v>7</v>
      </c>
      <c r="E9" s="5">
        <f t="shared" si="2"/>
        <v>1914497.6985699385</v>
      </c>
      <c r="F9" s="5">
        <f t="shared" si="3"/>
        <v>234342.21455698015</v>
      </c>
      <c r="G9" s="5">
        <f t="shared" si="0"/>
        <v>1680155.4840129584</v>
      </c>
      <c r="H9" s="5">
        <f t="shared" si="1"/>
        <v>8971763.3594861403</v>
      </c>
    </row>
    <row r="10" spans="1:8" ht="15" customHeight="1" x14ac:dyDescent="0.25">
      <c r="A10" s="86"/>
      <c r="B10" s="86"/>
      <c r="D10" s="4">
        <v>8</v>
      </c>
      <c r="E10" s="5">
        <f t="shared" si="2"/>
        <v>1914497.6985699385</v>
      </c>
      <c r="F10" s="5">
        <f t="shared" si="3"/>
        <v>197378.79390869508</v>
      </c>
      <c r="G10" s="5">
        <f t="shared" si="0"/>
        <v>1717118.9046612435</v>
      </c>
      <c r="H10" s="5">
        <f t="shared" si="1"/>
        <v>7254644.4548248965</v>
      </c>
    </row>
    <row r="11" spans="1:8" ht="15" customHeight="1" x14ac:dyDescent="0.25">
      <c r="A11" s="86"/>
      <c r="B11" s="86"/>
      <c r="D11" s="4">
        <v>9</v>
      </c>
      <c r="E11" s="5">
        <f t="shared" si="2"/>
        <v>1914497.6985699385</v>
      </c>
      <c r="F11" s="5">
        <f t="shared" si="3"/>
        <v>159602.1780061477</v>
      </c>
      <c r="G11" s="5">
        <f t="shared" si="0"/>
        <v>1754895.5205637908</v>
      </c>
      <c r="H11" s="5">
        <f t="shared" si="1"/>
        <v>5499748.934261106</v>
      </c>
    </row>
    <row r="12" spans="1:8" ht="15" customHeight="1" x14ac:dyDescent="0.25">
      <c r="D12" s="4">
        <v>10</v>
      </c>
      <c r="E12" s="5">
        <f t="shared" si="2"/>
        <v>1914497.6985699385</v>
      </c>
      <c r="F12" s="5">
        <f t="shared" si="3"/>
        <v>120994.47655374433</v>
      </c>
      <c r="G12" s="5">
        <f t="shared" si="0"/>
        <v>1793503.2220161941</v>
      </c>
      <c r="H12" s="5">
        <f t="shared" si="1"/>
        <v>3706245.7122449121</v>
      </c>
    </row>
    <row r="13" spans="1:8" ht="15" customHeight="1" x14ac:dyDescent="0.25">
      <c r="D13" s="4">
        <v>11</v>
      </c>
      <c r="E13" s="5">
        <f t="shared" si="2"/>
        <v>1914497.6985699385</v>
      </c>
      <c r="F13" s="5">
        <f t="shared" si="3"/>
        <v>81537.405669388056</v>
      </c>
      <c r="G13" s="5">
        <f t="shared" si="0"/>
        <v>1832960.2929005504</v>
      </c>
      <c r="H13" s="5">
        <f t="shared" si="1"/>
        <v>1873285.4193443616</v>
      </c>
    </row>
    <row r="14" spans="1:8" ht="15" customHeight="1" x14ac:dyDescent="0.25">
      <c r="D14" s="4">
        <v>12</v>
      </c>
      <c r="E14" s="5">
        <f t="shared" si="2"/>
        <v>1914497.6985699385</v>
      </c>
      <c r="F14" s="5">
        <f>H13*$B$3</f>
        <v>41212.279225575956</v>
      </c>
      <c r="G14" s="5">
        <f t="shared" si="0"/>
        <v>1873285.4193443626</v>
      </c>
      <c r="H14" s="5">
        <f>H13-G14</f>
        <v>0</v>
      </c>
    </row>
  </sheetData>
  <mergeCells count="1">
    <mergeCell ref="A7:B11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workbookViewId="0">
      <selection activeCell="H3" sqref="H3"/>
    </sheetView>
  </sheetViews>
  <sheetFormatPr baseColWidth="10" defaultRowHeight="15" x14ac:dyDescent="0.25"/>
  <cols>
    <col min="1" max="1" width="24.85546875" bestFit="1" customWidth="1"/>
    <col min="2" max="2" width="13.140625" customWidth="1"/>
    <col min="3" max="3" width="0.7109375" customWidth="1"/>
    <col min="4" max="4" width="8" bestFit="1" customWidth="1"/>
    <col min="5" max="5" width="12.140625" customWidth="1"/>
    <col min="7" max="7" width="14.85546875" bestFit="1" customWidth="1"/>
    <col min="8" max="8" width="13.140625" bestFit="1" customWidth="1"/>
    <col min="9" max="9" width="17.42578125" customWidth="1"/>
    <col min="11" max="11" width="14.42578125" bestFit="1" customWidth="1"/>
  </cols>
  <sheetData>
    <row r="1" spans="1:11" x14ac:dyDescent="0.25">
      <c r="A1" s="1" t="s">
        <v>0</v>
      </c>
      <c r="D1" s="3" t="s">
        <v>5</v>
      </c>
      <c r="E1" s="3" t="s">
        <v>6</v>
      </c>
      <c r="F1" s="3" t="s">
        <v>7</v>
      </c>
      <c r="G1" s="3" t="s">
        <v>43</v>
      </c>
      <c r="H1" s="3" t="s">
        <v>8</v>
      </c>
    </row>
    <row r="2" spans="1:11" ht="15" customHeight="1" x14ac:dyDescent="0.25">
      <c r="A2" s="2" t="s">
        <v>1</v>
      </c>
      <c r="B2" s="5">
        <v>20000000</v>
      </c>
      <c r="D2" s="14">
        <v>0</v>
      </c>
      <c r="E2" s="5">
        <v>0</v>
      </c>
      <c r="F2" s="5">
        <v>0</v>
      </c>
      <c r="G2" s="5">
        <f t="shared" ref="G2" si="0">E2-F2</f>
        <v>0</v>
      </c>
      <c r="H2" s="5">
        <f>B2</f>
        <v>20000000</v>
      </c>
    </row>
    <row r="3" spans="1:11" ht="15" customHeight="1" x14ac:dyDescent="0.25">
      <c r="A3" s="2" t="s">
        <v>2</v>
      </c>
      <c r="B3" s="6">
        <v>2.1999999999999999E-2</v>
      </c>
      <c r="D3" s="14">
        <v>1</v>
      </c>
      <c r="E3" s="5">
        <v>0</v>
      </c>
      <c r="F3" s="5">
        <f>B2*B3</f>
        <v>440000</v>
      </c>
      <c r="G3" s="5">
        <v>0</v>
      </c>
      <c r="H3" s="17">
        <f>H2+F3</f>
        <v>20440000</v>
      </c>
    </row>
    <row r="4" spans="1:11" ht="15" customHeight="1" x14ac:dyDescent="0.25">
      <c r="A4" s="2" t="s">
        <v>3</v>
      </c>
      <c r="B4">
        <v>9</v>
      </c>
      <c r="D4" s="14">
        <v>2</v>
      </c>
      <c r="E4" s="5">
        <v>0</v>
      </c>
      <c r="F4" s="5">
        <f>H3*$B$3</f>
        <v>449680</v>
      </c>
      <c r="G4" s="5">
        <v>0</v>
      </c>
      <c r="H4" s="17">
        <f t="shared" ref="H4:H5" si="1">H3+F4</f>
        <v>20889680</v>
      </c>
    </row>
    <row r="5" spans="1:11" ht="15" customHeight="1" x14ac:dyDescent="0.25">
      <c r="A5" s="2" t="s">
        <v>4</v>
      </c>
      <c r="B5" s="5">
        <f>PMT(B3,B4,-H5)</f>
        <v>2640640.7584121111</v>
      </c>
      <c r="D5" s="14">
        <v>3</v>
      </c>
      <c r="E5" s="5">
        <v>0</v>
      </c>
      <c r="F5" s="5">
        <f>H4*$B$3</f>
        <v>459572.95999999996</v>
      </c>
      <c r="G5" s="5">
        <v>0</v>
      </c>
      <c r="H5" s="17">
        <f t="shared" si="1"/>
        <v>21349252.960000001</v>
      </c>
      <c r="I5" s="21" t="s">
        <v>53</v>
      </c>
      <c r="J5" s="19" t="s">
        <v>54</v>
      </c>
      <c r="K5" s="20">
        <f>FV(B3,3,,H2)</f>
        <v>-21349252.960000001</v>
      </c>
    </row>
    <row r="6" spans="1:11" ht="15" customHeight="1" x14ac:dyDescent="0.25">
      <c r="D6" s="14">
        <v>4</v>
      </c>
      <c r="E6" s="5">
        <f t="shared" ref="E6:E14" si="2">$B$5</f>
        <v>2640640.7584121111</v>
      </c>
      <c r="F6" s="5">
        <f>H5*$B$3</f>
        <v>469683.56511999998</v>
      </c>
      <c r="G6" s="5">
        <f>E6-F6</f>
        <v>2170957.1932921112</v>
      </c>
      <c r="H6" s="5">
        <f>H5-G6</f>
        <v>19178295.76670789</v>
      </c>
    </row>
    <row r="7" spans="1:11" ht="15" customHeight="1" x14ac:dyDescent="0.25">
      <c r="A7" s="86" t="s">
        <v>25</v>
      </c>
      <c r="B7" s="86"/>
      <c r="D7" s="14">
        <v>5</v>
      </c>
      <c r="E7" s="5">
        <f t="shared" si="2"/>
        <v>2640640.7584121111</v>
      </c>
      <c r="F7" s="5">
        <f>H6*$B$3</f>
        <v>421922.50686757354</v>
      </c>
      <c r="G7" s="5">
        <f t="shared" ref="G7:G14" si="3">E7-F7</f>
        <v>2218718.2515445375</v>
      </c>
      <c r="H7" s="5">
        <f t="shared" ref="H7:H13" si="4">H6-G7</f>
        <v>16959577.515163351</v>
      </c>
    </row>
    <row r="8" spans="1:11" ht="15" customHeight="1" x14ac:dyDescent="0.25">
      <c r="A8" s="86"/>
      <c r="B8" s="86"/>
      <c r="D8" s="14">
        <v>6</v>
      </c>
      <c r="E8" s="5">
        <f t="shared" si="2"/>
        <v>2640640.7584121111</v>
      </c>
      <c r="F8" s="5">
        <f t="shared" ref="F8:F13" si="5">H7*$B$3</f>
        <v>373110.70533359371</v>
      </c>
      <c r="G8" s="5">
        <f t="shared" si="3"/>
        <v>2267530.0530785173</v>
      </c>
      <c r="H8" s="5">
        <f t="shared" si="4"/>
        <v>14692047.462084834</v>
      </c>
    </row>
    <row r="9" spans="1:11" ht="15" customHeight="1" x14ac:dyDescent="0.25">
      <c r="A9" s="86"/>
      <c r="B9" s="86"/>
      <c r="D9" s="14">
        <v>7</v>
      </c>
      <c r="E9" s="5">
        <f t="shared" si="2"/>
        <v>2640640.7584121111</v>
      </c>
      <c r="F9" s="5">
        <f t="shared" si="5"/>
        <v>323225.04416586633</v>
      </c>
      <c r="G9" s="5">
        <f t="shared" si="3"/>
        <v>2317415.7142462446</v>
      </c>
      <c r="H9" s="5">
        <f t="shared" si="4"/>
        <v>12374631.747838588</v>
      </c>
    </row>
    <row r="10" spans="1:11" ht="15" customHeight="1" x14ac:dyDescent="0.25">
      <c r="A10" s="86"/>
      <c r="B10" s="86"/>
      <c r="D10" s="14">
        <v>8</v>
      </c>
      <c r="E10" s="5">
        <f t="shared" si="2"/>
        <v>2640640.7584121111</v>
      </c>
      <c r="F10" s="5">
        <f t="shared" si="5"/>
        <v>272241.89845244895</v>
      </c>
      <c r="G10" s="5">
        <f t="shared" si="3"/>
        <v>2368398.859959662</v>
      </c>
      <c r="H10" s="5">
        <f t="shared" si="4"/>
        <v>10006232.887878926</v>
      </c>
    </row>
    <row r="11" spans="1:11" ht="15" customHeight="1" x14ac:dyDescent="0.25">
      <c r="A11" s="86"/>
      <c r="B11" s="86"/>
      <c r="D11" s="14">
        <v>9</v>
      </c>
      <c r="E11" s="5">
        <f t="shared" si="2"/>
        <v>2640640.7584121111</v>
      </c>
      <c r="F11" s="5">
        <f t="shared" si="5"/>
        <v>220137.12353333636</v>
      </c>
      <c r="G11" s="5">
        <f t="shared" si="3"/>
        <v>2420503.6348787746</v>
      </c>
      <c r="H11" s="5">
        <f t="shared" si="4"/>
        <v>7585729.2530001514</v>
      </c>
    </row>
    <row r="12" spans="1:11" ht="15" customHeight="1" x14ac:dyDescent="0.25">
      <c r="D12" s="14">
        <v>10</v>
      </c>
      <c r="E12" s="5">
        <f t="shared" si="2"/>
        <v>2640640.7584121111</v>
      </c>
      <c r="F12" s="5">
        <f t="shared" si="5"/>
        <v>166886.04356600333</v>
      </c>
      <c r="G12" s="5">
        <f t="shared" si="3"/>
        <v>2473754.7148461076</v>
      </c>
      <c r="H12" s="5">
        <f t="shared" si="4"/>
        <v>5111974.5381540433</v>
      </c>
    </row>
    <row r="13" spans="1:11" ht="15" customHeight="1" x14ac:dyDescent="0.25">
      <c r="D13" s="14">
        <v>11</v>
      </c>
      <c r="E13" s="5">
        <f t="shared" si="2"/>
        <v>2640640.7584121111</v>
      </c>
      <c r="F13" s="5">
        <f t="shared" si="5"/>
        <v>112463.43983938894</v>
      </c>
      <c r="G13" s="5">
        <f t="shared" si="3"/>
        <v>2528177.3185727224</v>
      </c>
      <c r="H13" s="5">
        <f t="shared" si="4"/>
        <v>2583797.2195813209</v>
      </c>
    </row>
    <row r="14" spans="1:11" ht="15" customHeight="1" x14ac:dyDescent="0.25">
      <c r="D14" s="14">
        <v>12</v>
      </c>
      <c r="E14" s="5">
        <f t="shared" si="2"/>
        <v>2640640.7584121111</v>
      </c>
      <c r="F14" s="5">
        <f>H13*$B$3</f>
        <v>56843.538830789053</v>
      </c>
      <c r="G14" s="5">
        <f t="shared" si="3"/>
        <v>2583797.2195813218</v>
      </c>
      <c r="H14" s="5">
        <f>H13-G14</f>
        <v>0</v>
      </c>
    </row>
    <row r="17" spans="1:2" x14ac:dyDescent="0.25">
      <c r="A17" t="s">
        <v>51</v>
      </c>
      <c r="B17">
        <v>3</v>
      </c>
    </row>
    <row r="18" spans="1:2" x14ac:dyDescent="0.25">
      <c r="A18" s="87" t="s">
        <v>52</v>
      </c>
      <c r="B18" s="87"/>
    </row>
    <row r="19" spans="1:2" x14ac:dyDescent="0.25">
      <c r="A19" s="87"/>
      <c r="B19" s="87"/>
    </row>
  </sheetData>
  <mergeCells count="2">
    <mergeCell ref="A7:B11"/>
    <mergeCell ref="A18:B19"/>
  </mergeCells>
  <pageMargins left="0.7" right="0.7" top="0.75" bottom="0.75" header="0.3" footer="0.3"/>
  <pageSetup orientation="portrait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7"/>
  <sheetViews>
    <sheetView zoomScale="91" workbookViewId="0">
      <selection activeCell="F23" sqref="F23"/>
    </sheetView>
  </sheetViews>
  <sheetFormatPr baseColWidth="10" defaultRowHeight="15" x14ac:dyDescent="0.25"/>
  <cols>
    <col min="1" max="1" width="30.85546875" style="26" bestFit="1" customWidth="1"/>
    <col min="2" max="2" width="13.85546875" style="26" customWidth="1"/>
    <col min="3" max="3" width="0.42578125" style="26" customWidth="1"/>
    <col min="4" max="4" width="8" style="26" bestFit="1" customWidth="1"/>
    <col min="5" max="5" width="12.5703125" style="26" customWidth="1"/>
    <col min="6" max="6" width="11.42578125" style="26" customWidth="1"/>
    <col min="7" max="7" width="14.85546875" style="26" bestFit="1" customWidth="1"/>
    <col min="8" max="8" width="14.85546875" style="26" customWidth="1"/>
    <col min="9" max="9" width="2.5703125" style="26" customWidth="1"/>
    <col min="10" max="16384" width="11.42578125" style="26"/>
  </cols>
  <sheetData>
    <row r="1" spans="1:13" x14ac:dyDescent="0.25">
      <c r="A1" s="88" t="s">
        <v>10</v>
      </c>
      <c r="B1" s="88"/>
      <c r="C1" s="88"/>
      <c r="D1" s="88"/>
      <c r="E1" s="88"/>
      <c r="F1" s="88"/>
      <c r="G1" s="88"/>
      <c r="H1" s="88"/>
    </row>
    <row r="2" spans="1:13" x14ac:dyDescent="0.25">
      <c r="A2" s="1" t="s">
        <v>0</v>
      </c>
      <c r="D2" s="3" t="s">
        <v>5</v>
      </c>
      <c r="E2" s="3" t="s">
        <v>6</v>
      </c>
      <c r="F2" s="3" t="s">
        <v>7</v>
      </c>
      <c r="G2" s="3" t="s">
        <v>43</v>
      </c>
      <c r="H2" s="3" t="s">
        <v>8</v>
      </c>
      <c r="J2" s="89" t="s">
        <v>26</v>
      </c>
      <c r="K2" s="89"/>
      <c r="L2" s="89"/>
      <c r="M2" s="89"/>
    </row>
    <row r="3" spans="1:13" x14ac:dyDescent="0.25">
      <c r="A3" s="2" t="s">
        <v>1</v>
      </c>
      <c r="B3" s="5">
        <v>20000000</v>
      </c>
      <c r="D3" s="16">
        <v>0</v>
      </c>
      <c r="E3" s="5">
        <v>0</v>
      </c>
      <c r="F3" s="5">
        <v>0</v>
      </c>
      <c r="G3" s="5">
        <v>0</v>
      </c>
      <c r="H3" s="5">
        <f>B3</f>
        <v>20000000</v>
      </c>
      <c r="J3" s="89"/>
      <c r="K3" s="89"/>
      <c r="L3" s="89"/>
      <c r="M3" s="89"/>
    </row>
    <row r="4" spans="1:13" x14ac:dyDescent="0.25">
      <c r="A4" s="2" t="s">
        <v>2</v>
      </c>
      <c r="B4" s="6">
        <v>2.1999999999999999E-2</v>
      </c>
      <c r="D4" s="16">
        <v>1</v>
      </c>
      <c r="E4" s="5">
        <f>$B$14</f>
        <v>1578148.2880558942</v>
      </c>
      <c r="F4" s="5">
        <f>B3*B4</f>
        <v>440000</v>
      </c>
      <c r="G4" s="5">
        <f>E4-F4</f>
        <v>1138148.2880558942</v>
      </c>
      <c r="H4" s="5">
        <f>H3-G4</f>
        <v>18861851.711944107</v>
      </c>
      <c r="J4" s="89"/>
      <c r="K4" s="89"/>
      <c r="L4" s="89"/>
      <c r="M4" s="89"/>
    </row>
    <row r="5" spans="1:13" x14ac:dyDescent="0.25">
      <c r="A5" s="2" t="s">
        <v>3</v>
      </c>
      <c r="B5" s="26">
        <v>12</v>
      </c>
      <c r="D5" s="16">
        <v>2</v>
      </c>
      <c r="E5" s="5">
        <f t="shared" ref="E5:E15" si="0">$B$14</f>
        <v>1578148.2880558942</v>
      </c>
      <c r="F5" s="5">
        <f>H4*$B$4</f>
        <v>414960.73766277032</v>
      </c>
      <c r="G5" s="5">
        <f t="shared" ref="G5:G15" si="1">E5-F5</f>
        <v>1163187.5503931239</v>
      </c>
      <c r="H5" s="5">
        <f t="shared" ref="H5:H15" si="2">H4-G5</f>
        <v>17698664.161550984</v>
      </c>
      <c r="J5" s="89"/>
      <c r="K5" s="89"/>
      <c r="L5" s="89"/>
      <c r="M5" s="89"/>
    </row>
    <row r="6" spans="1:13" x14ac:dyDescent="0.25">
      <c r="A6" s="2" t="s">
        <v>4</v>
      </c>
      <c r="B6" s="5">
        <f>PMT(B4,B5,-B3)</f>
        <v>1914497.6985699385</v>
      </c>
      <c r="D6" s="16">
        <v>3</v>
      </c>
      <c r="E6" s="5">
        <f t="shared" si="0"/>
        <v>1578148.2880558942</v>
      </c>
      <c r="F6" s="5">
        <f>H5*$B$4</f>
        <v>389370.6115541216</v>
      </c>
      <c r="G6" s="5">
        <f t="shared" si="1"/>
        <v>1188777.6765017726</v>
      </c>
      <c r="H6" s="5">
        <f t="shared" si="2"/>
        <v>16509886.48504921</v>
      </c>
      <c r="J6" s="89"/>
      <c r="K6" s="89"/>
      <c r="L6" s="89"/>
      <c r="M6" s="89"/>
    </row>
    <row r="7" spans="1:13" x14ac:dyDescent="0.25">
      <c r="D7" s="16">
        <v>4</v>
      </c>
      <c r="E7" s="17">
        <f>$B$14+B8</f>
        <v>3578148.288055894</v>
      </c>
      <c r="F7" s="5">
        <f t="shared" ref="F7:F15" si="3">H6*$B$4</f>
        <v>363217.50267108262</v>
      </c>
      <c r="G7" s="5">
        <f t="shared" si="1"/>
        <v>3214930.7853848115</v>
      </c>
      <c r="H7" s="5">
        <f t="shared" si="2"/>
        <v>13294955.699664399</v>
      </c>
      <c r="J7" s="89"/>
      <c r="K7" s="89"/>
      <c r="L7" s="89"/>
      <c r="M7" s="89"/>
    </row>
    <row r="8" spans="1:13" x14ac:dyDescent="0.25">
      <c r="A8" s="2" t="s">
        <v>11</v>
      </c>
      <c r="B8" s="5">
        <v>2000000</v>
      </c>
      <c r="D8" s="16">
        <v>5</v>
      </c>
      <c r="E8" s="5">
        <f t="shared" si="0"/>
        <v>1578148.2880558942</v>
      </c>
      <c r="F8" s="5">
        <f t="shared" si="3"/>
        <v>292489.02539261675</v>
      </c>
      <c r="G8" s="5">
        <f t="shared" si="1"/>
        <v>1285659.2626632773</v>
      </c>
      <c r="H8" s="5">
        <f t="shared" si="2"/>
        <v>12009296.437001122</v>
      </c>
      <c r="J8" s="89"/>
      <c r="K8" s="89"/>
      <c r="L8" s="89"/>
      <c r="M8" s="89"/>
    </row>
    <row r="9" spans="1:13" x14ac:dyDescent="0.25">
      <c r="A9" s="2" t="s">
        <v>12</v>
      </c>
      <c r="B9" s="5">
        <v>2000000</v>
      </c>
      <c r="D9" s="16">
        <v>6</v>
      </c>
      <c r="E9" s="5">
        <f t="shared" si="0"/>
        <v>1578148.2880558942</v>
      </c>
      <c r="F9" s="5">
        <f t="shared" si="3"/>
        <v>264204.52161402465</v>
      </c>
      <c r="G9" s="5">
        <f t="shared" si="1"/>
        <v>1313943.7664418695</v>
      </c>
      <c r="H9" s="5">
        <f t="shared" si="2"/>
        <v>10695352.670559254</v>
      </c>
      <c r="J9" s="89"/>
      <c r="K9" s="89"/>
      <c r="L9" s="89"/>
      <c r="M9" s="89"/>
    </row>
    <row r="10" spans="1:13" x14ac:dyDescent="0.25">
      <c r="D10" s="16">
        <v>7</v>
      </c>
      <c r="E10" s="5">
        <f t="shared" si="0"/>
        <v>1578148.2880558942</v>
      </c>
      <c r="F10" s="5">
        <f t="shared" si="3"/>
        <v>235297.75875230358</v>
      </c>
      <c r="G10" s="5">
        <f t="shared" si="1"/>
        <v>1342850.5293035905</v>
      </c>
      <c r="H10" s="5">
        <f t="shared" si="2"/>
        <v>9352502.1412556637</v>
      </c>
      <c r="J10" s="89"/>
      <c r="K10" s="89"/>
      <c r="L10" s="89"/>
      <c r="M10" s="89"/>
    </row>
    <row r="11" spans="1:13" x14ac:dyDescent="0.25">
      <c r="A11" s="2" t="s">
        <v>13</v>
      </c>
      <c r="B11" s="5">
        <f>PV(B4,4,,-B8)</f>
        <v>1833269.9191799865</v>
      </c>
      <c r="D11" s="16">
        <v>8</v>
      </c>
      <c r="E11" s="17">
        <f>$B$14+B9</f>
        <v>3578148.288055894</v>
      </c>
      <c r="F11" s="5">
        <f t="shared" si="3"/>
        <v>205755.04710762459</v>
      </c>
      <c r="G11" s="5">
        <f t="shared" si="1"/>
        <v>3372393.2409482691</v>
      </c>
      <c r="H11" s="5">
        <f t="shared" si="2"/>
        <v>5980108.9003073946</v>
      </c>
      <c r="J11" s="89"/>
      <c r="K11" s="89"/>
      <c r="L11" s="89"/>
      <c r="M11" s="89"/>
    </row>
    <row r="12" spans="1:13" x14ac:dyDescent="0.25">
      <c r="A12" s="2" t="s">
        <v>14</v>
      </c>
      <c r="B12" s="5">
        <f>PV(B4,8,,-B9)</f>
        <v>1680439.2982850971</v>
      </c>
      <c r="D12" s="16">
        <v>9</v>
      </c>
      <c r="E12" s="5">
        <f t="shared" si="0"/>
        <v>1578148.2880558942</v>
      </c>
      <c r="F12" s="5">
        <f t="shared" si="3"/>
        <v>131562.39580676268</v>
      </c>
      <c r="G12" s="5">
        <f t="shared" si="1"/>
        <v>1446585.8922491316</v>
      </c>
      <c r="H12" s="5">
        <f t="shared" si="2"/>
        <v>4533523.008058263</v>
      </c>
      <c r="J12" s="89"/>
      <c r="K12" s="89"/>
      <c r="L12" s="89"/>
      <c r="M12" s="89"/>
    </row>
    <row r="13" spans="1:13" x14ac:dyDescent="0.25">
      <c r="A13" s="2" t="s">
        <v>15</v>
      </c>
      <c r="B13" s="5">
        <f>B3-B11-B12</f>
        <v>16486290.782534916</v>
      </c>
      <c r="D13" s="16">
        <v>10</v>
      </c>
      <c r="E13" s="5">
        <f t="shared" si="0"/>
        <v>1578148.2880558942</v>
      </c>
      <c r="F13" s="5">
        <f t="shared" si="3"/>
        <v>99737.506177281786</v>
      </c>
      <c r="G13" s="5">
        <f t="shared" si="1"/>
        <v>1478410.7818786125</v>
      </c>
      <c r="H13" s="5">
        <f t="shared" si="2"/>
        <v>3055112.2261796505</v>
      </c>
      <c r="J13" s="89"/>
      <c r="K13" s="89"/>
      <c r="L13" s="89"/>
      <c r="M13" s="89"/>
    </row>
    <row r="14" spans="1:13" x14ac:dyDescent="0.25">
      <c r="A14" s="2" t="s">
        <v>16</v>
      </c>
      <c r="B14" s="5">
        <f>PMT(B4,B5,-B13)</f>
        <v>1578148.2880558942</v>
      </c>
      <c r="D14" s="16">
        <v>11</v>
      </c>
      <c r="E14" s="5">
        <f t="shared" si="0"/>
        <v>1578148.2880558942</v>
      </c>
      <c r="F14" s="5">
        <f t="shared" si="3"/>
        <v>67212.468975952303</v>
      </c>
      <c r="G14" s="5">
        <f t="shared" si="1"/>
        <v>1510935.8190799418</v>
      </c>
      <c r="H14" s="5">
        <f t="shared" si="2"/>
        <v>1544176.4070997087</v>
      </c>
      <c r="J14" s="89"/>
      <c r="K14" s="89"/>
      <c r="L14" s="89"/>
      <c r="M14" s="89"/>
    </row>
    <row r="15" spans="1:13" x14ac:dyDescent="0.25">
      <c r="D15" s="16">
        <v>12</v>
      </c>
      <c r="E15" s="5">
        <f t="shared" si="0"/>
        <v>1578148.2880558942</v>
      </c>
      <c r="F15" s="5">
        <f t="shared" si="3"/>
        <v>33971.880956193592</v>
      </c>
      <c r="G15" s="5">
        <f t="shared" si="1"/>
        <v>1544176.4070997005</v>
      </c>
      <c r="H15" s="5">
        <f t="shared" si="2"/>
        <v>8.149072527885437E-9</v>
      </c>
    </row>
    <row r="17" spans="1:13" x14ac:dyDescent="0.25">
      <c r="A17" s="88" t="s">
        <v>17</v>
      </c>
      <c r="B17" s="88"/>
      <c r="C17" s="88"/>
      <c r="D17" s="88"/>
      <c r="E17" s="88"/>
      <c r="F17" s="88"/>
      <c r="G17" s="88"/>
      <c r="H17" s="88"/>
    </row>
    <row r="18" spans="1:13" x14ac:dyDescent="0.25">
      <c r="A18" s="1" t="s">
        <v>0</v>
      </c>
      <c r="D18" s="3" t="s">
        <v>5</v>
      </c>
      <c r="E18" s="3" t="s">
        <v>6</v>
      </c>
      <c r="F18" s="3" t="s">
        <v>7</v>
      </c>
      <c r="G18" s="3" t="s">
        <v>43</v>
      </c>
      <c r="H18" s="3" t="s">
        <v>8</v>
      </c>
      <c r="J18" s="89" t="s">
        <v>27</v>
      </c>
      <c r="K18" s="89"/>
      <c r="L18" s="89"/>
      <c r="M18" s="89"/>
    </row>
    <row r="19" spans="1:13" x14ac:dyDescent="0.25">
      <c r="A19" s="2" t="s">
        <v>1</v>
      </c>
      <c r="B19" s="5">
        <v>20000000</v>
      </c>
      <c r="D19" s="16">
        <v>0</v>
      </c>
      <c r="E19" s="5">
        <v>0</v>
      </c>
      <c r="F19" s="5">
        <v>0</v>
      </c>
      <c r="G19" s="5">
        <v>0</v>
      </c>
      <c r="H19" s="5">
        <f>B19</f>
        <v>20000000</v>
      </c>
      <c r="J19" s="89"/>
      <c r="K19" s="89"/>
      <c r="L19" s="89"/>
      <c r="M19" s="89"/>
    </row>
    <row r="20" spans="1:13" x14ac:dyDescent="0.25">
      <c r="A20" s="2" t="s">
        <v>2</v>
      </c>
      <c r="B20" s="6">
        <v>2.1999999999999999E-2</v>
      </c>
      <c r="D20" s="16">
        <v>1</v>
      </c>
      <c r="E20" s="5">
        <f>$B$6</f>
        <v>1914497.6985699385</v>
      </c>
      <c r="F20" s="5">
        <f>B19*B20</f>
        <v>440000</v>
      </c>
      <c r="G20" s="5">
        <f>E20-F20</f>
        <v>1474497.6985699385</v>
      </c>
      <c r="H20" s="5">
        <f>H19-G20</f>
        <v>18525502.301430061</v>
      </c>
      <c r="J20" s="89"/>
      <c r="K20" s="89"/>
      <c r="L20" s="89"/>
      <c r="M20" s="89"/>
    </row>
    <row r="21" spans="1:13" x14ac:dyDescent="0.25">
      <c r="A21" s="2" t="s">
        <v>3</v>
      </c>
      <c r="B21" s="26">
        <v>12</v>
      </c>
      <c r="D21" s="16">
        <v>2</v>
      </c>
      <c r="E21" s="5">
        <f>$B$6</f>
        <v>1914497.6985699385</v>
      </c>
      <c r="F21" s="5">
        <f t="shared" ref="F21:F27" si="4">H20*$B$4</f>
        <v>407561.05063146132</v>
      </c>
      <c r="G21" s="5">
        <f t="shared" ref="G21:G27" si="5">E21-F21</f>
        <v>1506936.6479384773</v>
      </c>
      <c r="H21" s="5">
        <f t="shared" ref="H21:H28" si="6">H20-G21</f>
        <v>17018565.653491583</v>
      </c>
      <c r="J21" s="89"/>
      <c r="K21" s="89"/>
      <c r="L21" s="89"/>
      <c r="M21" s="89"/>
    </row>
    <row r="22" spans="1:13" x14ac:dyDescent="0.25">
      <c r="A22" s="2" t="s">
        <v>4</v>
      </c>
      <c r="B22" s="5">
        <f>PMT(B20,B21,-B19)</f>
        <v>1914497.6985699385</v>
      </c>
      <c r="D22" s="16">
        <v>3</v>
      </c>
      <c r="E22" s="5">
        <f>$B$6</f>
        <v>1914497.6985699385</v>
      </c>
      <c r="F22" s="5">
        <f t="shared" si="4"/>
        <v>374408.44437681482</v>
      </c>
      <c r="G22" s="5">
        <f t="shared" si="5"/>
        <v>1540089.2541931237</v>
      </c>
      <c r="H22" s="5">
        <f t="shared" si="6"/>
        <v>15478476.399298459</v>
      </c>
      <c r="J22" s="89"/>
      <c r="K22" s="89"/>
      <c r="L22" s="89"/>
      <c r="M22" s="89"/>
    </row>
    <row r="23" spans="1:13" x14ac:dyDescent="0.25">
      <c r="D23" s="16">
        <v>4</v>
      </c>
      <c r="E23" s="5">
        <f>$B$6</f>
        <v>1914497.6985699385</v>
      </c>
      <c r="F23" s="5">
        <f t="shared" si="4"/>
        <v>340526.48078456608</v>
      </c>
      <c r="G23" s="5">
        <f t="shared" si="5"/>
        <v>1573971.2177853724</v>
      </c>
      <c r="H23" s="5">
        <f t="shared" si="6"/>
        <v>13904505.181513086</v>
      </c>
      <c r="J23" s="89"/>
      <c r="K23" s="89"/>
      <c r="L23" s="89"/>
      <c r="M23" s="89"/>
    </row>
    <row r="24" spans="1:13" x14ac:dyDescent="0.25">
      <c r="A24" s="2" t="s">
        <v>9</v>
      </c>
      <c r="B24" s="5">
        <v>5000000</v>
      </c>
      <c r="D24" s="16">
        <v>5</v>
      </c>
      <c r="E24" s="5">
        <f>$B$6</f>
        <v>1914497.6985699385</v>
      </c>
      <c r="F24" s="5">
        <f t="shared" si="4"/>
        <v>305899.1139932879</v>
      </c>
      <c r="G24" s="5">
        <f t="shared" si="5"/>
        <v>1608598.5845766505</v>
      </c>
      <c r="H24" s="5">
        <f t="shared" si="6"/>
        <v>12295906.596936435</v>
      </c>
      <c r="J24" s="89"/>
      <c r="K24" s="89"/>
      <c r="L24" s="89"/>
      <c r="M24" s="89"/>
    </row>
    <row r="25" spans="1:13" x14ac:dyDescent="0.25">
      <c r="A25" s="2"/>
      <c r="B25" s="5"/>
      <c r="D25" s="16">
        <v>6</v>
      </c>
      <c r="E25" s="17">
        <f>$B$6+B24</f>
        <v>6914497.6985699385</v>
      </c>
      <c r="F25" s="5">
        <f>H24*$B$4</f>
        <v>270509.94513260154</v>
      </c>
      <c r="G25" s="5">
        <f>E25-F25</f>
        <v>6643987.7534373365</v>
      </c>
      <c r="H25" s="5">
        <f t="shared" si="6"/>
        <v>5651918.843499098</v>
      </c>
      <c r="J25" s="89"/>
      <c r="K25" s="89"/>
      <c r="L25" s="89"/>
      <c r="M25" s="89"/>
    </row>
    <row r="26" spans="1:13" x14ac:dyDescent="0.25">
      <c r="D26" s="16">
        <v>7</v>
      </c>
      <c r="E26" s="5">
        <f>$B$6</f>
        <v>1914497.6985699385</v>
      </c>
      <c r="F26" s="5">
        <f t="shared" si="4"/>
        <v>124342.21455698015</v>
      </c>
      <c r="G26" s="5">
        <f t="shared" si="5"/>
        <v>1790155.4840129584</v>
      </c>
      <c r="H26" s="5">
        <f t="shared" si="6"/>
        <v>3861763.3594861394</v>
      </c>
      <c r="J26" s="89"/>
      <c r="K26" s="89"/>
      <c r="L26" s="89"/>
      <c r="M26" s="89"/>
    </row>
    <row r="27" spans="1:13" x14ac:dyDescent="0.25">
      <c r="D27" s="16">
        <v>8</v>
      </c>
      <c r="E27" s="5">
        <f>$B$6</f>
        <v>1914497.6985699385</v>
      </c>
      <c r="F27" s="5">
        <f t="shared" si="4"/>
        <v>84958.793908695065</v>
      </c>
      <c r="G27" s="5">
        <f t="shared" si="5"/>
        <v>1829538.9046612435</v>
      </c>
      <c r="H27" s="5">
        <f t="shared" si="6"/>
        <v>2032224.4548248958</v>
      </c>
      <c r="J27" s="89"/>
      <c r="K27" s="89"/>
      <c r="L27" s="89"/>
      <c r="M27" s="89"/>
    </row>
    <row r="28" spans="1:13" x14ac:dyDescent="0.25">
      <c r="D28" s="16">
        <v>9</v>
      </c>
      <c r="E28" s="5">
        <f>H27+F28</f>
        <v>2076933.3928310436</v>
      </c>
      <c r="F28" s="5">
        <f>H27*$B$4</f>
        <v>44708.938006147706</v>
      </c>
      <c r="G28" s="5">
        <f>E28-F28</f>
        <v>2032224.4548248958</v>
      </c>
      <c r="H28" s="5">
        <f t="shared" si="6"/>
        <v>0</v>
      </c>
      <c r="J28" s="89"/>
      <c r="K28" s="89"/>
      <c r="L28" s="89"/>
      <c r="M28" s="89"/>
    </row>
    <row r="29" spans="1:13" x14ac:dyDescent="0.25">
      <c r="D29" s="16">
        <v>10</v>
      </c>
      <c r="E29" s="5"/>
      <c r="F29" s="5"/>
      <c r="G29" s="5"/>
      <c r="H29" s="5"/>
      <c r="J29" s="89"/>
      <c r="K29" s="89"/>
      <c r="L29" s="89"/>
      <c r="M29" s="89"/>
    </row>
    <row r="30" spans="1:13" x14ac:dyDescent="0.25">
      <c r="D30" s="16">
        <v>11</v>
      </c>
      <c r="E30" s="5"/>
      <c r="F30" s="5"/>
      <c r="G30" s="5"/>
      <c r="H30" s="5"/>
      <c r="J30" s="89"/>
      <c r="K30" s="89"/>
      <c r="L30" s="89"/>
      <c r="M30" s="89"/>
    </row>
    <row r="31" spans="1:13" x14ac:dyDescent="0.25">
      <c r="D31" s="16">
        <v>12</v>
      </c>
      <c r="E31" s="5"/>
      <c r="F31" s="5"/>
      <c r="G31" s="5"/>
      <c r="H31" s="5"/>
    </row>
    <row r="33" spans="1:13" x14ac:dyDescent="0.25">
      <c r="A33" s="88" t="s">
        <v>18</v>
      </c>
      <c r="B33" s="88"/>
      <c r="C33" s="88"/>
      <c r="D33" s="88"/>
      <c r="E33" s="88"/>
      <c r="F33" s="88"/>
      <c r="G33" s="88"/>
      <c r="H33" s="88"/>
    </row>
    <row r="34" spans="1:13" x14ac:dyDescent="0.25">
      <c r="A34" s="1" t="s">
        <v>0</v>
      </c>
      <c r="D34" s="3" t="s">
        <v>5</v>
      </c>
      <c r="E34" s="3" t="s">
        <v>6</v>
      </c>
      <c r="F34" s="3" t="s">
        <v>7</v>
      </c>
      <c r="G34" s="3" t="s">
        <v>43</v>
      </c>
      <c r="H34" s="3" t="s">
        <v>8</v>
      </c>
      <c r="J34" s="89" t="s">
        <v>28</v>
      </c>
      <c r="K34" s="89"/>
      <c r="L34" s="89"/>
      <c r="M34" s="89"/>
    </row>
    <row r="35" spans="1:13" x14ac:dyDescent="0.25">
      <c r="A35" s="2" t="s">
        <v>1</v>
      </c>
      <c r="B35" s="5">
        <v>20000000</v>
      </c>
      <c r="D35" s="16">
        <v>0</v>
      </c>
      <c r="E35" s="5">
        <v>0</v>
      </c>
      <c r="F35" s="5">
        <v>0</v>
      </c>
      <c r="G35" s="5">
        <v>0</v>
      </c>
      <c r="H35" s="5">
        <f>B35</f>
        <v>20000000</v>
      </c>
      <c r="J35" s="89"/>
      <c r="K35" s="89"/>
      <c r="L35" s="89"/>
      <c r="M35" s="89"/>
    </row>
    <row r="36" spans="1:13" x14ac:dyDescent="0.25">
      <c r="A36" s="2" t="s">
        <v>2</v>
      </c>
      <c r="B36" s="6">
        <v>2.1999999999999999E-2</v>
      </c>
      <c r="D36" s="16">
        <v>1</v>
      </c>
      <c r="E36" s="5">
        <f>$B$6</f>
        <v>1914497.6985699385</v>
      </c>
      <c r="F36" s="5">
        <f>B35*B36</f>
        <v>440000</v>
      </c>
      <c r="G36" s="5">
        <f>E36-F36</f>
        <v>1474497.6985699385</v>
      </c>
      <c r="H36" s="5">
        <f>H35-G36</f>
        <v>18525502.301430061</v>
      </c>
      <c r="J36" s="89"/>
      <c r="K36" s="89"/>
      <c r="L36" s="89"/>
      <c r="M36" s="89"/>
    </row>
    <row r="37" spans="1:13" x14ac:dyDescent="0.25">
      <c r="A37" s="2" t="s">
        <v>3</v>
      </c>
      <c r="B37" s="26">
        <v>12</v>
      </c>
      <c r="D37" s="16">
        <v>2</v>
      </c>
      <c r="E37" s="5">
        <f>$B$6</f>
        <v>1914497.6985699385</v>
      </c>
      <c r="F37" s="5">
        <f t="shared" ref="F37:F47" si="7">H36*$B$4</f>
        <v>407561.05063146132</v>
      </c>
      <c r="G37" s="5">
        <f t="shared" ref="G37:G47" si="8">E37-F37</f>
        <v>1506936.6479384773</v>
      </c>
      <c r="H37" s="5">
        <f t="shared" ref="H37:H46" si="9">H36-G37</f>
        <v>17018565.653491583</v>
      </c>
      <c r="J37" s="89"/>
      <c r="K37" s="89"/>
      <c r="L37" s="89"/>
      <c r="M37" s="89"/>
    </row>
    <row r="38" spans="1:13" x14ac:dyDescent="0.25">
      <c r="A38" s="2" t="s">
        <v>4</v>
      </c>
      <c r="B38" s="5">
        <f>PMT(B36,B37,-B35,,0)</f>
        <v>1914497.6985699385</v>
      </c>
      <c r="D38" s="16">
        <v>3</v>
      </c>
      <c r="E38" s="5">
        <f>$B$6</f>
        <v>1914497.6985699385</v>
      </c>
      <c r="F38" s="5">
        <f t="shared" si="7"/>
        <v>374408.44437681482</v>
      </c>
      <c r="G38" s="5">
        <f t="shared" si="8"/>
        <v>1540089.2541931237</v>
      </c>
      <c r="H38" s="5">
        <f t="shared" si="9"/>
        <v>15478476.399298459</v>
      </c>
      <c r="J38" s="89"/>
      <c r="K38" s="89"/>
      <c r="L38" s="89"/>
      <c r="M38" s="89"/>
    </row>
    <row r="39" spans="1:13" x14ac:dyDescent="0.25">
      <c r="D39" s="16">
        <v>4</v>
      </c>
      <c r="E39" s="5">
        <f>$B$6</f>
        <v>1914497.6985699385</v>
      </c>
      <c r="F39" s="5">
        <f t="shared" si="7"/>
        <v>340526.48078456608</v>
      </c>
      <c r="G39" s="5">
        <f t="shared" si="8"/>
        <v>1573971.2177853724</v>
      </c>
      <c r="H39" s="5">
        <f t="shared" si="9"/>
        <v>13904505.181513086</v>
      </c>
      <c r="J39" s="89"/>
      <c r="K39" s="89"/>
      <c r="L39" s="89"/>
      <c r="M39" s="89"/>
    </row>
    <row r="40" spans="1:13" x14ac:dyDescent="0.25">
      <c r="A40" s="2" t="s">
        <v>9</v>
      </c>
      <c r="B40" s="5">
        <v>5000000</v>
      </c>
      <c r="D40" s="16">
        <v>5</v>
      </c>
      <c r="E40" s="5">
        <f>$B$6</f>
        <v>1914497.6985699385</v>
      </c>
      <c r="F40" s="5">
        <f t="shared" si="7"/>
        <v>305899.1139932879</v>
      </c>
      <c r="G40" s="5">
        <f t="shared" si="8"/>
        <v>1608598.5845766505</v>
      </c>
      <c r="H40" s="5">
        <f t="shared" si="9"/>
        <v>12295906.596936435</v>
      </c>
      <c r="J40" s="89"/>
      <c r="K40" s="89"/>
      <c r="L40" s="89"/>
      <c r="M40" s="89"/>
    </row>
    <row r="41" spans="1:13" x14ac:dyDescent="0.25">
      <c r="A41" s="2"/>
      <c r="B41" s="5"/>
      <c r="D41" s="16">
        <v>6</v>
      </c>
      <c r="E41" s="5">
        <f>$B$6+B40</f>
        <v>6914497.6985699385</v>
      </c>
      <c r="F41" s="5">
        <f>H40*$B$4</f>
        <v>270509.94513260154</v>
      </c>
      <c r="G41" s="5">
        <f t="shared" si="8"/>
        <v>6643987.7534373365</v>
      </c>
      <c r="H41" s="5">
        <f>H40-G41</f>
        <v>5651918.843499098</v>
      </c>
      <c r="J41" s="89"/>
      <c r="K41" s="89"/>
      <c r="L41" s="89"/>
      <c r="M41" s="89"/>
    </row>
    <row r="42" spans="1:13" x14ac:dyDescent="0.25">
      <c r="A42" s="2" t="s">
        <v>19</v>
      </c>
      <c r="B42" s="5">
        <f>H41</f>
        <v>5651918.843499098</v>
      </c>
      <c r="D42" s="16">
        <v>7</v>
      </c>
      <c r="E42" s="5">
        <f>$B$43</f>
        <v>1015834.4029242138</v>
      </c>
      <c r="F42" s="5">
        <f t="shared" si="7"/>
        <v>124342.21455698015</v>
      </c>
      <c r="G42" s="5">
        <f t="shared" si="8"/>
        <v>891492.18836723361</v>
      </c>
      <c r="H42" s="5">
        <f t="shared" si="9"/>
        <v>4760426.6551318644</v>
      </c>
      <c r="J42" s="89"/>
      <c r="K42" s="89"/>
      <c r="L42" s="89"/>
      <c r="M42" s="89"/>
    </row>
    <row r="43" spans="1:13" x14ac:dyDescent="0.25">
      <c r="A43" s="2" t="s">
        <v>20</v>
      </c>
      <c r="B43" s="5">
        <f>PMT(B36,6,-B42)</f>
        <v>1015834.4029242138</v>
      </c>
      <c r="D43" s="16">
        <v>8</v>
      </c>
      <c r="E43" s="5">
        <f t="shared" ref="E43:E47" si="10">$B$43</f>
        <v>1015834.4029242138</v>
      </c>
      <c r="F43" s="5">
        <f t="shared" si="7"/>
        <v>104729.386412901</v>
      </c>
      <c r="G43" s="5">
        <f t="shared" si="8"/>
        <v>911105.0165113128</v>
      </c>
      <c r="H43" s="5">
        <f t="shared" si="9"/>
        <v>3849321.6386205517</v>
      </c>
      <c r="J43" s="89"/>
      <c r="K43" s="89"/>
      <c r="L43" s="89"/>
      <c r="M43" s="89"/>
    </row>
    <row r="44" spans="1:13" x14ac:dyDescent="0.25">
      <c r="D44" s="16">
        <v>9</v>
      </c>
      <c r="E44" s="5">
        <f t="shared" si="10"/>
        <v>1015834.4029242138</v>
      </c>
      <c r="F44" s="5">
        <f t="shared" si="7"/>
        <v>84685.076049652125</v>
      </c>
      <c r="G44" s="5">
        <f t="shared" si="8"/>
        <v>931149.32687456161</v>
      </c>
      <c r="H44" s="5">
        <f t="shared" si="9"/>
        <v>2918172.3117459901</v>
      </c>
      <c r="J44" s="89"/>
      <c r="K44" s="89"/>
      <c r="L44" s="89"/>
      <c r="M44" s="89"/>
    </row>
    <row r="45" spans="1:13" x14ac:dyDescent="0.25">
      <c r="D45" s="16">
        <v>10</v>
      </c>
      <c r="E45" s="5">
        <f t="shared" si="10"/>
        <v>1015834.4029242138</v>
      </c>
      <c r="F45" s="5">
        <f t="shared" si="7"/>
        <v>64199.790858411776</v>
      </c>
      <c r="G45" s="5">
        <f t="shared" si="8"/>
        <v>951634.61206580198</v>
      </c>
      <c r="H45" s="5">
        <f t="shared" si="9"/>
        <v>1966537.6996801882</v>
      </c>
      <c r="J45" s="89"/>
      <c r="K45" s="89"/>
      <c r="L45" s="89"/>
      <c r="M45" s="89"/>
    </row>
    <row r="46" spans="1:13" x14ac:dyDescent="0.25">
      <c r="D46" s="16">
        <v>11</v>
      </c>
      <c r="E46" s="5">
        <f t="shared" si="10"/>
        <v>1015834.4029242138</v>
      </c>
      <c r="F46" s="5">
        <f t="shared" si="7"/>
        <v>43263.829392964137</v>
      </c>
      <c r="G46" s="5">
        <f t="shared" si="8"/>
        <v>972570.57353124965</v>
      </c>
      <c r="H46" s="18">
        <f t="shared" si="9"/>
        <v>993967.12614893855</v>
      </c>
      <c r="J46" s="89"/>
      <c r="K46" s="89"/>
      <c r="L46" s="89"/>
      <c r="M46" s="89"/>
    </row>
    <row r="47" spans="1:13" x14ac:dyDescent="0.25">
      <c r="D47" s="16">
        <v>12</v>
      </c>
      <c r="E47" s="5">
        <f t="shared" si="10"/>
        <v>1015834.4029242138</v>
      </c>
      <c r="F47" s="5">
        <f t="shared" si="7"/>
        <v>21867.276775276649</v>
      </c>
      <c r="G47" s="18">
        <f t="shared" si="8"/>
        <v>993967.12614893715</v>
      </c>
      <c r="H47" s="5">
        <f>H46-G47</f>
        <v>1.3969838619232178E-9</v>
      </c>
    </row>
  </sheetData>
  <mergeCells count="6">
    <mergeCell ref="J34:M46"/>
    <mergeCell ref="A1:H1"/>
    <mergeCell ref="J2:M14"/>
    <mergeCell ref="A17:H17"/>
    <mergeCell ref="J18:M30"/>
    <mergeCell ref="A33:H3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7"/>
  <sheetViews>
    <sheetView zoomScale="112" workbookViewId="0">
      <selection activeCell="B3" sqref="B3"/>
    </sheetView>
  </sheetViews>
  <sheetFormatPr baseColWidth="10" defaultRowHeight="15" x14ac:dyDescent="0.25"/>
  <cols>
    <col min="1" max="1" width="30.85546875" bestFit="1" customWidth="1"/>
    <col min="2" max="2" width="18.42578125" customWidth="1"/>
    <col min="3" max="3" width="1.85546875" hidden="1" customWidth="1"/>
    <col min="4" max="4" width="8" bestFit="1" customWidth="1"/>
    <col min="5" max="5" width="17" customWidth="1"/>
    <col min="6" max="6" width="16.28515625" customWidth="1"/>
    <col min="7" max="7" width="17.28515625" customWidth="1"/>
    <col min="8" max="8" width="16.42578125" customWidth="1"/>
    <col min="9" max="9" width="2.5703125" customWidth="1"/>
  </cols>
  <sheetData>
    <row r="1" spans="1:13" x14ac:dyDescent="0.25">
      <c r="A1" s="88" t="s">
        <v>10</v>
      </c>
      <c r="B1" s="88"/>
      <c r="C1" s="88"/>
      <c r="D1" s="88"/>
      <c r="E1" s="88"/>
      <c r="F1" s="88"/>
      <c r="G1" s="88"/>
      <c r="H1" s="88"/>
    </row>
    <row r="2" spans="1:13" x14ac:dyDescent="0.25">
      <c r="A2" s="1" t="s">
        <v>0</v>
      </c>
      <c r="D2" s="3" t="s">
        <v>5</v>
      </c>
      <c r="E2" s="3" t="s">
        <v>6</v>
      </c>
      <c r="F2" s="3" t="s">
        <v>7</v>
      </c>
      <c r="G2" s="3" t="s">
        <v>43</v>
      </c>
      <c r="H2" s="3" t="s">
        <v>8</v>
      </c>
      <c r="J2" s="89" t="s">
        <v>26</v>
      </c>
      <c r="K2" s="89"/>
      <c r="L2" s="89"/>
      <c r="M2" s="89"/>
    </row>
    <row r="3" spans="1:13" x14ac:dyDescent="0.25">
      <c r="A3" s="2" t="s">
        <v>1</v>
      </c>
      <c r="B3" s="5">
        <v>50000000</v>
      </c>
      <c r="D3" s="4">
        <v>0</v>
      </c>
      <c r="E3" s="5">
        <v>0</v>
      </c>
      <c r="F3" s="5">
        <v>0</v>
      </c>
      <c r="G3" s="5">
        <v>0</v>
      </c>
      <c r="H3" s="5">
        <f>B3</f>
        <v>50000000</v>
      </c>
      <c r="J3" s="89"/>
      <c r="K3" s="89"/>
      <c r="L3" s="89"/>
      <c r="M3" s="89"/>
    </row>
    <row r="4" spans="1:13" x14ac:dyDescent="0.25">
      <c r="A4" s="2" t="s">
        <v>2</v>
      </c>
      <c r="B4" s="6">
        <f>(1+22.5%)^(1/4)-1</f>
        <v>5.2044286643358362E-2</v>
      </c>
      <c r="D4" s="4">
        <v>1</v>
      </c>
      <c r="E4" s="5">
        <f>$B$14</f>
        <v>8723207.5728759356</v>
      </c>
      <c r="F4" s="5">
        <f>B3*B4</f>
        <v>2602214.3321679179</v>
      </c>
      <c r="G4" s="5">
        <f>E4-F4</f>
        <v>6120993.2407080177</v>
      </c>
      <c r="H4" s="5">
        <f>H3-G4</f>
        <v>43879006.759291984</v>
      </c>
      <c r="J4" s="89"/>
      <c r="K4" s="89"/>
      <c r="L4" s="89"/>
      <c r="M4" s="89"/>
    </row>
    <row r="5" spans="1:13" x14ac:dyDescent="0.25">
      <c r="A5" s="2" t="s">
        <v>3</v>
      </c>
      <c r="B5">
        <v>6</v>
      </c>
      <c r="D5" s="4">
        <v>2</v>
      </c>
      <c r="E5" s="5">
        <f>$B$14</f>
        <v>8723207.5728759356</v>
      </c>
      <c r="F5" s="5">
        <f>H4*$B$4</f>
        <v>2283651.605406451</v>
      </c>
      <c r="G5" s="5">
        <f>E5-F5</f>
        <v>6439555.9674694845</v>
      </c>
      <c r="H5" s="5">
        <f t="shared" ref="H5:H6" si="0">H4-G5</f>
        <v>37439450.791822501</v>
      </c>
      <c r="J5" s="89"/>
      <c r="K5" s="89"/>
      <c r="L5" s="89"/>
      <c r="M5" s="89"/>
    </row>
    <row r="6" spans="1:13" x14ac:dyDescent="0.25">
      <c r="A6" s="2" t="s">
        <v>4</v>
      </c>
      <c r="B6" s="5"/>
      <c r="D6" s="4">
        <v>3</v>
      </c>
      <c r="E6" s="5">
        <f>$B$14+B8</f>
        <v>15723207.572875936</v>
      </c>
      <c r="F6" s="5">
        <f>H5*$B$4</f>
        <v>1948509.5087795204</v>
      </c>
      <c r="G6" s="5">
        <f t="shared" ref="G6:G7" si="1">E6-F6</f>
        <v>13774698.064096415</v>
      </c>
      <c r="H6" s="5">
        <f t="shared" si="0"/>
        <v>23664752.727726087</v>
      </c>
      <c r="J6" s="89"/>
      <c r="K6" s="89"/>
      <c r="L6" s="89"/>
      <c r="M6" s="89"/>
    </row>
    <row r="7" spans="1:13" x14ac:dyDescent="0.25">
      <c r="D7" s="4">
        <v>4</v>
      </c>
      <c r="E7" s="57">
        <f>$B$14+B9</f>
        <v>16723207.572875936</v>
      </c>
      <c r="F7" s="5">
        <f t="shared" ref="F7" si="2">H6*$B$4</f>
        <v>1231615.1743059731</v>
      </c>
      <c r="G7" s="5">
        <f t="shared" si="1"/>
        <v>15491592.398569962</v>
      </c>
      <c r="H7" s="5">
        <f>H6-G7</f>
        <v>8173160.329156125</v>
      </c>
      <c r="J7" s="89"/>
      <c r="K7" s="89"/>
      <c r="L7" s="89"/>
      <c r="M7" s="89"/>
    </row>
    <row r="8" spans="1:13" x14ac:dyDescent="0.25">
      <c r="A8" s="60" t="s">
        <v>104</v>
      </c>
      <c r="B8" s="61">
        <v>7000000</v>
      </c>
      <c r="D8" s="16">
        <v>5</v>
      </c>
      <c r="E8" s="57">
        <f>$H$14</f>
        <v>4408301.941401951</v>
      </c>
      <c r="F8" s="5">
        <f t="shared" ref="F8" si="3">H7*$B$4</f>
        <v>425366.29895272653</v>
      </c>
      <c r="G8" s="5">
        <f t="shared" ref="G8" si="4">E8-F8</f>
        <v>3982935.6424492244</v>
      </c>
      <c r="H8" s="5">
        <f>H7-G8</f>
        <v>4190224.6867069006</v>
      </c>
      <c r="J8" s="89"/>
      <c r="K8" s="89"/>
      <c r="L8" s="89"/>
      <c r="M8" s="89"/>
    </row>
    <row r="9" spans="1:13" x14ac:dyDescent="0.25">
      <c r="A9" s="2" t="s">
        <v>106</v>
      </c>
      <c r="B9" s="5">
        <v>8000000</v>
      </c>
      <c r="D9" s="16">
        <v>6</v>
      </c>
      <c r="E9" s="57">
        <f>$H$14</f>
        <v>4408301.941401951</v>
      </c>
      <c r="F9" s="5">
        <f t="shared" ref="F9" si="5">H8*$B$4</f>
        <v>218077.25469505042</v>
      </c>
      <c r="G9" s="5">
        <f t="shared" ref="G9" si="6">E9-F9</f>
        <v>4190224.6867069006</v>
      </c>
      <c r="H9" s="5">
        <f>H8-G9</f>
        <v>0</v>
      </c>
      <c r="J9" s="89"/>
      <c r="K9" s="89"/>
      <c r="L9" s="89"/>
      <c r="M9" s="89"/>
    </row>
    <row r="10" spans="1:13" x14ac:dyDescent="0.25">
      <c r="D10" s="4"/>
      <c r="E10" s="5"/>
      <c r="F10" s="5"/>
      <c r="G10" s="5"/>
      <c r="H10" s="5"/>
      <c r="J10" s="89"/>
      <c r="K10" s="89"/>
      <c r="L10" s="89"/>
      <c r="M10" s="89"/>
    </row>
    <row r="11" spans="1:13" x14ac:dyDescent="0.25">
      <c r="A11" s="2" t="s">
        <v>105</v>
      </c>
      <c r="B11" s="5">
        <f>PV(B4,3,,-B8)</f>
        <v>6011681.6379620479</v>
      </c>
      <c r="D11" s="4"/>
      <c r="E11" s="57"/>
      <c r="F11" s="5"/>
      <c r="G11" s="5"/>
      <c r="H11" s="5"/>
      <c r="J11" s="89"/>
      <c r="K11" s="89"/>
      <c r="L11" s="89"/>
      <c r="M11" s="89"/>
    </row>
    <row r="12" spans="1:13" x14ac:dyDescent="0.25">
      <c r="A12" s="2"/>
      <c r="B12" s="5"/>
      <c r="D12" s="4"/>
      <c r="E12" s="5"/>
      <c r="F12" s="5"/>
      <c r="G12" s="5"/>
      <c r="H12" s="5"/>
      <c r="J12" s="89"/>
      <c r="K12" s="89"/>
      <c r="L12" s="89"/>
      <c r="M12" s="89"/>
    </row>
    <row r="13" spans="1:13" x14ac:dyDescent="0.25">
      <c r="A13" s="2" t="s">
        <v>15</v>
      </c>
      <c r="B13" s="5">
        <f>B3-B11-B12</f>
        <v>43988318.362037949</v>
      </c>
      <c r="F13" s="58"/>
      <c r="G13" s="59" t="s">
        <v>107</v>
      </c>
      <c r="H13" s="5">
        <f>H7</f>
        <v>8173160.329156125</v>
      </c>
      <c r="J13" s="89"/>
      <c r="K13" s="89"/>
      <c r="L13" s="89"/>
      <c r="M13" s="89"/>
    </row>
    <row r="14" spans="1:13" x14ac:dyDescent="0.25">
      <c r="A14" s="2" t="s">
        <v>16</v>
      </c>
      <c r="B14" s="5">
        <f>PMT(B4,B5,-B13)</f>
        <v>8723207.5728759356</v>
      </c>
      <c r="F14" s="58"/>
      <c r="G14" s="59" t="s">
        <v>111</v>
      </c>
      <c r="H14" s="5">
        <f>PMT(B4,2,-H13)</f>
        <v>4408301.941401951</v>
      </c>
      <c r="J14" s="89"/>
      <c r="K14" s="89"/>
      <c r="L14" s="89"/>
      <c r="M14" s="89"/>
    </row>
    <row r="15" spans="1:13" x14ac:dyDescent="0.25">
      <c r="D15" s="4"/>
      <c r="E15" s="5"/>
      <c r="F15" s="5"/>
      <c r="G15" s="5"/>
      <c r="H15" s="5"/>
    </row>
    <row r="17" spans="1:13" x14ac:dyDescent="0.25">
      <c r="A17" s="88" t="s">
        <v>17</v>
      </c>
      <c r="B17" s="88"/>
      <c r="C17" s="88"/>
      <c r="D17" s="88"/>
      <c r="E17" s="88"/>
      <c r="F17" s="88"/>
      <c r="G17" s="88"/>
      <c r="H17" s="88"/>
    </row>
    <row r="18" spans="1:13" x14ac:dyDescent="0.25">
      <c r="A18" s="1" t="s">
        <v>0</v>
      </c>
      <c r="D18" s="3" t="s">
        <v>5</v>
      </c>
      <c r="E18" s="3" t="s">
        <v>6</v>
      </c>
      <c r="F18" s="3" t="s">
        <v>7</v>
      </c>
      <c r="G18" s="3" t="s">
        <v>43</v>
      </c>
      <c r="H18" s="3" t="s">
        <v>8</v>
      </c>
      <c r="J18" s="89" t="s">
        <v>27</v>
      </c>
      <c r="K18" s="89"/>
      <c r="L18" s="89"/>
      <c r="M18" s="89"/>
    </row>
    <row r="19" spans="1:13" x14ac:dyDescent="0.25">
      <c r="A19" s="2" t="s">
        <v>1</v>
      </c>
      <c r="B19" s="5">
        <v>20000000</v>
      </c>
      <c r="D19" s="4">
        <v>0</v>
      </c>
      <c r="E19" s="5">
        <v>0</v>
      </c>
      <c r="F19" s="5">
        <v>0</v>
      </c>
      <c r="G19" s="5">
        <v>0</v>
      </c>
      <c r="H19" s="5">
        <f>B19</f>
        <v>20000000</v>
      </c>
      <c r="J19" s="89"/>
      <c r="K19" s="89"/>
      <c r="L19" s="89"/>
      <c r="M19" s="89"/>
    </row>
    <row r="20" spans="1:13" x14ac:dyDescent="0.25">
      <c r="A20" s="2" t="s">
        <v>2</v>
      </c>
      <c r="B20" s="6">
        <v>2.1999999999999999E-2</v>
      </c>
      <c r="D20" s="4">
        <v>1</v>
      </c>
      <c r="E20" s="5">
        <f>$B$6</f>
        <v>0</v>
      </c>
      <c r="F20" s="5">
        <f>B19*B20</f>
        <v>440000</v>
      </c>
      <c r="G20" s="5">
        <f>E20-F20</f>
        <v>-440000</v>
      </c>
      <c r="H20" s="5">
        <f>H19-G20</f>
        <v>20440000</v>
      </c>
      <c r="J20" s="89"/>
      <c r="K20" s="89"/>
      <c r="L20" s="89"/>
      <c r="M20" s="89"/>
    </row>
    <row r="21" spans="1:13" x14ac:dyDescent="0.25">
      <c r="A21" s="2" t="s">
        <v>3</v>
      </c>
      <c r="B21">
        <v>12</v>
      </c>
      <c r="D21" s="4">
        <v>2</v>
      </c>
      <c r="E21" s="5">
        <f>$B$6</f>
        <v>0</v>
      </c>
      <c r="F21" s="5">
        <f t="shared" ref="F21:F27" si="7">H20*$B$4</f>
        <v>1063785.2189902449</v>
      </c>
      <c r="G21" s="5">
        <f t="shared" ref="G21:G27" si="8">E21-F21</f>
        <v>-1063785.2189902449</v>
      </c>
      <c r="H21" s="5">
        <f t="shared" ref="H21:H28" si="9">H20-G21</f>
        <v>21503785.218990244</v>
      </c>
      <c r="J21" s="89"/>
      <c r="K21" s="89"/>
      <c r="L21" s="89"/>
      <c r="M21" s="89"/>
    </row>
    <row r="22" spans="1:13" x14ac:dyDescent="0.25">
      <c r="A22" s="2" t="s">
        <v>4</v>
      </c>
      <c r="B22" s="5">
        <f>PMT(B20,B21,-B19)</f>
        <v>1914497.6985699385</v>
      </c>
      <c r="D22" s="4">
        <v>3</v>
      </c>
      <c r="E22" s="5">
        <f>$B$6</f>
        <v>0</v>
      </c>
      <c r="F22" s="5">
        <f t="shared" si="7"/>
        <v>1119149.1618543409</v>
      </c>
      <c r="G22" s="5">
        <f t="shared" si="8"/>
        <v>-1119149.1618543409</v>
      </c>
      <c r="H22" s="5">
        <f t="shared" si="9"/>
        <v>22622934.380844586</v>
      </c>
      <c r="J22" s="89"/>
      <c r="K22" s="89"/>
      <c r="L22" s="89"/>
      <c r="M22" s="89"/>
    </row>
    <row r="23" spans="1:13" x14ac:dyDescent="0.25">
      <c r="D23" s="4">
        <v>4</v>
      </c>
      <c r="E23" s="5">
        <f>$B$6</f>
        <v>0</v>
      </c>
      <c r="F23" s="5">
        <f t="shared" si="7"/>
        <v>1177394.4816305626</v>
      </c>
      <c r="G23" s="5">
        <f t="shared" si="8"/>
        <v>-1177394.4816305626</v>
      </c>
      <c r="H23" s="5">
        <f t="shared" si="9"/>
        <v>23800328.862475149</v>
      </c>
      <c r="J23" s="89"/>
      <c r="K23" s="89"/>
      <c r="L23" s="89"/>
      <c r="M23" s="89"/>
    </row>
    <row r="24" spans="1:13" x14ac:dyDescent="0.25">
      <c r="A24" s="2" t="s">
        <v>9</v>
      </c>
      <c r="B24" s="5">
        <v>5000000</v>
      </c>
      <c r="D24" s="4">
        <v>5</v>
      </c>
      <c r="E24" s="5">
        <f>$B$6</f>
        <v>0</v>
      </c>
      <c r="F24" s="5">
        <f t="shared" si="7"/>
        <v>1238671.1375248518</v>
      </c>
      <c r="G24" s="5">
        <f t="shared" si="8"/>
        <v>-1238671.1375248518</v>
      </c>
      <c r="H24" s="5">
        <f t="shared" si="9"/>
        <v>25039000</v>
      </c>
      <c r="J24" s="89"/>
      <c r="K24" s="89"/>
      <c r="L24" s="89"/>
      <c r="M24" s="89"/>
    </row>
    <row r="25" spans="1:13" x14ac:dyDescent="0.25">
      <c r="A25" s="2"/>
      <c r="B25" s="5"/>
      <c r="D25" s="4">
        <v>6</v>
      </c>
      <c r="E25" s="17">
        <f>$B$6+B24</f>
        <v>5000000</v>
      </c>
      <c r="F25" s="5">
        <f>H24*$B$4</f>
        <v>1303136.8932630501</v>
      </c>
      <c r="G25" s="5">
        <f>E25-F25</f>
        <v>3696863.1067369496</v>
      </c>
      <c r="H25" s="5">
        <f t="shared" si="9"/>
        <v>21342136.893263049</v>
      </c>
      <c r="J25" s="89"/>
      <c r="K25" s="89"/>
      <c r="L25" s="89"/>
      <c r="M25" s="89"/>
    </row>
    <row r="26" spans="1:13" x14ac:dyDescent="0.25">
      <c r="D26" s="4">
        <v>7</v>
      </c>
      <c r="E26" s="5">
        <f>$B$6</f>
        <v>0</v>
      </c>
      <c r="F26" s="5">
        <f t="shared" si="7"/>
        <v>1110736.2900547758</v>
      </c>
      <c r="G26" s="5">
        <f t="shared" si="8"/>
        <v>-1110736.2900547758</v>
      </c>
      <c r="H26" s="5">
        <f t="shared" si="9"/>
        <v>22452873.183317825</v>
      </c>
      <c r="J26" s="89"/>
      <c r="K26" s="89"/>
      <c r="L26" s="89"/>
      <c r="M26" s="89"/>
    </row>
    <row r="27" spans="1:13" x14ac:dyDescent="0.25">
      <c r="D27" s="4">
        <v>8</v>
      </c>
      <c r="E27" s="5">
        <f>$B$6</f>
        <v>0</v>
      </c>
      <c r="F27" s="5">
        <f t="shared" si="7"/>
        <v>1168543.7679195669</v>
      </c>
      <c r="G27" s="5">
        <f t="shared" si="8"/>
        <v>-1168543.7679195669</v>
      </c>
      <c r="H27" s="5">
        <f t="shared" si="9"/>
        <v>23621416.951237392</v>
      </c>
      <c r="J27" s="89"/>
      <c r="K27" s="89"/>
      <c r="L27" s="89"/>
      <c r="M27" s="89"/>
    </row>
    <row r="28" spans="1:13" x14ac:dyDescent="0.25">
      <c r="D28" s="4">
        <v>9</v>
      </c>
      <c r="E28" s="5">
        <f>H27+F28</f>
        <v>24850776.745969873</v>
      </c>
      <c r="F28" s="5">
        <f>H27*$B$4</f>
        <v>1229359.7947324829</v>
      </c>
      <c r="G28" s="5">
        <f>E28-F28</f>
        <v>23621416.951237392</v>
      </c>
      <c r="H28" s="5">
        <f t="shared" si="9"/>
        <v>0</v>
      </c>
      <c r="J28" s="89"/>
      <c r="K28" s="89"/>
      <c r="L28" s="89"/>
      <c r="M28" s="89"/>
    </row>
    <row r="29" spans="1:13" x14ac:dyDescent="0.25">
      <c r="D29" s="4">
        <v>10</v>
      </c>
      <c r="E29" s="5"/>
      <c r="F29" s="5"/>
      <c r="G29" s="5"/>
      <c r="H29" s="5"/>
      <c r="J29" s="89"/>
      <c r="K29" s="89"/>
      <c r="L29" s="89"/>
      <c r="M29" s="89"/>
    </row>
    <row r="30" spans="1:13" x14ac:dyDescent="0.25">
      <c r="D30" s="4">
        <v>11</v>
      </c>
      <c r="E30" s="5"/>
      <c r="F30" s="5"/>
      <c r="G30" s="5"/>
      <c r="H30" s="5"/>
      <c r="J30" s="89"/>
      <c r="K30" s="89"/>
      <c r="L30" s="89"/>
      <c r="M30" s="89"/>
    </row>
    <row r="31" spans="1:13" x14ac:dyDescent="0.25">
      <c r="D31" s="4">
        <v>12</v>
      </c>
      <c r="E31" s="5"/>
      <c r="F31" s="5"/>
      <c r="G31" s="5"/>
      <c r="H31" s="5"/>
    </row>
    <row r="33" spans="1:13" x14ac:dyDescent="0.25">
      <c r="A33" s="88" t="s">
        <v>18</v>
      </c>
      <c r="B33" s="88"/>
      <c r="C33" s="88"/>
      <c r="D33" s="88"/>
      <c r="E33" s="88"/>
      <c r="F33" s="88"/>
      <c r="G33" s="88"/>
      <c r="H33" s="88"/>
    </row>
    <row r="34" spans="1:13" x14ac:dyDescent="0.25">
      <c r="A34" s="1" t="s">
        <v>0</v>
      </c>
      <c r="D34" s="3" t="s">
        <v>5</v>
      </c>
      <c r="E34" s="3" t="s">
        <v>6</v>
      </c>
      <c r="F34" s="3" t="s">
        <v>7</v>
      </c>
      <c r="G34" s="3" t="s">
        <v>43</v>
      </c>
      <c r="H34" s="3" t="s">
        <v>8</v>
      </c>
      <c r="J34" s="89" t="s">
        <v>28</v>
      </c>
      <c r="K34" s="89"/>
      <c r="L34" s="89"/>
      <c r="M34" s="89"/>
    </row>
    <row r="35" spans="1:13" x14ac:dyDescent="0.25">
      <c r="A35" s="2" t="s">
        <v>1</v>
      </c>
      <c r="B35" s="5">
        <v>20000000</v>
      </c>
      <c r="D35" s="4">
        <v>0</v>
      </c>
      <c r="E35" s="5">
        <v>0</v>
      </c>
      <c r="F35" s="5">
        <v>0</v>
      </c>
      <c r="G35" s="5">
        <v>0</v>
      </c>
      <c r="H35" s="5">
        <f>B35</f>
        <v>20000000</v>
      </c>
      <c r="J35" s="89"/>
      <c r="K35" s="89"/>
      <c r="L35" s="89"/>
      <c r="M35" s="89"/>
    </row>
    <row r="36" spans="1:13" x14ac:dyDescent="0.25">
      <c r="A36" s="2" t="s">
        <v>2</v>
      </c>
      <c r="B36" s="6">
        <v>2.1999999999999999E-2</v>
      </c>
      <c r="D36" s="4">
        <v>1</v>
      </c>
      <c r="E36" s="5">
        <f>$B$6</f>
        <v>0</v>
      </c>
      <c r="F36" s="5">
        <f>B35*B36</f>
        <v>440000</v>
      </c>
      <c r="G36" s="5">
        <f>E36-F36</f>
        <v>-440000</v>
      </c>
      <c r="H36" s="5">
        <f>H35-G36</f>
        <v>20440000</v>
      </c>
      <c r="J36" s="89"/>
      <c r="K36" s="89"/>
      <c r="L36" s="89"/>
      <c r="M36" s="89"/>
    </row>
    <row r="37" spans="1:13" x14ac:dyDescent="0.25">
      <c r="A37" s="2" t="s">
        <v>3</v>
      </c>
      <c r="B37">
        <v>12</v>
      </c>
      <c r="D37" s="4">
        <v>2</v>
      </c>
      <c r="E37" s="5">
        <f>$B$6</f>
        <v>0</v>
      </c>
      <c r="F37" s="5">
        <f t="shared" ref="F37:F42" si="10">H36*$B$4</f>
        <v>1063785.2189902449</v>
      </c>
      <c r="G37" s="5">
        <f t="shared" ref="G37:G42" si="11">E37-F37</f>
        <v>-1063785.2189902449</v>
      </c>
      <c r="H37" s="5">
        <f t="shared" ref="H37:H42" si="12">H36-G37</f>
        <v>21503785.218990244</v>
      </c>
      <c r="J37" s="89"/>
      <c r="K37" s="89"/>
      <c r="L37" s="89"/>
      <c r="M37" s="89"/>
    </row>
    <row r="38" spans="1:13" x14ac:dyDescent="0.25">
      <c r="A38" s="2" t="s">
        <v>4</v>
      </c>
      <c r="B38" s="5">
        <f>PMT(B36,B37,-B35,,0)</f>
        <v>1914497.6985699385</v>
      </c>
      <c r="D38" s="4">
        <v>3</v>
      </c>
      <c r="E38" s="5">
        <f>$B$6</f>
        <v>0</v>
      </c>
      <c r="F38" s="5">
        <f t="shared" si="10"/>
        <v>1119149.1618543409</v>
      </c>
      <c r="G38" s="5">
        <f t="shared" si="11"/>
        <v>-1119149.1618543409</v>
      </c>
      <c r="H38" s="5">
        <f t="shared" si="12"/>
        <v>22622934.380844586</v>
      </c>
      <c r="J38" s="89"/>
      <c r="K38" s="89"/>
      <c r="L38" s="89"/>
      <c r="M38" s="89"/>
    </row>
    <row r="39" spans="1:13" x14ac:dyDescent="0.25">
      <c r="D39" s="4">
        <v>4</v>
      </c>
      <c r="E39" s="5">
        <f>$B$6</f>
        <v>0</v>
      </c>
      <c r="F39" s="5">
        <f t="shared" si="10"/>
        <v>1177394.4816305626</v>
      </c>
      <c r="G39" s="5">
        <f t="shared" si="11"/>
        <v>-1177394.4816305626</v>
      </c>
      <c r="H39" s="5">
        <f t="shared" si="12"/>
        <v>23800328.862475149</v>
      </c>
      <c r="J39" s="89"/>
      <c r="K39" s="89"/>
      <c r="L39" s="89"/>
      <c r="M39" s="89"/>
    </row>
    <row r="40" spans="1:13" x14ac:dyDescent="0.25">
      <c r="A40" s="2" t="s">
        <v>9</v>
      </c>
      <c r="B40" s="5">
        <v>5000000</v>
      </c>
      <c r="D40" s="4">
        <v>5</v>
      </c>
      <c r="E40" s="5">
        <f>$B$6</f>
        <v>0</v>
      </c>
      <c r="F40" s="5">
        <f t="shared" si="10"/>
        <v>1238671.1375248518</v>
      </c>
      <c r="G40" s="5">
        <f t="shared" si="11"/>
        <v>-1238671.1375248518</v>
      </c>
      <c r="H40" s="5">
        <f t="shared" si="12"/>
        <v>25039000</v>
      </c>
      <c r="J40" s="89"/>
      <c r="K40" s="89"/>
      <c r="L40" s="89"/>
      <c r="M40" s="89"/>
    </row>
    <row r="41" spans="1:13" x14ac:dyDescent="0.25">
      <c r="A41" s="2"/>
      <c r="B41" s="5"/>
      <c r="D41" s="4">
        <v>6</v>
      </c>
      <c r="E41" s="5">
        <f>$B$6+B40</f>
        <v>5000000</v>
      </c>
      <c r="F41" s="5">
        <f t="shared" si="10"/>
        <v>1303136.8932630501</v>
      </c>
      <c r="G41" s="5">
        <f t="shared" si="11"/>
        <v>3696863.1067369496</v>
      </c>
      <c r="H41" s="5">
        <f t="shared" si="12"/>
        <v>21342136.893263049</v>
      </c>
      <c r="J41" s="89"/>
      <c r="K41" s="89"/>
      <c r="L41" s="89"/>
      <c r="M41" s="89"/>
    </row>
    <row r="42" spans="1:13" x14ac:dyDescent="0.25">
      <c r="A42" s="2" t="s">
        <v>19</v>
      </c>
      <c r="B42" s="5">
        <f>H41</f>
        <v>21342136.893263049</v>
      </c>
      <c r="D42" s="4">
        <v>7</v>
      </c>
      <c r="E42" s="5">
        <f>$B$43</f>
        <v>3835879.0153243933</v>
      </c>
      <c r="F42" s="5">
        <f t="shared" si="10"/>
        <v>1110736.2900547758</v>
      </c>
      <c r="G42" s="5">
        <f t="shared" si="11"/>
        <v>2725142.7252696175</v>
      </c>
      <c r="H42" s="5">
        <f t="shared" si="12"/>
        <v>18616994.167993434</v>
      </c>
      <c r="J42" s="89"/>
      <c r="K42" s="89"/>
      <c r="L42" s="89"/>
      <c r="M42" s="89"/>
    </row>
    <row r="43" spans="1:13" x14ac:dyDescent="0.25">
      <c r="A43" s="2" t="s">
        <v>20</v>
      </c>
      <c r="B43" s="5">
        <f>PMT(B36,6,-B42)</f>
        <v>3835879.0153243933</v>
      </c>
      <c r="D43" s="4">
        <v>8</v>
      </c>
      <c r="E43" s="5">
        <f t="shared" ref="E43:E47" si="13">$B$43</f>
        <v>3835879.0153243933</v>
      </c>
      <c r="F43" s="5">
        <f t="shared" ref="F43:F47" si="14">H42*$B$4</f>
        <v>968908.18091678119</v>
      </c>
      <c r="G43" s="5">
        <f t="shared" ref="G43:G47" si="15">E43-F43</f>
        <v>2866970.8344076122</v>
      </c>
      <c r="H43" s="5">
        <f t="shared" ref="H43:H46" si="16">H42-G43</f>
        <v>15750023.333585821</v>
      </c>
      <c r="J43" s="89"/>
      <c r="K43" s="89"/>
      <c r="L43" s="89"/>
      <c r="M43" s="89"/>
    </row>
    <row r="44" spans="1:13" x14ac:dyDescent="0.25">
      <c r="D44" s="4">
        <v>9</v>
      </c>
      <c r="E44" s="5">
        <f t="shared" si="13"/>
        <v>3835879.0153243933</v>
      </c>
      <c r="F44" s="5">
        <f t="shared" si="14"/>
        <v>819698.72901272308</v>
      </c>
      <c r="G44" s="5">
        <f t="shared" si="15"/>
        <v>3016180.2863116702</v>
      </c>
      <c r="H44" s="5">
        <f t="shared" si="16"/>
        <v>12733843.04727415</v>
      </c>
      <c r="J44" s="89"/>
      <c r="K44" s="89"/>
      <c r="L44" s="89"/>
      <c r="M44" s="89"/>
    </row>
    <row r="45" spans="1:13" x14ac:dyDescent="0.25">
      <c r="D45" s="4">
        <v>10</v>
      </c>
      <c r="E45" s="5">
        <f t="shared" si="13"/>
        <v>3835879.0153243933</v>
      </c>
      <c r="F45" s="5">
        <f t="shared" si="14"/>
        <v>662723.77762387181</v>
      </c>
      <c r="G45" s="5">
        <f t="shared" si="15"/>
        <v>3173155.2377005215</v>
      </c>
      <c r="H45" s="5">
        <f t="shared" si="16"/>
        <v>9560687.809573628</v>
      </c>
      <c r="J45" s="89"/>
      <c r="K45" s="89"/>
      <c r="L45" s="89"/>
      <c r="M45" s="89"/>
    </row>
    <row r="46" spans="1:13" x14ac:dyDescent="0.25">
      <c r="D46" s="4">
        <v>11</v>
      </c>
      <c r="E46" s="5">
        <f t="shared" si="13"/>
        <v>3835879.0153243933</v>
      </c>
      <c r="F46" s="5">
        <f t="shared" si="14"/>
        <v>497579.17686911189</v>
      </c>
      <c r="G46" s="5">
        <f t="shared" si="15"/>
        <v>3338299.8384552812</v>
      </c>
      <c r="H46" s="18">
        <f t="shared" si="16"/>
        <v>6222387.9711183468</v>
      </c>
      <c r="J46" s="89"/>
      <c r="K46" s="89"/>
      <c r="L46" s="89"/>
      <c r="M46" s="89"/>
    </row>
    <row r="47" spans="1:13" x14ac:dyDescent="0.25">
      <c r="D47" s="4">
        <v>12</v>
      </c>
      <c r="E47" s="5">
        <f t="shared" si="13"/>
        <v>3835879.0153243933</v>
      </c>
      <c r="F47" s="5">
        <f t="shared" si="14"/>
        <v>323839.74317506829</v>
      </c>
      <c r="G47" s="18">
        <f t="shared" si="15"/>
        <v>3512039.2721493249</v>
      </c>
      <c r="H47" s="5">
        <f>H46-G47</f>
        <v>2710348.6989690219</v>
      </c>
    </row>
  </sheetData>
  <mergeCells count="6">
    <mergeCell ref="J34:M46"/>
    <mergeCell ref="A17:H17"/>
    <mergeCell ref="A1:H1"/>
    <mergeCell ref="A33:H33"/>
    <mergeCell ref="J2:M14"/>
    <mergeCell ref="J18:M30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B9" sqref="B9"/>
    </sheetView>
  </sheetViews>
  <sheetFormatPr baseColWidth="10" defaultRowHeight="15" x14ac:dyDescent="0.25"/>
  <cols>
    <col min="1" max="1" width="25.7109375" bestFit="1" customWidth="1"/>
    <col min="2" max="2" width="13.140625" bestFit="1" customWidth="1"/>
    <col min="3" max="3" width="2.28515625" customWidth="1"/>
    <col min="4" max="4" width="8" bestFit="1" customWidth="1"/>
    <col min="5" max="5" width="12.140625" bestFit="1" customWidth="1"/>
    <col min="6" max="6" width="10.5703125" bestFit="1" customWidth="1"/>
    <col min="7" max="7" width="13" bestFit="1" customWidth="1"/>
    <col min="8" max="8" width="13.140625" bestFit="1" customWidth="1"/>
    <col min="9" max="9" width="2.5703125" customWidth="1"/>
  </cols>
  <sheetData>
    <row r="1" spans="1:13" x14ac:dyDescent="0.25">
      <c r="A1" s="88" t="s">
        <v>21</v>
      </c>
      <c r="B1" s="88"/>
      <c r="C1" s="88"/>
      <c r="D1" s="88"/>
      <c r="E1" s="88"/>
      <c r="F1" s="88"/>
      <c r="G1" s="88"/>
      <c r="H1" s="88"/>
    </row>
    <row r="2" spans="1:13" x14ac:dyDescent="0.25">
      <c r="A2" s="1" t="s">
        <v>0</v>
      </c>
      <c r="D2" s="3" t="s">
        <v>5</v>
      </c>
      <c r="E2" s="3" t="s">
        <v>6</v>
      </c>
      <c r="F2" s="3" t="s">
        <v>7</v>
      </c>
      <c r="G2" s="3" t="s">
        <v>43</v>
      </c>
      <c r="H2" s="3" t="s">
        <v>8</v>
      </c>
      <c r="J2" s="89" t="s">
        <v>33</v>
      </c>
      <c r="K2" s="89"/>
      <c r="L2" s="89"/>
      <c r="M2" s="89"/>
    </row>
    <row r="3" spans="1:13" x14ac:dyDescent="0.25">
      <c r="A3" s="2" t="s">
        <v>1</v>
      </c>
      <c r="B3" s="5">
        <v>20000000</v>
      </c>
      <c r="D3" s="4">
        <v>0</v>
      </c>
      <c r="E3" s="5"/>
      <c r="F3" s="5">
        <v>0</v>
      </c>
      <c r="G3" s="5">
        <v>0</v>
      </c>
      <c r="H3" s="5">
        <f>B3</f>
        <v>20000000</v>
      </c>
      <c r="J3" s="89"/>
      <c r="K3" s="89"/>
      <c r="L3" s="89"/>
      <c r="M3" s="89"/>
    </row>
    <row r="4" spans="1:13" x14ac:dyDescent="0.25">
      <c r="A4" s="2" t="s">
        <v>2</v>
      </c>
      <c r="B4" s="6">
        <v>2.1999999999999999E-2</v>
      </c>
      <c r="D4" s="4">
        <v>1</v>
      </c>
      <c r="E4" s="5">
        <f>B10</f>
        <v>2176546.2914291145</v>
      </c>
      <c r="F4" s="5">
        <f>B3*B4</f>
        <v>440000</v>
      </c>
      <c r="G4" s="5">
        <f>E4-F4</f>
        <v>1736546.2914291145</v>
      </c>
      <c r="H4" s="5">
        <f>H3-G4</f>
        <v>18263453.708570886</v>
      </c>
      <c r="J4" s="89"/>
      <c r="K4" s="89"/>
      <c r="L4" s="89"/>
      <c r="M4" s="89"/>
    </row>
    <row r="5" spans="1:13" x14ac:dyDescent="0.25">
      <c r="A5" s="2" t="s">
        <v>3</v>
      </c>
      <c r="B5">
        <v>12</v>
      </c>
      <c r="D5" s="4">
        <v>2</v>
      </c>
      <c r="E5" s="5">
        <f t="shared" ref="E5:E15" si="0">E4+$B$7</f>
        <v>2126546.2914291145</v>
      </c>
      <c r="F5" s="5">
        <f>H4*$B$4</f>
        <v>401795.98158855946</v>
      </c>
      <c r="G5" s="5">
        <f t="shared" ref="G5" si="1">E5-F5</f>
        <v>1724750.3098405551</v>
      </c>
      <c r="H5" s="5">
        <f t="shared" ref="H5" si="2">H4-G5</f>
        <v>16538703.398730332</v>
      </c>
      <c r="J5" s="89"/>
      <c r="K5" s="89"/>
      <c r="L5" s="89"/>
      <c r="M5" s="89"/>
    </row>
    <row r="6" spans="1:13" x14ac:dyDescent="0.25">
      <c r="A6" s="2" t="s">
        <v>4</v>
      </c>
      <c r="B6" s="5">
        <f>PMT(B4,B5,-B3)</f>
        <v>1914497.6985699385</v>
      </c>
      <c r="D6" s="4">
        <v>3</v>
      </c>
      <c r="E6" s="5">
        <f t="shared" si="0"/>
        <v>2076546.2914291145</v>
      </c>
      <c r="F6" s="5">
        <f t="shared" ref="F6:F15" si="3">H5*$B$4</f>
        <v>363851.47477206727</v>
      </c>
      <c r="G6" s="5">
        <f t="shared" ref="G6:G15" si="4">E6-F6</f>
        <v>1712694.8166570473</v>
      </c>
      <c r="H6" s="5">
        <f t="shared" ref="H6:H15" si="5">H5-G6</f>
        <v>14826008.582073284</v>
      </c>
      <c r="J6" s="89"/>
      <c r="K6" s="89"/>
      <c r="L6" s="89"/>
      <c r="M6" s="89"/>
    </row>
    <row r="7" spans="1:13" x14ac:dyDescent="0.25">
      <c r="A7" s="2" t="s">
        <v>23</v>
      </c>
      <c r="B7" s="5">
        <v>-50000</v>
      </c>
      <c r="D7" s="4">
        <v>4</v>
      </c>
      <c r="E7" s="5">
        <f t="shared" si="0"/>
        <v>2026546.2914291145</v>
      </c>
      <c r="F7" s="5">
        <f t="shared" si="3"/>
        <v>326172.18880561221</v>
      </c>
      <c r="G7" s="5">
        <f t="shared" si="4"/>
        <v>1700374.1026235023</v>
      </c>
      <c r="H7" s="5">
        <f t="shared" si="5"/>
        <v>13125634.479449783</v>
      </c>
      <c r="J7" s="89"/>
      <c r="K7" s="89"/>
      <c r="L7" s="89"/>
      <c r="M7" s="89"/>
    </row>
    <row r="8" spans="1:13" x14ac:dyDescent="0.25">
      <c r="D8" s="4">
        <v>5</v>
      </c>
      <c r="E8" s="5">
        <f t="shared" si="0"/>
        <v>1976546.2914291145</v>
      </c>
      <c r="F8" s="5">
        <f t="shared" si="3"/>
        <v>288763.95854789519</v>
      </c>
      <c r="G8" s="5">
        <f t="shared" si="4"/>
        <v>1687782.3328812192</v>
      </c>
      <c r="H8" s="5">
        <f t="shared" si="5"/>
        <v>11437852.146568563</v>
      </c>
      <c r="J8" s="89"/>
      <c r="K8" s="89"/>
      <c r="L8" s="89"/>
      <c r="M8" s="89"/>
    </row>
    <row r="9" spans="1:13" x14ac:dyDescent="0.25">
      <c r="A9" s="9" t="s">
        <v>31</v>
      </c>
      <c r="B9" s="5">
        <f>+B3*(1+B4)^B5*B4/((1+B4)^B5-1)-B7*(1/B4-B5/((1+B4)^B5-1))</f>
        <v>2176546.2914291136</v>
      </c>
      <c r="D9" s="4">
        <v>6</v>
      </c>
      <c r="E9" s="5">
        <f t="shared" si="0"/>
        <v>1926546.2914291145</v>
      </c>
      <c r="F9" s="5">
        <f t="shared" si="3"/>
        <v>251632.74722450838</v>
      </c>
      <c r="G9" s="5">
        <f t="shared" si="4"/>
        <v>1674913.5442046062</v>
      </c>
      <c r="H9" s="5">
        <f t="shared" si="5"/>
        <v>9762938.6023639571</v>
      </c>
      <c r="J9" s="89"/>
      <c r="K9" s="89"/>
      <c r="L9" s="89"/>
      <c r="M9" s="89"/>
    </row>
    <row r="10" spans="1:13" x14ac:dyDescent="0.25">
      <c r="A10" s="9" t="s">
        <v>32</v>
      </c>
      <c r="B10" s="5">
        <f>B6-(B7*((1/B4)-((B5/(((1+B4)^B5)-1)))))</f>
        <v>2176546.2914291145</v>
      </c>
      <c r="D10" s="4">
        <v>7</v>
      </c>
      <c r="E10" s="5">
        <f t="shared" si="0"/>
        <v>1876546.2914291145</v>
      </c>
      <c r="F10" s="5">
        <f t="shared" si="3"/>
        <v>214784.64925200705</v>
      </c>
      <c r="G10" s="5">
        <f t="shared" si="4"/>
        <v>1661761.6421771075</v>
      </c>
      <c r="H10" s="5">
        <f t="shared" si="5"/>
        <v>8101176.9601868493</v>
      </c>
      <c r="J10" s="89"/>
      <c r="K10" s="89"/>
      <c r="L10" s="89"/>
      <c r="M10" s="89"/>
    </row>
    <row r="11" spans="1:13" x14ac:dyDescent="0.25">
      <c r="A11" s="2"/>
      <c r="B11" s="5"/>
      <c r="D11" s="4">
        <v>8</v>
      </c>
      <c r="E11" s="5">
        <f t="shared" si="0"/>
        <v>1826546.2914291145</v>
      </c>
      <c r="F11" s="5">
        <f t="shared" si="3"/>
        <v>178225.89312411068</v>
      </c>
      <c r="G11" s="5">
        <f t="shared" si="4"/>
        <v>1648320.3983050038</v>
      </c>
      <c r="H11" s="5">
        <f t="shared" si="5"/>
        <v>6452856.5618818458</v>
      </c>
      <c r="J11" s="89"/>
      <c r="K11" s="89"/>
      <c r="L11" s="89"/>
      <c r="M11" s="89"/>
    </row>
    <row r="12" spans="1:13" x14ac:dyDescent="0.25">
      <c r="A12" s="2"/>
      <c r="B12" s="5"/>
      <c r="D12" s="4">
        <v>9</v>
      </c>
      <c r="E12" s="5">
        <f t="shared" si="0"/>
        <v>1776546.2914291145</v>
      </c>
      <c r="F12" s="5">
        <f t="shared" si="3"/>
        <v>141962.84436140061</v>
      </c>
      <c r="G12" s="5">
        <f t="shared" si="4"/>
        <v>1634583.4470677138</v>
      </c>
      <c r="H12" s="5">
        <f t="shared" si="5"/>
        <v>4818273.1148141325</v>
      </c>
      <c r="J12" s="89"/>
      <c r="K12" s="89"/>
      <c r="L12" s="89"/>
      <c r="M12" s="89"/>
    </row>
    <row r="13" spans="1:13" x14ac:dyDescent="0.25">
      <c r="A13" s="2"/>
      <c r="B13" s="5"/>
      <c r="D13" s="4">
        <v>10</v>
      </c>
      <c r="E13" s="5">
        <f t="shared" si="0"/>
        <v>1726546.2914291145</v>
      </c>
      <c r="F13" s="5">
        <f t="shared" si="3"/>
        <v>106002.0085259109</v>
      </c>
      <c r="G13" s="5">
        <f t="shared" si="4"/>
        <v>1620544.2829032037</v>
      </c>
      <c r="H13" s="5">
        <f t="shared" si="5"/>
        <v>3197728.8319109287</v>
      </c>
      <c r="J13" s="89"/>
      <c r="K13" s="89"/>
      <c r="L13" s="89"/>
      <c r="M13" s="89"/>
    </row>
    <row r="14" spans="1:13" x14ac:dyDescent="0.25">
      <c r="A14" s="2"/>
      <c r="B14" s="5"/>
      <c r="D14" s="4">
        <v>11</v>
      </c>
      <c r="E14" s="5">
        <f t="shared" si="0"/>
        <v>1676546.2914291145</v>
      </c>
      <c r="F14" s="5">
        <f t="shared" si="3"/>
        <v>70350.034302040425</v>
      </c>
      <c r="G14" s="5">
        <f t="shared" si="4"/>
        <v>1606196.2571270741</v>
      </c>
      <c r="H14" s="5">
        <f t="shared" si="5"/>
        <v>1591532.5747838547</v>
      </c>
      <c r="J14" s="89"/>
      <c r="K14" s="89"/>
      <c r="L14" s="89"/>
      <c r="M14" s="89"/>
    </row>
    <row r="15" spans="1:13" x14ac:dyDescent="0.25">
      <c r="D15" s="4">
        <v>12</v>
      </c>
      <c r="E15" s="5">
        <f t="shared" si="0"/>
        <v>1626546.2914291145</v>
      </c>
      <c r="F15" s="5">
        <f t="shared" si="3"/>
        <v>35013.7166452448</v>
      </c>
      <c r="G15" s="5">
        <f t="shared" si="4"/>
        <v>1591532.5747838698</v>
      </c>
      <c r="H15" s="5">
        <f t="shared" si="5"/>
        <v>-1.5133991837501526E-8</v>
      </c>
    </row>
    <row r="17" spans="1:13" x14ac:dyDescent="0.25">
      <c r="A17" s="88" t="s">
        <v>22</v>
      </c>
      <c r="B17" s="88"/>
      <c r="C17" s="88"/>
      <c r="D17" s="88"/>
      <c r="E17" s="88"/>
      <c r="F17" s="88"/>
      <c r="G17" s="88"/>
      <c r="H17" s="88"/>
    </row>
    <row r="18" spans="1:13" ht="15" customHeight="1" x14ac:dyDescent="0.25">
      <c r="A18" s="1" t="s">
        <v>0</v>
      </c>
      <c r="D18" s="3" t="s">
        <v>5</v>
      </c>
      <c r="E18" s="3" t="s">
        <v>6</v>
      </c>
      <c r="F18" s="3" t="s">
        <v>7</v>
      </c>
      <c r="G18" s="3" t="s">
        <v>43</v>
      </c>
      <c r="H18" s="3" t="s">
        <v>8</v>
      </c>
      <c r="J18" s="89" t="s">
        <v>33</v>
      </c>
      <c r="K18" s="89"/>
      <c r="L18" s="89"/>
      <c r="M18" s="89"/>
    </row>
    <row r="19" spans="1:13" ht="15" customHeight="1" x14ac:dyDescent="0.25">
      <c r="A19" s="2" t="s">
        <v>1</v>
      </c>
      <c r="B19" s="5">
        <v>15000000</v>
      </c>
      <c r="D19" s="4">
        <v>0</v>
      </c>
      <c r="E19" s="5">
        <v>0</v>
      </c>
      <c r="F19" s="5">
        <v>0</v>
      </c>
      <c r="G19" s="5">
        <v>0</v>
      </c>
      <c r="H19" s="5">
        <f>B19</f>
        <v>15000000</v>
      </c>
      <c r="J19" s="89"/>
      <c r="K19" s="89"/>
      <c r="L19" s="89"/>
      <c r="M19" s="89"/>
    </row>
    <row r="20" spans="1:13" ht="15" customHeight="1" x14ac:dyDescent="0.25">
      <c r="A20" s="2" t="s">
        <v>2</v>
      </c>
      <c r="B20" s="6">
        <v>1.2E-2</v>
      </c>
      <c r="D20" s="4">
        <v>1</v>
      </c>
      <c r="E20" s="5">
        <f>B24</f>
        <v>1210938.1844937932</v>
      </c>
      <c r="F20" s="5">
        <f>B19*B20</f>
        <v>180000</v>
      </c>
      <c r="G20" s="5">
        <f>E20-F20</f>
        <v>1030938.1844937932</v>
      </c>
      <c r="H20" s="5">
        <f>H19-G20</f>
        <v>13969061.815506207</v>
      </c>
      <c r="J20" s="89"/>
      <c r="K20" s="89"/>
      <c r="L20" s="89"/>
      <c r="M20" s="89"/>
    </row>
    <row r="21" spans="1:13" ht="15" customHeight="1" x14ac:dyDescent="0.25">
      <c r="A21" s="2" t="s">
        <v>3</v>
      </c>
      <c r="B21">
        <v>12</v>
      </c>
      <c r="D21" s="4">
        <v>2</v>
      </c>
      <c r="E21" s="5">
        <f t="shared" ref="E21:E31" si="6">E20*(1+$B$22)</f>
        <v>1235156.948183669</v>
      </c>
      <c r="F21" s="5">
        <f>H20*$B$4</f>
        <v>307319.35994113656</v>
      </c>
      <c r="G21" s="5">
        <f t="shared" ref="G21" si="7">E21-F21</f>
        <v>927837.58824253245</v>
      </c>
      <c r="H21" s="5">
        <f t="shared" ref="H21" si="8">H20-G21</f>
        <v>13041224.227263674</v>
      </c>
      <c r="J21" s="89"/>
      <c r="K21" s="89"/>
      <c r="L21" s="89"/>
      <c r="M21" s="89"/>
    </row>
    <row r="22" spans="1:13" ht="15" customHeight="1" x14ac:dyDescent="0.25">
      <c r="A22" s="2" t="s">
        <v>24</v>
      </c>
      <c r="B22" s="7">
        <v>0.02</v>
      </c>
      <c r="D22" s="4">
        <v>3</v>
      </c>
      <c r="E22" s="5">
        <f t="shared" si="6"/>
        <v>1259860.0871473425</v>
      </c>
      <c r="F22" s="5">
        <f t="shared" ref="F22:F31" si="9">H21*$B$4</f>
        <v>286906.93299980083</v>
      </c>
      <c r="G22" s="5">
        <f t="shared" ref="G22:G31" si="10">E22-F22</f>
        <v>972953.15414754162</v>
      </c>
      <c r="H22" s="5">
        <f t="shared" ref="H22:H31" si="11">H21-G22</f>
        <v>12068271.073116133</v>
      </c>
      <c r="J22" s="89"/>
      <c r="K22" s="89"/>
      <c r="L22" s="89"/>
      <c r="M22" s="89"/>
    </row>
    <row r="23" spans="1:13" ht="15" customHeight="1" x14ac:dyDescent="0.25">
      <c r="D23" s="4">
        <v>4</v>
      </c>
      <c r="E23" s="5">
        <f t="shared" si="6"/>
        <v>1285057.2888902894</v>
      </c>
      <c r="F23" s="5">
        <f t="shared" si="9"/>
        <v>265501.96360855491</v>
      </c>
      <c r="G23" s="5">
        <f t="shared" si="10"/>
        <v>1019555.3252817345</v>
      </c>
      <c r="H23" s="5">
        <f t="shared" si="11"/>
        <v>11048715.747834399</v>
      </c>
      <c r="J23" s="89"/>
      <c r="K23" s="89"/>
      <c r="L23" s="89"/>
      <c r="M23" s="89"/>
    </row>
    <row r="24" spans="1:13" ht="15" customHeight="1" x14ac:dyDescent="0.25">
      <c r="A24" s="9" t="s">
        <v>31</v>
      </c>
      <c r="B24" s="8">
        <f>B19/((1-(((1+B22)/(1+B20))^B21))/(B20-B22))</f>
        <v>1210938.1844937932</v>
      </c>
      <c r="D24" s="4">
        <v>5</v>
      </c>
      <c r="E24" s="5">
        <f t="shared" si="6"/>
        <v>1310758.4346680951</v>
      </c>
      <c r="F24" s="5">
        <f t="shared" si="9"/>
        <v>243071.74645235678</v>
      </c>
      <c r="G24" s="5">
        <f t="shared" si="10"/>
        <v>1067686.6882157384</v>
      </c>
      <c r="H24" s="5">
        <f t="shared" si="11"/>
        <v>9981029.0596186612</v>
      </c>
      <c r="J24" s="89"/>
      <c r="K24" s="89"/>
      <c r="L24" s="89"/>
      <c r="M24" s="89"/>
    </row>
    <row r="25" spans="1:13" ht="15" customHeight="1" x14ac:dyDescent="0.25">
      <c r="A25" s="9" t="s">
        <v>34</v>
      </c>
      <c r="B25" s="8">
        <f>+B19*(B20-B22)/(1-((1+B22)/(1+B20))^B21)</f>
        <v>1210938.1844937932</v>
      </c>
      <c r="D25" s="4">
        <v>6</v>
      </c>
      <c r="E25" s="5">
        <f t="shared" si="6"/>
        <v>1336973.6033614571</v>
      </c>
      <c r="F25" s="5">
        <f t="shared" si="9"/>
        <v>219582.63931161055</v>
      </c>
      <c r="G25" s="5">
        <f t="shared" si="10"/>
        <v>1117390.9640498466</v>
      </c>
      <c r="H25" s="5">
        <f t="shared" si="11"/>
        <v>8863638.0955688152</v>
      </c>
      <c r="J25" s="89"/>
      <c r="K25" s="89"/>
      <c r="L25" s="89"/>
      <c r="M25" s="89"/>
    </row>
    <row r="26" spans="1:13" ht="15" customHeight="1" x14ac:dyDescent="0.25">
      <c r="D26" s="4">
        <v>7</v>
      </c>
      <c r="E26" s="5">
        <f t="shared" si="6"/>
        <v>1363713.0754286863</v>
      </c>
      <c r="F26" s="5">
        <f t="shared" si="9"/>
        <v>195000.03810251394</v>
      </c>
      <c r="G26" s="5">
        <f t="shared" si="10"/>
        <v>1168713.0373261725</v>
      </c>
      <c r="H26" s="5">
        <f t="shared" si="11"/>
        <v>7694925.0582426433</v>
      </c>
      <c r="J26" s="89"/>
      <c r="K26" s="89"/>
      <c r="L26" s="89"/>
      <c r="M26" s="89"/>
    </row>
    <row r="27" spans="1:13" ht="15" customHeight="1" x14ac:dyDescent="0.25">
      <c r="D27" s="4">
        <v>8</v>
      </c>
      <c r="E27" s="5">
        <f t="shared" si="6"/>
        <v>1390987.3369372601</v>
      </c>
      <c r="F27" s="5">
        <f t="shared" si="9"/>
        <v>169288.35128133814</v>
      </c>
      <c r="G27" s="5">
        <f t="shared" si="10"/>
        <v>1221698.985655922</v>
      </c>
      <c r="H27" s="5">
        <f t="shared" si="11"/>
        <v>6473226.0725867208</v>
      </c>
      <c r="J27" s="89"/>
      <c r="K27" s="89"/>
      <c r="L27" s="89"/>
      <c r="M27" s="89"/>
    </row>
    <row r="28" spans="1:13" ht="15" customHeight="1" x14ac:dyDescent="0.25">
      <c r="D28" s="4">
        <v>9</v>
      </c>
      <c r="E28" s="5">
        <f t="shared" si="6"/>
        <v>1418807.0836760052</v>
      </c>
      <c r="F28" s="5">
        <f t="shared" si="9"/>
        <v>142410.97359690786</v>
      </c>
      <c r="G28" s="5">
        <f t="shared" si="10"/>
        <v>1276396.1100790973</v>
      </c>
      <c r="H28" s="5">
        <f t="shared" si="11"/>
        <v>5196829.9625076232</v>
      </c>
      <c r="J28" s="89"/>
      <c r="K28" s="89"/>
      <c r="L28" s="89"/>
      <c r="M28" s="89"/>
    </row>
    <row r="29" spans="1:13" ht="15" customHeight="1" x14ac:dyDescent="0.25">
      <c r="D29" s="4">
        <v>10</v>
      </c>
      <c r="E29" s="5">
        <f t="shared" si="6"/>
        <v>1447183.2253495255</v>
      </c>
      <c r="F29" s="5">
        <f t="shared" si="9"/>
        <v>114330.25917516771</v>
      </c>
      <c r="G29" s="5">
        <f t="shared" si="10"/>
        <v>1332852.9661743578</v>
      </c>
      <c r="H29" s="5">
        <f t="shared" si="11"/>
        <v>3863976.9963332657</v>
      </c>
      <c r="J29" s="89"/>
      <c r="K29" s="89"/>
      <c r="L29" s="89"/>
      <c r="M29" s="89"/>
    </row>
    <row r="30" spans="1:13" ht="15" customHeight="1" x14ac:dyDescent="0.25">
      <c r="D30" s="4">
        <v>11</v>
      </c>
      <c r="E30" s="5">
        <f t="shared" si="6"/>
        <v>1476126.8898565159</v>
      </c>
      <c r="F30" s="5">
        <f t="shared" si="9"/>
        <v>85007.493919331842</v>
      </c>
      <c r="G30" s="5">
        <f t="shared" si="10"/>
        <v>1391119.3959371841</v>
      </c>
      <c r="H30" s="5">
        <f t="shared" si="11"/>
        <v>2472857.6003960818</v>
      </c>
      <c r="J30" s="89"/>
      <c r="K30" s="89"/>
      <c r="L30" s="89"/>
      <c r="M30" s="89"/>
    </row>
    <row r="31" spans="1:13" x14ac:dyDescent="0.25">
      <c r="D31" s="4">
        <v>12</v>
      </c>
      <c r="E31" s="5">
        <f t="shared" si="6"/>
        <v>1505649.4276536463</v>
      </c>
      <c r="F31" s="5">
        <f t="shared" si="9"/>
        <v>54402.867208713797</v>
      </c>
      <c r="G31" s="5">
        <f t="shared" si="10"/>
        <v>1451246.5604449324</v>
      </c>
      <c r="H31" s="5">
        <f t="shared" si="11"/>
        <v>1021611.0399511494</v>
      </c>
    </row>
  </sheetData>
  <mergeCells count="4">
    <mergeCell ref="A1:H1"/>
    <mergeCell ref="A17:H17"/>
    <mergeCell ref="J2:M14"/>
    <mergeCell ref="J18:M3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sqref="A1:H1"/>
    </sheetView>
  </sheetViews>
  <sheetFormatPr baseColWidth="10" defaultRowHeight="15" x14ac:dyDescent="0.25"/>
  <cols>
    <col min="1" max="1" width="24.85546875" bestFit="1" customWidth="1"/>
    <col min="2" max="2" width="13.140625" bestFit="1" customWidth="1"/>
    <col min="3" max="3" width="2.140625" customWidth="1"/>
    <col min="5" max="5" width="12.140625" bestFit="1" customWidth="1"/>
    <col min="7" max="7" width="13" bestFit="1" customWidth="1"/>
    <col min="8" max="8" width="13.140625" bestFit="1" customWidth="1"/>
  </cols>
  <sheetData>
    <row r="1" spans="1:8" x14ac:dyDescent="0.25">
      <c r="A1" s="88" t="s">
        <v>29</v>
      </c>
      <c r="B1" s="88"/>
      <c r="C1" s="88"/>
      <c r="D1" s="88"/>
      <c r="E1" s="88"/>
      <c r="F1" s="88"/>
      <c r="G1" s="88"/>
      <c r="H1" s="88"/>
    </row>
    <row r="2" spans="1:8" ht="15" customHeight="1" x14ac:dyDescent="0.25">
      <c r="A2" s="1" t="s">
        <v>0</v>
      </c>
      <c r="D2" s="3" t="s">
        <v>5</v>
      </c>
      <c r="E2" s="3" t="s">
        <v>6</v>
      </c>
      <c r="F2" s="3" t="s">
        <v>7</v>
      </c>
      <c r="G2" s="3" t="s">
        <v>43</v>
      </c>
      <c r="H2" s="3" t="s">
        <v>8</v>
      </c>
    </row>
    <row r="3" spans="1:8" ht="15" customHeight="1" x14ac:dyDescent="0.25">
      <c r="A3" s="2" t="s">
        <v>1</v>
      </c>
      <c r="B3" s="5">
        <v>20000000</v>
      </c>
      <c r="D3" s="4">
        <v>0</v>
      </c>
      <c r="E3" s="5">
        <v>0</v>
      </c>
      <c r="F3" s="5">
        <v>0</v>
      </c>
      <c r="G3" s="5">
        <v>0</v>
      </c>
      <c r="H3" s="5">
        <f>B3</f>
        <v>20000000</v>
      </c>
    </row>
    <row r="4" spans="1:8" ht="15" customHeight="1" x14ac:dyDescent="0.25">
      <c r="A4" s="2" t="s">
        <v>2</v>
      </c>
      <c r="B4" s="6">
        <v>2.1999999999999999E-2</v>
      </c>
      <c r="D4" s="4">
        <v>1</v>
      </c>
      <c r="E4" s="5">
        <f>G4+F4</f>
        <v>2106666.666666667</v>
      </c>
      <c r="F4" s="5">
        <f>B3*B4</f>
        <v>440000</v>
      </c>
      <c r="G4" s="5">
        <f>B6</f>
        <v>1666666.6666666667</v>
      </c>
      <c r="H4" s="5">
        <f>H3-G4</f>
        <v>18333333.333333332</v>
      </c>
    </row>
    <row r="5" spans="1:8" ht="15" customHeight="1" x14ac:dyDescent="0.25">
      <c r="A5" s="2" t="s">
        <v>3</v>
      </c>
      <c r="B5">
        <v>12</v>
      </c>
      <c r="D5" s="4">
        <v>2</v>
      </c>
      <c r="E5" s="5">
        <f t="shared" ref="E5:E15" si="0">G5+F5</f>
        <v>2070000</v>
      </c>
      <c r="F5" s="5">
        <f>H4*$B$4</f>
        <v>403333.33333333326</v>
      </c>
      <c r="G5" s="5">
        <f>G4</f>
        <v>1666666.6666666667</v>
      </c>
      <c r="H5" s="5">
        <f t="shared" ref="H5:H15" si="1">H4-G5</f>
        <v>16666666.666666666</v>
      </c>
    </row>
    <row r="6" spans="1:8" ht="15" customHeight="1" x14ac:dyDescent="0.25">
      <c r="A6" s="2" t="s">
        <v>30</v>
      </c>
      <c r="B6" s="5">
        <f>B3/B5</f>
        <v>1666666.6666666667</v>
      </c>
      <c r="D6" s="4">
        <v>3</v>
      </c>
      <c r="E6" s="5">
        <f t="shared" si="0"/>
        <v>2033333.3333333335</v>
      </c>
      <c r="F6" s="5">
        <f t="shared" ref="F6:F15" si="2">H5*$B$4</f>
        <v>366666.66666666663</v>
      </c>
      <c r="G6" s="5">
        <f t="shared" ref="G6:G15" si="3">G5</f>
        <v>1666666.6666666667</v>
      </c>
      <c r="H6" s="5">
        <f t="shared" si="1"/>
        <v>15000000</v>
      </c>
    </row>
    <row r="7" spans="1:8" ht="15" customHeight="1" x14ac:dyDescent="0.25">
      <c r="A7" s="2"/>
      <c r="B7" s="5"/>
      <c r="D7" s="4">
        <v>4</v>
      </c>
      <c r="E7" s="5">
        <f t="shared" si="0"/>
        <v>1996666.6666666667</v>
      </c>
      <c r="F7" s="5">
        <f t="shared" si="2"/>
        <v>330000</v>
      </c>
      <c r="G7" s="5">
        <f t="shared" si="3"/>
        <v>1666666.6666666667</v>
      </c>
      <c r="H7" s="5">
        <f t="shared" si="1"/>
        <v>13333333.333333334</v>
      </c>
    </row>
    <row r="8" spans="1:8" ht="15" customHeight="1" x14ac:dyDescent="0.25">
      <c r="A8" s="86" t="s">
        <v>46</v>
      </c>
      <c r="B8" s="86"/>
      <c r="D8" s="4">
        <v>5</v>
      </c>
      <c r="E8" s="5">
        <f t="shared" si="0"/>
        <v>1960000</v>
      </c>
      <c r="F8" s="5">
        <f t="shared" si="2"/>
        <v>293333.33333333331</v>
      </c>
      <c r="G8" s="5">
        <f t="shared" si="3"/>
        <v>1666666.6666666667</v>
      </c>
      <c r="H8" s="5">
        <f t="shared" si="1"/>
        <v>11666666.666666668</v>
      </c>
    </row>
    <row r="9" spans="1:8" ht="15" customHeight="1" x14ac:dyDescent="0.25">
      <c r="A9" s="86"/>
      <c r="B9" s="86"/>
      <c r="D9" s="4">
        <v>6</v>
      </c>
      <c r="E9" s="5">
        <f t="shared" si="0"/>
        <v>1923333.3333333335</v>
      </c>
      <c r="F9" s="5">
        <f t="shared" si="2"/>
        <v>256666.66666666669</v>
      </c>
      <c r="G9" s="5">
        <f t="shared" si="3"/>
        <v>1666666.6666666667</v>
      </c>
      <c r="H9" s="5">
        <f t="shared" si="1"/>
        <v>10000000.000000002</v>
      </c>
    </row>
    <row r="10" spans="1:8" ht="15" customHeight="1" x14ac:dyDescent="0.25">
      <c r="A10" s="86"/>
      <c r="B10" s="86"/>
      <c r="D10" s="4">
        <v>7</v>
      </c>
      <c r="E10" s="5">
        <f t="shared" si="0"/>
        <v>1886666.6666666667</v>
      </c>
      <c r="F10" s="5">
        <f t="shared" si="2"/>
        <v>220000.00000000003</v>
      </c>
      <c r="G10" s="5">
        <f t="shared" si="3"/>
        <v>1666666.6666666667</v>
      </c>
      <c r="H10" s="5">
        <f t="shared" si="1"/>
        <v>8333333.3333333349</v>
      </c>
    </row>
    <row r="11" spans="1:8" ht="15" customHeight="1" x14ac:dyDescent="0.25">
      <c r="A11" s="86"/>
      <c r="B11" s="86"/>
      <c r="D11" s="4">
        <v>8</v>
      </c>
      <c r="E11" s="5">
        <f t="shared" si="0"/>
        <v>1850000</v>
      </c>
      <c r="F11" s="5">
        <f t="shared" si="2"/>
        <v>183333.33333333334</v>
      </c>
      <c r="G11" s="5">
        <f t="shared" si="3"/>
        <v>1666666.6666666667</v>
      </c>
      <c r="H11" s="5">
        <f t="shared" si="1"/>
        <v>6666666.6666666679</v>
      </c>
    </row>
    <row r="12" spans="1:8" ht="15" customHeight="1" x14ac:dyDescent="0.25">
      <c r="A12" s="86"/>
      <c r="B12" s="86"/>
      <c r="D12" s="4">
        <v>9</v>
      </c>
      <c r="E12" s="5">
        <f t="shared" si="0"/>
        <v>1813333.3333333335</v>
      </c>
      <c r="F12" s="5">
        <f t="shared" si="2"/>
        <v>146666.66666666669</v>
      </c>
      <c r="G12" s="5">
        <f t="shared" si="3"/>
        <v>1666666.6666666667</v>
      </c>
      <c r="H12" s="5">
        <f t="shared" si="1"/>
        <v>5000000.0000000009</v>
      </c>
    </row>
    <row r="13" spans="1:8" ht="15" customHeight="1" x14ac:dyDescent="0.25">
      <c r="A13" s="90" t="s">
        <v>47</v>
      </c>
      <c r="B13" s="90"/>
      <c r="D13" s="4">
        <v>10</v>
      </c>
      <c r="E13" s="5">
        <f t="shared" si="0"/>
        <v>1776666.6666666667</v>
      </c>
      <c r="F13" s="5">
        <f t="shared" si="2"/>
        <v>110000.00000000001</v>
      </c>
      <c r="G13" s="5">
        <f t="shared" si="3"/>
        <v>1666666.6666666667</v>
      </c>
      <c r="H13" s="5">
        <f t="shared" si="1"/>
        <v>3333333.333333334</v>
      </c>
    </row>
    <row r="14" spans="1:8" ht="15" customHeight="1" x14ac:dyDescent="0.25">
      <c r="A14" s="2"/>
      <c r="B14" s="5"/>
      <c r="D14" s="4">
        <v>11</v>
      </c>
      <c r="E14" s="5">
        <f t="shared" si="0"/>
        <v>1740000</v>
      </c>
      <c r="F14" s="5">
        <f t="shared" si="2"/>
        <v>73333.333333333343</v>
      </c>
      <c r="G14" s="5">
        <f t="shared" si="3"/>
        <v>1666666.6666666667</v>
      </c>
      <c r="H14" s="5">
        <f t="shared" si="1"/>
        <v>1666666.6666666672</v>
      </c>
    </row>
    <row r="15" spans="1:8" x14ac:dyDescent="0.25">
      <c r="D15" s="4">
        <v>12</v>
      </c>
      <c r="E15" s="5">
        <f t="shared" si="0"/>
        <v>1703333.3333333335</v>
      </c>
      <c r="F15" s="5">
        <f t="shared" si="2"/>
        <v>36666.666666666679</v>
      </c>
      <c r="G15" s="5">
        <f t="shared" si="3"/>
        <v>1666666.6666666667</v>
      </c>
      <c r="H15" s="5">
        <f t="shared" si="1"/>
        <v>0</v>
      </c>
    </row>
  </sheetData>
  <mergeCells count="3">
    <mergeCell ref="A1:H1"/>
    <mergeCell ref="A8:B12"/>
    <mergeCell ref="A13:B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sqref="A1:H1"/>
    </sheetView>
  </sheetViews>
  <sheetFormatPr baseColWidth="10" defaultRowHeight="15" x14ac:dyDescent="0.25"/>
  <cols>
    <col min="1" max="1" width="30.140625" bestFit="1" customWidth="1"/>
    <col min="2" max="2" width="14.140625" bestFit="1" customWidth="1"/>
    <col min="3" max="3" width="1.42578125" customWidth="1"/>
    <col min="4" max="4" width="8" bestFit="1" customWidth="1"/>
    <col min="5" max="5" width="10" bestFit="1" customWidth="1"/>
    <col min="6" max="6" width="13.140625" bestFit="1" customWidth="1"/>
    <col min="7" max="8" width="14.85546875" bestFit="1" customWidth="1"/>
    <col min="9" max="9" width="14.140625" bestFit="1" customWidth="1"/>
    <col min="10" max="10" width="1.42578125" customWidth="1"/>
  </cols>
  <sheetData>
    <row r="1" spans="1:13" x14ac:dyDescent="0.25">
      <c r="A1" s="88" t="s">
        <v>49</v>
      </c>
      <c r="B1" s="88"/>
      <c r="C1" s="88"/>
      <c r="D1" s="88"/>
      <c r="E1" s="88"/>
      <c r="F1" s="88"/>
      <c r="G1" s="88"/>
      <c r="H1" s="88"/>
    </row>
    <row r="2" spans="1:13" x14ac:dyDescent="0.25">
      <c r="A2" s="1" t="s">
        <v>0</v>
      </c>
      <c r="D2" s="3" t="s">
        <v>5</v>
      </c>
      <c r="E2" s="3" t="s">
        <v>6</v>
      </c>
      <c r="F2" s="3" t="s">
        <v>7</v>
      </c>
      <c r="G2" s="3" t="s">
        <v>43</v>
      </c>
      <c r="H2" s="3" t="s">
        <v>8</v>
      </c>
    </row>
    <row r="3" spans="1:13" x14ac:dyDescent="0.25">
      <c r="A3" s="2" t="s">
        <v>1</v>
      </c>
      <c r="B3" s="5">
        <v>120000000</v>
      </c>
      <c r="D3" s="4">
        <v>0</v>
      </c>
      <c r="E3" s="5">
        <v>0</v>
      </c>
      <c r="F3" s="5">
        <v>0</v>
      </c>
      <c r="G3" s="5">
        <v>0</v>
      </c>
      <c r="H3" s="5">
        <f>B5</f>
        <v>663731.8656009346</v>
      </c>
      <c r="J3" s="89" t="s">
        <v>42</v>
      </c>
      <c r="K3" s="89"/>
      <c r="L3" s="89"/>
      <c r="M3" s="89"/>
    </row>
    <row r="4" spans="1:13" x14ac:dyDescent="0.25">
      <c r="A4" s="2" t="s">
        <v>35</v>
      </c>
      <c r="B4" s="10">
        <v>180.79589999999999</v>
      </c>
      <c r="D4" s="4">
        <v>1</v>
      </c>
      <c r="E4" s="5">
        <f t="shared" ref="E4:E15" si="0">$B$12</f>
        <v>58918.168524451001</v>
      </c>
      <c r="F4" s="5">
        <f>B5*B7</f>
        <v>6541.8074928473034</v>
      </c>
      <c r="G4" s="5">
        <f>E4-F4</f>
        <v>52376.361031603694</v>
      </c>
      <c r="H4" s="8">
        <f>H3-G4</f>
        <v>611355.50456933095</v>
      </c>
      <c r="I4" s="5"/>
      <c r="J4" s="89"/>
      <c r="K4" s="89"/>
      <c r="L4" s="89"/>
      <c r="M4" s="89"/>
    </row>
    <row r="5" spans="1:13" x14ac:dyDescent="0.25">
      <c r="A5" s="2" t="s">
        <v>36</v>
      </c>
      <c r="B5" s="5">
        <f>B3/B4</f>
        <v>663731.8656009346</v>
      </c>
      <c r="D5" s="4">
        <v>2</v>
      </c>
      <c r="E5" s="5">
        <f t="shared" si="0"/>
        <v>58918.168524451001</v>
      </c>
      <c r="F5" s="5">
        <f t="shared" ref="F5:F15" si="1">H4*$B$7</f>
        <v>6025.5808525391694</v>
      </c>
      <c r="G5" s="5">
        <f>E5-F5</f>
        <v>52892.587671911831</v>
      </c>
      <c r="H5" s="5">
        <f>H4-G5</f>
        <v>558462.91689741914</v>
      </c>
      <c r="J5" s="89"/>
      <c r="K5" s="89"/>
      <c r="L5" s="89"/>
      <c r="M5" s="89"/>
    </row>
    <row r="6" spans="1:13" x14ac:dyDescent="0.25">
      <c r="A6" s="2" t="s">
        <v>39</v>
      </c>
      <c r="B6" s="11">
        <v>0.1249</v>
      </c>
      <c r="D6" s="4">
        <v>3</v>
      </c>
      <c r="E6" s="5">
        <f t="shared" si="0"/>
        <v>58918.168524451001</v>
      </c>
      <c r="F6" s="5">
        <f t="shared" si="1"/>
        <v>5504.2662309563721</v>
      </c>
      <c r="G6" s="5">
        <f t="shared" ref="G6:G15" si="2">E6-F6</f>
        <v>53413.902293494626</v>
      </c>
      <c r="H6" s="5">
        <f t="shared" ref="H6:H15" si="3">H5-G6</f>
        <v>505049.01460392453</v>
      </c>
      <c r="J6" s="89"/>
      <c r="K6" s="89"/>
      <c r="L6" s="89"/>
      <c r="M6" s="89"/>
    </row>
    <row r="7" spans="1:13" x14ac:dyDescent="0.25">
      <c r="A7" s="2" t="s">
        <v>40</v>
      </c>
      <c r="B7" s="6">
        <f>((1+B6)^(1/12))-1</f>
        <v>9.8560997774672643E-3</v>
      </c>
      <c r="D7" s="4">
        <v>4</v>
      </c>
      <c r="E7" s="5">
        <f t="shared" si="0"/>
        <v>58918.168524451001</v>
      </c>
      <c r="F7" s="5">
        <f t="shared" si="1"/>
        <v>4977.8134804478013</v>
      </c>
      <c r="G7" s="5">
        <f t="shared" si="2"/>
        <v>53940.355044003198</v>
      </c>
      <c r="H7" s="5">
        <f t="shared" si="3"/>
        <v>451108.65955992136</v>
      </c>
      <c r="J7" s="89"/>
      <c r="K7" s="89"/>
      <c r="L7" s="89"/>
      <c r="M7" s="89"/>
    </row>
    <row r="8" spans="1:13" x14ac:dyDescent="0.25">
      <c r="A8" s="2" t="s">
        <v>37</v>
      </c>
      <c r="B8">
        <v>15</v>
      </c>
      <c r="D8" s="4">
        <v>5</v>
      </c>
      <c r="E8" s="5">
        <f t="shared" si="0"/>
        <v>58918.168524451001</v>
      </c>
      <c r="F8" s="5">
        <f t="shared" si="1"/>
        <v>4446.1719591020965</v>
      </c>
      <c r="G8" s="5">
        <f t="shared" si="2"/>
        <v>54471.996565348905</v>
      </c>
      <c r="H8" s="5">
        <f t="shared" si="3"/>
        <v>396636.66299457243</v>
      </c>
      <c r="J8" s="89"/>
      <c r="K8" s="89"/>
      <c r="L8" s="89"/>
      <c r="M8" s="89"/>
    </row>
    <row r="9" spans="1:13" x14ac:dyDescent="0.25">
      <c r="A9" s="2" t="s">
        <v>38</v>
      </c>
      <c r="B9">
        <v>12</v>
      </c>
      <c r="D9" s="4">
        <v>6</v>
      </c>
      <c r="E9" s="5">
        <f t="shared" si="0"/>
        <v>58918.168524451001</v>
      </c>
      <c r="F9" s="5">
        <f t="shared" si="1"/>
        <v>3909.2905258761634</v>
      </c>
      <c r="G9" s="5">
        <f t="shared" si="2"/>
        <v>55008.877998574841</v>
      </c>
      <c r="H9" s="5">
        <f t="shared" si="3"/>
        <v>341627.78499599756</v>
      </c>
      <c r="J9" s="89"/>
      <c r="K9" s="89"/>
      <c r="L9" s="89"/>
      <c r="M9" s="89"/>
    </row>
    <row r="10" spans="1:13" x14ac:dyDescent="0.25">
      <c r="A10" s="2" t="s">
        <v>41</v>
      </c>
      <c r="B10" s="12">
        <v>0.05</v>
      </c>
      <c r="D10" s="4">
        <v>7</v>
      </c>
      <c r="E10" s="5">
        <f t="shared" si="0"/>
        <v>58918.168524451001</v>
      </c>
      <c r="F10" s="5">
        <f t="shared" si="1"/>
        <v>3367.1175356756858</v>
      </c>
      <c r="G10" s="5">
        <f t="shared" si="2"/>
        <v>55551.050988775314</v>
      </c>
      <c r="H10" s="5">
        <f t="shared" si="3"/>
        <v>286076.73400722223</v>
      </c>
      <c r="J10" s="89"/>
      <c r="K10" s="89"/>
      <c r="L10" s="89"/>
      <c r="M10" s="89"/>
    </row>
    <row r="11" spans="1:13" x14ac:dyDescent="0.25">
      <c r="D11" s="4">
        <v>8</v>
      </c>
      <c r="E11" s="5">
        <f t="shared" si="0"/>
        <v>58918.168524451001</v>
      </c>
      <c r="F11" s="5">
        <f t="shared" si="1"/>
        <v>2819.6008343871449</v>
      </c>
      <c r="G11" s="5">
        <f t="shared" si="2"/>
        <v>56098.567690063857</v>
      </c>
      <c r="H11" s="5">
        <f t="shared" si="3"/>
        <v>229978.16631715838</v>
      </c>
      <c r="J11" s="89"/>
      <c r="K11" s="89"/>
      <c r="L11" s="89"/>
      <c r="M11" s="89"/>
    </row>
    <row r="12" spans="1:13" x14ac:dyDescent="0.25">
      <c r="A12" s="2" t="s">
        <v>4</v>
      </c>
      <c r="B12" s="5">
        <f>PMT(B7,B9,-B5)</f>
        <v>58918.168524451001</v>
      </c>
      <c r="D12" s="4">
        <v>9</v>
      </c>
      <c r="E12" s="5">
        <f t="shared" si="0"/>
        <v>58918.168524451001</v>
      </c>
      <c r="F12" s="5">
        <f t="shared" si="1"/>
        <v>2266.6877538608742</v>
      </c>
      <c r="G12" s="5">
        <f t="shared" si="2"/>
        <v>56651.480770590126</v>
      </c>
      <c r="H12" s="5">
        <f t="shared" si="3"/>
        <v>173326.68554656825</v>
      </c>
      <c r="J12" s="89"/>
      <c r="K12" s="89"/>
      <c r="L12" s="89"/>
      <c r="M12" s="89"/>
    </row>
    <row r="13" spans="1:13" x14ac:dyDescent="0.25">
      <c r="D13" s="4">
        <v>10</v>
      </c>
      <c r="E13" s="5">
        <f t="shared" si="0"/>
        <v>58918.168524451001</v>
      </c>
      <c r="F13" s="5">
        <f t="shared" si="1"/>
        <v>1708.3251068446698</v>
      </c>
      <c r="G13" s="5">
        <f t="shared" si="2"/>
        <v>57209.843417606331</v>
      </c>
      <c r="H13" s="5">
        <f t="shared" si="3"/>
        <v>116116.84212896191</v>
      </c>
      <c r="J13" s="89"/>
      <c r="K13" s="89"/>
      <c r="L13" s="89"/>
      <c r="M13" s="89"/>
    </row>
    <row r="14" spans="1:13" x14ac:dyDescent="0.25">
      <c r="D14" s="4">
        <v>11</v>
      </c>
      <c r="E14" s="5">
        <f t="shared" si="0"/>
        <v>58918.168524451001</v>
      </c>
      <c r="F14" s="5">
        <f t="shared" si="1"/>
        <v>1144.459181867463</v>
      </c>
      <c r="G14" s="5">
        <f t="shared" si="2"/>
        <v>57773.709342583541</v>
      </c>
      <c r="H14" s="5">
        <f t="shared" si="3"/>
        <v>58343.132786378374</v>
      </c>
      <c r="J14" s="89"/>
      <c r="K14" s="89"/>
      <c r="L14" s="89"/>
      <c r="M14" s="89"/>
    </row>
    <row r="15" spans="1:13" x14ac:dyDescent="0.25">
      <c r="D15" s="4">
        <v>12</v>
      </c>
      <c r="E15" s="5">
        <f t="shared" si="0"/>
        <v>58918.168524451001</v>
      </c>
      <c r="F15" s="5">
        <f t="shared" si="1"/>
        <v>575.03573807256691</v>
      </c>
      <c r="G15" s="5">
        <f t="shared" si="2"/>
        <v>58343.132786378432</v>
      </c>
      <c r="H15" s="5">
        <f t="shared" si="3"/>
        <v>-5.8207660913467407E-11</v>
      </c>
      <c r="J15" s="89"/>
      <c r="K15" s="89"/>
      <c r="L15" s="89"/>
      <c r="M15" s="89"/>
    </row>
    <row r="18" spans="1:14" x14ac:dyDescent="0.25">
      <c r="A18" s="88" t="s">
        <v>48</v>
      </c>
      <c r="B18" s="88"/>
      <c r="C18" s="88"/>
      <c r="D18" s="88"/>
      <c r="E18" s="88"/>
      <c r="F18" s="88"/>
      <c r="G18" s="88"/>
      <c r="H18" s="88"/>
      <c r="I18" s="88"/>
    </row>
    <row r="19" spans="1:14" x14ac:dyDescent="0.25">
      <c r="A19" s="1" t="s">
        <v>0</v>
      </c>
      <c r="D19" s="3" t="s">
        <v>5</v>
      </c>
      <c r="E19" s="3" t="s">
        <v>35</v>
      </c>
      <c r="F19" s="3" t="s">
        <v>6</v>
      </c>
      <c r="G19" s="3" t="s">
        <v>7</v>
      </c>
      <c r="H19" s="3" t="s">
        <v>43</v>
      </c>
      <c r="I19" s="3" t="s">
        <v>8</v>
      </c>
    </row>
    <row r="20" spans="1:14" ht="15" customHeight="1" x14ac:dyDescent="0.25">
      <c r="A20" s="2" t="s">
        <v>1</v>
      </c>
      <c r="B20" s="5">
        <v>120000000</v>
      </c>
      <c r="D20" s="4">
        <v>0</v>
      </c>
      <c r="E20" s="4"/>
      <c r="F20" s="5">
        <v>0</v>
      </c>
      <c r="G20" s="5">
        <v>0</v>
      </c>
      <c r="H20" s="5">
        <v>0</v>
      </c>
      <c r="I20" s="5">
        <f>B20</f>
        <v>120000000</v>
      </c>
      <c r="K20" s="89" t="s">
        <v>50</v>
      </c>
      <c r="L20" s="89"/>
      <c r="M20" s="89"/>
      <c r="N20" s="15"/>
    </row>
    <row r="21" spans="1:14" ht="15" customHeight="1" x14ac:dyDescent="0.25">
      <c r="A21" s="2" t="s">
        <v>35</v>
      </c>
      <c r="B21" s="10">
        <f>B4</f>
        <v>180.79589999999999</v>
      </c>
      <c r="C21" s="5"/>
      <c r="D21" s="4">
        <v>1</v>
      </c>
      <c r="E21" s="13">
        <f>B21</f>
        <v>180.79589999999999</v>
      </c>
      <c r="F21" s="5">
        <f>$B$29</f>
        <v>10652163.304729789</v>
      </c>
      <c r="G21" s="5">
        <f>B20*B24</f>
        <v>1182731.9732960716</v>
      </c>
      <c r="H21" s="5">
        <f>F21-G21</f>
        <v>9469431.3314337172</v>
      </c>
      <c r="I21" s="8">
        <f>I20-H21</f>
        <v>110530568.66856629</v>
      </c>
      <c r="J21" s="5"/>
      <c r="K21" s="89"/>
      <c r="L21" s="89"/>
      <c r="M21" s="89"/>
      <c r="N21" s="15"/>
    </row>
    <row r="22" spans="1:14" ht="15" customHeight="1" x14ac:dyDescent="0.25">
      <c r="A22" s="2" t="s">
        <v>36</v>
      </c>
      <c r="B22" s="5">
        <f>B20/B21</f>
        <v>663731.8656009346</v>
      </c>
      <c r="D22" s="4">
        <v>2</v>
      </c>
      <c r="E22" s="13">
        <f>E21+0.5</f>
        <v>181.29589999999999</v>
      </c>
      <c r="F22" s="5">
        <f t="shared" ref="F22:F32" si="4">$B$29</f>
        <v>10652163.304729789</v>
      </c>
      <c r="G22" s="5">
        <f t="shared" ref="G22:G32" si="5">I21*$B$7</f>
        <v>1089400.3132575864</v>
      </c>
      <c r="H22" s="5">
        <f>F22-G22</f>
        <v>9562762.9914722033</v>
      </c>
      <c r="I22" s="5">
        <f>I21-H22</f>
        <v>100967805.67709409</v>
      </c>
      <c r="K22" s="89"/>
      <c r="L22" s="89"/>
      <c r="M22" s="89"/>
      <c r="N22" s="15"/>
    </row>
    <row r="23" spans="1:14" ht="15" customHeight="1" x14ac:dyDescent="0.25">
      <c r="A23" s="2" t="s">
        <v>39</v>
      </c>
      <c r="B23" s="11">
        <v>0.1249</v>
      </c>
      <c r="D23" s="4">
        <v>3</v>
      </c>
      <c r="E23" s="13">
        <f t="shared" ref="E23:E32" si="6">E22+0.5</f>
        <v>181.79589999999999</v>
      </c>
      <c r="F23" s="5">
        <f t="shared" si="4"/>
        <v>10652163.304729789</v>
      </c>
      <c r="G23" s="5">
        <f t="shared" si="5"/>
        <v>995148.76706536498</v>
      </c>
      <c r="H23" s="5">
        <f t="shared" ref="H23:H32" si="7">F23-G23</f>
        <v>9657014.5376644246</v>
      </c>
      <c r="I23" s="5">
        <f t="shared" ref="I23:I32" si="8">I22-H23</f>
        <v>91310791.139429659</v>
      </c>
      <c r="K23" s="89"/>
      <c r="L23" s="89"/>
      <c r="M23" s="89"/>
      <c r="N23" s="15"/>
    </row>
    <row r="24" spans="1:14" ht="15" customHeight="1" x14ac:dyDescent="0.25">
      <c r="A24" s="2" t="s">
        <v>40</v>
      </c>
      <c r="B24" s="6">
        <f>((1+B23)^(1/12))-1</f>
        <v>9.8560997774672643E-3</v>
      </c>
      <c r="D24" s="4">
        <v>4</v>
      </c>
      <c r="E24" s="13">
        <f t="shared" si="6"/>
        <v>182.29589999999999</v>
      </c>
      <c r="F24" s="5">
        <f t="shared" si="4"/>
        <v>10652163.304729789</v>
      </c>
      <c r="G24" s="5">
        <f t="shared" si="5"/>
        <v>899968.26822969248</v>
      </c>
      <c r="H24" s="5">
        <f t="shared" si="7"/>
        <v>9752195.0365000963</v>
      </c>
      <c r="I24" s="5">
        <f t="shared" si="8"/>
        <v>81558596.102929562</v>
      </c>
      <c r="K24" s="89"/>
      <c r="L24" s="89"/>
      <c r="M24" s="89"/>
      <c r="N24" s="15"/>
    </row>
    <row r="25" spans="1:14" ht="15" customHeight="1" x14ac:dyDescent="0.25">
      <c r="A25" s="2" t="s">
        <v>37</v>
      </c>
      <c r="B25">
        <v>15</v>
      </c>
      <c r="D25" s="4">
        <v>5</v>
      </c>
      <c r="E25" s="13">
        <f t="shared" si="6"/>
        <v>182.79589999999999</v>
      </c>
      <c r="F25" s="5">
        <f t="shared" si="4"/>
        <v>10652163.304729789</v>
      </c>
      <c r="G25" s="5">
        <f t="shared" si="5"/>
        <v>803849.66090062656</v>
      </c>
      <c r="H25" s="5">
        <f t="shared" si="7"/>
        <v>9848313.6438291632</v>
      </c>
      <c r="I25" s="5">
        <f t="shared" si="8"/>
        <v>71710282.459100395</v>
      </c>
      <c r="K25" s="89"/>
      <c r="L25" s="89"/>
      <c r="M25" s="89"/>
      <c r="N25" s="15"/>
    </row>
    <row r="26" spans="1:14" ht="15" customHeight="1" x14ac:dyDescent="0.25">
      <c r="A26" s="2" t="s">
        <v>38</v>
      </c>
      <c r="B26">
        <v>12</v>
      </c>
      <c r="D26" s="4">
        <v>6</v>
      </c>
      <c r="E26" s="13">
        <f t="shared" si="6"/>
        <v>183.29589999999999</v>
      </c>
      <c r="F26" s="5">
        <f t="shared" si="4"/>
        <v>10652163.304729789</v>
      </c>
      <c r="G26" s="5">
        <f t="shared" si="5"/>
        <v>706783.69898725406</v>
      </c>
      <c r="H26" s="5">
        <f t="shared" si="7"/>
        <v>9945379.6057425346</v>
      </c>
      <c r="I26" s="5">
        <f t="shared" si="8"/>
        <v>61764902.853357859</v>
      </c>
      <c r="K26" s="89"/>
      <c r="L26" s="89"/>
      <c r="M26" s="89"/>
      <c r="N26" s="15"/>
    </row>
    <row r="27" spans="1:14" ht="15" customHeight="1" x14ac:dyDescent="0.25">
      <c r="A27" s="2" t="s">
        <v>41</v>
      </c>
      <c r="B27" s="12">
        <v>0.05</v>
      </c>
      <c r="D27" s="4">
        <v>7</v>
      </c>
      <c r="E27" s="13">
        <f t="shared" si="6"/>
        <v>183.79589999999999</v>
      </c>
      <c r="F27" s="5">
        <f t="shared" si="4"/>
        <v>10652163.304729789</v>
      </c>
      <c r="G27" s="5">
        <f t="shared" si="5"/>
        <v>608761.04526826763</v>
      </c>
      <c r="H27" s="5">
        <f t="shared" si="7"/>
        <v>10043402.259461522</v>
      </c>
      <c r="I27" s="5">
        <f t="shared" si="8"/>
        <v>51721500.593896337</v>
      </c>
      <c r="K27" s="89"/>
      <c r="L27" s="89"/>
      <c r="M27" s="89"/>
      <c r="N27" s="15"/>
    </row>
    <row r="28" spans="1:14" ht="15" customHeight="1" x14ac:dyDescent="0.25">
      <c r="D28" s="4">
        <v>8</v>
      </c>
      <c r="E28" s="13">
        <f t="shared" si="6"/>
        <v>184.29589999999999</v>
      </c>
      <c r="F28" s="5">
        <f t="shared" si="4"/>
        <v>10652163.304729789</v>
      </c>
      <c r="G28" s="5">
        <f t="shared" si="5"/>
        <v>509772.27049377467</v>
      </c>
      <c r="H28" s="5">
        <f t="shared" si="7"/>
        <v>10142391.034236014</v>
      </c>
      <c r="I28" s="5">
        <f t="shared" si="8"/>
        <v>41579109.559660323</v>
      </c>
      <c r="K28" s="89"/>
      <c r="L28" s="89"/>
      <c r="M28" s="89"/>
      <c r="N28" s="15"/>
    </row>
    <row r="29" spans="1:14" ht="15" customHeight="1" x14ac:dyDescent="0.25">
      <c r="A29" s="2" t="s">
        <v>4</v>
      </c>
      <c r="B29" s="5">
        <f>PMT(B24,B26,-B20)</f>
        <v>10652163.304729789</v>
      </c>
      <c r="D29" s="4">
        <v>9</v>
      </c>
      <c r="E29" s="13">
        <f t="shared" si="6"/>
        <v>184.79589999999999</v>
      </c>
      <c r="F29" s="5">
        <f t="shared" si="4"/>
        <v>10652163.304729789</v>
      </c>
      <c r="G29" s="5">
        <f t="shared" si="5"/>
        <v>409807.85247825511</v>
      </c>
      <c r="H29" s="5">
        <f t="shared" si="7"/>
        <v>10242355.452251535</v>
      </c>
      <c r="I29" s="5">
        <f t="shared" si="8"/>
        <v>31336754.107408788</v>
      </c>
      <c r="K29" s="89"/>
      <c r="L29" s="89"/>
      <c r="M29" s="89"/>
      <c r="N29" s="15"/>
    </row>
    <row r="30" spans="1:14" ht="15" customHeight="1" x14ac:dyDescent="0.25">
      <c r="D30" s="4">
        <v>10</v>
      </c>
      <c r="E30" s="13">
        <f t="shared" si="6"/>
        <v>185.29589999999999</v>
      </c>
      <c r="F30" s="5">
        <f t="shared" si="4"/>
        <v>10652163.304729789</v>
      </c>
      <c r="G30" s="5">
        <f t="shared" si="5"/>
        <v>308858.17518457811</v>
      </c>
      <c r="H30" s="5">
        <f t="shared" si="7"/>
        <v>10343305.129545212</v>
      </c>
      <c r="I30" s="5">
        <f t="shared" si="8"/>
        <v>20993448.977863576</v>
      </c>
      <c r="K30" s="89"/>
      <c r="L30" s="89"/>
      <c r="M30" s="89"/>
      <c r="N30" s="15"/>
    </row>
    <row r="31" spans="1:14" ht="15" customHeight="1" x14ac:dyDescent="0.25">
      <c r="D31" s="4">
        <v>11</v>
      </c>
      <c r="E31" s="13">
        <f t="shared" si="6"/>
        <v>185.79589999999999</v>
      </c>
      <c r="F31" s="5">
        <f t="shared" si="4"/>
        <v>10652163.304729789</v>
      </c>
      <c r="G31" s="5">
        <f t="shared" si="5"/>
        <v>206913.52779899156</v>
      </c>
      <c r="H31" s="5">
        <f t="shared" si="7"/>
        <v>10445249.776930798</v>
      </c>
      <c r="I31" s="5">
        <f t="shared" si="8"/>
        <v>10548199.200932778</v>
      </c>
      <c r="K31" s="89"/>
      <c r="L31" s="89"/>
      <c r="M31" s="89"/>
      <c r="N31" s="15"/>
    </row>
    <row r="32" spans="1:14" ht="15" customHeight="1" x14ac:dyDescent="0.25">
      <c r="D32" s="4">
        <v>12</v>
      </c>
      <c r="E32" s="13">
        <f t="shared" si="6"/>
        <v>186.29589999999999</v>
      </c>
      <c r="F32" s="5">
        <f t="shared" si="4"/>
        <v>10652163.304729789</v>
      </c>
      <c r="G32" s="5">
        <f t="shared" si="5"/>
        <v>103964.10379699394</v>
      </c>
      <c r="H32" s="5">
        <f t="shared" si="7"/>
        <v>10548199.200932795</v>
      </c>
      <c r="I32" s="5">
        <f t="shared" si="8"/>
        <v>-1.6763806343078613E-8</v>
      </c>
      <c r="K32" s="89"/>
      <c r="L32" s="89"/>
      <c r="M32" s="89"/>
      <c r="N32" s="15"/>
    </row>
  </sheetData>
  <mergeCells count="4">
    <mergeCell ref="J3:M15"/>
    <mergeCell ref="A1:H1"/>
    <mergeCell ref="K20:M32"/>
    <mergeCell ref="A18:I18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2"/>
  <sheetViews>
    <sheetView workbookViewId="0"/>
  </sheetViews>
  <sheetFormatPr baseColWidth="10" defaultRowHeight="15" x14ac:dyDescent="0.25"/>
  <cols>
    <col min="1" max="1" width="32.85546875" customWidth="1"/>
    <col min="2" max="2" width="14.140625" bestFit="1" customWidth="1"/>
    <col min="3" max="3" width="1.85546875" customWidth="1"/>
    <col min="4" max="4" width="8" bestFit="1" customWidth="1"/>
    <col min="5" max="6" width="12.140625" bestFit="1" customWidth="1"/>
    <col min="7" max="7" width="14.85546875" bestFit="1" customWidth="1"/>
    <col min="8" max="8" width="14.140625" bestFit="1" customWidth="1"/>
  </cols>
  <sheetData>
    <row r="1" spans="1:8" x14ac:dyDescent="0.25">
      <c r="A1" s="1" t="s">
        <v>0</v>
      </c>
      <c r="D1" s="3" t="s">
        <v>5</v>
      </c>
      <c r="E1" s="3" t="s">
        <v>6</v>
      </c>
      <c r="F1" s="3" t="s">
        <v>7</v>
      </c>
      <c r="G1" s="3" t="s">
        <v>43</v>
      </c>
      <c r="H1" s="3" t="s">
        <v>8</v>
      </c>
    </row>
    <row r="2" spans="1:8" ht="15" customHeight="1" x14ac:dyDescent="0.25">
      <c r="A2" s="2" t="s">
        <v>1</v>
      </c>
      <c r="B2" s="5">
        <v>200000000</v>
      </c>
      <c r="D2" s="4">
        <v>0</v>
      </c>
      <c r="E2" s="5">
        <v>0</v>
      </c>
      <c r="F2" s="5">
        <v>0</v>
      </c>
      <c r="G2" s="5">
        <v>0</v>
      </c>
      <c r="H2" s="5">
        <f>B2</f>
        <v>200000000</v>
      </c>
    </row>
    <row r="3" spans="1:8" ht="15" customHeight="1" x14ac:dyDescent="0.25">
      <c r="A3" s="2" t="s">
        <v>39</v>
      </c>
      <c r="B3" s="11">
        <v>0.115</v>
      </c>
      <c r="D3" s="4">
        <v>1</v>
      </c>
      <c r="E3" s="5">
        <f t="shared" ref="E3:E14" si="0">$B$6</f>
        <v>2055531.7382344415</v>
      </c>
      <c r="F3" s="5">
        <f>B2*B4</f>
        <v>1822493.6873809216</v>
      </c>
      <c r="G3" s="5">
        <f>E3-F3</f>
        <v>233038.05085351993</v>
      </c>
      <c r="H3" s="5">
        <f>H2-G3</f>
        <v>199766961.94914648</v>
      </c>
    </row>
    <row r="4" spans="1:8" ht="15" customHeight="1" x14ac:dyDescent="0.25">
      <c r="A4" s="2" t="s">
        <v>40</v>
      </c>
      <c r="B4" s="6">
        <f>((1+B3)^(1/12))-1</f>
        <v>9.1124684369046083E-3</v>
      </c>
      <c r="D4" s="4">
        <v>2</v>
      </c>
      <c r="E4" s="5">
        <f t="shared" si="0"/>
        <v>2055531.7382344415</v>
      </c>
      <c r="F4" s="5">
        <f t="shared" ref="F4:F14" si="1">H3*$B$4</f>
        <v>1820370.1354979211</v>
      </c>
      <c r="G4" s="5">
        <f>E4-F4</f>
        <v>235161.60273652035</v>
      </c>
      <c r="H4" s="5">
        <f>H3-G4</f>
        <v>199531800.34640995</v>
      </c>
    </row>
    <row r="5" spans="1:8" ht="15" customHeight="1" x14ac:dyDescent="0.25">
      <c r="A5" s="2" t="s">
        <v>44</v>
      </c>
      <c r="B5">
        <f>20*12</f>
        <v>240</v>
      </c>
      <c r="D5" s="4">
        <v>3</v>
      </c>
      <c r="E5" s="5">
        <f t="shared" si="0"/>
        <v>2055531.7382344415</v>
      </c>
      <c r="F5" s="5">
        <f t="shared" si="1"/>
        <v>1818227.2328154126</v>
      </c>
      <c r="G5" s="5">
        <f t="shared" ref="G5:G68" si="2">E5-F5</f>
        <v>237304.50541902892</v>
      </c>
      <c r="H5" s="5">
        <f t="shared" ref="H5:H68" si="3">H4-G5</f>
        <v>199294495.84099093</v>
      </c>
    </row>
    <row r="6" spans="1:8" ht="15" customHeight="1" x14ac:dyDescent="0.25">
      <c r="A6" s="2" t="s">
        <v>45</v>
      </c>
      <c r="B6" s="5">
        <f>PMT(B4,B5,-B2)</f>
        <v>2055531.7382344415</v>
      </c>
      <c r="D6" s="4">
        <v>4</v>
      </c>
      <c r="E6" s="5">
        <f t="shared" si="0"/>
        <v>2055531.7382344415</v>
      </c>
      <c r="F6" s="5">
        <f t="shared" si="1"/>
        <v>1816064.8029998466</v>
      </c>
      <c r="G6" s="5">
        <f t="shared" si="2"/>
        <v>239466.93523459486</v>
      </c>
      <c r="H6" s="5">
        <f t="shared" si="3"/>
        <v>199055028.90575632</v>
      </c>
    </row>
    <row r="7" spans="1:8" ht="15" customHeight="1" x14ac:dyDescent="0.25">
      <c r="D7" s="4">
        <v>5</v>
      </c>
      <c r="E7" s="5">
        <f t="shared" si="0"/>
        <v>2055531.7382344415</v>
      </c>
      <c r="F7" s="5">
        <f t="shared" si="1"/>
        <v>1813882.6681108389</v>
      </c>
      <c r="G7" s="5">
        <f t="shared" si="2"/>
        <v>241649.07012360264</v>
      </c>
      <c r="H7" s="5">
        <f t="shared" si="3"/>
        <v>198813379.83563271</v>
      </c>
    </row>
    <row r="8" spans="1:8" ht="15" customHeight="1" x14ac:dyDescent="0.25">
      <c r="A8" s="86" t="s">
        <v>25</v>
      </c>
      <c r="B8" s="86"/>
      <c r="D8" s="4">
        <v>6</v>
      </c>
      <c r="E8" s="5">
        <f t="shared" si="0"/>
        <v>2055531.7382344415</v>
      </c>
      <c r="F8" s="5">
        <f t="shared" si="1"/>
        <v>1811680.6485865302</v>
      </c>
      <c r="G8" s="5">
        <f t="shared" si="2"/>
        <v>243851.08964791126</v>
      </c>
      <c r="H8" s="5">
        <f t="shared" si="3"/>
        <v>198569528.74598479</v>
      </c>
    </row>
    <row r="9" spans="1:8" ht="15" customHeight="1" x14ac:dyDescent="0.25">
      <c r="A9" s="86"/>
      <c r="B9" s="86"/>
      <c r="D9" s="4">
        <v>7</v>
      </c>
      <c r="E9" s="5">
        <f t="shared" si="0"/>
        <v>2055531.7382344415</v>
      </c>
      <c r="F9" s="5">
        <f t="shared" si="1"/>
        <v>1809458.5632288088</v>
      </c>
      <c r="G9" s="5">
        <f t="shared" si="2"/>
        <v>246073.17500563269</v>
      </c>
      <c r="H9" s="5">
        <f t="shared" si="3"/>
        <v>198323455.57097915</v>
      </c>
    </row>
    <row r="10" spans="1:8" ht="15" customHeight="1" x14ac:dyDescent="0.25">
      <c r="A10" s="86"/>
      <c r="B10" s="86"/>
      <c r="D10" s="4">
        <v>8</v>
      </c>
      <c r="E10" s="5">
        <f t="shared" si="0"/>
        <v>2055531.7382344415</v>
      </c>
      <c r="F10" s="5">
        <f t="shared" si="1"/>
        <v>1807216.2291884008</v>
      </c>
      <c r="G10" s="5">
        <f t="shared" si="2"/>
        <v>248315.50904604071</v>
      </c>
      <c r="H10" s="5">
        <f t="shared" si="3"/>
        <v>198075140.0619331</v>
      </c>
    </row>
    <row r="11" spans="1:8" ht="15" customHeight="1" x14ac:dyDescent="0.25">
      <c r="A11" s="86"/>
      <c r="B11" s="86"/>
      <c r="D11" s="4">
        <v>9</v>
      </c>
      <c r="E11" s="5">
        <f t="shared" si="0"/>
        <v>2055531.7382344415</v>
      </c>
      <c r="F11" s="5">
        <f t="shared" si="1"/>
        <v>1804953.4619498248</v>
      </c>
      <c r="G11" s="5">
        <f t="shared" si="2"/>
        <v>250578.27628461667</v>
      </c>
      <c r="H11" s="5">
        <f t="shared" si="3"/>
        <v>197824561.78564849</v>
      </c>
    </row>
    <row r="12" spans="1:8" ht="15" customHeight="1" x14ac:dyDescent="0.25">
      <c r="A12" s="86"/>
      <c r="B12" s="86"/>
      <c r="D12" s="4">
        <v>10</v>
      </c>
      <c r="E12" s="5">
        <f t="shared" si="0"/>
        <v>2055531.7382344415</v>
      </c>
      <c r="F12" s="5">
        <f t="shared" si="1"/>
        <v>1802670.0753162075</v>
      </c>
      <c r="G12" s="5">
        <f t="shared" si="2"/>
        <v>252861.66291823401</v>
      </c>
      <c r="H12" s="5">
        <f t="shared" si="3"/>
        <v>197571700.12273026</v>
      </c>
    </row>
    <row r="13" spans="1:8" ht="15" customHeight="1" x14ac:dyDescent="0.25">
      <c r="D13" s="4">
        <v>11</v>
      </c>
      <c r="E13" s="5">
        <f t="shared" si="0"/>
        <v>2055531.7382344415</v>
      </c>
      <c r="F13" s="5">
        <f t="shared" si="1"/>
        <v>1800365.8813939618</v>
      </c>
      <c r="G13" s="5">
        <f t="shared" si="2"/>
        <v>255165.85684047965</v>
      </c>
      <c r="H13" s="5">
        <f t="shared" si="3"/>
        <v>197316534.26588976</v>
      </c>
    </row>
    <row r="14" spans="1:8" ht="15" customHeight="1" x14ac:dyDescent="0.25">
      <c r="D14" s="4">
        <v>12</v>
      </c>
      <c r="E14" s="5">
        <f t="shared" si="0"/>
        <v>2055531.7382344415</v>
      </c>
      <c r="F14" s="5">
        <f t="shared" si="1"/>
        <v>1798040.690577327</v>
      </c>
      <c r="G14" s="5">
        <f t="shared" si="2"/>
        <v>257491.04765711445</v>
      </c>
      <c r="H14" s="5">
        <f t="shared" si="3"/>
        <v>197059043.21823266</v>
      </c>
    </row>
    <row r="15" spans="1:8" x14ac:dyDescent="0.25">
      <c r="D15" s="4">
        <v>13</v>
      </c>
      <c r="E15" s="5">
        <f t="shared" ref="E15:E78" si="4">$B$6</f>
        <v>2055531.7382344415</v>
      </c>
      <c r="F15" s="5">
        <f t="shared" ref="F15:F78" si="5">H14*$B$4</f>
        <v>1795694.3115327663</v>
      </c>
      <c r="G15" s="5">
        <f t="shared" si="2"/>
        <v>259837.42670167517</v>
      </c>
      <c r="H15" s="5">
        <f t="shared" si="3"/>
        <v>196799205.791531</v>
      </c>
    </row>
    <row r="16" spans="1:8" x14ac:dyDescent="0.25">
      <c r="D16" s="4">
        <v>14</v>
      </c>
      <c r="E16" s="5">
        <f t="shared" si="4"/>
        <v>2055531.7382344415</v>
      </c>
      <c r="F16" s="5">
        <f t="shared" si="5"/>
        <v>1793326.5511832207</v>
      </c>
      <c r="G16" s="5">
        <f t="shared" si="2"/>
        <v>262205.1870512208</v>
      </c>
      <c r="H16" s="5">
        <f t="shared" si="3"/>
        <v>196537000.60447979</v>
      </c>
    </row>
    <row r="17" spans="4:8" x14ac:dyDescent="0.25">
      <c r="D17" s="4">
        <v>15</v>
      </c>
      <c r="E17" s="5">
        <f t="shared" si="4"/>
        <v>2055531.7382344415</v>
      </c>
      <c r="F17" s="5">
        <f t="shared" si="5"/>
        <v>1790937.214692224</v>
      </c>
      <c r="G17" s="5">
        <f t="shared" si="2"/>
        <v>264594.52354221744</v>
      </c>
      <c r="H17" s="5">
        <f t="shared" si="3"/>
        <v>196272406.08093756</v>
      </c>
    </row>
    <row r="18" spans="4:8" x14ac:dyDescent="0.25">
      <c r="D18" s="4">
        <v>16</v>
      </c>
      <c r="E18" s="5">
        <f t="shared" si="4"/>
        <v>2055531.7382344415</v>
      </c>
      <c r="F18" s="5">
        <f t="shared" si="5"/>
        <v>1788526.1054478677</v>
      </c>
      <c r="G18" s="5">
        <f t="shared" si="2"/>
        <v>267005.63278657384</v>
      </c>
      <c r="H18" s="5">
        <f t="shared" si="3"/>
        <v>196005400.44815099</v>
      </c>
    </row>
    <row r="19" spans="4:8" x14ac:dyDescent="0.25">
      <c r="D19" s="4">
        <v>17</v>
      </c>
      <c r="E19" s="5">
        <f t="shared" si="4"/>
        <v>2055531.7382344415</v>
      </c>
      <c r="F19" s="5">
        <f t="shared" si="5"/>
        <v>1786093.0250466242</v>
      </c>
      <c r="G19" s="5">
        <f t="shared" si="2"/>
        <v>269438.71318781725</v>
      </c>
      <c r="H19" s="5">
        <f t="shared" si="3"/>
        <v>195735961.73496318</v>
      </c>
    </row>
    <row r="20" spans="4:8" x14ac:dyDescent="0.25">
      <c r="D20" s="4">
        <v>18</v>
      </c>
      <c r="E20" s="5">
        <f t="shared" si="4"/>
        <v>2055531.7382344415</v>
      </c>
      <c r="F20" s="5">
        <f t="shared" si="5"/>
        <v>1783637.7732770201</v>
      </c>
      <c r="G20" s="5">
        <f t="shared" si="2"/>
        <v>271893.96495742141</v>
      </c>
      <c r="H20" s="5">
        <f t="shared" si="3"/>
        <v>195464067.77000576</v>
      </c>
    </row>
    <row r="21" spans="4:8" x14ac:dyDescent="0.25">
      <c r="D21" s="4">
        <v>19</v>
      </c>
      <c r="E21" s="5">
        <f t="shared" si="4"/>
        <v>2055531.7382344415</v>
      </c>
      <c r="F21" s="5">
        <f t="shared" si="5"/>
        <v>1781160.1481031608</v>
      </c>
      <c r="G21" s="5">
        <f t="shared" si="2"/>
        <v>274371.59013128071</v>
      </c>
      <c r="H21" s="5">
        <f t="shared" si="3"/>
        <v>195189696.17987448</v>
      </c>
    </row>
    <row r="22" spans="4:8" x14ac:dyDescent="0.25">
      <c r="D22" s="4">
        <v>20</v>
      </c>
      <c r="E22" s="5">
        <f t="shared" si="4"/>
        <v>2055531.7382344415</v>
      </c>
      <c r="F22" s="5">
        <f t="shared" si="5"/>
        <v>1778659.9456481063</v>
      </c>
      <c r="G22" s="5">
        <f t="shared" si="2"/>
        <v>276871.79258633521</v>
      </c>
      <c r="H22" s="5">
        <f t="shared" si="3"/>
        <v>194912824.38728815</v>
      </c>
    </row>
    <row r="23" spans="4:8" x14ac:dyDescent="0.25">
      <c r="D23" s="4">
        <v>21</v>
      </c>
      <c r="E23" s="5">
        <f t="shared" si="4"/>
        <v>2055531.7382344415</v>
      </c>
      <c r="F23" s="5">
        <f t="shared" si="5"/>
        <v>1776136.960177094</v>
      </c>
      <c r="G23" s="5">
        <f t="shared" si="2"/>
        <v>279394.77805734752</v>
      </c>
      <c r="H23" s="5">
        <f t="shared" si="3"/>
        <v>194633429.60923082</v>
      </c>
    </row>
    <row r="24" spans="4:8" x14ac:dyDescent="0.25">
      <c r="D24" s="4">
        <v>22</v>
      </c>
      <c r="E24" s="5">
        <f t="shared" si="4"/>
        <v>2055531.7382344415</v>
      </c>
      <c r="F24" s="5">
        <f t="shared" si="5"/>
        <v>1773590.9840806106</v>
      </c>
      <c r="G24" s="5">
        <f t="shared" si="2"/>
        <v>281940.75415383093</v>
      </c>
      <c r="H24" s="5">
        <f t="shared" si="3"/>
        <v>194351488.855077</v>
      </c>
    </row>
    <row r="25" spans="4:8" x14ac:dyDescent="0.25">
      <c r="D25" s="4">
        <v>23</v>
      </c>
      <c r="E25" s="5">
        <f t="shared" si="4"/>
        <v>2055531.7382344415</v>
      </c>
      <c r="F25" s="5">
        <f t="shared" si="5"/>
        <v>1771021.8078573069</v>
      </c>
      <c r="G25" s="5">
        <f t="shared" si="2"/>
        <v>284509.93037713459</v>
      </c>
      <c r="H25" s="5">
        <f t="shared" si="3"/>
        <v>194066978.92469987</v>
      </c>
    </row>
    <row r="26" spans="4:8" x14ac:dyDescent="0.25">
      <c r="D26" s="4">
        <v>24</v>
      </c>
      <c r="E26" s="5">
        <f t="shared" si="4"/>
        <v>2055531.7382344415</v>
      </c>
      <c r="F26" s="5">
        <f t="shared" si="5"/>
        <v>1768429.2200967595</v>
      </c>
      <c r="G26" s="5">
        <f t="shared" si="2"/>
        <v>287102.518137682</v>
      </c>
      <c r="H26" s="5">
        <f t="shared" si="3"/>
        <v>193779876.40656218</v>
      </c>
    </row>
    <row r="27" spans="4:8" x14ac:dyDescent="0.25">
      <c r="D27" s="4">
        <v>25</v>
      </c>
      <c r="E27" s="5">
        <f t="shared" si="4"/>
        <v>2055531.7382344415</v>
      </c>
      <c r="F27" s="5">
        <f t="shared" si="5"/>
        <v>1765813.0074620738</v>
      </c>
      <c r="G27" s="5">
        <f t="shared" si="2"/>
        <v>289718.73077236768</v>
      </c>
      <c r="H27" s="5">
        <f t="shared" si="3"/>
        <v>193490157.6757898</v>
      </c>
    </row>
    <row r="28" spans="4:8" x14ac:dyDescent="0.25">
      <c r="D28" s="4">
        <v>26</v>
      </c>
      <c r="E28" s="5">
        <f t="shared" si="4"/>
        <v>2055531.7382344415</v>
      </c>
      <c r="F28" s="5">
        <f t="shared" si="5"/>
        <v>1763172.9546723305</v>
      </c>
      <c r="G28" s="5">
        <f t="shared" si="2"/>
        <v>292358.78356211097</v>
      </c>
      <c r="H28" s="5">
        <f t="shared" si="3"/>
        <v>193197798.89222768</v>
      </c>
    </row>
    <row r="29" spans="4:8" x14ac:dyDescent="0.25">
      <c r="D29" s="4">
        <v>27</v>
      </c>
      <c r="E29" s="5">
        <f t="shared" si="4"/>
        <v>2055531.7382344415</v>
      </c>
      <c r="F29" s="5">
        <f t="shared" si="5"/>
        <v>1760508.8444848689</v>
      </c>
      <c r="G29" s="5">
        <f t="shared" si="2"/>
        <v>295022.89374957257</v>
      </c>
      <c r="H29" s="5">
        <f t="shared" si="3"/>
        <v>192902775.99847811</v>
      </c>
    </row>
    <row r="30" spans="4:8" x14ac:dyDescent="0.25">
      <c r="D30" s="4">
        <v>28</v>
      </c>
      <c r="E30" s="5">
        <f t="shared" si="4"/>
        <v>2055531.7382344415</v>
      </c>
      <c r="F30" s="5">
        <f t="shared" si="5"/>
        <v>1757820.4576774116</v>
      </c>
      <c r="G30" s="5">
        <f t="shared" si="2"/>
        <v>297711.28055702988</v>
      </c>
      <c r="H30" s="5">
        <f t="shared" si="3"/>
        <v>192605064.71792108</v>
      </c>
    </row>
    <row r="31" spans="4:8" x14ac:dyDescent="0.25">
      <c r="D31" s="4">
        <v>29</v>
      </c>
      <c r="E31" s="5">
        <f t="shared" si="4"/>
        <v>2055531.7382344415</v>
      </c>
      <c r="F31" s="5">
        <f t="shared" si="5"/>
        <v>1755107.5730300252</v>
      </c>
      <c r="G31" s="5">
        <f t="shared" si="2"/>
        <v>300424.16520441626</v>
      </c>
      <c r="H31" s="5">
        <f t="shared" si="3"/>
        <v>192304640.55271667</v>
      </c>
    </row>
    <row r="32" spans="4:8" x14ac:dyDescent="0.25">
      <c r="D32" s="4">
        <v>30</v>
      </c>
      <c r="E32" s="5">
        <f t="shared" si="4"/>
        <v>2055531.7382344415</v>
      </c>
      <c r="F32" s="5">
        <f t="shared" si="5"/>
        <v>1752369.9673069166</v>
      </c>
      <c r="G32" s="5">
        <f t="shared" si="2"/>
        <v>303161.77092752489</v>
      </c>
      <c r="H32" s="5">
        <f t="shared" si="3"/>
        <v>192001478.78178915</v>
      </c>
    </row>
    <row r="33" spans="4:8" x14ac:dyDescent="0.25">
      <c r="D33" s="4">
        <v>31</v>
      </c>
      <c r="E33" s="5">
        <f t="shared" si="4"/>
        <v>2055531.7382344415</v>
      </c>
      <c r="F33" s="5">
        <f t="shared" si="5"/>
        <v>1749607.4152380635</v>
      </c>
      <c r="G33" s="5">
        <f t="shared" si="2"/>
        <v>305924.32299637794</v>
      </c>
      <c r="H33" s="5">
        <f t="shared" si="3"/>
        <v>191695554.45879278</v>
      </c>
    </row>
    <row r="34" spans="4:8" x14ac:dyDescent="0.25">
      <c r="D34" s="4">
        <v>32</v>
      </c>
      <c r="E34" s="5">
        <f t="shared" si="4"/>
        <v>2055531.7382344415</v>
      </c>
      <c r="F34" s="5">
        <f t="shared" si="5"/>
        <v>1746819.6895006776</v>
      </c>
      <c r="G34" s="5">
        <f t="shared" si="2"/>
        <v>308712.04873376386</v>
      </c>
      <c r="H34" s="5">
        <f t="shared" si="3"/>
        <v>191386842.41005901</v>
      </c>
    </row>
    <row r="35" spans="4:8" x14ac:dyDescent="0.25">
      <c r="D35" s="4">
        <v>33</v>
      </c>
      <c r="E35" s="5">
        <f t="shared" si="4"/>
        <v>2055531.7382344415</v>
      </c>
      <c r="F35" s="5">
        <f t="shared" si="5"/>
        <v>1744006.560700499</v>
      </c>
      <c r="G35" s="5">
        <f t="shared" si="2"/>
        <v>311525.17753394251</v>
      </c>
      <c r="H35" s="5">
        <f t="shared" si="3"/>
        <v>191075317.23252505</v>
      </c>
    </row>
    <row r="36" spans="4:8" x14ac:dyDescent="0.25">
      <c r="D36" s="4">
        <v>34</v>
      </c>
      <c r="E36" s="5">
        <f t="shared" si="4"/>
        <v>2055531.7382344415</v>
      </c>
      <c r="F36" s="5">
        <f t="shared" si="5"/>
        <v>1741167.7973529198</v>
      </c>
      <c r="G36" s="5">
        <f t="shared" si="2"/>
        <v>314363.94088152167</v>
      </c>
      <c r="H36" s="5">
        <f t="shared" si="3"/>
        <v>190760953.29164353</v>
      </c>
    </row>
    <row r="37" spans="4:8" x14ac:dyDescent="0.25">
      <c r="D37" s="4">
        <v>35</v>
      </c>
      <c r="E37" s="5">
        <f t="shared" si="4"/>
        <v>2055531.7382344415</v>
      </c>
      <c r="F37" s="5">
        <f t="shared" si="5"/>
        <v>1738303.1658639358</v>
      </c>
      <c r="G37" s="5">
        <f t="shared" si="2"/>
        <v>317228.57237050566</v>
      </c>
      <c r="H37" s="5">
        <f t="shared" si="3"/>
        <v>190443724.71927303</v>
      </c>
    </row>
    <row r="38" spans="4:8" x14ac:dyDescent="0.25">
      <c r="D38" s="4">
        <v>36</v>
      </c>
      <c r="E38" s="5">
        <f t="shared" si="4"/>
        <v>2055531.7382344415</v>
      </c>
      <c r="F38" s="5">
        <f t="shared" si="5"/>
        <v>1735412.4305109254</v>
      </c>
      <c r="G38" s="5">
        <f t="shared" si="2"/>
        <v>320119.30772351613</v>
      </c>
      <c r="H38" s="5">
        <f t="shared" si="3"/>
        <v>190123605.41154951</v>
      </c>
    </row>
    <row r="39" spans="4:8" x14ac:dyDescent="0.25">
      <c r="D39" s="4">
        <v>37</v>
      </c>
      <c r="E39" s="5">
        <f t="shared" si="4"/>
        <v>2055531.7382344415</v>
      </c>
      <c r="F39" s="5">
        <f t="shared" si="5"/>
        <v>1732495.3534232511</v>
      </c>
      <c r="G39" s="5">
        <f t="shared" si="2"/>
        <v>323036.38481119042</v>
      </c>
      <c r="H39" s="5">
        <f t="shared" si="3"/>
        <v>189800569.02673832</v>
      </c>
    </row>
    <row r="40" spans="4:8" x14ac:dyDescent="0.25">
      <c r="D40" s="4">
        <v>38</v>
      </c>
      <c r="E40" s="5">
        <f t="shared" si="4"/>
        <v>2055531.7382344415</v>
      </c>
      <c r="F40" s="5">
        <f t="shared" si="5"/>
        <v>1729551.6945626873</v>
      </c>
      <c r="G40" s="5">
        <f t="shared" si="2"/>
        <v>325980.04367175419</v>
      </c>
      <c r="H40" s="5">
        <f t="shared" si="3"/>
        <v>189474588.98306656</v>
      </c>
    </row>
    <row r="41" spans="4:8" x14ac:dyDescent="0.25">
      <c r="D41" s="4">
        <v>39</v>
      </c>
      <c r="E41" s="5">
        <f t="shared" si="4"/>
        <v>2055531.7382344415</v>
      </c>
      <c r="F41" s="5">
        <f t="shared" si="5"/>
        <v>1726581.2117036676</v>
      </c>
      <c r="G41" s="5">
        <f t="shared" si="2"/>
        <v>328950.52653077384</v>
      </c>
      <c r="H41" s="5">
        <f t="shared" si="3"/>
        <v>189145638.45653579</v>
      </c>
    </row>
    <row r="42" spans="4:8" x14ac:dyDescent="0.25">
      <c r="D42" s="4">
        <v>40</v>
      </c>
      <c r="E42" s="5">
        <f t="shared" si="4"/>
        <v>2055531.7382344415</v>
      </c>
      <c r="F42" s="5">
        <f t="shared" si="5"/>
        <v>1723583.6604133528</v>
      </c>
      <c r="G42" s="5">
        <f t="shared" si="2"/>
        <v>331948.07782108872</v>
      </c>
      <c r="H42" s="5">
        <f t="shared" si="3"/>
        <v>188813690.37871471</v>
      </c>
    </row>
    <row r="43" spans="4:8" x14ac:dyDescent="0.25">
      <c r="D43" s="4">
        <v>41</v>
      </c>
      <c r="E43" s="5">
        <f t="shared" si="4"/>
        <v>2055531.7382344415</v>
      </c>
      <c r="F43" s="5">
        <f t="shared" si="5"/>
        <v>1720558.7940315171</v>
      </c>
      <c r="G43" s="5">
        <f t="shared" si="2"/>
        <v>334972.94420292438</v>
      </c>
      <c r="H43" s="5">
        <f t="shared" si="3"/>
        <v>188478717.43451178</v>
      </c>
    </row>
    <row r="44" spans="4:8" x14ac:dyDescent="0.25">
      <c r="D44" s="4">
        <v>42</v>
      </c>
      <c r="E44" s="5">
        <f t="shared" si="4"/>
        <v>2055531.7382344415</v>
      </c>
      <c r="F44" s="5">
        <f t="shared" si="5"/>
        <v>1717506.3636502509</v>
      </c>
      <c r="G44" s="5">
        <f t="shared" si="2"/>
        <v>338025.37458419055</v>
      </c>
      <c r="H44" s="5">
        <f t="shared" si="3"/>
        <v>188140692.05992758</v>
      </c>
    </row>
    <row r="45" spans="4:8" x14ac:dyDescent="0.25">
      <c r="D45" s="4">
        <v>43</v>
      </c>
      <c r="E45" s="5">
        <f t="shared" si="4"/>
        <v>2055531.7382344415</v>
      </c>
      <c r="F45" s="5">
        <f t="shared" si="5"/>
        <v>1714426.1180934797</v>
      </c>
      <c r="G45" s="5">
        <f t="shared" si="2"/>
        <v>341105.62014096184</v>
      </c>
      <c r="H45" s="5">
        <f t="shared" si="3"/>
        <v>187799586.43978661</v>
      </c>
    </row>
    <row r="46" spans="4:8" x14ac:dyDescent="0.25">
      <c r="D46" s="4">
        <v>44</v>
      </c>
      <c r="E46" s="5">
        <f t="shared" si="4"/>
        <v>2055531.7382344415</v>
      </c>
      <c r="F46" s="5">
        <f t="shared" si="5"/>
        <v>1711317.8038962942</v>
      </c>
      <c r="G46" s="5">
        <f t="shared" si="2"/>
        <v>344213.93433814729</v>
      </c>
      <c r="H46" s="5">
        <f t="shared" si="3"/>
        <v>187455372.50544846</v>
      </c>
    </row>
    <row r="47" spans="4:8" x14ac:dyDescent="0.25">
      <c r="D47" s="4">
        <v>45</v>
      </c>
      <c r="E47" s="5">
        <f t="shared" si="4"/>
        <v>2055531.7382344415</v>
      </c>
      <c r="F47" s="5">
        <f t="shared" si="5"/>
        <v>1708181.1652840951</v>
      </c>
      <c r="G47" s="5">
        <f t="shared" si="2"/>
        <v>347350.5729503464</v>
      </c>
      <c r="H47" s="5">
        <f t="shared" si="3"/>
        <v>187108021.93249813</v>
      </c>
    </row>
    <row r="48" spans="4:8" x14ac:dyDescent="0.25">
      <c r="D48" s="4">
        <v>46</v>
      </c>
      <c r="E48" s="5">
        <f t="shared" si="4"/>
        <v>2055531.7382344415</v>
      </c>
      <c r="F48" s="5">
        <f t="shared" si="5"/>
        <v>1705015.9441515445</v>
      </c>
      <c r="G48" s="5">
        <f t="shared" si="2"/>
        <v>350515.79408289702</v>
      </c>
      <c r="H48" s="5">
        <f t="shared" si="3"/>
        <v>186757506.13841522</v>
      </c>
    </row>
    <row r="49" spans="4:8" x14ac:dyDescent="0.25">
      <c r="D49" s="4">
        <v>47</v>
      </c>
      <c r="E49" s="5">
        <f t="shared" si="4"/>
        <v>2055531.7382344415</v>
      </c>
      <c r="F49" s="5">
        <f t="shared" si="5"/>
        <v>1701821.8800413273</v>
      </c>
      <c r="G49" s="5">
        <f t="shared" si="2"/>
        <v>353709.85819311417</v>
      </c>
      <c r="H49" s="5">
        <f t="shared" si="3"/>
        <v>186403796.28022212</v>
      </c>
    </row>
    <row r="50" spans="4:8" x14ac:dyDescent="0.25">
      <c r="D50" s="4">
        <v>48</v>
      </c>
      <c r="E50" s="5">
        <f t="shared" si="4"/>
        <v>2055531.7382344415</v>
      </c>
      <c r="F50" s="5">
        <f t="shared" si="5"/>
        <v>1698598.7101227206</v>
      </c>
      <c r="G50" s="5">
        <f t="shared" si="2"/>
        <v>356933.02811172092</v>
      </c>
      <c r="H50" s="5">
        <f t="shared" si="3"/>
        <v>186046863.25211039</v>
      </c>
    </row>
    <row r="51" spans="4:8" x14ac:dyDescent="0.25">
      <c r="D51" s="4">
        <v>49</v>
      </c>
      <c r="E51" s="5">
        <f t="shared" si="4"/>
        <v>2055531.7382344415</v>
      </c>
      <c r="F51" s="5">
        <f t="shared" si="5"/>
        <v>1695346.1691699638</v>
      </c>
      <c r="G51" s="5">
        <f t="shared" si="2"/>
        <v>360185.56906447769</v>
      </c>
      <c r="H51" s="5">
        <f t="shared" si="3"/>
        <v>185686677.68304592</v>
      </c>
    </row>
    <row r="52" spans="4:8" x14ac:dyDescent="0.25">
      <c r="D52" s="4">
        <v>50</v>
      </c>
      <c r="E52" s="5">
        <f t="shared" si="4"/>
        <v>2055531.7382344415</v>
      </c>
      <c r="F52" s="5">
        <f t="shared" si="5"/>
        <v>1692063.9895404354</v>
      </c>
      <c r="G52" s="5">
        <f t="shared" si="2"/>
        <v>363467.74869400612</v>
      </c>
      <c r="H52" s="5">
        <f t="shared" si="3"/>
        <v>185323209.93435192</v>
      </c>
    </row>
    <row r="53" spans="4:8" x14ac:dyDescent="0.25">
      <c r="D53" s="4">
        <v>51</v>
      </c>
      <c r="E53" s="5">
        <f t="shared" si="4"/>
        <v>2055531.7382344415</v>
      </c>
      <c r="F53" s="5">
        <f t="shared" si="5"/>
        <v>1688751.9011526285</v>
      </c>
      <c r="G53" s="5">
        <f t="shared" si="2"/>
        <v>366779.83708181302</v>
      </c>
      <c r="H53" s="5">
        <f t="shared" si="3"/>
        <v>184956430.0972701</v>
      </c>
    </row>
    <row r="54" spans="4:8" x14ac:dyDescent="0.25">
      <c r="D54" s="4">
        <v>52</v>
      </c>
      <c r="E54" s="5">
        <f t="shared" si="4"/>
        <v>2055531.7382344415</v>
      </c>
      <c r="F54" s="5">
        <f t="shared" si="5"/>
        <v>1685409.6314639272</v>
      </c>
      <c r="G54" s="5">
        <f t="shared" si="2"/>
        <v>370122.10677051428</v>
      </c>
      <c r="H54" s="5">
        <f t="shared" si="3"/>
        <v>184586307.99049959</v>
      </c>
    </row>
    <row r="55" spans="4:8" x14ac:dyDescent="0.25">
      <c r="D55" s="4">
        <v>53</v>
      </c>
      <c r="E55" s="5">
        <f t="shared" si="4"/>
        <v>2055531.7382344415</v>
      </c>
      <c r="F55" s="5">
        <f t="shared" si="5"/>
        <v>1682036.9054481804</v>
      </c>
      <c r="G55" s="5">
        <f t="shared" si="2"/>
        <v>373494.8327862611</v>
      </c>
      <c r="H55" s="5">
        <f t="shared" si="3"/>
        <v>184212813.15771332</v>
      </c>
    </row>
    <row r="56" spans="4:8" x14ac:dyDescent="0.25">
      <c r="D56" s="4">
        <v>54</v>
      </c>
      <c r="E56" s="5">
        <f t="shared" si="4"/>
        <v>2055531.7382344415</v>
      </c>
      <c r="F56" s="5">
        <f t="shared" si="5"/>
        <v>1678633.4455730687</v>
      </c>
      <c r="G56" s="5">
        <f t="shared" si="2"/>
        <v>376898.29266137281</v>
      </c>
      <c r="H56" s="5">
        <f t="shared" si="3"/>
        <v>183835914.86505195</v>
      </c>
    </row>
    <row r="57" spans="4:8" x14ac:dyDescent="0.25">
      <c r="D57" s="4">
        <v>55</v>
      </c>
      <c r="E57" s="5">
        <f t="shared" si="4"/>
        <v>2055531.7382344415</v>
      </c>
      <c r="F57" s="5">
        <f t="shared" si="5"/>
        <v>1675198.9717772687</v>
      </c>
      <c r="G57" s="5">
        <f t="shared" si="2"/>
        <v>380332.76645717281</v>
      </c>
      <c r="H57" s="5">
        <f t="shared" si="3"/>
        <v>183455582.09859478</v>
      </c>
    </row>
    <row r="58" spans="4:8" x14ac:dyDescent="0.25">
      <c r="D58" s="4">
        <v>56</v>
      </c>
      <c r="E58" s="5">
        <f t="shared" si="4"/>
        <v>2055531.7382344415</v>
      </c>
      <c r="F58" s="5">
        <f t="shared" si="5"/>
        <v>1671733.201447407</v>
      </c>
      <c r="G58" s="5">
        <f t="shared" si="2"/>
        <v>383798.53678703448</v>
      </c>
      <c r="H58" s="5">
        <f t="shared" si="3"/>
        <v>183071783.56180775</v>
      </c>
    </row>
    <row r="59" spans="4:8" x14ac:dyDescent="0.25">
      <c r="D59" s="4">
        <v>57</v>
      </c>
      <c r="E59" s="5">
        <f t="shared" si="4"/>
        <v>2055531.7382344415</v>
      </c>
      <c r="F59" s="5">
        <f t="shared" si="5"/>
        <v>1668235.849394805</v>
      </c>
      <c r="G59" s="5">
        <f t="shared" si="2"/>
        <v>387295.88883963646</v>
      </c>
      <c r="H59" s="5">
        <f t="shared" si="3"/>
        <v>182684487.67296812</v>
      </c>
    </row>
    <row r="60" spans="4:8" x14ac:dyDescent="0.25">
      <c r="D60" s="4">
        <v>58</v>
      </c>
      <c r="E60" s="5">
        <f t="shared" si="4"/>
        <v>2055531.7382344415</v>
      </c>
      <c r="F60" s="5">
        <f t="shared" si="5"/>
        <v>1664706.6278320111</v>
      </c>
      <c r="G60" s="5">
        <f t="shared" si="2"/>
        <v>390825.11040243041</v>
      </c>
      <c r="H60" s="5">
        <f t="shared" si="3"/>
        <v>182293662.56256568</v>
      </c>
    </row>
    <row r="61" spans="4:8" x14ac:dyDescent="0.25">
      <c r="D61" s="4">
        <v>59</v>
      </c>
      <c r="E61" s="5">
        <f t="shared" si="4"/>
        <v>2055531.7382344415</v>
      </c>
      <c r="F61" s="5">
        <f t="shared" si="5"/>
        <v>1661145.2463491191</v>
      </c>
      <c r="G61" s="5">
        <f t="shared" si="2"/>
        <v>394386.49188532238</v>
      </c>
      <c r="H61" s="5">
        <f t="shared" si="3"/>
        <v>181899276.07068035</v>
      </c>
    </row>
    <row r="62" spans="4:8" x14ac:dyDescent="0.25">
      <c r="D62" s="4">
        <v>60</v>
      </c>
      <c r="E62" s="5">
        <f t="shared" si="4"/>
        <v>2055531.7382344415</v>
      </c>
      <c r="F62" s="5">
        <f t="shared" si="5"/>
        <v>1657551.4118898723</v>
      </c>
      <c r="G62" s="5">
        <f t="shared" si="2"/>
        <v>397980.32634456921</v>
      </c>
      <c r="H62" s="5">
        <f t="shared" si="3"/>
        <v>181501295.74433577</v>
      </c>
    </row>
    <row r="63" spans="4:8" x14ac:dyDescent="0.25">
      <c r="D63" s="4">
        <v>61</v>
      </c>
      <c r="E63" s="5">
        <f t="shared" si="4"/>
        <v>2055531.7382344415</v>
      </c>
      <c r="F63" s="5">
        <f t="shared" si="5"/>
        <v>1653924.8287275485</v>
      </c>
      <c r="G63" s="5">
        <f t="shared" si="2"/>
        <v>401606.90950689302</v>
      </c>
      <c r="H63" s="5">
        <f t="shared" si="3"/>
        <v>181099688.83482888</v>
      </c>
    </row>
    <row r="64" spans="4:8" x14ac:dyDescent="0.25">
      <c r="D64" s="4">
        <v>62</v>
      </c>
      <c r="E64" s="5">
        <f t="shared" si="4"/>
        <v>2055531.7382344415</v>
      </c>
      <c r="F64" s="5">
        <f t="shared" si="5"/>
        <v>1650265.1984406242</v>
      </c>
      <c r="G64" s="5">
        <f t="shared" si="2"/>
        <v>405266.53979381733</v>
      </c>
      <c r="H64" s="5">
        <f t="shared" si="3"/>
        <v>180694422.29503506</v>
      </c>
    </row>
    <row r="65" spans="4:8" x14ac:dyDescent="0.25">
      <c r="D65" s="4">
        <v>63</v>
      </c>
      <c r="E65" s="5">
        <f t="shared" si="4"/>
        <v>2055531.7382344415</v>
      </c>
      <c r="F65" s="5">
        <f t="shared" si="5"/>
        <v>1646572.2198882194</v>
      </c>
      <c r="G65" s="5">
        <f t="shared" si="2"/>
        <v>408959.51834622212</v>
      </c>
      <c r="H65" s="5">
        <f t="shared" si="3"/>
        <v>180285462.77668884</v>
      </c>
    </row>
    <row r="66" spans="4:8" x14ac:dyDescent="0.25">
      <c r="D66" s="4">
        <v>64</v>
      </c>
      <c r="E66" s="5">
        <f t="shared" si="4"/>
        <v>2055531.7382344415</v>
      </c>
      <c r="F66" s="5">
        <f t="shared" si="5"/>
        <v>1642845.5891853177</v>
      </c>
      <c r="G66" s="5">
        <f t="shared" si="2"/>
        <v>412686.14904912375</v>
      </c>
      <c r="H66" s="5">
        <f t="shared" si="3"/>
        <v>179872776.62763971</v>
      </c>
    </row>
    <row r="67" spans="4:8" x14ac:dyDescent="0.25">
      <c r="D67" s="4">
        <v>65</v>
      </c>
      <c r="E67" s="5">
        <f t="shared" si="4"/>
        <v>2055531.7382344415</v>
      </c>
      <c r="F67" s="5">
        <f t="shared" si="5"/>
        <v>1639084.9996777598</v>
      </c>
      <c r="G67" s="5">
        <f t="shared" si="2"/>
        <v>416446.73855668167</v>
      </c>
      <c r="H67" s="5">
        <f t="shared" si="3"/>
        <v>179456329.88908303</v>
      </c>
    </row>
    <row r="68" spans="4:8" x14ac:dyDescent="0.25">
      <c r="D68" s="4">
        <v>66</v>
      </c>
      <c r="E68" s="5">
        <f t="shared" si="4"/>
        <v>2055531.7382344415</v>
      </c>
      <c r="F68" s="5">
        <f t="shared" si="5"/>
        <v>1635290.1419170101</v>
      </c>
      <c r="G68" s="5">
        <f t="shared" si="2"/>
        <v>420241.59631743142</v>
      </c>
      <c r="H68" s="5">
        <f t="shared" si="3"/>
        <v>179036088.29276559</v>
      </c>
    </row>
    <row r="69" spans="4:8" x14ac:dyDescent="0.25">
      <c r="D69" s="4">
        <v>67</v>
      </c>
      <c r="E69" s="5">
        <f t="shared" si="4"/>
        <v>2055531.7382344415</v>
      </c>
      <c r="F69" s="5">
        <f t="shared" si="5"/>
        <v>1631460.7036346931</v>
      </c>
      <c r="G69" s="5">
        <f t="shared" ref="G69:G132" si="6">E69-F69</f>
        <v>424071.03459974844</v>
      </c>
      <c r="H69" s="5">
        <f t="shared" ref="H69:H132" si="7">H68-G69</f>
        <v>178612017.25816584</v>
      </c>
    </row>
    <row r="70" spans="4:8" x14ac:dyDescent="0.25">
      <c r="D70" s="4">
        <v>68</v>
      </c>
      <c r="E70" s="5">
        <f t="shared" si="4"/>
        <v>2055531.7382344415</v>
      </c>
      <c r="F70" s="5">
        <f t="shared" si="5"/>
        <v>1627596.3697168974</v>
      </c>
      <c r="G70" s="5">
        <f t="shared" si="6"/>
        <v>427935.36851754412</v>
      </c>
      <c r="H70" s="5">
        <f t="shared" si="7"/>
        <v>178184081.88964829</v>
      </c>
    </row>
    <row r="71" spans="4:8" x14ac:dyDescent="0.25">
      <c r="D71" s="4">
        <v>69</v>
      </c>
      <c r="E71" s="5">
        <f t="shared" si="4"/>
        <v>2055531.7382344415</v>
      </c>
      <c r="F71" s="5">
        <f t="shared" si="5"/>
        <v>1623696.822178246</v>
      </c>
      <c r="G71" s="5">
        <f t="shared" si="6"/>
        <v>431834.91605619551</v>
      </c>
      <c r="H71" s="5">
        <f t="shared" si="7"/>
        <v>177752246.9735921</v>
      </c>
    </row>
    <row r="72" spans="4:8" x14ac:dyDescent="0.25">
      <c r="D72" s="4">
        <v>70</v>
      </c>
      <c r="E72" s="5">
        <f t="shared" si="4"/>
        <v>2055531.7382344415</v>
      </c>
      <c r="F72" s="5">
        <f t="shared" si="5"/>
        <v>1619761.7401357307</v>
      </c>
      <c r="G72" s="5">
        <f t="shared" si="6"/>
        <v>435769.99809871078</v>
      </c>
      <c r="H72" s="5">
        <f t="shared" si="7"/>
        <v>177316476.9754934</v>
      </c>
    </row>
    <row r="73" spans="4:8" x14ac:dyDescent="0.25">
      <c r="D73" s="4">
        <v>71</v>
      </c>
      <c r="E73" s="5">
        <f t="shared" si="4"/>
        <v>2055531.7382344415</v>
      </c>
      <c r="F73" s="5">
        <f t="shared" si="5"/>
        <v>1615790.7997823064</v>
      </c>
      <c r="G73" s="5">
        <f t="shared" si="6"/>
        <v>439740.93845213507</v>
      </c>
      <c r="H73" s="5">
        <f t="shared" si="7"/>
        <v>176876736.03704128</v>
      </c>
    </row>
    <row r="74" spans="4:8" x14ac:dyDescent="0.25">
      <c r="D74" s="4">
        <v>72</v>
      </c>
      <c r="E74" s="5">
        <f t="shared" si="4"/>
        <v>2055531.7382344415</v>
      </c>
      <c r="F74" s="5">
        <f t="shared" si="5"/>
        <v>1611783.6743602466</v>
      </c>
      <c r="G74" s="5">
        <f t="shared" si="6"/>
        <v>443748.06387419486</v>
      </c>
      <c r="H74" s="5">
        <f t="shared" si="7"/>
        <v>176432987.97316709</v>
      </c>
    </row>
    <row r="75" spans="4:8" x14ac:dyDescent="0.25">
      <c r="D75" s="4">
        <v>73</v>
      </c>
      <c r="E75" s="5">
        <f t="shared" si="4"/>
        <v>2055531.7382344415</v>
      </c>
      <c r="F75" s="5">
        <f t="shared" si="5"/>
        <v>1607740.0341342555</v>
      </c>
      <c r="G75" s="5">
        <f t="shared" si="6"/>
        <v>447791.70410018601</v>
      </c>
      <c r="H75" s="5">
        <f t="shared" si="7"/>
        <v>175985196.2690669</v>
      </c>
    </row>
    <row r="76" spans="4:8" x14ac:dyDescent="0.25">
      <c r="D76" s="4">
        <v>74</v>
      </c>
      <c r="E76" s="5">
        <f t="shared" si="4"/>
        <v>2055531.7382344415</v>
      </c>
      <c r="F76" s="5">
        <f t="shared" si="5"/>
        <v>1603659.5463643346</v>
      </c>
      <c r="G76" s="5">
        <f t="shared" si="6"/>
        <v>451872.19187010685</v>
      </c>
      <c r="H76" s="5">
        <f t="shared" si="7"/>
        <v>175533324.07719681</v>
      </c>
    </row>
    <row r="77" spans="4:8" x14ac:dyDescent="0.25">
      <c r="D77" s="4">
        <v>75</v>
      </c>
      <c r="E77" s="5">
        <f t="shared" si="4"/>
        <v>2055531.7382344415</v>
      </c>
      <c r="F77" s="5">
        <f t="shared" si="5"/>
        <v>1599541.8752784035</v>
      </c>
      <c r="G77" s="5">
        <f t="shared" si="6"/>
        <v>455989.86295603798</v>
      </c>
      <c r="H77" s="5">
        <f t="shared" si="7"/>
        <v>175077334.21424076</v>
      </c>
    </row>
    <row r="78" spans="4:8" x14ac:dyDescent="0.25">
      <c r="D78" s="4">
        <v>76</v>
      </c>
      <c r="E78" s="5">
        <f t="shared" si="4"/>
        <v>2055531.7382344415</v>
      </c>
      <c r="F78" s="5">
        <f t="shared" si="5"/>
        <v>1595386.6820446681</v>
      </c>
      <c r="G78" s="5">
        <f t="shared" si="6"/>
        <v>460145.05618977337</v>
      </c>
      <c r="H78" s="5">
        <f t="shared" si="7"/>
        <v>174617189.15805098</v>
      </c>
    </row>
    <row r="79" spans="4:8" x14ac:dyDescent="0.25">
      <c r="D79" s="4">
        <v>77</v>
      </c>
      <c r="E79" s="5">
        <f t="shared" ref="E79:E142" si="8">$B$6</f>
        <v>2055531.7382344415</v>
      </c>
      <c r="F79" s="5">
        <f t="shared" ref="F79:F142" si="9">H78*$B$4</f>
        <v>1591193.6247437412</v>
      </c>
      <c r="G79" s="5">
        <f t="shared" si="6"/>
        <v>464338.11349070026</v>
      </c>
      <c r="H79" s="5">
        <f t="shared" si="7"/>
        <v>174152851.04456028</v>
      </c>
    </row>
    <row r="80" spans="4:8" x14ac:dyDescent="0.25">
      <c r="D80" s="4">
        <v>78</v>
      </c>
      <c r="E80" s="5">
        <f t="shared" si="8"/>
        <v>2055531.7382344415</v>
      </c>
      <c r="F80" s="5">
        <f t="shared" si="9"/>
        <v>1586962.3583405053</v>
      </c>
      <c r="G80" s="5">
        <f t="shared" si="6"/>
        <v>468569.37989393622</v>
      </c>
      <c r="H80" s="5">
        <f t="shared" si="7"/>
        <v>173684281.66466635</v>
      </c>
    </row>
    <row r="81" spans="4:8" x14ac:dyDescent="0.25">
      <c r="D81" s="4">
        <v>79</v>
      </c>
      <c r="E81" s="5">
        <f t="shared" si="8"/>
        <v>2055531.7382344415</v>
      </c>
      <c r="F81" s="5">
        <f t="shared" si="9"/>
        <v>1582692.5346557219</v>
      </c>
      <c r="G81" s="5">
        <f t="shared" si="6"/>
        <v>472839.20357871964</v>
      </c>
      <c r="H81" s="5">
        <f t="shared" si="7"/>
        <v>173211442.46108764</v>
      </c>
    </row>
    <row r="82" spans="4:8" x14ac:dyDescent="0.25">
      <c r="D82" s="4">
        <v>80</v>
      </c>
      <c r="E82" s="5">
        <f t="shared" si="8"/>
        <v>2055531.7382344415</v>
      </c>
      <c r="F82" s="5">
        <f t="shared" si="9"/>
        <v>1578383.8023373799</v>
      </c>
      <c r="G82" s="5">
        <f t="shared" si="6"/>
        <v>477147.9358970616</v>
      </c>
      <c r="H82" s="5">
        <f t="shared" si="7"/>
        <v>172734294.52519059</v>
      </c>
    </row>
    <row r="83" spans="4:8" x14ac:dyDescent="0.25">
      <c r="D83" s="4">
        <v>81</v>
      </c>
      <c r="E83" s="5">
        <f t="shared" si="8"/>
        <v>2055531.7382344415</v>
      </c>
      <c r="F83" s="5">
        <f t="shared" si="9"/>
        <v>1574035.8068317838</v>
      </c>
      <c r="G83" s="5">
        <f t="shared" si="6"/>
        <v>481495.93140265765</v>
      </c>
      <c r="H83" s="5">
        <f t="shared" si="7"/>
        <v>172252798.59378794</v>
      </c>
    </row>
    <row r="84" spans="4:8" x14ac:dyDescent="0.25">
      <c r="D84" s="4">
        <v>82</v>
      </c>
      <c r="E84" s="5">
        <f t="shared" si="8"/>
        <v>2055531.7382344415</v>
      </c>
      <c r="F84" s="5">
        <f t="shared" si="9"/>
        <v>1569648.1903543791</v>
      </c>
      <c r="G84" s="5">
        <f t="shared" si="6"/>
        <v>485883.54788006237</v>
      </c>
      <c r="H84" s="5">
        <f t="shared" si="7"/>
        <v>171766915.04590788</v>
      </c>
    </row>
    <row r="85" spans="4:8" x14ac:dyDescent="0.25">
      <c r="D85" s="4">
        <v>83</v>
      </c>
      <c r="E85" s="5">
        <f t="shared" si="8"/>
        <v>2055531.7382344415</v>
      </c>
      <c r="F85" s="5">
        <f t="shared" si="9"/>
        <v>1565220.5918603109</v>
      </c>
      <c r="G85" s="5">
        <f t="shared" si="6"/>
        <v>490311.14637413062</v>
      </c>
      <c r="H85" s="5">
        <f t="shared" si="7"/>
        <v>171276603.89953375</v>
      </c>
    </row>
    <row r="86" spans="4:8" x14ac:dyDescent="0.25">
      <c r="D86" s="4">
        <v>84</v>
      </c>
      <c r="E86" s="5">
        <f t="shared" si="8"/>
        <v>2055531.7382344415</v>
      </c>
      <c r="F86" s="5">
        <f t="shared" si="9"/>
        <v>1560752.6470147141</v>
      </c>
      <c r="G86" s="5">
        <f t="shared" si="6"/>
        <v>494779.09121972742</v>
      </c>
      <c r="H86" s="5">
        <f t="shared" si="7"/>
        <v>170781824.80831403</v>
      </c>
    </row>
    <row r="87" spans="4:8" x14ac:dyDescent="0.25">
      <c r="D87" s="4">
        <v>85</v>
      </c>
      <c r="E87" s="5">
        <f t="shared" si="8"/>
        <v>2055531.7382344415</v>
      </c>
      <c r="F87" s="5">
        <f t="shared" si="9"/>
        <v>1556243.9881627338</v>
      </c>
      <c r="G87" s="5">
        <f t="shared" si="6"/>
        <v>499287.75007170765</v>
      </c>
      <c r="H87" s="5">
        <f t="shared" si="7"/>
        <v>170282537.05824232</v>
      </c>
    </row>
    <row r="88" spans="4:8" x14ac:dyDescent="0.25">
      <c r="D88" s="4">
        <v>86</v>
      </c>
      <c r="E88" s="5">
        <f t="shared" si="8"/>
        <v>2055531.7382344415</v>
      </c>
      <c r="F88" s="5">
        <f t="shared" si="9"/>
        <v>1551694.2442992725</v>
      </c>
      <c r="G88" s="5">
        <f t="shared" si="6"/>
        <v>503837.49393516895</v>
      </c>
      <c r="H88" s="5">
        <f t="shared" si="7"/>
        <v>169778699.56430715</v>
      </c>
    </row>
    <row r="89" spans="4:8" x14ac:dyDescent="0.25">
      <c r="D89" s="4">
        <v>87</v>
      </c>
      <c r="E89" s="5">
        <f t="shared" si="8"/>
        <v>2055531.7382344415</v>
      </c>
      <c r="F89" s="5">
        <f t="shared" si="9"/>
        <v>1547103.0410384592</v>
      </c>
      <c r="G89" s="5">
        <f t="shared" si="6"/>
        <v>508428.69719598233</v>
      </c>
      <c r="H89" s="5">
        <f t="shared" si="7"/>
        <v>169270270.86711118</v>
      </c>
    </row>
    <row r="90" spans="4:8" x14ac:dyDescent="0.25">
      <c r="D90" s="4">
        <v>88</v>
      </c>
      <c r="E90" s="5">
        <f t="shared" si="8"/>
        <v>2055531.7382344415</v>
      </c>
      <c r="F90" s="5">
        <f t="shared" si="9"/>
        <v>1542470.0005828443</v>
      </c>
      <c r="G90" s="5">
        <f t="shared" si="6"/>
        <v>513061.73765159724</v>
      </c>
      <c r="H90" s="5">
        <f t="shared" si="7"/>
        <v>168757209.12945959</v>
      </c>
    </row>
    <row r="91" spans="4:8" x14ac:dyDescent="0.25">
      <c r="D91" s="4">
        <v>89</v>
      </c>
      <c r="E91" s="5">
        <f t="shared" si="8"/>
        <v>2055531.7382344415</v>
      </c>
      <c r="F91" s="5">
        <f t="shared" si="9"/>
        <v>1537794.7416923107</v>
      </c>
      <c r="G91" s="5">
        <f t="shared" si="6"/>
        <v>517736.99654213083</v>
      </c>
      <c r="H91" s="5">
        <f t="shared" si="7"/>
        <v>168239472.13291746</v>
      </c>
    </row>
    <row r="92" spans="4:8" x14ac:dyDescent="0.25">
      <c r="D92" s="4">
        <v>90</v>
      </c>
      <c r="E92" s="5">
        <f t="shared" si="8"/>
        <v>2055531.7382344415</v>
      </c>
      <c r="F92" s="5">
        <f t="shared" si="9"/>
        <v>1533076.8796527027</v>
      </c>
      <c r="G92" s="5">
        <f t="shared" si="6"/>
        <v>522454.85858173878</v>
      </c>
      <c r="H92" s="5">
        <f t="shared" si="7"/>
        <v>167717017.27433571</v>
      </c>
    </row>
    <row r="93" spans="4:8" x14ac:dyDescent="0.25">
      <c r="D93" s="4">
        <v>91</v>
      </c>
      <c r="E93" s="5">
        <f t="shared" si="8"/>
        <v>2055531.7382344415</v>
      </c>
      <c r="F93" s="5">
        <f t="shared" si="9"/>
        <v>1528316.0262441691</v>
      </c>
      <c r="G93" s="5">
        <f t="shared" si="6"/>
        <v>527215.71199027239</v>
      </c>
      <c r="H93" s="5">
        <f t="shared" si="7"/>
        <v>167189801.56234545</v>
      </c>
    </row>
    <row r="94" spans="4:8" x14ac:dyDescent="0.25">
      <c r="D94" s="4">
        <v>92</v>
      </c>
      <c r="E94" s="5">
        <f t="shared" si="8"/>
        <v>2055531.7382344415</v>
      </c>
      <c r="F94" s="5">
        <f t="shared" si="9"/>
        <v>1523511.7897092176</v>
      </c>
      <c r="G94" s="5">
        <f t="shared" si="6"/>
        <v>532019.94852522388</v>
      </c>
      <c r="H94" s="5">
        <f t="shared" si="7"/>
        <v>166657781.61382023</v>
      </c>
    </row>
    <row r="95" spans="4:8" x14ac:dyDescent="0.25">
      <c r="D95" s="4">
        <v>93</v>
      </c>
      <c r="E95" s="5">
        <f t="shared" si="8"/>
        <v>2055531.7382344415</v>
      </c>
      <c r="F95" s="5">
        <f t="shared" si="9"/>
        <v>1518663.7747204779</v>
      </c>
      <c r="G95" s="5">
        <f t="shared" si="6"/>
        <v>536867.96351396362</v>
      </c>
      <c r="H95" s="5">
        <f t="shared" si="7"/>
        <v>166120913.65030625</v>
      </c>
    </row>
    <row r="96" spans="4:8" x14ac:dyDescent="0.25">
      <c r="D96" s="4">
        <v>94</v>
      </c>
      <c r="E96" s="5">
        <f t="shared" si="8"/>
        <v>2055531.7382344415</v>
      </c>
      <c r="F96" s="5">
        <f t="shared" si="9"/>
        <v>1513771.5823481716</v>
      </c>
      <c r="G96" s="5">
        <f t="shared" si="6"/>
        <v>541760.15588626987</v>
      </c>
      <c r="H96" s="5">
        <f t="shared" si="7"/>
        <v>165579153.49441999</v>
      </c>
    </row>
    <row r="97" spans="4:8" x14ac:dyDescent="0.25">
      <c r="D97" s="4">
        <v>95</v>
      </c>
      <c r="E97" s="5">
        <f t="shared" si="8"/>
        <v>2055531.7382344415</v>
      </c>
      <c r="F97" s="5">
        <f t="shared" si="9"/>
        <v>1508834.8100272855</v>
      </c>
      <c r="G97" s="5">
        <f t="shared" si="6"/>
        <v>546696.92820715602</v>
      </c>
      <c r="H97" s="5">
        <f t="shared" si="7"/>
        <v>165032456.56621283</v>
      </c>
    </row>
    <row r="98" spans="4:8" x14ac:dyDescent="0.25">
      <c r="D98" s="4">
        <v>96</v>
      </c>
      <c r="E98" s="5">
        <f t="shared" si="8"/>
        <v>2055531.7382344415</v>
      </c>
      <c r="F98" s="5">
        <f t="shared" si="9"/>
        <v>1503853.0515244452</v>
      </c>
      <c r="G98" s="5">
        <f t="shared" si="6"/>
        <v>551678.68670999631</v>
      </c>
      <c r="H98" s="5">
        <f t="shared" si="7"/>
        <v>164480777.87950283</v>
      </c>
    </row>
    <row r="99" spans="4:8" x14ac:dyDescent="0.25">
      <c r="D99" s="4">
        <v>97</v>
      </c>
      <c r="E99" s="5">
        <f t="shared" si="8"/>
        <v>2055531.7382344415</v>
      </c>
      <c r="F99" s="5">
        <f t="shared" si="9"/>
        <v>1498825.8969044872</v>
      </c>
      <c r="G99" s="5">
        <f t="shared" si="6"/>
        <v>556705.84132995433</v>
      </c>
      <c r="H99" s="5">
        <f t="shared" si="7"/>
        <v>163924072.03817287</v>
      </c>
    </row>
    <row r="100" spans="4:8" x14ac:dyDescent="0.25">
      <c r="D100" s="4">
        <v>98</v>
      </c>
      <c r="E100" s="5">
        <f t="shared" si="8"/>
        <v>2055531.7382344415</v>
      </c>
      <c r="F100" s="5">
        <f t="shared" si="9"/>
        <v>1493752.9324967274</v>
      </c>
      <c r="G100" s="5">
        <f t="shared" si="6"/>
        <v>561778.80573771405</v>
      </c>
      <c r="H100" s="5">
        <f t="shared" si="7"/>
        <v>163362293.23243517</v>
      </c>
    </row>
    <row r="101" spans="4:8" x14ac:dyDescent="0.25">
      <c r="D101" s="4">
        <v>99</v>
      </c>
      <c r="E101" s="5">
        <f t="shared" si="8"/>
        <v>2055531.7382344415</v>
      </c>
      <c r="F101" s="5">
        <f t="shared" si="9"/>
        <v>1488633.7408609209</v>
      </c>
      <c r="G101" s="5">
        <f t="shared" si="6"/>
        <v>566897.99737352063</v>
      </c>
      <c r="H101" s="5">
        <f t="shared" si="7"/>
        <v>162795395.23506165</v>
      </c>
    </row>
    <row r="102" spans="4:8" x14ac:dyDescent="0.25">
      <c r="D102" s="4">
        <v>100</v>
      </c>
      <c r="E102" s="5">
        <f t="shared" si="8"/>
        <v>2055531.7382344415</v>
      </c>
      <c r="F102" s="5">
        <f t="shared" si="9"/>
        <v>1483467.9007529102</v>
      </c>
      <c r="G102" s="5">
        <f t="shared" si="6"/>
        <v>572063.83748153131</v>
      </c>
      <c r="H102" s="5">
        <f t="shared" si="7"/>
        <v>162223331.39758012</v>
      </c>
    </row>
    <row r="103" spans="4:8" x14ac:dyDescent="0.25">
      <c r="D103" s="4">
        <v>101</v>
      </c>
      <c r="E103" s="5">
        <f t="shared" si="8"/>
        <v>2055531.7382344415</v>
      </c>
      <c r="F103" s="5">
        <f t="shared" si="9"/>
        <v>1478254.9870899653</v>
      </c>
      <c r="G103" s="5">
        <f t="shared" si="6"/>
        <v>577276.75114447623</v>
      </c>
      <c r="H103" s="5">
        <f t="shared" si="7"/>
        <v>161646054.64643565</v>
      </c>
    </row>
    <row r="104" spans="4:8" x14ac:dyDescent="0.25">
      <c r="D104" s="4">
        <v>102</v>
      </c>
      <c r="E104" s="5">
        <f t="shared" si="8"/>
        <v>2055531.7382344415</v>
      </c>
      <c r="F104" s="5">
        <f t="shared" si="9"/>
        <v>1472994.5709158024</v>
      </c>
      <c r="G104" s="5">
        <f t="shared" si="6"/>
        <v>582537.16731863911</v>
      </c>
      <c r="H104" s="5">
        <f t="shared" si="7"/>
        <v>161063517.47911701</v>
      </c>
    </row>
    <row r="105" spans="4:8" x14ac:dyDescent="0.25">
      <c r="D105" s="4">
        <v>103</v>
      </c>
      <c r="E105" s="5">
        <f t="shared" si="8"/>
        <v>2055531.7382344415</v>
      </c>
      <c r="F105" s="5">
        <f t="shared" si="9"/>
        <v>1467686.2193652873</v>
      </c>
      <c r="G105" s="5">
        <f t="shared" si="6"/>
        <v>587845.51886915416</v>
      </c>
      <c r="H105" s="5">
        <f t="shared" si="7"/>
        <v>160475671.96024784</v>
      </c>
    </row>
    <row r="106" spans="4:8" x14ac:dyDescent="0.25">
      <c r="D106" s="4">
        <v>104</v>
      </c>
      <c r="E106" s="5">
        <f t="shared" si="8"/>
        <v>2055531.7382344415</v>
      </c>
      <c r="F106" s="5">
        <f t="shared" si="9"/>
        <v>1462329.4956288163</v>
      </c>
      <c r="G106" s="5">
        <f t="shared" si="6"/>
        <v>593202.24260562519</v>
      </c>
      <c r="H106" s="5">
        <f t="shared" si="7"/>
        <v>159882469.71764222</v>
      </c>
    </row>
    <row r="107" spans="4:8" x14ac:dyDescent="0.25">
      <c r="D107" s="4">
        <v>105</v>
      </c>
      <c r="E107" s="5">
        <f t="shared" si="8"/>
        <v>2055531.7382344415</v>
      </c>
      <c r="F107" s="5">
        <f t="shared" si="9"/>
        <v>1456923.9589163715</v>
      </c>
      <c r="G107" s="5">
        <f t="shared" si="6"/>
        <v>598607.77931807004</v>
      </c>
      <c r="H107" s="5">
        <f t="shared" si="7"/>
        <v>159283861.93832415</v>
      </c>
    </row>
    <row r="108" spans="4:8" x14ac:dyDescent="0.25">
      <c r="D108" s="4">
        <v>106</v>
      </c>
      <c r="E108" s="5">
        <f t="shared" si="8"/>
        <v>2055531.7382344415</v>
      </c>
      <c r="F108" s="5">
        <f t="shared" si="9"/>
        <v>1451469.1644212501</v>
      </c>
      <c r="G108" s="5">
        <f t="shared" si="6"/>
        <v>604062.57381319138</v>
      </c>
      <c r="H108" s="5">
        <f t="shared" si="7"/>
        <v>158679799.36451095</v>
      </c>
    </row>
    <row r="109" spans="4:8" x14ac:dyDescent="0.25">
      <c r="D109" s="4">
        <v>107</v>
      </c>
      <c r="E109" s="5">
        <f t="shared" si="8"/>
        <v>2055531.7382344415</v>
      </c>
      <c r="F109" s="5">
        <f t="shared" si="9"/>
        <v>1445964.6632834619</v>
      </c>
      <c r="G109" s="5">
        <f t="shared" si="6"/>
        <v>609567.07495097956</v>
      </c>
      <c r="H109" s="5">
        <f t="shared" si="7"/>
        <v>158070232.28955996</v>
      </c>
    </row>
    <row r="110" spans="4:8" x14ac:dyDescent="0.25">
      <c r="D110" s="4">
        <v>108</v>
      </c>
      <c r="E110" s="5">
        <f t="shared" si="8"/>
        <v>2055531.7382344415</v>
      </c>
      <c r="F110" s="5">
        <f t="shared" si="9"/>
        <v>1440410.0025527948</v>
      </c>
      <c r="G110" s="5">
        <f t="shared" si="6"/>
        <v>615121.73568164674</v>
      </c>
      <c r="H110" s="5">
        <f t="shared" si="7"/>
        <v>157455110.55387831</v>
      </c>
    </row>
    <row r="111" spans="4:8" x14ac:dyDescent="0.25">
      <c r="D111" s="4">
        <v>109</v>
      </c>
      <c r="E111" s="5">
        <f t="shared" si="8"/>
        <v>2055531.7382344415</v>
      </c>
      <c r="F111" s="5">
        <f t="shared" si="9"/>
        <v>1434804.7251515416</v>
      </c>
      <c r="G111" s="5">
        <f t="shared" si="6"/>
        <v>620727.01308289985</v>
      </c>
      <c r="H111" s="5">
        <f t="shared" si="7"/>
        <v>156834383.54079542</v>
      </c>
    </row>
    <row r="112" spans="4:8" x14ac:dyDescent="0.25">
      <c r="D112" s="4">
        <v>110</v>
      </c>
      <c r="E112" s="5">
        <f t="shared" si="8"/>
        <v>2055531.7382344415</v>
      </c>
      <c r="F112" s="5">
        <f t="shared" si="9"/>
        <v>1429148.3698368899</v>
      </c>
      <c r="G112" s="5">
        <f t="shared" si="6"/>
        <v>626383.36839755159</v>
      </c>
      <c r="H112" s="5">
        <f t="shared" si="7"/>
        <v>156208000.17239785</v>
      </c>
    </row>
    <row r="113" spans="4:8" x14ac:dyDescent="0.25">
      <c r="D113" s="4">
        <v>111</v>
      </c>
      <c r="E113" s="5">
        <f t="shared" si="8"/>
        <v>2055531.7382344415</v>
      </c>
      <c r="F113" s="5">
        <f t="shared" si="9"/>
        <v>1423440.4711629651</v>
      </c>
      <c r="G113" s="5">
        <f t="shared" si="6"/>
        <v>632091.26707147644</v>
      </c>
      <c r="H113" s="5">
        <f t="shared" si="7"/>
        <v>155575908.90532637</v>
      </c>
    </row>
    <row r="114" spans="4:8" x14ac:dyDescent="0.25">
      <c r="D114" s="4">
        <v>112</v>
      </c>
      <c r="E114" s="5">
        <f t="shared" si="8"/>
        <v>2055531.7382344415</v>
      </c>
      <c r="F114" s="5">
        <f t="shared" si="9"/>
        <v>1417680.5594425332</v>
      </c>
      <c r="G114" s="5">
        <f t="shared" si="6"/>
        <v>637851.17879190831</v>
      </c>
      <c r="H114" s="5">
        <f t="shared" si="7"/>
        <v>154938057.72653446</v>
      </c>
    </row>
    <row r="115" spans="4:8" x14ac:dyDescent="0.25">
      <c r="D115" s="4">
        <v>113</v>
      </c>
      <c r="E115" s="5">
        <f t="shared" si="8"/>
        <v>2055531.7382344415</v>
      </c>
      <c r="F115" s="5">
        <f t="shared" si="9"/>
        <v>1411868.1607083494</v>
      </c>
      <c r="G115" s="5">
        <f t="shared" si="6"/>
        <v>643663.57752609206</v>
      </c>
      <c r="H115" s="5">
        <f t="shared" si="7"/>
        <v>154294394.14900836</v>
      </c>
    </row>
    <row r="116" spans="4:8" x14ac:dyDescent="0.25">
      <c r="D116" s="4">
        <v>114</v>
      </c>
      <c r="E116" s="5">
        <f t="shared" si="8"/>
        <v>2055531.7382344415</v>
      </c>
      <c r="F116" s="5">
        <f t="shared" si="9"/>
        <v>1406002.7966741577</v>
      </c>
      <c r="G116" s="5">
        <f t="shared" si="6"/>
        <v>649528.94156028377</v>
      </c>
      <c r="H116" s="5">
        <f t="shared" si="7"/>
        <v>153644865.20744807</v>
      </c>
    </row>
    <row r="117" spans="4:8" x14ac:dyDescent="0.25">
      <c r="D117" s="4">
        <v>115</v>
      </c>
      <c r="E117" s="5">
        <f t="shared" si="8"/>
        <v>2055531.7382344415</v>
      </c>
      <c r="F117" s="5">
        <f t="shared" si="9"/>
        <v>1400083.9846953335</v>
      </c>
      <c r="G117" s="5">
        <f t="shared" si="6"/>
        <v>655447.75353910797</v>
      </c>
      <c r="H117" s="5">
        <f t="shared" si="7"/>
        <v>152989417.45390895</v>
      </c>
    </row>
    <row r="118" spans="4:8" x14ac:dyDescent="0.25">
      <c r="D118" s="4">
        <v>116</v>
      </c>
      <c r="E118" s="5">
        <f t="shared" si="8"/>
        <v>2055531.7382344415</v>
      </c>
      <c r="F118" s="5">
        <f t="shared" si="9"/>
        <v>1394111.2377291683</v>
      </c>
      <c r="G118" s="5">
        <f t="shared" si="6"/>
        <v>661420.50050527323</v>
      </c>
      <c r="H118" s="5">
        <f t="shared" si="7"/>
        <v>152327996.95340368</v>
      </c>
    </row>
    <row r="119" spans="4:8" x14ac:dyDescent="0.25">
      <c r="D119" s="4">
        <v>117</v>
      </c>
      <c r="E119" s="5">
        <f t="shared" si="8"/>
        <v>2055531.7382344415</v>
      </c>
      <c r="F119" s="5">
        <f t="shared" si="9"/>
        <v>1388084.0642947925</v>
      </c>
      <c r="G119" s="5">
        <f t="shared" si="6"/>
        <v>667447.67393964902</v>
      </c>
      <c r="H119" s="5">
        <f t="shared" si="7"/>
        <v>151660549.27946404</v>
      </c>
    </row>
    <row r="120" spans="4:8" x14ac:dyDescent="0.25">
      <c r="D120" s="4">
        <v>118</v>
      </c>
      <c r="E120" s="5">
        <f t="shared" si="8"/>
        <v>2055531.7382344415</v>
      </c>
      <c r="F120" s="5">
        <f t="shared" si="9"/>
        <v>1382001.9684327319</v>
      </c>
      <c r="G120" s="5">
        <f t="shared" si="6"/>
        <v>673529.76980170957</v>
      </c>
      <c r="H120" s="5">
        <f t="shared" si="7"/>
        <v>150987019.50966233</v>
      </c>
    </row>
    <row r="121" spans="4:8" x14ac:dyDescent="0.25">
      <c r="D121" s="4">
        <v>119</v>
      </c>
      <c r="E121" s="5">
        <f t="shared" si="8"/>
        <v>2055531.7382344415</v>
      </c>
      <c r="F121" s="5">
        <f t="shared" si="9"/>
        <v>1375864.4496640982</v>
      </c>
      <c r="G121" s="5">
        <f t="shared" si="6"/>
        <v>679667.28857034328</v>
      </c>
      <c r="H121" s="5">
        <f t="shared" si="7"/>
        <v>150307352.22109199</v>
      </c>
    </row>
    <row r="122" spans="4:8" x14ac:dyDescent="0.25">
      <c r="D122" s="4">
        <v>120</v>
      </c>
      <c r="E122" s="5">
        <f t="shared" si="8"/>
        <v>2055531.7382344415</v>
      </c>
      <c r="F122" s="5">
        <f t="shared" si="9"/>
        <v>1369671.0029494045</v>
      </c>
      <c r="G122" s="5">
        <f t="shared" si="6"/>
        <v>685860.73528503696</v>
      </c>
      <c r="H122" s="5">
        <f t="shared" si="7"/>
        <v>149621491.48580694</v>
      </c>
    </row>
    <row r="123" spans="4:8" x14ac:dyDescent="0.25">
      <c r="D123" s="4">
        <v>121</v>
      </c>
      <c r="E123" s="5">
        <f t="shared" si="8"/>
        <v>2055531.7382344415</v>
      </c>
      <c r="F123" s="5">
        <f t="shared" si="9"/>
        <v>1363421.1186470073</v>
      </c>
      <c r="G123" s="5">
        <f t="shared" si="6"/>
        <v>692110.61958743422</v>
      </c>
      <c r="H123" s="5">
        <f t="shared" si="7"/>
        <v>148929380.86621952</v>
      </c>
    </row>
    <row r="124" spans="4:8" x14ac:dyDescent="0.25">
      <c r="D124" s="4">
        <v>122</v>
      </c>
      <c r="E124" s="5">
        <f t="shared" si="8"/>
        <v>2055531.7382344415</v>
      </c>
      <c r="F124" s="5">
        <f t="shared" si="9"/>
        <v>1357114.2824711704</v>
      </c>
      <c r="G124" s="5">
        <f t="shared" si="6"/>
        <v>698417.45576327108</v>
      </c>
      <c r="H124" s="5">
        <f t="shared" si="7"/>
        <v>148230963.41045624</v>
      </c>
    </row>
    <row r="125" spans="4:8" x14ac:dyDescent="0.25">
      <c r="D125" s="4">
        <v>123</v>
      </c>
      <c r="E125" s="5">
        <f t="shared" si="8"/>
        <v>2055531.7382344415</v>
      </c>
      <c r="F125" s="5">
        <f t="shared" si="9"/>
        <v>1350749.9754497444</v>
      </c>
      <c r="G125" s="5">
        <f t="shared" si="6"/>
        <v>704781.76278469712</v>
      </c>
      <c r="H125" s="5">
        <f t="shared" si="7"/>
        <v>147526181.64767155</v>
      </c>
    </row>
    <row r="126" spans="4:8" x14ac:dyDescent="0.25">
      <c r="D126" s="4">
        <v>124</v>
      </c>
      <c r="E126" s="5">
        <f t="shared" si="8"/>
        <v>2055531.7382344415</v>
      </c>
      <c r="F126" s="5">
        <f t="shared" si="9"/>
        <v>1344327.6738814628</v>
      </c>
      <c r="G126" s="5">
        <f t="shared" si="6"/>
        <v>711204.06435297872</v>
      </c>
      <c r="H126" s="5">
        <f t="shared" si="7"/>
        <v>146814977.58331856</v>
      </c>
    </row>
    <row r="127" spans="4:8" x14ac:dyDescent="0.25">
      <c r="D127" s="4">
        <v>125</v>
      </c>
      <c r="E127" s="5">
        <f t="shared" si="8"/>
        <v>2055531.7382344415</v>
      </c>
      <c r="F127" s="5">
        <f t="shared" si="9"/>
        <v>1337846.849292848</v>
      </c>
      <c r="G127" s="5">
        <f t="shared" si="6"/>
        <v>717684.88894159347</v>
      </c>
      <c r="H127" s="5">
        <f t="shared" si="7"/>
        <v>146097292.69437698</v>
      </c>
    </row>
    <row r="128" spans="4:8" x14ac:dyDescent="0.25">
      <c r="D128" s="4">
        <v>126</v>
      </c>
      <c r="E128" s="5">
        <f t="shared" si="8"/>
        <v>2055531.7382344415</v>
      </c>
      <c r="F128" s="5">
        <f t="shared" si="9"/>
        <v>1331306.9683947244</v>
      </c>
      <c r="G128" s="5">
        <f t="shared" si="6"/>
        <v>724224.76983971708</v>
      </c>
      <c r="H128" s="5">
        <f t="shared" si="7"/>
        <v>145373067.92453727</v>
      </c>
    </row>
    <row r="129" spans="4:8" x14ac:dyDescent="0.25">
      <c r="D129" s="4">
        <v>127</v>
      </c>
      <c r="E129" s="5">
        <f t="shared" si="8"/>
        <v>2055531.7382344415</v>
      </c>
      <c r="F129" s="5">
        <f t="shared" si="9"/>
        <v>1324707.4930383356</v>
      </c>
      <c r="G129" s="5">
        <f t="shared" si="6"/>
        <v>730824.24519610591</v>
      </c>
      <c r="H129" s="5">
        <f t="shared" si="7"/>
        <v>144642243.67934117</v>
      </c>
    </row>
    <row r="130" spans="4:8" x14ac:dyDescent="0.25">
      <c r="D130" s="4">
        <v>128</v>
      </c>
      <c r="E130" s="5">
        <f t="shared" si="8"/>
        <v>2055531.7382344415</v>
      </c>
      <c r="F130" s="5">
        <f t="shared" si="9"/>
        <v>1318047.8801710615</v>
      </c>
      <c r="G130" s="5">
        <f t="shared" si="6"/>
        <v>737483.85806338</v>
      </c>
      <c r="H130" s="5">
        <f t="shared" si="7"/>
        <v>143904759.8212778</v>
      </c>
    </row>
    <row r="131" spans="4:8" x14ac:dyDescent="0.25">
      <c r="D131" s="4">
        <v>129</v>
      </c>
      <c r="E131" s="5">
        <f t="shared" si="8"/>
        <v>2055531.7382344415</v>
      </c>
      <c r="F131" s="5">
        <f t="shared" si="9"/>
        <v>1311327.5817917325</v>
      </c>
      <c r="G131" s="5">
        <f t="shared" si="6"/>
        <v>744204.15644270903</v>
      </c>
      <c r="H131" s="5">
        <f t="shared" si="7"/>
        <v>143160555.6648351</v>
      </c>
    </row>
    <row r="132" spans="4:8" x14ac:dyDescent="0.25">
      <c r="D132" s="4">
        <v>130</v>
      </c>
      <c r="E132" s="5">
        <f t="shared" si="8"/>
        <v>2055531.7382344415</v>
      </c>
      <c r="F132" s="5">
        <f t="shared" si="9"/>
        <v>1304546.0449055349</v>
      </c>
      <c r="G132" s="5">
        <f t="shared" si="6"/>
        <v>750985.69332890655</v>
      </c>
      <c r="H132" s="5">
        <f t="shared" si="7"/>
        <v>142409569.97150618</v>
      </c>
    </row>
    <row r="133" spans="4:8" x14ac:dyDescent="0.25">
      <c r="D133" s="4">
        <v>131</v>
      </c>
      <c r="E133" s="5">
        <f t="shared" si="8"/>
        <v>2055531.7382344415</v>
      </c>
      <c r="F133" s="5">
        <f t="shared" si="9"/>
        <v>1297702.7114785083</v>
      </c>
      <c r="G133" s="5">
        <f t="shared" ref="G133:G196" si="10">E133-F133</f>
        <v>757829.02675593318</v>
      </c>
      <c r="H133" s="5">
        <f t="shared" ref="H133:H196" si="11">H132-G133</f>
        <v>141651740.94475025</v>
      </c>
    </row>
    <row r="134" spans="4:8" x14ac:dyDescent="0.25">
      <c r="D134" s="4">
        <v>132</v>
      </c>
      <c r="E134" s="5">
        <f t="shared" si="8"/>
        <v>2055531.7382344415</v>
      </c>
      <c r="F134" s="5">
        <f t="shared" si="9"/>
        <v>1290797.0183916248</v>
      </c>
      <c r="G134" s="5">
        <f t="shared" si="10"/>
        <v>764734.7198428167</v>
      </c>
      <c r="H134" s="5">
        <f t="shared" si="11"/>
        <v>140887006.22490743</v>
      </c>
    </row>
    <row r="135" spans="4:8" x14ac:dyDescent="0.25">
      <c r="D135" s="4">
        <v>133</v>
      </c>
      <c r="E135" s="5">
        <f t="shared" si="8"/>
        <v>2055531.7382344415</v>
      </c>
      <c r="F135" s="5">
        <f t="shared" si="9"/>
        <v>1283828.397394452</v>
      </c>
      <c r="G135" s="5">
        <f t="shared" si="10"/>
        <v>771703.34083998948</v>
      </c>
      <c r="H135" s="5">
        <f t="shared" si="11"/>
        <v>140115302.88406745</v>
      </c>
    </row>
    <row r="136" spans="4:8" x14ac:dyDescent="0.25">
      <c r="D136" s="4">
        <v>134</v>
      </c>
      <c r="E136" s="5">
        <f t="shared" si="8"/>
        <v>2055531.7382344415</v>
      </c>
      <c r="F136" s="5">
        <f t="shared" si="9"/>
        <v>1276796.2750583938</v>
      </c>
      <c r="G136" s="5">
        <f t="shared" si="10"/>
        <v>778735.46317604766</v>
      </c>
      <c r="H136" s="5">
        <f t="shared" si="11"/>
        <v>139336567.4208914</v>
      </c>
    </row>
    <row r="137" spans="4:8" x14ac:dyDescent="0.25">
      <c r="D137" s="4">
        <v>135</v>
      </c>
      <c r="E137" s="5">
        <f t="shared" si="8"/>
        <v>2055531.7382344415</v>
      </c>
      <c r="F137" s="5">
        <f t="shared" si="9"/>
        <v>1269700.072729504</v>
      </c>
      <c r="G137" s="5">
        <f t="shared" si="10"/>
        <v>785831.66550493753</v>
      </c>
      <c r="H137" s="5">
        <f t="shared" si="11"/>
        <v>138550735.75538647</v>
      </c>
    </row>
    <row r="138" spans="4:8" x14ac:dyDescent="0.25">
      <c r="D138" s="4">
        <v>136</v>
      </c>
      <c r="E138" s="5">
        <f t="shared" si="8"/>
        <v>2055531.7382344415</v>
      </c>
      <c r="F138" s="5">
        <f t="shared" si="9"/>
        <v>1262539.20648087</v>
      </c>
      <c r="G138" s="5">
        <f t="shared" si="10"/>
        <v>792992.53175357147</v>
      </c>
      <c r="H138" s="5">
        <f t="shared" si="11"/>
        <v>137757743.2236329</v>
      </c>
    </row>
    <row r="139" spans="4:8" x14ac:dyDescent="0.25">
      <c r="D139" s="4">
        <v>137</v>
      </c>
      <c r="E139" s="5">
        <f t="shared" si="8"/>
        <v>2055531.7382344415</v>
      </c>
      <c r="F139" s="5">
        <f t="shared" si="9"/>
        <v>1255313.0870645645</v>
      </c>
      <c r="G139" s="5">
        <f t="shared" si="10"/>
        <v>800218.65116987703</v>
      </c>
      <c r="H139" s="5">
        <f t="shared" si="11"/>
        <v>136957524.57246304</v>
      </c>
    </row>
    <row r="140" spans="4:8" x14ac:dyDescent="0.25">
      <c r="D140" s="4">
        <v>138</v>
      </c>
      <c r="E140" s="5">
        <f t="shared" si="8"/>
        <v>2055531.7382344415</v>
      </c>
      <c r="F140" s="5">
        <f t="shared" si="9"/>
        <v>1248021.1198631567</v>
      </c>
      <c r="G140" s="5">
        <f t="shared" si="10"/>
        <v>807510.6183712848</v>
      </c>
      <c r="H140" s="5">
        <f t="shared" si="11"/>
        <v>136150013.95409176</v>
      </c>
    </row>
    <row r="141" spans="4:8" x14ac:dyDescent="0.25">
      <c r="D141" s="4">
        <v>139</v>
      </c>
      <c r="E141" s="5">
        <f t="shared" si="8"/>
        <v>2055531.7382344415</v>
      </c>
      <c r="F141" s="5">
        <f t="shared" si="9"/>
        <v>1240662.704840783</v>
      </c>
      <c r="G141" s="5">
        <f t="shared" si="10"/>
        <v>814869.03339365846</v>
      </c>
      <c r="H141" s="5">
        <f t="shared" si="11"/>
        <v>135335144.92069811</v>
      </c>
    </row>
    <row r="142" spans="4:8" x14ac:dyDescent="0.25">
      <c r="D142" s="4">
        <v>140</v>
      </c>
      <c r="E142" s="5">
        <f t="shared" si="8"/>
        <v>2055531.7382344415</v>
      </c>
      <c r="F142" s="5">
        <f t="shared" si="9"/>
        <v>1233237.2364937726</v>
      </c>
      <c r="G142" s="5">
        <f t="shared" si="10"/>
        <v>822294.5017406689</v>
      </c>
      <c r="H142" s="5">
        <f t="shared" si="11"/>
        <v>134512850.41895744</v>
      </c>
    </row>
    <row r="143" spans="4:8" x14ac:dyDescent="0.25">
      <c r="D143" s="4">
        <v>141</v>
      </c>
      <c r="E143" s="5">
        <f t="shared" ref="E143:E206" si="12">$B$6</f>
        <v>2055531.7382344415</v>
      </c>
      <c r="F143" s="5">
        <f t="shared" ref="F143:F206" si="13">H142*$B$4</f>
        <v>1225744.1038008204</v>
      </c>
      <c r="G143" s="5">
        <f t="shared" si="10"/>
        <v>829787.63443362108</v>
      </c>
      <c r="H143" s="5">
        <f t="shared" si="11"/>
        <v>133683062.78452381</v>
      </c>
    </row>
    <row r="144" spans="4:8" x14ac:dyDescent="0.25">
      <c r="D144" s="4">
        <v>142</v>
      </c>
      <c r="E144" s="5">
        <f t="shared" si="12"/>
        <v>2055531.7382344415</v>
      </c>
      <c r="F144" s="5">
        <f t="shared" si="13"/>
        <v>1218182.6901727102</v>
      </c>
      <c r="G144" s="5">
        <f t="shared" si="10"/>
        <v>837349.04806173127</v>
      </c>
      <c r="H144" s="5">
        <f t="shared" si="11"/>
        <v>132845713.73646209</v>
      </c>
    </row>
    <row r="145" spans="4:8" x14ac:dyDescent="0.25">
      <c r="D145" s="4">
        <v>143</v>
      </c>
      <c r="E145" s="5">
        <f t="shared" si="12"/>
        <v>2055531.7382344415</v>
      </c>
      <c r="F145" s="5">
        <f t="shared" si="13"/>
        <v>1210552.3734015757</v>
      </c>
      <c r="G145" s="5">
        <f t="shared" si="10"/>
        <v>844979.36483286577</v>
      </c>
      <c r="H145" s="5">
        <f t="shared" si="11"/>
        <v>132000734.37162922</v>
      </c>
    </row>
    <row r="146" spans="4:8" x14ac:dyDescent="0.25">
      <c r="D146" s="4">
        <v>144</v>
      </c>
      <c r="E146" s="5">
        <f t="shared" si="12"/>
        <v>2055531.7382344415</v>
      </c>
      <c r="F146" s="5">
        <f t="shared" si="13"/>
        <v>1202852.5256097005</v>
      </c>
      <c r="G146" s="5">
        <f t="shared" si="10"/>
        <v>852679.21262474102</v>
      </c>
      <c r="H146" s="5">
        <f t="shared" si="11"/>
        <v>131148055.15900448</v>
      </c>
    </row>
    <row r="147" spans="4:8" x14ac:dyDescent="0.25">
      <c r="D147" s="4">
        <v>145</v>
      </c>
      <c r="E147" s="5">
        <f t="shared" si="12"/>
        <v>2055531.7382344415</v>
      </c>
      <c r="F147" s="5">
        <f t="shared" si="13"/>
        <v>1195082.513197853</v>
      </c>
      <c r="G147" s="5">
        <f t="shared" si="10"/>
        <v>860449.2250365885</v>
      </c>
      <c r="H147" s="5">
        <f t="shared" si="11"/>
        <v>130287605.93396789</v>
      </c>
    </row>
    <row r="148" spans="4:8" x14ac:dyDescent="0.25">
      <c r="D148" s="4">
        <v>146</v>
      </c>
      <c r="E148" s="5">
        <f t="shared" si="12"/>
        <v>2055531.7382344415</v>
      </c>
      <c r="F148" s="5">
        <f t="shared" si="13"/>
        <v>1187241.6967931478</v>
      </c>
      <c r="G148" s="5">
        <f t="shared" si="10"/>
        <v>868290.04144129367</v>
      </c>
      <c r="H148" s="5">
        <f t="shared" si="11"/>
        <v>129419315.8925266</v>
      </c>
    </row>
    <row r="149" spans="4:8" x14ac:dyDescent="0.25">
      <c r="D149" s="4">
        <v>147</v>
      </c>
      <c r="E149" s="5">
        <f t="shared" si="12"/>
        <v>2055531.7382344415</v>
      </c>
      <c r="F149" s="5">
        <f t="shared" si="13"/>
        <v>1179329.4311964356</v>
      </c>
      <c r="G149" s="5">
        <f t="shared" si="10"/>
        <v>876202.30703800591</v>
      </c>
      <c r="H149" s="5">
        <f t="shared" si="11"/>
        <v>128543113.58548859</v>
      </c>
    </row>
    <row r="150" spans="4:8" x14ac:dyDescent="0.25">
      <c r="D150" s="4">
        <v>148</v>
      </c>
      <c r="E150" s="5">
        <f t="shared" si="12"/>
        <v>2055531.7382344415</v>
      </c>
      <c r="F150" s="5">
        <f t="shared" si="13"/>
        <v>1171345.0653292087</v>
      </c>
      <c r="G150" s="5">
        <f t="shared" si="10"/>
        <v>884186.67290523276</v>
      </c>
      <c r="H150" s="5">
        <f t="shared" si="11"/>
        <v>127658926.91258335</v>
      </c>
    </row>
    <row r="151" spans="4:8" x14ac:dyDescent="0.25">
      <c r="D151" s="4">
        <v>149</v>
      </c>
      <c r="E151" s="5">
        <f t="shared" si="12"/>
        <v>2055531.7382344415</v>
      </c>
      <c r="F151" s="5">
        <f t="shared" si="13"/>
        <v>1163287.942180028</v>
      </c>
      <c r="G151" s="5">
        <f t="shared" si="10"/>
        <v>892243.79605441354</v>
      </c>
      <c r="H151" s="5">
        <f t="shared" si="11"/>
        <v>126766683.11652894</v>
      </c>
    </row>
    <row r="152" spans="4:8" x14ac:dyDescent="0.25">
      <c r="D152" s="4">
        <v>150</v>
      </c>
      <c r="E152" s="5">
        <f t="shared" si="12"/>
        <v>2055531.7382344415</v>
      </c>
      <c r="F152" s="5">
        <f t="shared" si="13"/>
        <v>1155157.3987504584</v>
      </c>
      <c r="G152" s="5">
        <f t="shared" si="10"/>
        <v>900374.33948398312</v>
      </c>
      <c r="H152" s="5">
        <f t="shared" si="11"/>
        <v>125866308.77704497</v>
      </c>
    </row>
    <row r="153" spans="4:8" x14ac:dyDescent="0.25">
      <c r="D153" s="4">
        <v>151</v>
      </c>
      <c r="E153" s="5">
        <f t="shared" si="12"/>
        <v>2055531.7382344415</v>
      </c>
      <c r="F153" s="5">
        <f t="shared" si="13"/>
        <v>1146952.7660005118</v>
      </c>
      <c r="G153" s="5">
        <f t="shared" si="10"/>
        <v>908578.97223392967</v>
      </c>
      <c r="H153" s="5">
        <f t="shared" si="11"/>
        <v>124957729.80481103</v>
      </c>
    </row>
    <row r="154" spans="4:8" x14ac:dyDescent="0.25">
      <c r="D154" s="4">
        <v>152</v>
      </c>
      <c r="E154" s="5">
        <f t="shared" si="12"/>
        <v>2055531.7382344415</v>
      </c>
      <c r="F154" s="5">
        <f t="shared" si="13"/>
        <v>1138673.3687935947</v>
      </c>
      <c r="G154" s="5">
        <f t="shared" si="10"/>
        <v>916858.36944084684</v>
      </c>
      <c r="H154" s="5">
        <f t="shared" si="11"/>
        <v>124040871.43537018</v>
      </c>
    </row>
    <row r="155" spans="4:8" x14ac:dyDescent="0.25">
      <c r="D155" s="4">
        <v>153</v>
      </c>
      <c r="E155" s="5">
        <f t="shared" si="12"/>
        <v>2055531.7382344415</v>
      </c>
      <c r="F155" s="5">
        <f t="shared" si="13"/>
        <v>1130318.5258409532</v>
      </c>
      <c r="G155" s="5">
        <f t="shared" si="10"/>
        <v>925213.21239348827</v>
      </c>
      <c r="H155" s="5">
        <f t="shared" si="11"/>
        <v>123115658.22297668</v>
      </c>
    </row>
    <row r="156" spans="4:8" x14ac:dyDescent="0.25">
      <c r="D156" s="4">
        <v>154</v>
      </c>
      <c r="E156" s="5">
        <f t="shared" si="12"/>
        <v>2055531.7382344415</v>
      </c>
      <c r="F156" s="5">
        <f t="shared" si="13"/>
        <v>1121887.5496456104</v>
      </c>
      <c r="G156" s="5">
        <f t="shared" si="10"/>
        <v>933644.18858883111</v>
      </c>
      <c r="H156" s="5">
        <f t="shared" si="11"/>
        <v>122182014.03438786</v>
      </c>
    </row>
    <row r="157" spans="4:8" x14ac:dyDescent="0.25">
      <c r="D157" s="4">
        <v>155</v>
      </c>
      <c r="E157" s="5">
        <f t="shared" si="12"/>
        <v>2055531.7382344415</v>
      </c>
      <c r="F157" s="5">
        <f t="shared" si="13"/>
        <v>1113379.7464457953</v>
      </c>
      <c r="G157" s="5">
        <f t="shared" si="10"/>
        <v>942151.99178864621</v>
      </c>
      <c r="H157" s="5">
        <f t="shared" si="11"/>
        <v>121239862.04259922</v>
      </c>
    </row>
    <row r="158" spans="4:8" x14ac:dyDescent="0.25">
      <c r="D158" s="4">
        <v>156</v>
      </c>
      <c r="E158" s="5">
        <f t="shared" si="12"/>
        <v>2055531.7382344415</v>
      </c>
      <c r="F158" s="5">
        <f t="shared" si="13"/>
        <v>1104794.4161578545</v>
      </c>
      <c r="G158" s="5">
        <f t="shared" si="10"/>
        <v>950737.32207658701</v>
      </c>
      <c r="H158" s="5">
        <f t="shared" si="11"/>
        <v>120289124.72052263</v>
      </c>
    </row>
    <row r="159" spans="4:8" x14ac:dyDescent="0.25">
      <c r="D159" s="4">
        <v>157</v>
      </c>
      <c r="E159" s="5">
        <f t="shared" si="12"/>
        <v>2055531.7382344415</v>
      </c>
      <c r="F159" s="5">
        <f t="shared" si="13"/>
        <v>1096130.8523186443</v>
      </c>
      <c r="G159" s="5">
        <f t="shared" si="10"/>
        <v>959400.8859157972</v>
      </c>
      <c r="H159" s="5">
        <f t="shared" si="11"/>
        <v>119329723.83460683</v>
      </c>
    </row>
    <row r="160" spans="4:8" x14ac:dyDescent="0.25">
      <c r="D160" s="4">
        <v>158</v>
      </c>
      <c r="E160" s="5">
        <f t="shared" si="12"/>
        <v>2055531.7382344415</v>
      </c>
      <c r="F160" s="5">
        <f t="shared" si="13"/>
        <v>1087388.3420273983</v>
      </c>
      <c r="G160" s="5">
        <f t="shared" si="10"/>
        <v>968143.3962070432</v>
      </c>
      <c r="H160" s="5">
        <f t="shared" si="11"/>
        <v>118361580.43839978</v>
      </c>
    </row>
    <row r="161" spans="4:8" x14ac:dyDescent="0.25">
      <c r="D161" s="4">
        <v>159</v>
      </c>
      <c r="E161" s="5">
        <f t="shared" si="12"/>
        <v>2055531.7382344415</v>
      </c>
      <c r="F161" s="5">
        <f t="shared" si="13"/>
        <v>1078566.1658870638</v>
      </c>
      <c r="G161" s="5">
        <f t="shared" si="10"/>
        <v>976965.57234737766</v>
      </c>
      <c r="H161" s="5">
        <f t="shared" si="11"/>
        <v>117384614.8660524</v>
      </c>
    </row>
    <row r="162" spans="4:8" x14ac:dyDescent="0.25">
      <c r="D162" s="4">
        <v>160</v>
      </c>
      <c r="E162" s="5">
        <f t="shared" si="12"/>
        <v>2055531.7382344415</v>
      </c>
      <c r="F162" s="5">
        <f t="shared" si="13"/>
        <v>1069663.597945106</v>
      </c>
      <c r="G162" s="5">
        <f t="shared" si="10"/>
        <v>985868.14028933551</v>
      </c>
      <c r="H162" s="5">
        <f t="shared" si="11"/>
        <v>116398746.72576307</v>
      </c>
    </row>
    <row r="163" spans="4:8" x14ac:dyDescent="0.25">
      <c r="D163" s="4">
        <v>161</v>
      </c>
      <c r="E163" s="5">
        <f t="shared" si="12"/>
        <v>2055531.7382344415</v>
      </c>
      <c r="F163" s="5">
        <f t="shared" si="13"/>
        <v>1060679.9056337695</v>
      </c>
      <c r="G163" s="5">
        <f t="shared" si="10"/>
        <v>994851.83260067203</v>
      </c>
      <c r="H163" s="5">
        <f t="shared" si="11"/>
        <v>115403894.8931624</v>
      </c>
    </row>
    <row r="164" spans="4:8" x14ac:dyDescent="0.25">
      <c r="D164" s="4">
        <v>162</v>
      </c>
      <c r="E164" s="5">
        <f t="shared" si="12"/>
        <v>2055531.7382344415</v>
      </c>
      <c r="F164" s="5">
        <f t="shared" si="13"/>
        <v>1051614.3497097993</v>
      </c>
      <c r="G164" s="5">
        <f t="shared" si="10"/>
        <v>1003917.3885246422</v>
      </c>
      <c r="H164" s="5">
        <f t="shared" si="11"/>
        <v>114399977.50463776</v>
      </c>
    </row>
    <row r="165" spans="4:8" x14ac:dyDescent="0.25">
      <c r="D165" s="4">
        <v>163</v>
      </c>
      <c r="E165" s="5">
        <f t="shared" si="12"/>
        <v>2055531.7382344415</v>
      </c>
      <c r="F165" s="5">
        <f t="shared" si="13"/>
        <v>1042466.1841936088</v>
      </c>
      <c r="G165" s="5">
        <f t="shared" si="10"/>
        <v>1013065.5540408327</v>
      </c>
      <c r="H165" s="5">
        <f t="shared" si="11"/>
        <v>113386911.95059693</v>
      </c>
    </row>
    <row r="166" spans="4:8" x14ac:dyDescent="0.25">
      <c r="D166" s="4">
        <v>164</v>
      </c>
      <c r="E166" s="5">
        <f t="shared" si="12"/>
        <v>2055531.7382344415</v>
      </c>
      <c r="F166" s="5">
        <f t="shared" si="13"/>
        <v>1033234.6563078965</v>
      </c>
      <c r="G166" s="5">
        <f t="shared" si="10"/>
        <v>1022297.081926545</v>
      </c>
      <c r="H166" s="5">
        <f t="shared" si="11"/>
        <v>112364614.86867039</v>
      </c>
    </row>
    <row r="167" spans="4:8" x14ac:dyDescent="0.25">
      <c r="D167" s="4">
        <v>165</v>
      </c>
      <c r="E167" s="5">
        <f t="shared" si="12"/>
        <v>2055531.7382344415</v>
      </c>
      <c r="F167" s="5">
        <f t="shared" si="13"/>
        <v>1023919.0064157011</v>
      </c>
      <c r="G167" s="5">
        <f t="shared" si="10"/>
        <v>1031612.7318187404</v>
      </c>
      <c r="H167" s="5">
        <f t="shared" si="11"/>
        <v>111333002.13685165</v>
      </c>
    </row>
    <row r="168" spans="4:8" x14ac:dyDescent="0.25">
      <c r="D168" s="4">
        <v>166</v>
      </c>
      <c r="E168" s="5">
        <f t="shared" si="12"/>
        <v>2055531.7382344415</v>
      </c>
      <c r="F168" s="5">
        <f t="shared" si="13"/>
        <v>1014518.467957894</v>
      </c>
      <c r="G168" s="5">
        <f t="shared" si="10"/>
        <v>1041013.2702765475</v>
      </c>
      <c r="H168" s="5">
        <f t="shared" si="11"/>
        <v>110291988.86657511</v>
      </c>
    </row>
    <row r="169" spans="4:8" x14ac:dyDescent="0.25">
      <c r="D169" s="4">
        <v>167</v>
      </c>
      <c r="E169" s="5">
        <f t="shared" si="12"/>
        <v>2055531.7382344415</v>
      </c>
      <c r="F169" s="5">
        <f t="shared" si="13"/>
        <v>1005032.2673901002</v>
      </c>
      <c r="G169" s="5">
        <f t="shared" si="10"/>
        <v>1050499.4708443414</v>
      </c>
      <c r="H169" s="5">
        <f t="shared" si="11"/>
        <v>109241489.39573076</v>
      </c>
    </row>
    <row r="170" spans="4:8" x14ac:dyDescent="0.25">
      <c r="D170" s="4">
        <v>168</v>
      </c>
      <c r="E170" s="5">
        <f t="shared" si="12"/>
        <v>2055531.7382344415</v>
      </c>
      <c r="F170" s="5">
        <f t="shared" si="13"/>
        <v>995459.62411904603</v>
      </c>
      <c r="G170" s="5">
        <f t="shared" si="10"/>
        <v>1060072.1141153956</v>
      </c>
      <c r="H170" s="5">
        <f t="shared" si="11"/>
        <v>108181417.28161536</v>
      </c>
    </row>
    <row r="171" spans="4:8" x14ac:dyDescent="0.25">
      <c r="D171" s="4">
        <v>169</v>
      </c>
      <c r="E171" s="5">
        <f t="shared" si="12"/>
        <v>2055531.7382344415</v>
      </c>
      <c r="F171" s="5">
        <f t="shared" si="13"/>
        <v>985799.75043832674</v>
      </c>
      <c r="G171" s="5">
        <f t="shared" si="10"/>
        <v>1069731.9877961148</v>
      </c>
      <c r="H171" s="5">
        <f t="shared" si="11"/>
        <v>107111685.29381925</v>
      </c>
    </row>
    <row r="172" spans="4:8" x14ac:dyDescent="0.25">
      <c r="D172" s="4">
        <v>170</v>
      </c>
      <c r="E172" s="5">
        <f t="shared" si="12"/>
        <v>2055531.7382344415</v>
      </c>
      <c r="F172" s="5">
        <f t="shared" si="13"/>
        <v>976051.85146358737</v>
      </c>
      <c r="G172" s="5">
        <f t="shared" si="10"/>
        <v>1079479.8867708542</v>
      </c>
      <c r="H172" s="5">
        <f t="shared" si="11"/>
        <v>106032205.40704839</v>
      </c>
    </row>
    <row r="173" spans="4:8" x14ac:dyDescent="0.25">
      <c r="D173" s="4">
        <v>171</v>
      </c>
      <c r="E173" s="5">
        <f t="shared" si="12"/>
        <v>2055531.7382344415</v>
      </c>
      <c r="F173" s="5">
        <f t="shared" si="13"/>
        <v>966215.1250671146</v>
      </c>
      <c r="G173" s="5">
        <f t="shared" si="10"/>
        <v>1089316.6131673269</v>
      </c>
      <c r="H173" s="5">
        <f t="shared" si="11"/>
        <v>104942888.79388106</v>
      </c>
    </row>
    <row r="174" spans="4:8" x14ac:dyDescent="0.25">
      <c r="D174" s="4">
        <v>172</v>
      </c>
      <c r="E174" s="5">
        <f t="shared" si="12"/>
        <v>2055531.7382344415</v>
      </c>
      <c r="F174" s="5">
        <f t="shared" si="13"/>
        <v>956288.7618118315</v>
      </c>
      <c r="G174" s="5">
        <f t="shared" si="10"/>
        <v>1099242.97642261</v>
      </c>
      <c r="H174" s="5">
        <f t="shared" si="11"/>
        <v>103843645.81745845</v>
      </c>
    </row>
    <row r="175" spans="4:8" x14ac:dyDescent="0.25">
      <c r="D175" s="4">
        <v>173</v>
      </c>
      <c r="E175" s="5">
        <f t="shared" si="12"/>
        <v>2055531.7382344415</v>
      </c>
      <c r="F175" s="5">
        <f t="shared" si="13"/>
        <v>946271.94488469139</v>
      </c>
      <c r="G175" s="5">
        <f t="shared" si="10"/>
        <v>1109259.7933497501</v>
      </c>
      <c r="H175" s="5">
        <f t="shared" si="11"/>
        <v>102734386.02410871</v>
      </c>
    </row>
    <row r="176" spans="4:8" x14ac:dyDescent="0.25">
      <c r="D176" s="4">
        <v>174</v>
      </c>
      <c r="E176" s="5">
        <f t="shared" si="12"/>
        <v>2055531.7382344415</v>
      </c>
      <c r="F176" s="5">
        <f t="shared" si="13"/>
        <v>936163.85002946446</v>
      </c>
      <c r="G176" s="5">
        <f t="shared" si="10"/>
        <v>1119367.8882049769</v>
      </c>
      <c r="H176" s="5">
        <f t="shared" si="11"/>
        <v>101615018.13590373</v>
      </c>
    </row>
    <row r="177" spans="4:8" x14ac:dyDescent="0.25">
      <c r="D177" s="4">
        <v>175</v>
      </c>
      <c r="E177" s="5">
        <f t="shared" si="12"/>
        <v>2055531.7382344415</v>
      </c>
      <c r="F177" s="5">
        <f t="shared" si="13"/>
        <v>925963.64547891205</v>
      </c>
      <c r="G177" s="5">
        <f t="shared" si="10"/>
        <v>1129568.0927555296</v>
      </c>
      <c r="H177" s="5">
        <f t="shared" si="11"/>
        <v>100485450.0431482</v>
      </c>
    </row>
    <row r="178" spans="4:8" x14ac:dyDescent="0.25">
      <c r="D178" s="4">
        <v>176</v>
      </c>
      <c r="E178" s="5">
        <f t="shared" si="12"/>
        <v>2055531.7382344415</v>
      </c>
      <c r="F178" s="5">
        <f t="shared" si="13"/>
        <v>915670.49188634288</v>
      </c>
      <c r="G178" s="5">
        <f t="shared" si="10"/>
        <v>1139861.2463480986</v>
      </c>
      <c r="H178" s="5">
        <f t="shared" si="11"/>
        <v>99345588.796800107</v>
      </c>
    </row>
    <row r="179" spans="4:8" x14ac:dyDescent="0.25">
      <c r="D179" s="4">
        <v>177</v>
      </c>
      <c r="E179" s="5">
        <f t="shared" si="12"/>
        <v>2055531.7382344415</v>
      </c>
      <c r="F179" s="5">
        <f t="shared" si="13"/>
        <v>905283.54225654504</v>
      </c>
      <c r="G179" s="5">
        <f t="shared" si="10"/>
        <v>1150248.1959778965</v>
      </c>
      <c r="H179" s="5">
        <f t="shared" si="11"/>
        <v>98195340.60082221</v>
      </c>
    </row>
    <row r="180" spans="4:8" x14ac:dyDescent="0.25">
      <c r="D180" s="4">
        <v>178</v>
      </c>
      <c r="E180" s="5">
        <f t="shared" si="12"/>
        <v>2055531.7382344415</v>
      </c>
      <c r="F180" s="5">
        <f t="shared" si="13"/>
        <v>894801.94187609002</v>
      </c>
      <c r="G180" s="5">
        <f t="shared" si="10"/>
        <v>1160729.7963583516</v>
      </c>
      <c r="H180" s="5">
        <f t="shared" si="11"/>
        <v>97034610.804463863</v>
      </c>
    </row>
    <row r="181" spans="4:8" x14ac:dyDescent="0.25">
      <c r="D181" s="4">
        <v>179</v>
      </c>
      <c r="E181" s="5">
        <f t="shared" si="12"/>
        <v>2055531.7382344415</v>
      </c>
      <c r="F181" s="5">
        <f t="shared" si="13"/>
        <v>884224.82824299985</v>
      </c>
      <c r="G181" s="5">
        <f t="shared" si="10"/>
        <v>1171306.9099914418</v>
      </c>
      <c r="H181" s="5">
        <f t="shared" si="11"/>
        <v>95863303.89447242</v>
      </c>
    </row>
    <row r="182" spans="4:8" x14ac:dyDescent="0.25">
      <c r="D182" s="4">
        <v>180</v>
      </c>
      <c r="E182" s="5">
        <f t="shared" si="12"/>
        <v>2055531.7382344415</v>
      </c>
      <c r="F182" s="5">
        <f t="shared" si="13"/>
        <v>873551.3309957746</v>
      </c>
      <c r="G182" s="5">
        <f t="shared" si="10"/>
        <v>1181980.4072386669</v>
      </c>
      <c r="H182" s="5">
        <f t="shared" si="11"/>
        <v>94681323.487233758</v>
      </c>
    </row>
    <row r="183" spans="4:8" x14ac:dyDescent="0.25">
      <c r="D183" s="4">
        <v>181</v>
      </c>
      <c r="E183" s="5">
        <f t="shared" si="12"/>
        <v>2055531.7382344415</v>
      </c>
      <c r="F183" s="5">
        <f t="shared" si="13"/>
        <v>862780.57184177253</v>
      </c>
      <c r="G183" s="5">
        <f t="shared" si="10"/>
        <v>1192751.1663926691</v>
      </c>
      <c r="H183" s="5">
        <f t="shared" si="11"/>
        <v>93488572.320841089</v>
      </c>
    </row>
    <row r="184" spans="4:8" x14ac:dyDescent="0.25">
      <c r="D184" s="4">
        <v>182</v>
      </c>
      <c r="E184" s="5">
        <f t="shared" si="12"/>
        <v>2055531.7382344415</v>
      </c>
      <c r="F184" s="5">
        <f t="shared" si="13"/>
        <v>851911.66448493826</v>
      </c>
      <c r="G184" s="5">
        <f t="shared" si="10"/>
        <v>1203620.0737495031</v>
      </c>
      <c r="H184" s="5">
        <f t="shared" si="11"/>
        <v>92284952.247091591</v>
      </c>
    </row>
    <row r="185" spans="4:8" x14ac:dyDescent="0.25">
      <c r="D185" s="4">
        <v>183</v>
      </c>
      <c r="E185" s="5">
        <f t="shared" si="12"/>
        <v>2055531.7382344415</v>
      </c>
      <c r="F185" s="5">
        <f t="shared" si="13"/>
        <v>840943.71455287118</v>
      </c>
      <c r="G185" s="5">
        <f t="shared" si="10"/>
        <v>1214588.0236815703</v>
      </c>
      <c r="H185" s="5">
        <f t="shared" si="11"/>
        <v>91070364.223410025</v>
      </c>
    </row>
    <row r="186" spans="4:8" x14ac:dyDescent="0.25">
      <c r="D186" s="4">
        <v>184</v>
      </c>
      <c r="E186" s="5">
        <f t="shared" si="12"/>
        <v>2055531.7382344415</v>
      </c>
      <c r="F186" s="5">
        <f t="shared" si="13"/>
        <v>829875.81952323054</v>
      </c>
      <c r="G186" s="5">
        <f t="shared" si="10"/>
        <v>1225655.9187112111</v>
      </c>
      <c r="H186" s="5">
        <f t="shared" si="11"/>
        <v>89844708.30469881</v>
      </c>
    </row>
    <row r="187" spans="4:8" x14ac:dyDescent="0.25">
      <c r="D187" s="4">
        <v>185</v>
      </c>
      <c r="E187" s="5">
        <f t="shared" si="12"/>
        <v>2055531.7382344415</v>
      </c>
      <c r="F187" s="5">
        <f t="shared" si="13"/>
        <v>818707.06864946929</v>
      </c>
      <c r="G187" s="5">
        <f t="shared" si="10"/>
        <v>1236824.6695849723</v>
      </c>
      <c r="H187" s="5">
        <f t="shared" si="11"/>
        <v>88607883.635113835</v>
      </c>
    </row>
    <row r="188" spans="4:8" x14ac:dyDescent="0.25">
      <c r="D188" s="4">
        <v>186</v>
      </c>
      <c r="E188" s="5">
        <f t="shared" si="12"/>
        <v>2055531.7382344415</v>
      </c>
      <c r="F188" s="5">
        <f t="shared" si="13"/>
        <v>807436.54288589116</v>
      </c>
      <c r="G188" s="5">
        <f t="shared" si="10"/>
        <v>1248095.1953485503</v>
      </c>
      <c r="H188" s="5">
        <f t="shared" si="11"/>
        <v>87359788.439765289</v>
      </c>
    </row>
    <row r="189" spans="4:8" x14ac:dyDescent="0.25">
      <c r="D189" s="4">
        <v>187</v>
      </c>
      <c r="E189" s="5">
        <f t="shared" si="12"/>
        <v>2055531.7382344415</v>
      </c>
      <c r="F189" s="5">
        <f t="shared" si="13"/>
        <v>796063.31481202529</v>
      </c>
      <c r="G189" s="5">
        <f t="shared" si="10"/>
        <v>1259468.4234224162</v>
      </c>
      <c r="H189" s="5">
        <f t="shared" si="11"/>
        <v>86100320.016342878</v>
      </c>
    </row>
    <row r="190" spans="4:8" x14ac:dyDescent="0.25">
      <c r="D190" s="4">
        <v>188</v>
      </c>
      <c r="E190" s="5">
        <f t="shared" si="12"/>
        <v>2055531.7382344415</v>
      </c>
      <c r="F190" s="5">
        <f t="shared" si="13"/>
        <v>784586.4485563105</v>
      </c>
      <c r="G190" s="5">
        <f t="shared" si="10"/>
        <v>1270945.289678131</v>
      </c>
      <c r="H190" s="5">
        <f t="shared" si="11"/>
        <v>84829374.726664752</v>
      </c>
    </row>
    <row r="191" spans="4:8" x14ac:dyDescent="0.25">
      <c r="D191" s="4">
        <v>189</v>
      </c>
      <c r="E191" s="5">
        <f t="shared" si="12"/>
        <v>2055531.7382344415</v>
      </c>
      <c r="F191" s="5">
        <f t="shared" si="13"/>
        <v>773004.99971908599</v>
      </c>
      <c r="G191" s="5">
        <f t="shared" si="10"/>
        <v>1282526.7385153556</v>
      </c>
      <c r="H191" s="5">
        <f t="shared" si="11"/>
        <v>83546847.98814939</v>
      </c>
    </row>
    <row r="192" spans="4:8" x14ac:dyDescent="0.25">
      <c r="D192" s="4">
        <v>190</v>
      </c>
      <c r="E192" s="5">
        <f t="shared" si="12"/>
        <v>2055531.7382344415</v>
      </c>
      <c r="F192" s="5">
        <f t="shared" si="13"/>
        <v>761318.01529487863</v>
      </c>
      <c r="G192" s="5">
        <f t="shared" si="10"/>
        <v>1294213.722939563</v>
      </c>
      <c r="H192" s="5">
        <f t="shared" si="11"/>
        <v>82252634.265209824</v>
      </c>
    </row>
    <row r="193" spans="4:8" x14ac:dyDescent="0.25">
      <c r="D193" s="4">
        <v>191</v>
      </c>
      <c r="E193" s="5">
        <f t="shared" si="12"/>
        <v>2055531.7382344415</v>
      </c>
      <c r="F193" s="5">
        <f t="shared" si="13"/>
        <v>749524.53359398304</v>
      </c>
      <c r="G193" s="5">
        <f t="shared" si="10"/>
        <v>1306007.2046404583</v>
      </c>
      <c r="H193" s="5">
        <f t="shared" si="11"/>
        <v>80946627.060569361</v>
      </c>
    </row>
    <row r="194" spans="4:8" x14ac:dyDescent="0.25">
      <c r="D194" s="4">
        <v>192</v>
      </c>
      <c r="E194" s="5">
        <f t="shared" si="12"/>
        <v>2055531.7382344415</v>
      </c>
      <c r="F194" s="5">
        <f t="shared" si="13"/>
        <v>737623.58416332677</v>
      </c>
      <c r="G194" s="5">
        <f t="shared" si="10"/>
        <v>1317908.1540711147</v>
      </c>
      <c r="H194" s="5">
        <f t="shared" si="11"/>
        <v>79628718.906498253</v>
      </c>
    </row>
    <row r="195" spans="4:8" x14ac:dyDescent="0.25">
      <c r="D195" s="4">
        <v>193</v>
      </c>
      <c r="E195" s="5">
        <f t="shared" si="12"/>
        <v>2055531.7382344415</v>
      </c>
      <c r="F195" s="5">
        <f t="shared" si="13"/>
        <v>725614.18770661461</v>
      </c>
      <c r="G195" s="5">
        <f t="shared" si="10"/>
        <v>1329917.5505278269</v>
      </c>
      <c r="H195" s="5">
        <f t="shared" si="11"/>
        <v>78298801.355970427</v>
      </c>
    </row>
    <row r="196" spans="4:8" x14ac:dyDescent="0.25">
      <c r="D196" s="4">
        <v>194</v>
      </c>
      <c r="E196" s="5">
        <f t="shared" si="12"/>
        <v>2055531.7382344415</v>
      </c>
      <c r="F196" s="5">
        <f t="shared" si="13"/>
        <v>713495.35600374429</v>
      </c>
      <c r="G196" s="5">
        <f t="shared" si="10"/>
        <v>1342036.3822306972</v>
      </c>
      <c r="H196" s="5">
        <f t="shared" si="11"/>
        <v>76956764.973739728</v>
      </c>
    </row>
    <row r="197" spans="4:8" x14ac:dyDescent="0.25">
      <c r="D197" s="4">
        <v>195</v>
      </c>
      <c r="E197" s="5">
        <f t="shared" si="12"/>
        <v>2055531.7382344415</v>
      </c>
      <c r="F197" s="5">
        <f t="shared" si="13"/>
        <v>701266.09182948933</v>
      </c>
      <c r="G197" s="5">
        <f t="shared" ref="G197:G242" si="14">E197-F197</f>
        <v>1354265.6464049523</v>
      </c>
      <c r="H197" s="5">
        <f t="shared" ref="H197:H242" si="15">H196-G197</f>
        <v>75602499.327334777</v>
      </c>
    </row>
    <row r="198" spans="4:8" x14ac:dyDescent="0.25">
      <c r="D198" s="4">
        <v>196</v>
      </c>
      <c r="E198" s="5">
        <f t="shared" si="12"/>
        <v>2055531.7382344415</v>
      </c>
      <c r="F198" s="5">
        <f t="shared" si="13"/>
        <v>688925.38887144008</v>
      </c>
      <c r="G198" s="5">
        <f t="shared" si="14"/>
        <v>1366606.3493630015</v>
      </c>
      <c r="H198" s="5">
        <f t="shared" si="15"/>
        <v>74235892.977971777</v>
      </c>
    </row>
    <row r="199" spans="4:8" x14ac:dyDescent="0.25">
      <c r="D199" s="4">
        <v>197</v>
      </c>
      <c r="E199" s="5">
        <f t="shared" si="12"/>
        <v>2055531.7382344415</v>
      </c>
      <c r="F199" s="5">
        <f t="shared" si="13"/>
        <v>676472.23164719623</v>
      </c>
      <c r="G199" s="5">
        <f t="shared" si="14"/>
        <v>1379059.5065872453</v>
      </c>
      <c r="H199" s="5">
        <f t="shared" si="15"/>
        <v>72856833.471384525</v>
      </c>
    </row>
    <row r="200" spans="4:8" x14ac:dyDescent="0.25">
      <c r="D200" s="4">
        <v>198</v>
      </c>
      <c r="E200" s="5">
        <f t="shared" si="12"/>
        <v>2055531.7382344415</v>
      </c>
      <c r="F200" s="5">
        <f t="shared" si="13"/>
        <v>663905.59542080667</v>
      </c>
      <c r="G200" s="5">
        <f t="shared" si="14"/>
        <v>1391626.1428136348</v>
      </c>
      <c r="H200" s="5">
        <f t="shared" si="15"/>
        <v>71465207.328570887</v>
      </c>
    </row>
    <row r="201" spans="4:8" x14ac:dyDescent="0.25">
      <c r="D201" s="4">
        <v>199</v>
      </c>
      <c r="E201" s="5">
        <f t="shared" si="12"/>
        <v>2055531.7382344415</v>
      </c>
      <c r="F201" s="5">
        <f t="shared" si="13"/>
        <v>651224.44611844607</v>
      </c>
      <c r="G201" s="5">
        <f t="shared" si="14"/>
        <v>1404307.2921159954</v>
      </c>
      <c r="H201" s="5">
        <f t="shared" si="15"/>
        <v>70060900.036454886</v>
      </c>
    </row>
    <row r="202" spans="4:8" x14ac:dyDescent="0.25">
      <c r="D202" s="4">
        <v>200</v>
      </c>
      <c r="E202" s="5">
        <f t="shared" si="12"/>
        <v>2055531.7382344415</v>
      </c>
      <c r="F202" s="5">
        <f t="shared" si="13"/>
        <v>638427.74024332408</v>
      </c>
      <c r="G202" s="5">
        <f t="shared" si="14"/>
        <v>1417103.9979911174</v>
      </c>
      <c r="H202" s="5">
        <f t="shared" si="15"/>
        <v>68643796.038463771</v>
      </c>
    </row>
    <row r="203" spans="4:8" x14ac:dyDescent="0.25">
      <c r="D203" s="4">
        <v>201</v>
      </c>
      <c r="E203" s="5">
        <f t="shared" si="12"/>
        <v>2055531.7382344415</v>
      </c>
      <c r="F203" s="5">
        <f t="shared" si="13"/>
        <v>625514.4247898187</v>
      </c>
      <c r="G203" s="5">
        <f t="shared" si="14"/>
        <v>1430017.3134446228</v>
      </c>
      <c r="H203" s="5">
        <f t="shared" si="15"/>
        <v>67213778.725019142</v>
      </c>
    </row>
    <row r="204" spans="4:8" x14ac:dyDescent="0.25">
      <c r="D204" s="4">
        <v>202</v>
      </c>
      <c r="E204" s="5">
        <f t="shared" si="12"/>
        <v>2055531.7382344415</v>
      </c>
      <c r="F204" s="5">
        <f t="shared" si="13"/>
        <v>612483.43715682742</v>
      </c>
      <c r="G204" s="5">
        <f t="shared" si="14"/>
        <v>1443048.3010776141</v>
      </c>
      <c r="H204" s="5">
        <f t="shared" si="15"/>
        <v>65770730.42394153</v>
      </c>
    </row>
    <row r="205" spans="4:8" x14ac:dyDescent="0.25">
      <c r="D205" s="4">
        <v>203</v>
      </c>
      <c r="E205" s="5">
        <f t="shared" si="12"/>
        <v>2055531.7382344415</v>
      </c>
      <c r="F205" s="5">
        <f t="shared" si="13"/>
        <v>599333.70506032882</v>
      </c>
      <c r="G205" s="5">
        <f t="shared" si="14"/>
        <v>1456198.0331741127</v>
      </c>
      <c r="H205" s="5">
        <f t="shared" si="15"/>
        <v>64314532.390767418</v>
      </c>
    </row>
    <row r="206" spans="4:8" x14ac:dyDescent="0.25">
      <c r="D206" s="4">
        <v>204</v>
      </c>
      <c r="E206" s="5">
        <f t="shared" si="12"/>
        <v>2055531.7382344415</v>
      </c>
      <c r="F206" s="5">
        <f t="shared" si="13"/>
        <v>586064.14644514723</v>
      </c>
      <c r="G206" s="5">
        <f t="shared" si="14"/>
        <v>1469467.5917892943</v>
      </c>
      <c r="H206" s="5">
        <f t="shared" si="15"/>
        <v>62845064.79897812</v>
      </c>
    </row>
    <row r="207" spans="4:8" x14ac:dyDescent="0.25">
      <c r="D207" s="4">
        <v>205</v>
      </c>
      <c r="E207" s="5">
        <f t="shared" ref="E207:E242" si="16">$B$6</f>
        <v>2055531.7382344415</v>
      </c>
      <c r="F207" s="5">
        <f t="shared" ref="F207:F242" si="17">H206*$B$4</f>
        <v>572673.66939591302</v>
      </c>
      <c r="G207" s="5">
        <f t="shared" si="14"/>
        <v>1482858.0688385284</v>
      </c>
      <c r="H207" s="5">
        <f t="shared" si="15"/>
        <v>61362206.730139591</v>
      </c>
    </row>
    <row r="208" spans="4:8" x14ac:dyDescent="0.25">
      <c r="D208" s="4">
        <v>206</v>
      </c>
      <c r="E208" s="5">
        <f t="shared" si="16"/>
        <v>2055531.7382344415</v>
      </c>
      <c r="F208" s="5">
        <f t="shared" si="17"/>
        <v>559161.1720472126</v>
      </c>
      <c r="G208" s="5">
        <f t="shared" si="14"/>
        <v>1496370.566187229</v>
      </c>
      <c r="H208" s="5">
        <f t="shared" si="15"/>
        <v>59865836.163952366</v>
      </c>
    </row>
    <row r="209" spans="4:8" x14ac:dyDescent="0.25">
      <c r="D209" s="4">
        <v>207</v>
      </c>
      <c r="E209" s="5">
        <f t="shared" si="16"/>
        <v>2055531.7382344415</v>
      </c>
      <c r="F209" s="5">
        <f t="shared" si="17"/>
        <v>545525.54249291844</v>
      </c>
      <c r="G209" s="5">
        <f t="shared" si="14"/>
        <v>1510006.1957415231</v>
      </c>
      <c r="H209" s="5">
        <f t="shared" si="15"/>
        <v>58355829.968210846</v>
      </c>
    </row>
    <row r="210" spans="4:8" x14ac:dyDescent="0.25">
      <c r="D210" s="4">
        <v>208</v>
      </c>
      <c r="E210" s="5">
        <f t="shared" si="16"/>
        <v>2055531.7382344415</v>
      </c>
      <c r="F210" s="5">
        <f t="shared" si="17"/>
        <v>531765.65869469335</v>
      </c>
      <c r="G210" s="5">
        <f t="shared" si="14"/>
        <v>1523766.0795397481</v>
      </c>
      <c r="H210" s="5">
        <f t="shared" si="15"/>
        <v>56832063.8886711</v>
      </c>
    </row>
    <row r="211" spans="4:8" x14ac:dyDescent="0.25">
      <c r="D211" s="4">
        <v>209</v>
      </c>
      <c r="E211" s="5">
        <f t="shared" si="16"/>
        <v>2055531.7382344415</v>
      </c>
      <c r="F211" s="5">
        <f t="shared" si="17"/>
        <v>517880.38838966156</v>
      </c>
      <c r="G211" s="5">
        <f t="shared" si="14"/>
        <v>1537651.3498447798</v>
      </c>
      <c r="H211" s="5">
        <f t="shared" si="15"/>
        <v>55294412.538826317</v>
      </c>
    </row>
    <row r="212" spans="4:8" x14ac:dyDescent="0.25">
      <c r="D212" s="4">
        <v>210</v>
      </c>
      <c r="E212" s="5">
        <f t="shared" si="16"/>
        <v>2055531.7382344415</v>
      </c>
      <c r="F212" s="5">
        <f t="shared" si="17"/>
        <v>503868.58899723721</v>
      </c>
      <c r="G212" s="5">
        <f t="shared" si="14"/>
        <v>1551663.1492372043</v>
      </c>
      <c r="H212" s="5">
        <f t="shared" si="15"/>
        <v>53742749.389589116</v>
      </c>
    </row>
    <row r="213" spans="4:8" x14ac:dyDescent="0.25">
      <c r="D213" s="4">
        <v>211</v>
      </c>
      <c r="E213" s="5">
        <f t="shared" si="16"/>
        <v>2055531.7382344415</v>
      </c>
      <c r="F213" s="5">
        <f t="shared" si="17"/>
        <v>489729.10752510524</v>
      </c>
      <c r="G213" s="5">
        <f t="shared" si="14"/>
        <v>1565802.6307093361</v>
      </c>
      <c r="H213" s="5">
        <f t="shared" si="15"/>
        <v>52176946.758879781</v>
      </c>
    </row>
    <row r="214" spans="4:8" x14ac:dyDescent="0.25">
      <c r="D214" s="4">
        <v>212</v>
      </c>
      <c r="E214" s="5">
        <f t="shared" si="16"/>
        <v>2055531.7382344415</v>
      </c>
      <c r="F214" s="5">
        <f t="shared" si="17"/>
        <v>475460.78047434421</v>
      </c>
      <c r="G214" s="5">
        <f t="shared" si="14"/>
        <v>1580070.9577600972</v>
      </c>
      <c r="H214" s="5">
        <f t="shared" si="15"/>
        <v>50596875.801119685</v>
      </c>
    </row>
    <row r="215" spans="4:8" x14ac:dyDescent="0.25">
      <c r="D215" s="4">
        <v>213</v>
      </c>
      <c r="E215" s="5">
        <f t="shared" si="16"/>
        <v>2055531.7382344415</v>
      </c>
      <c r="F215" s="5">
        <f t="shared" si="17"/>
        <v>461062.43374368572</v>
      </c>
      <c r="G215" s="5">
        <f t="shared" si="14"/>
        <v>1594469.3044907558</v>
      </c>
      <c r="H215" s="5">
        <f t="shared" si="15"/>
        <v>49002406.496628933</v>
      </c>
    </row>
    <row r="216" spans="4:8" x14ac:dyDescent="0.25">
      <c r="D216" s="4">
        <v>214</v>
      </c>
      <c r="E216" s="5">
        <f t="shared" si="16"/>
        <v>2055531.7382344415</v>
      </c>
      <c r="F216" s="5">
        <f t="shared" si="17"/>
        <v>446532.88253290049</v>
      </c>
      <c r="G216" s="5">
        <f t="shared" si="14"/>
        <v>1608998.8557015411</v>
      </c>
      <c r="H216" s="5">
        <f t="shared" si="15"/>
        <v>47393407.640927389</v>
      </c>
    </row>
    <row r="217" spans="4:8" x14ac:dyDescent="0.25">
      <c r="D217" s="4">
        <v>215</v>
      </c>
      <c r="E217" s="5">
        <f t="shared" si="16"/>
        <v>2055531.7382344415</v>
      </c>
      <c r="F217" s="5">
        <f t="shared" si="17"/>
        <v>431870.93124530453</v>
      </c>
      <c r="G217" s="5">
        <f t="shared" si="14"/>
        <v>1623660.8069891371</v>
      </c>
      <c r="H217" s="5">
        <f t="shared" si="15"/>
        <v>45769746.833938256</v>
      </c>
    </row>
    <row r="218" spans="4:8" x14ac:dyDescent="0.25">
      <c r="D218" s="4">
        <v>216</v>
      </c>
      <c r="E218" s="5">
        <f t="shared" si="16"/>
        <v>2055531.7382344415</v>
      </c>
      <c r="F218" s="5">
        <f t="shared" si="17"/>
        <v>417075.37338937697</v>
      </c>
      <c r="G218" s="5">
        <f t="shared" si="14"/>
        <v>1638456.3648450645</v>
      </c>
      <c r="H218" s="5">
        <f t="shared" si="15"/>
        <v>44131290.469093189</v>
      </c>
    </row>
    <row r="219" spans="4:8" x14ac:dyDescent="0.25">
      <c r="D219" s="4">
        <v>217</v>
      </c>
      <c r="E219" s="5">
        <f t="shared" si="16"/>
        <v>2055531.7382344415</v>
      </c>
      <c r="F219" s="5">
        <f t="shared" si="17"/>
        <v>402144.99147948087</v>
      </c>
      <c r="G219" s="5">
        <f t="shared" si="14"/>
        <v>1653386.7467549606</v>
      </c>
      <c r="H219" s="5">
        <f t="shared" si="15"/>
        <v>42477903.722338229</v>
      </c>
    </row>
    <row r="220" spans="4:8" x14ac:dyDescent="0.25">
      <c r="D220" s="4">
        <v>218</v>
      </c>
      <c r="E220" s="5">
        <f t="shared" si="16"/>
        <v>2055531.7382344415</v>
      </c>
      <c r="F220" s="5">
        <f t="shared" si="17"/>
        <v>387078.55693567987</v>
      </c>
      <c r="G220" s="5">
        <f t="shared" si="14"/>
        <v>1668453.1812987616</v>
      </c>
      <c r="H220" s="5">
        <f t="shared" si="15"/>
        <v>40809450.541039467</v>
      </c>
    </row>
    <row r="221" spans="4:8" x14ac:dyDescent="0.25">
      <c r="D221" s="4">
        <v>219</v>
      </c>
      <c r="E221" s="5">
        <f t="shared" si="16"/>
        <v>2055531.7382344415</v>
      </c>
      <c r="F221" s="5">
        <f t="shared" si="17"/>
        <v>371874.82998264185</v>
      </c>
      <c r="G221" s="5">
        <f t="shared" si="14"/>
        <v>1683656.9082517996</v>
      </c>
      <c r="H221" s="5">
        <f t="shared" si="15"/>
        <v>39125793.632787667</v>
      </c>
    </row>
    <row r="222" spans="4:8" x14ac:dyDescent="0.25">
      <c r="D222" s="4">
        <v>220</v>
      </c>
      <c r="E222" s="5">
        <f t="shared" si="16"/>
        <v>2055531.7382344415</v>
      </c>
      <c r="F222" s="5">
        <f t="shared" si="17"/>
        <v>356532.55954762088</v>
      </c>
      <c r="G222" s="5">
        <f t="shared" si="14"/>
        <v>1698999.1786868207</v>
      </c>
      <c r="H222" s="5">
        <f t="shared" si="15"/>
        <v>37426794.454100847</v>
      </c>
    </row>
    <row r="223" spans="4:8" x14ac:dyDescent="0.25">
      <c r="D223" s="4">
        <v>221</v>
      </c>
      <c r="E223" s="5">
        <f t="shared" si="16"/>
        <v>2055531.7382344415</v>
      </c>
      <c r="F223" s="5">
        <f t="shared" si="17"/>
        <v>341050.4831575104</v>
      </c>
      <c r="G223" s="5">
        <f t="shared" si="14"/>
        <v>1714481.2550769311</v>
      </c>
      <c r="H223" s="5">
        <f t="shared" si="15"/>
        <v>35712313.199023917</v>
      </c>
    </row>
    <row r="224" spans="4:8" x14ac:dyDescent="0.25">
      <c r="D224" s="4">
        <v>222</v>
      </c>
      <c r="E224" s="5">
        <f t="shared" si="16"/>
        <v>2055531.7382344415</v>
      </c>
      <c r="F224" s="5">
        <f t="shared" si="17"/>
        <v>325427.32683495729</v>
      </c>
      <c r="G224" s="5">
        <f t="shared" si="14"/>
        <v>1730104.4113994841</v>
      </c>
      <c r="H224" s="5">
        <f t="shared" si="15"/>
        <v>33982208.787624434</v>
      </c>
    </row>
    <row r="225" spans="4:8" x14ac:dyDescent="0.25">
      <c r="D225" s="4">
        <v>223</v>
      </c>
      <c r="E225" s="5">
        <f t="shared" si="16"/>
        <v>2055531.7382344415</v>
      </c>
      <c r="F225" s="5">
        <f t="shared" si="17"/>
        <v>309661.8049935301</v>
      </c>
      <c r="G225" s="5">
        <f t="shared" si="14"/>
        <v>1745869.9332409115</v>
      </c>
      <c r="H225" s="5">
        <f t="shared" si="15"/>
        <v>32236338.854383521</v>
      </c>
    </row>
    <row r="226" spans="4:8" x14ac:dyDescent="0.25">
      <c r="D226" s="4">
        <v>224</v>
      </c>
      <c r="E226" s="5">
        <f t="shared" si="16"/>
        <v>2055531.7382344415</v>
      </c>
      <c r="F226" s="5">
        <f t="shared" si="17"/>
        <v>293752.62033193151</v>
      </c>
      <c r="G226" s="5">
        <f t="shared" si="14"/>
        <v>1761779.1179025099</v>
      </c>
      <c r="H226" s="5">
        <f t="shared" si="15"/>
        <v>30474559.736481011</v>
      </c>
    </row>
    <row r="227" spans="4:8" x14ac:dyDescent="0.25">
      <c r="D227" s="4">
        <v>225</v>
      </c>
      <c r="E227" s="5">
        <f t="shared" si="16"/>
        <v>2055531.7382344415</v>
      </c>
      <c r="F227" s="5">
        <f t="shared" si="17"/>
        <v>277698.4637272472</v>
      </c>
      <c r="G227" s="5">
        <f t="shared" si="14"/>
        <v>1777833.2745071943</v>
      </c>
      <c r="H227" s="5">
        <f t="shared" si="15"/>
        <v>28696726.461973816</v>
      </c>
    </row>
    <row r="228" spans="4:8" x14ac:dyDescent="0.25">
      <c r="D228" s="4">
        <v>226</v>
      </c>
      <c r="E228" s="5">
        <f t="shared" si="16"/>
        <v>2055531.7382344415</v>
      </c>
      <c r="F228" s="5">
        <f t="shared" si="17"/>
        <v>261498.01412722166</v>
      </c>
      <c r="G228" s="5">
        <f t="shared" si="14"/>
        <v>1794033.7241072198</v>
      </c>
      <c r="H228" s="5">
        <f t="shared" si="15"/>
        <v>26902692.737866595</v>
      </c>
    </row>
    <row r="229" spans="4:8" x14ac:dyDescent="0.25">
      <c r="D229" s="4">
        <v>227</v>
      </c>
      <c r="E229" s="5">
        <f t="shared" si="16"/>
        <v>2055531.7382344415</v>
      </c>
      <c r="F229" s="5">
        <f t="shared" si="17"/>
        <v>245149.93844155216</v>
      </c>
      <c r="G229" s="5">
        <f t="shared" si="14"/>
        <v>1810381.7997928893</v>
      </c>
      <c r="H229" s="5">
        <f t="shared" si="15"/>
        <v>25092310.938073706</v>
      </c>
    </row>
    <row r="230" spans="4:8" x14ac:dyDescent="0.25">
      <c r="D230" s="4">
        <v>228</v>
      </c>
      <c r="E230" s="5">
        <f t="shared" si="16"/>
        <v>2055531.7382344415</v>
      </c>
      <c r="F230" s="5">
        <f t="shared" si="17"/>
        <v>228652.8914321929</v>
      </c>
      <c r="G230" s="5">
        <f t="shared" si="14"/>
        <v>1826878.8468022486</v>
      </c>
      <c r="H230" s="5">
        <f t="shared" si="15"/>
        <v>23265432.091271456</v>
      </c>
    </row>
    <row r="231" spans="4:8" x14ac:dyDescent="0.25">
      <c r="D231" s="4">
        <v>229</v>
      </c>
      <c r="E231" s="5">
        <f t="shared" si="16"/>
        <v>2055531.7382344415</v>
      </c>
      <c r="F231" s="5">
        <f t="shared" si="17"/>
        <v>212005.51560265871</v>
      </c>
      <c r="G231" s="5">
        <f t="shared" si="14"/>
        <v>1843526.2226317828</v>
      </c>
      <c r="H231" s="5">
        <f t="shared" si="15"/>
        <v>21421905.868639674</v>
      </c>
    </row>
    <row r="232" spans="4:8" x14ac:dyDescent="0.25">
      <c r="D232" s="4">
        <v>230</v>
      </c>
      <c r="E232" s="5">
        <f t="shared" si="16"/>
        <v>2055531.7382344415</v>
      </c>
      <c r="F232" s="5">
        <f t="shared" si="17"/>
        <v>195206.44108632061</v>
      </c>
      <c r="G232" s="5">
        <f t="shared" si="14"/>
        <v>1860325.2971481208</v>
      </c>
      <c r="H232" s="5">
        <f t="shared" si="15"/>
        <v>19561580.571491554</v>
      </c>
    </row>
    <row r="233" spans="4:8" x14ac:dyDescent="0.25">
      <c r="D233" s="4">
        <v>231</v>
      </c>
      <c r="E233" s="5">
        <f t="shared" si="16"/>
        <v>2055531.7382344415</v>
      </c>
      <c r="F233" s="5">
        <f t="shared" si="17"/>
        <v>178254.2855336832</v>
      </c>
      <c r="G233" s="5">
        <f t="shared" si="14"/>
        <v>1877277.4527007584</v>
      </c>
      <c r="H233" s="5">
        <f t="shared" si="15"/>
        <v>17684303.118790798</v>
      </c>
    </row>
    <row r="234" spans="4:8" x14ac:dyDescent="0.25">
      <c r="D234" s="4">
        <v>232</v>
      </c>
      <c r="E234" s="5">
        <f t="shared" si="16"/>
        <v>2055531.7382344415</v>
      </c>
      <c r="F234" s="5">
        <f t="shared" si="17"/>
        <v>161147.65399863487</v>
      </c>
      <c r="G234" s="5">
        <f t="shared" si="14"/>
        <v>1894384.0842358067</v>
      </c>
      <c r="H234" s="5">
        <f t="shared" si="15"/>
        <v>15789919.034554992</v>
      </c>
    </row>
    <row r="235" spans="4:8" x14ac:dyDescent="0.25">
      <c r="D235" s="4">
        <v>233</v>
      </c>
      <c r="E235" s="5">
        <f t="shared" si="16"/>
        <v>2055531.7382344415</v>
      </c>
      <c r="F235" s="5">
        <f t="shared" si="17"/>
        <v>143885.13882366166</v>
      </c>
      <c r="G235" s="5">
        <f t="shared" si="14"/>
        <v>1911646.5994107798</v>
      </c>
      <c r="H235" s="5">
        <f t="shared" si="15"/>
        <v>13878272.435144212</v>
      </c>
    </row>
    <row r="236" spans="4:8" x14ac:dyDescent="0.25">
      <c r="D236" s="4">
        <v>234</v>
      </c>
      <c r="E236" s="5">
        <f t="shared" si="16"/>
        <v>2055531.7382344415</v>
      </c>
      <c r="F236" s="5">
        <f t="shared" si="17"/>
        <v>126465.31952401489</v>
      </c>
      <c r="G236" s="5">
        <f t="shared" si="14"/>
        <v>1929066.4187104267</v>
      </c>
      <c r="H236" s="5">
        <f t="shared" si="15"/>
        <v>11949206.016433785</v>
      </c>
    </row>
    <row r="237" spans="4:8" x14ac:dyDescent="0.25">
      <c r="D237" s="4">
        <v>235</v>
      </c>
      <c r="E237" s="5">
        <f t="shared" si="16"/>
        <v>2055531.7382344415</v>
      </c>
      <c r="F237" s="5">
        <f t="shared" si="17"/>
        <v>108886.76267082352</v>
      </c>
      <c r="G237" s="5">
        <f t="shared" si="14"/>
        <v>1946644.9755636179</v>
      </c>
      <c r="H237" s="5">
        <f t="shared" si="15"/>
        <v>10002561.040870167</v>
      </c>
    </row>
    <row r="238" spans="4:8" x14ac:dyDescent="0.25">
      <c r="D238" s="4">
        <v>236</v>
      </c>
      <c r="E238" s="5">
        <f t="shared" si="16"/>
        <v>2055531.7382344415</v>
      </c>
      <c r="F238" s="5">
        <f t="shared" si="17"/>
        <v>91148.02177314111</v>
      </c>
      <c r="G238" s="5">
        <f t="shared" si="14"/>
        <v>1964383.7164613004</v>
      </c>
      <c r="H238" s="5">
        <f t="shared" si="15"/>
        <v>8038177.3244088665</v>
      </c>
    </row>
    <row r="239" spans="4:8" x14ac:dyDescent="0.25">
      <c r="D239" s="4">
        <v>237</v>
      </c>
      <c r="E239" s="5">
        <f t="shared" si="16"/>
        <v>2055531.7382344415</v>
      </c>
      <c r="F239" s="5">
        <f t="shared" si="17"/>
        <v>73247.637158918136</v>
      </c>
      <c r="G239" s="5">
        <f t="shared" si="14"/>
        <v>1982284.1010755233</v>
      </c>
      <c r="H239" s="5">
        <f t="shared" si="15"/>
        <v>6055893.2233333429</v>
      </c>
    </row>
    <row r="240" spans="4:8" x14ac:dyDescent="0.25">
      <c r="D240" s="4">
        <v>238</v>
      </c>
      <c r="E240" s="5">
        <f t="shared" si="16"/>
        <v>2055531.7382344415</v>
      </c>
      <c r="F240" s="5">
        <f t="shared" si="17"/>
        <v>55184.135854889595</v>
      </c>
      <c r="G240" s="5">
        <f t="shared" si="14"/>
        <v>2000347.6023795519</v>
      </c>
      <c r="H240" s="5">
        <f t="shared" si="15"/>
        <v>4055545.6209537908</v>
      </c>
    </row>
    <row r="241" spans="4:8" x14ac:dyDescent="0.25">
      <c r="D241" s="4">
        <v>239</v>
      </c>
      <c r="E241" s="5">
        <f t="shared" si="16"/>
        <v>2055531.7382344415</v>
      </c>
      <c r="F241" s="5">
        <f t="shared" si="17"/>
        <v>36956.03146536812</v>
      </c>
      <c r="G241" s="5">
        <f t="shared" si="14"/>
        <v>2018575.7067690734</v>
      </c>
      <c r="H241" s="5">
        <f t="shared" si="15"/>
        <v>2036969.9141847175</v>
      </c>
    </row>
    <row r="242" spans="4:8" x14ac:dyDescent="0.25">
      <c r="D242" s="4">
        <v>240</v>
      </c>
      <c r="E242" s="5">
        <f t="shared" si="16"/>
        <v>2055531.7382344415</v>
      </c>
      <c r="F242" s="5">
        <f t="shared" si="17"/>
        <v>18561.824049932526</v>
      </c>
      <c r="G242" s="5">
        <f t="shared" si="14"/>
        <v>2036969.9141845091</v>
      </c>
      <c r="H242" s="5">
        <f t="shared" si="15"/>
        <v>2.0838342607021332E-7</v>
      </c>
    </row>
  </sheetData>
  <mergeCells count="1">
    <mergeCell ref="A8:B1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TEMAS 6</vt:lpstr>
      <vt:lpstr>Amort. Cuota Fija</vt:lpstr>
      <vt:lpstr>Amort. Cuota Fija con p.gracia </vt:lpstr>
      <vt:lpstr>Amort. Cuota Fija + Cuota Extr</vt:lpstr>
      <vt:lpstr>PARCIAL FINAL</vt:lpstr>
      <vt:lpstr>Amort. Cuota Variable</vt:lpstr>
      <vt:lpstr>Amort. Abono Const de Capital</vt:lpstr>
      <vt:lpstr>UVR</vt:lpstr>
      <vt:lpstr>Cuota Fija a 20 años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GC_DELL</dc:creator>
  <cp:lastModifiedBy>Full name</cp:lastModifiedBy>
  <dcterms:created xsi:type="dcterms:W3CDTF">2013-10-27T21:17:04Z</dcterms:created>
  <dcterms:modified xsi:type="dcterms:W3CDTF">2020-05-21T22:32:31Z</dcterms:modified>
</cp:coreProperties>
</file>