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C:\Users\phult\iCloudDrive\Desktop\Excel\Dashboard Design\Excel+Dashboard+Datasets\"/>
    </mc:Choice>
  </mc:AlternateContent>
  <xr:revisionPtr revIDLastSave="0" documentId="13_ncr:1_{67787F65-B4B5-4496-B852-CDC17783AA85}" xr6:coauthVersionLast="47" xr6:coauthVersionMax="47" xr10:uidLastSave="{00000000-0000-0000-0000-000000000000}"/>
  <bookViews>
    <workbookView xWindow="-108" yWindow="492" windowWidth="30936" windowHeight="16896" activeTab="2" xr2:uid="{EA944FB1-DE3F-40F9-BBAA-0980B1568DEE}"/>
  </bookViews>
  <sheets>
    <sheet name="Data" sheetId="16" r:id="rId1"/>
    <sheet name="Data Prep" sheetId="22" state="hidden" r:id="rId2"/>
    <sheet name="Dashboard" sheetId="24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Month">'Data Prep'!$B$9</definedName>
    <definedName name="Cur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 l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J2" i="22" l="1"/>
  <c r="B10" i="22"/>
  <c r="I2" i="22" s="1"/>
  <c r="B9" i="22"/>
  <c r="B13" i="22" s="1"/>
  <c r="E7" i="24" s="1"/>
  <c r="K4" i="22" l="1"/>
  <c r="K7" i="22"/>
  <c r="K14" i="22"/>
  <c r="K3" i="22"/>
  <c r="K5" i="22"/>
  <c r="K8" i="22"/>
  <c r="K13" i="22"/>
  <c r="K6" i="22"/>
  <c r="K12" i="22"/>
  <c r="AB34" i="22"/>
  <c r="AB25" i="22"/>
  <c r="AB5" i="22"/>
  <c r="AB21" i="22"/>
  <c r="AB17" i="22"/>
  <c r="AB32" i="22"/>
  <c r="AB27" i="22"/>
  <c r="AB12" i="22"/>
  <c r="AB10" i="22"/>
  <c r="AB22" i="22"/>
  <c r="AB9" i="22"/>
  <c r="AB28" i="22"/>
  <c r="AB4" i="22"/>
  <c r="AB26" i="22"/>
  <c r="AB19" i="22"/>
  <c r="AB29" i="22"/>
  <c r="AB33" i="22"/>
  <c r="AB24" i="22"/>
  <c r="AB7" i="22"/>
  <c r="AB23" i="22"/>
  <c r="AB35" i="22"/>
  <c r="AB14" i="22"/>
  <c r="AB20" i="22"/>
  <c r="AB30" i="22"/>
  <c r="AB16" i="22"/>
  <c r="AB31" i="22"/>
  <c r="AB11" i="22"/>
  <c r="AB3" i="22"/>
  <c r="AB36" i="22"/>
  <c r="AB13" i="22"/>
  <c r="AB15" i="22"/>
  <c r="AB8" i="22"/>
  <c r="AB6" i="22"/>
  <c r="AB18" i="22"/>
  <c r="AY6" i="16"/>
  <c r="J8" i="22"/>
  <c r="J12" i="22"/>
  <c r="J14" i="22"/>
  <c r="J7" i="22"/>
  <c r="J9" i="22"/>
  <c r="K9" i="22" s="1"/>
  <c r="J13" i="22"/>
  <c r="J3" i="22"/>
  <c r="J4" i="22"/>
  <c r="J10" i="22"/>
  <c r="K10" i="22" s="1"/>
  <c r="J11" i="22"/>
  <c r="K11" i="22" s="1"/>
  <c r="J5" i="22"/>
  <c r="J6" i="22"/>
  <c r="N8" i="22"/>
  <c r="N6" i="22"/>
  <c r="N11" i="22"/>
  <c r="N3" i="22"/>
  <c r="N4" i="22"/>
  <c r="N7" i="22"/>
  <c r="N5" i="22"/>
  <c r="N12" i="22"/>
  <c r="N10" i="22"/>
  <c r="N9" i="22"/>
  <c r="AY39" i="16"/>
  <c r="AY33" i="16"/>
  <c r="AY52" i="16"/>
  <c r="AY43" i="16"/>
  <c r="AY47" i="16"/>
  <c r="AY9" i="16"/>
  <c r="AY22" i="16"/>
  <c r="AY23" i="16"/>
  <c r="AY32" i="16"/>
  <c r="AY28" i="16"/>
  <c r="AY16" i="16"/>
  <c r="AY11" i="16"/>
  <c r="AY15" i="16"/>
  <c r="AY14" i="16"/>
  <c r="AY3" i="16"/>
  <c r="AY12" i="16"/>
  <c r="AY17" i="16"/>
  <c r="AY19" i="16"/>
  <c r="AY29" i="16"/>
  <c r="AY24" i="16"/>
  <c r="AY42" i="16"/>
  <c r="AY21" i="16"/>
  <c r="AY5" i="16"/>
  <c r="AY25" i="16"/>
  <c r="AY50" i="16"/>
  <c r="AY20" i="16"/>
  <c r="AY8" i="16"/>
  <c r="AY34" i="16"/>
  <c r="AY49" i="16"/>
  <c r="AY35" i="16"/>
  <c r="AY46" i="16"/>
  <c r="AY45" i="16"/>
  <c r="AY31" i="16"/>
  <c r="AY51" i="16"/>
  <c r="AY38" i="16"/>
  <c r="B12" i="22"/>
  <c r="E2" i="22"/>
  <c r="E3" i="22"/>
  <c r="B11" i="22"/>
  <c r="AY48" i="16"/>
  <c r="AY7" i="16"/>
  <c r="AY40" i="16"/>
  <c r="AY13" i="16"/>
  <c r="AY37" i="16"/>
  <c r="AY4" i="16"/>
  <c r="AY30" i="16"/>
  <c r="I3" i="22"/>
  <c r="I4" i="22"/>
  <c r="I11" i="22"/>
  <c r="I14" i="22"/>
  <c r="I5" i="22"/>
  <c r="I6" i="22"/>
  <c r="I7" i="22"/>
  <c r="I8" i="22"/>
  <c r="I13" i="22"/>
  <c r="I9" i="22"/>
  <c r="I10" i="22"/>
  <c r="I12" i="22"/>
  <c r="AY27" i="16"/>
  <c r="AY18" i="16"/>
  <c r="AY26" i="16"/>
  <c r="AY41" i="16"/>
  <c r="AY10" i="16"/>
  <c r="AY44" i="16"/>
  <c r="AY36" i="16"/>
  <c r="AC11" i="22" l="1"/>
  <c r="AD11" i="22" s="1"/>
  <c r="AC15" i="22"/>
  <c r="AD15" i="22" s="1"/>
  <c r="AC23" i="22"/>
  <c r="AD23" i="22" s="1"/>
  <c r="AC5" i="22"/>
  <c r="AD5" i="22" s="1"/>
  <c r="AC30" i="22"/>
  <c r="AD30" i="22" s="1"/>
  <c r="AC31" i="22"/>
  <c r="AD31" i="22" s="1"/>
  <c r="AC29" i="22"/>
  <c r="AD29" i="22" s="1"/>
  <c r="AC18" i="22"/>
  <c r="AD18" i="22" s="1"/>
  <c r="AC7" i="22"/>
  <c r="AD7" i="22" s="1"/>
  <c r="AC17" i="22"/>
  <c r="AD17" i="22" s="1"/>
  <c r="AC9" i="22"/>
  <c r="AD9" i="22" s="1"/>
  <c r="AC20" i="22"/>
  <c r="AD20" i="22" s="1"/>
  <c r="AC3" i="22"/>
  <c r="AD3" i="22" s="1"/>
  <c r="AC19" i="22"/>
  <c r="AD19" i="22" s="1"/>
  <c r="AC14" i="22"/>
  <c r="AD14" i="22" s="1"/>
  <c r="AC32" i="22"/>
  <c r="AD32" i="22" s="1"/>
  <c r="AC13" i="22"/>
  <c r="AD13" i="22" s="1"/>
  <c r="AC26" i="22"/>
  <c r="AD26" i="22" s="1"/>
  <c r="AC12" i="22"/>
  <c r="AD12" i="22" s="1"/>
  <c r="AC28" i="22"/>
  <c r="AD28" i="22" s="1"/>
  <c r="AC34" i="22"/>
  <c r="AD34" i="22" s="1"/>
  <c r="AC35" i="22"/>
  <c r="AD35" i="22" s="1"/>
  <c r="AC25" i="22"/>
  <c r="AD25" i="22" s="1"/>
  <c r="AC10" i="22"/>
  <c r="AD10" i="22" s="1"/>
  <c r="AC36" i="22"/>
  <c r="AD36" i="22" s="1"/>
  <c r="AC21" i="22"/>
  <c r="AD21" i="22" s="1"/>
  <c r="AC22" i="22"/>
  <c r="AD22" i="22" s="1"/>
  <c r="AC24" i="22"/>
  <c r="AD24" i="22" s="1"/>
  <c r="AC16" i="22"/>
  <c r="AD16" i="22" s="1"/>
  <c r="AC8" i="22"/>
  <c r="AD8" i="22" s="1"/>
  <c r="AC27" i="22"/>
  <c r="AD27" i="22" s="1"/>
  <c r="AC4" i="22"/>
  <c r="AD4" i="22" s="1"/>
  <c r="AC6" i="22"/>
  <c r="AD6" i="22" s="1"/>
  <c r="AC33" i="22"/>
  <c r="AD33" i="22" s="1"/>
  <c r="Q5" i="22"/>
  <c r="Q9" i="22"/>
  <c r="Q10" i="22"/>
  <c r="Q12" i="22"/>
  <c r="Q7" i="22"/>
  <c r="Q4" i="22"/>
  <c r="Q3" i="22"/>
  <c r="Q11" i="22"/>
  <c r="Q6" i="22"/>
  <c r="Q8" i="22"/>
  <c r="E4" i="22"/>
  <c r="E6" i="22" s="1"/>
  <c r="O3" i="22"/>
  <c r="P3" i="22" s="1"/>
  <c r="O8" i="22"/>
  <c r="P8" i="22" s="1"/>
  <c r="O9" i="22"/>
  <c r="P9" i="22" s="1"/>
  <c r="O4" i="22"/>
  <c r="P4" i="22" s="1"/>
  <c r="O6" i="22"/>
  <c r="P6" i="22" s="1"/>
  <c r="O5" i="22"/>
  <c r="P5" i="22" s="1"/>
  <c r="O11" i="22"/>
  <c r="P11" i="22" s="1"/>
  <c r="O12" i="22"/>
  <c r="P12" i="22" s="1"/>
  <c r="O10" i="22"/>
  <c r="P10" i="22" s="1"/>
  <c r="O7" i="22"/>
  <c r="P7" i="22" s="1"/>
  <c r="E5" i="22"/>
  <c r="AF28" i="22" l="1"/>
  <c r="AE28" i="22"/>
  <c r="AE34" i="22"/>
  <c r="AF34" i="22"/>
  <c r="AF33" i="22"/>
  <c r="AE33" i="22"/>
  <c r="AF12" i="22"/>
  <c r="AE12" i="22"/>
  <c r="AE3" i="22"/>
  <c r="AF3" i="22"/>
  <c r="AE6" i="22"/>
  <c r="AF6" i="22"/>
  <c r="AE15" i="22"/>
  <c r="AF15" i="22"/>
  <c r="AE35" i="22"/>
  <c r="AF35" i="22"/>
  <c r="AE26" i="22"/>
  <c r="AF26" i="22"/>
  <c r="AE20" i="22"/>
  <c r="AF20" i="22"/>
  <c r="AF17" i="22"/>
  <c r="AE17" i="22"/>
  <c r="AE4" i="22"/>
  <c r="AF4" i="22"/>
  <c r="AE27" i="22"/>
  <c r="AF27" i="22"/>
  <c r="AE8" i="22"/>
  <c r="AF8" i="22"/>
  <c r="AF31" i="22"/>
  <c r="AE31" i="22"/>
  <c r="AE16" i="22"/>
  <c r="AF16" i="22"/>
  <c r="AF24" i="22"/>
  <c r="AE24" i="22"/>
  <c r="AF22" i="22"/>
  <c r="AE22" i="22"/>
  <c r="AF21" i="22"/>
  <c r="AE21" i="22"/>
  <c r="AF36" i="22"/>
  <c r="AE36" i="22"/>
  <c r="AE10" i="22"/>
  <c r="AF10" i="22"/>
  <c r="AF9" i="22"/>
  <c r="AE9" i="22"/>
  <c r="AE19" i="22"/>
  <c r="AF19" i="22"/>
  <c r="AF14" i="22"/>
  <c r="AE14" i="22"/>
  <c r="AF29" i="22"/>
  <c r="AF25" i="22"/>
  <c r="AE25" i="22"/>
  <c r="AE29" i="22"/>
  <c r="AE7" i="22"/>
  <c r="AF7" i="22"/>
  <c r="AF18" i="22"/>
  <c r="AE18" i="22"/>
  <c r="AE5" i="22"/>
  <c r="AF5" i="22"/>
  <c r="AE30" i="22"/>
  <c r="AF30" i="22"/>
  <c r="AE23" i="22"/>
  <c r="AF23" i="22"/>
  <c r="AE11" i="22"/>
  <c r="AF11" i="22"/>
  <c r="AF13" i="22"/>
  <c r="AE13" i="22"/>
  <c r="AE32" i="22"/>
  <c r="AF32" i="22"/>
  <c r="T4" i="22"/>
  <c r="U4" i="22" s="1"/>
  <c r="T12" i="22"/>
  <c r="U12" i="22" s="1"/>
  <c r="V3" i="22"/>
  <c r="W3" i="22"/>
  <c r="W5" i="22"/>
  <c r="T6" i="22"/>
  <c r="U6" i="22" s="1"/>
  <c r="V6" i="22"/>
  <c r="W6" i="22"/>
  <c r="V7" i="22"/>
  <c r="V8" i="22"/>
  <c r="T9" i="22"/>
  <c r="U9" i="22" s="1"/>
  <c r="T10" i="22"/>
  <c r="U10" i="22" s="1"/>
  <c r="V4" i="22"/>
  <c r="V12" i="22"/>
  <c r="W12" i="22"/>
  <c r="V5" i="22"/>
  <c r="T3" i="22"/>
  <c r="U3" i="22" s="1"/>
  <c r="T8" i="22"/>
  <c r="U8" i="22" s="1"/>
  <c r="V9" i="22"/>
  <c r="T11" i="22"/>
  <c r="U11" i="22" s="1"/>
  <c r="W11" i="22"/>
  <c r="W4" i="22"/>
  <c r="W8" i="22"/>
  <c r="V10" i="22"/>
  <c r="V11" i="22"/>
  <c r="T5" i="22"/>
  <c r="U5" i="22" s="1"/>
  <c r="W9" i="22"/>
  <c r="T7" i="22"/>
  <c r="U7" i="22" s="1"/>
  <c r="W10" i="22"/>
  <c r="W7" i="22"/>
  <c r="Y5" i="22" l="1"/>
  <c r="X5" i="22"/>
  <c r="X4" i="22"/>
  <c r="Y4" i="22"/>
  <c r="Y11" i="22"/>
  <c r="X11" i="22"/>
  <c r="Y3" i="22"/>
  <c r="X3" i="22"/>
  <c r="Y7" i="22"/>
  <c r="X7" i="22"/>
  <c r="Y10" i="22"/>
  <c r="X10" i="22"/>
  <c r="X9" i="22"/>
  <c r="Y9" i="22"/>
  <c r="X12" i="22"/>
  <c r="Y12" i="22"/>
  <c r="X6" i="22"/>
  <c r="Y6" i="22"/>
  <c r="Y8" i="22"/>
  <c r="X8" i="22"/>
  <c r="AK14" i="22"/>
  <c r="S30" i="24" s="1"/>
  <c r="AJ16" i="22"/>
  <c r="R32" i="24" s="1"/>
  <c r="AK16" i="22"/>
  <c r="S32" i="24" s="1"/>
  <c r="AI13" i="22"/>
  <c r="Q29" i="24" s="1"/>
  <c r="AK15" i="22"/>
  <c r="S31" i="24" s="1"/>
  <c r="AJ12" i="22"/>
  <c r="R28" i="24" s="1"/>
  <c r="AK13" i="22"/>
  <c r="S29" i="24" s="1"/>
  <c r="AK12" i="22"/>
  <c r="S28" i="24" s="1"/>
  <c r="AI15" i="22"/>
  <c r="Q31" i="24" s="1"/>
  <c r="AI17" i="22"/>
  <c r="Q33" i="24" s="1"/>
  <c r="AJ15" i="22"/>
  <c r="R31" i="24" s="1"/>
  <c r="AI16" i="22"/>
  <c r="Q32" i="24" s="1"/>
  <c r="AI12" i="22"/>
  <c r="Q28" i="24" s="1"/>
  <c r="AI14" i="22"/>
  <c r="Q30" i="24" s="1"/>
  <c r="AJ17" i="22"/>
  <c r="R33" i="24" s="1"/>
  <c r="AJ14" i="22"/>
  <c r="R30" i="24" s="1"/>
  <c r="AK17" i="22"/>
  <c r="S33" i="24" s="1"/>
  <c r="AJ5" i="22"/>
  <c r="R16" i="24" s="1"/>
  <c r="AI8" i="22"/>
  <c r="Q19" i="24" s="1"/>
  <c r="AK8" i="22"/>
  <c r="S19" i="24" s="1"/>
  <c r="AI6" i="22"/>
  <c r="Q17" i="24" s="1"/>
  <c r="AJ8" i="22"/>
  <c r="R19" i="24" s="1"/>
  <c r="AK5" i="22"/>
  <c r="S16" i="24" s="1"/>
  <c r="AI3" i="22"/>
  <c r="Q14" i="24" s="1"/>
  <c r="AJ7" i="22"/>
  <c r="R18" i="24" s="1"/>
  <c r="AJ4" i="22"/>
  <c r="R15" i="24" s="1"/>
  <c r="AK3" i="22"/>
  <c r="S14" i="24" s="1"/>
  <c r="AK4" i="22"/>
  <c r="S15" i="24" s="1"/>
  <c r="AI4" i="22"/>
  <c r="Q15" i="24" s="1"/>
  <c r="AJ6" i="22"/>
  <c r="R17" i="24" s="1"/>
  <c r="AK6" i="22"/>
  <c r="S17" i="24" s="1"/>
  <c r="AK7" i="22"/>
  <c r="S18" i="24" s="1"/>
  <c r="AJ3" i="22"/>
  <c r="R14" i="24" s="1"/>
  <c r="AI7" i="22"/>
  <c r="Q18" i="24" s="1"/>
  <c r="AI5" i="22"/>
  <c r="Q16" i="24" s="1"/>
  <c r="AJ13" i="22"/>
  <c r="R29" i="24" s="1"/>
  <c r="S34" i="24" l="1"/>
  <c r="S20" i="24"/>
</calcChain>
</file>

<file path=xl/sharedStrings.xml><?xml version="1.0" encoding="utf-8"?>
<sst xmlns="http://schemas.openxmlformats.org/spreadsheetml/2006/main" count="26863" uniqueCount="129">
  <si>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</si>
  <si>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</si>
  <si>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</si>
  <si>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</si>
  <si>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</si>
  <si>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</si>
  <si>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</si>
  <si>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</si>
  <si>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</si>
  <si>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</si>
  <si>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</si>
  <si>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</si>
  <si>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</si>
  <si>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</si>
  <si>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</si>
  <si>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</si>
  <si>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</si>
  <si>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</si>
  <si>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</si>
  <si>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</si>
  <si>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</si>
  <si>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</si>
  <si>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</si>
  <si>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</si>
  <si>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</si>
  <si>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</si>
  <si>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</si>
  <si>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</si>
  <si>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</si>
  <si>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</si>
  <si>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</si>
  <si>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</si>
  <si>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</si>
  <si>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</si>
  <si>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</si>
  <si>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</si>
  <si>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</si>
  <si>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</si>
  <si>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</si>
  <si>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</si>
  <si>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</si>
  <si>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</si>
  <si>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</si>
  <si>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</si>
  <si>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</si>
  <si>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</si>
  <si>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</si>
  <si>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</si>
  <si>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</si>
  <si>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</si>
  <si>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</si>
  <si>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</si>
  <si>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</si>
  <si>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</si>
  <si>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</si>
  <si>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</si>
  <si>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</si>
  <si>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</si>
  <si>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</si>
  <si>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</si>
  <si>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</si>
  <si>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</si>
  <si>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</si>
  <si>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</si>
  <si>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</si>
  <si>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</si>
  <si>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</si>
  <si>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</si>
  <si>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</si>
  <si>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</si>
  <si>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</si>
  <si>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</si>
  <si>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</si>
  <si>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</si>
  <si>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</si>
  <si>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</si>
  <si>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</si>
  <si>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</si>
  <si>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</si>
  <si>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</si>
  <si>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</si>
  <si>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</si>
  <si>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</si>
  <si>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</si>
  <si>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</si>
  <si>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</si>
  <si>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</si>
  <si>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∆</t>
    </r>
    <r>
      <rPr>
        <b/>
        <sz val="11"/>
        <color theme="1"/>
        <rFont val="Calibri"/>
        <family val="2"/>
        <scheme val="minor"/>
      </rPr>
      <t>:</t>
    </r>
  </si>
  <si>
    <t>MoM %∆:</t>
  </si>
  <si>
    <t>REVENUE TREND</t>
  </si>
  <si>
    <t>Month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</si>
  <si>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</si>
  <si>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</si>
  <si>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</si>
  <si>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</si>
  <si>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</si>
  <si>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</si>
  <si>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</si>
  <si>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</si>
  <si>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</si>
  <si>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</si>
  <si>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</si>
  <si>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</si>
  <si>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</si>
  <si>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>PM Revenue</t>
  </si>
  <si>
    <t>Rank</t>
  </si>
  <si>
    <t>STORE PERFORMANCE (SORTED)</t>
  </si>
  <si>
    <t>PRODUCT PERFORMANCE</t>
  </si>
  <si>
    <t>Product</t>
  </si>
  <si>
    <t>MoM ∆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</si>
  <si>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</si>
  <si>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</si>
  <si>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</si>
  <si>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</si>
  <si>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/>
        <rFont val="Calibri"/>
        <family val="2"/>
      </rPr>
      <t>∆</t>
    </r>
  </si>
  <si>
    <t>How did</t>
  </si>
  <si>
    <t>Current Period: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</si>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</sst>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7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4343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3" fillId="6" borderId="0" xfId="0" applyFont="1" applyFill="1" applyAlignment="1">
      <alignment horizontal="centerContinuous"/>
    </xf>
    <xf numFmtId="0" fontId="0" fillId="0" borderId="0" xfId="0" applyBorder="1"/>
    <xf numFmtId="0" fontId="1" fillId="8" borderId="0" xfId="0" applyFont="1" applyFill="1"/>
    <xf numFmtId="9" fontId="1" fillId="7" borderId="1" xfId="2" applyNumberFormat="1" applyFont="1" applyFill="1" applyBorder="1" applyAlignment="1">
      <alignment horizontal="left"/>
    </xf>
    <xf numFmtId="9" fontId="1" fillId="7" borderId="2" xfId="2" applyNumberFormat="1" applyFont="1" applyFill="1" applyBorder="1" applyAlignment="1">
      <alignment horizontal="left"/>
    </xf>
    <xf numFmtId="9" fontId="1" fillId="7" borderId="3" xfId="2" applyNumberFormat="1" applyFont="1" applyFill="1" applyBorder="1" applyAlignment="1">
      <alignment horizontal="left"/>
    </xf>
    <xf numFmtId="167" fontId="1" fillId="7" borderId="0" xfId="2" applyNumberFormat="1" applyFont="1" applyFill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5" fontId="0" fillId="0" borderId="0" xfId="1" applyNumberFormat="1" applyFont="1"/>
    <xf numFmtId="0" fontId="0" fillId="0" borderId="4" xfId="0" applyBorder="1"/>
    <xf numFmtId="9" fontId="1" fillId="7" borderId="6" xfId="2" applyNumberFormat="1" applyFont="1" applyFill="1" applyBorder="1" applyAlignment="1">
      <alignment horizontal="left"/>
    </xf>
    <xf numFmtId="0" fontId="0" fillId="0" borderId="1" xfId="0" applyBorder="1"/>
    <xf numFmtId="164" fontId="0" fillId="0" borderId="0" xfId="0" applyNumberFormat="1" applyAlignment="1"/>
    <xf numFmtId="9" fontId="4" fillId="7" borderId="6" xfId="2" applyNumberFormat="1" applyFont="1" applyFill="1" applyBorder="1" applyAlignment="1"/>
    <xf numFmtId="5" fontId="9" fillId="0" borderId="5" xfId="0" applyNumberFormat="1" applyFont="1" applyBorder="1"/>
    <xf numFmtId="164" fontId="0" fillId="0" borderId="0" xfId="1" applyNumberFormat="1" applyFont="1"/>
    <xf numFmtId="164" fontId="10" fillId="0" borderId="5" xfId="0" applyNumberFormat="1" applyFont="1" applyBorder="1"/>
    <xf numFmtId="0" fontId="11" fillId="0" borderId="0" xfId="0" applyFont="1"/>
    <xf numFmtId="0" fontId="1" fillId="5" borderId="0" xfId="0" applyFont="1" applyFill="1" applyAlignment="1">
      <alignment horizontal="right"/>
    </xf>
    <xf numFmtId="0" fontId="12" fillId="0" borderId="0" xfId="0" applyFont="1"/>
    <xf numFmtId="0" fontId="8" fillId="9" borderId="0" xfId="0" applyFont="1" applyFill="1" applyAlignment="1" applyProtection="1">
      <alignment horizontal="center"/>
      <protection locked="0"/>
    </xf>
    <xf numFmtId="0" fontId="11" fillId="0" borderId="0" xfId="0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11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FF4343"/>
      <color rgb="FFF98386"/>
      <color rgb="FFFF6565"/>
      <color rgb="FFF9777A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70609992131723"/>
          <c:y val="4.7008547008547008E-2"/>
          <c:w val="0.74482416995468559"/>
          <c:h val="0.85385355676694263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E4-4EA4-B08B-6C7A88AD72D8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49838.54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E4-4EA4-B08B-6C7A88AD72D8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4-4EA4-B08B-6C7A88AD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942367"/>
        <c:axId val="2128931967"/>
      </c:lineChart>
      <c:catAx>
        <c:axId val="2128942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31967"/>
        <c:crosses val="autoZero"/>
        <c:auto val="1"/>
        <c:lblAlgn val="ctr"/>
        <c:lblOffset val="100"/>
        <c:noMultiLvlLbl val="0"/>
      </c:catAx>
      <c:valAx>
        <c:axId val="212893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3.8013269174686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42367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4927864596794105"/>
          <c:y val="0.62308533548691036"/>
          <c:w val="0.2725851008230098"/>
          <c:h val="0.177618614980819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0-4A8F-BD3D-075DA3F69CC8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13879.13</c:v>
                </c:pt>
                <c:pt idx="3">
                  <c:v>0</c:v>
                </c:pt>
                <c:pt idx="4">
                  <c:v>16255.230000000001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0-4A8F-BD3D-075DA3F6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2128913663"/>
        <c:axId val="2128904511"/>
      </c:barChart>
      <c:catAx>
        <c:axId val="212891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04511"/>
        <c:crosses val="autoZero"/>
        <c:auto val="1"/>
        <c:lblAlgn val="ctr"/>
        <c:lblOffset val="100"/>
        <c:noMultiLvlLbl val="0"/>
      </c:catAx>
      <c:valAx>
        <c:axId val="21289045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43916125991703131"/>
              <c:y val="0.93942431953287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212891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34113976096351E-2"/>
          <c:y val="9.2464170134073046E-3"/>
          <c:w val="0.90733569018158444"/>
          <c:h val="0.913996672746003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Prep'!$P$2</c:f>
              <c:strCache>
                <c:ptCount val="1"/>
                <c:pt idx="0">
                  <c:v>MoM %∆:</c:v>
                </c:pt>
              </c:strCache>
            </c:strRef>
          </c:tx>
          <c:spPr>
            <a:solidFill>
              <a:srgbClr val="D0CECE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1"/>
          <c:cat>
            <c:numRef>
              <c:f>'Data Prep'!$L$3:$L$12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E7E6E6"/>
                  </a:solidFill>
                  <a:ln>
                    <a:solidFill>
                      <a:schemeClr val="bg2">
                        <a:lumMod val="90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643-4C66-B0D0-C035C4114389}"/>
            </c:ext>
          </c:extLst>
        </c:ser>
        <c:ser>
          <c:idx val="1"/>
          <c:order val="1"/>
          <c:tx>
            <c:strRef>
              <c:f>'Data Prep'!$Y$2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5.7257752439920262E-2</c:v>
                </c:pt>
                <c:pt idx="3">
                  <c:v>0</c:v>
                </c:pt>
                <c:pt idx="4">
                  <c:v>-0.13607835613264074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6643-4C66-B0D0-C035C411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2128913663"/>
        <c:axId val="2128904511"/>
      </c:barChart>
      <c:catAx>
        <c:axId val="2128913663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04511"/>
        <c:crosses val="autoZero"/>
        <c:auto val="1"/>
        <c:lblAlgn val="ctr"/>
        <c:lblOffset val="100"/>
        <c:noMultiLvlLbl val="0"/>
      </c:catAx>
      <c:valAx>
        <c:axId val="21289045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over</a:t>
                </a:r>
                <a:r>
                  <a:rPr lang="en-US" baseline="0"/>
                  <a:t> Month Change</a:t>
                </a:r>
              </a:p>
            </c:rich>
          </c:tx>
          <c:layout>
            <c:manualLayout>
              <c:xMode val="edge"/>
              <c:yMode val="edge"/>
              <c:x val="0.20392292701609724"/>
              <c:y val="0.92555469401276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12891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160020</xdr:colOff>
      <xdr:row>0</xdr:row>
      <xdr:rowOff>68580</xdr:rowOff>
    </xdr:from>
    <xdr:to>
      <xdr:col>8</xdr:col>
      <xdr:colOff>472440</xdr:colOff>
      <xdr:row>5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790317-1957-4AC3-BBF4-616D2CFFF0C7}"/>
            </a:ext>
          </a:extLst>
        </xdr:cNvPr>
        <xdr:cNvSpPr txBox="1"/>
      </xdr:nvSpPr>
      <xdr:spPr>
        <a:xfrm>
          <a:off x="160020" y="68580"/>
          <a:ext cx="6438900" cy="640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1">
                  <a:lumMod val="50000"/>
                  <a:lumOff val="50000"/>
                </a:schemeClr>
              </a:solidFill>
            </a:rPr>
            <a:t>Regional Revenue Dashboard</a:t>
          </a:r>
        </a:p>
      </xdr:txBody>
    </xdr:sp>
    <xdr:clientData/>
  </xdr:twoCellAnchor>
  <xdr:twoCellAnchor>
    <xdr:from>
      <xdr:col>0</xdr:col>
      <xdr:colOff>144780</xdr:colOff>
      <xdr:row>7</xdr:row>
      <xdr:rowOff>83820</xdr:rowOff>
    </xdr:from>
    <xdr:to>
      <xdr:col>19</xdr:col>
      <xdr:colOff>91440</xdr:colOff>
      <xdr:row>7</xdr:row>
      <xdr:rowOff>83820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89F121B-4D5F-4C39-9930-37D442586AEC}"/>
            </a:ext>
          </a:extLst>
        </xdr:cNvPr>
        <xdr:cNvCxnSpPr/>
      </xdr:nvCxnSpPr>
      <xdr:spPr>
        <a:xfrm>
          <a:off x="144780" y="1135380"/>
          <a:ext cx="14257020" cy="0"/>
        </a:xfrm>
        <a:prstGeom prst="line">
          <a:avLst/>
        </a:prstGeom>
        <a:ln w="1270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142875</xdr:colOff>
      <xdr:row>9</xdr:row>
      <xdr:rowOff>99060</xdr:rowOff>
    </xdr:from>
    <xdr:to>
      <xdr:col>4</xdr:col>
      <xdr:colOff>180975</xdr:colOff>
      <xdr:row>11</xdr:row>
      <xdr:rowOff>45142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FFA841C-EE9A-4EF9-952E-036C48B88E1C}"/>
            </a:ext>
          </a:extLst>
        </xdr:cNvPr>
        <xdr:cNvSpPr txBox="1"/>
      </xdr:nvSpPr>
      <xdr:spPr>
        <a:xfrm>
          <a:off x="356235" y="1516380"/>
          <a:ext cx="3688080" cy="3118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>
                  <a:lumMod val="50000"/>
                  <a:lumOff val="50000"/>
                </a:schemeClr>
              </a:solidFill>
            </a:rPr>
            <a:t>Total Revenue</a:t>
          </a:r>
        </a:p>
      </xdr:txBody>
    </xdr:sp>
    <xdr:clientData/>
  </xdr:twoCellAnchor>
  <xdr:twoCellAnchor editAs="absolute">
    <xdr:from>
      <xdr:col>0</xdr:col>
      <xdr:colOff>179070</xdr:colOff>
      <xdr:row>19</xdr:row>
      <xdr:rowOff>38100</xdr:rowOff>
    </xdr:from>
    <xdr:to>
      <xdr:col>2</xdr:col>
      <xdr:colOff>864870</xdr:colOff>
      <xdr:row>21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13C9DF-441B-4A4C-86BB-9DD8C407B203}"/>
            </a:ext>
          </a:extLst>
        </xdr:cNvPr>
        <xdr:cNvSpPr txBox="1"/>
      </xdr:nvSpPr>
      <xdr:spPr>
        <a:xfrm>
          <a:off x="179070" y="3596640"/>
          <a:ext cx="1699260" cy="403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</a:rPr>
            <a:t>Month over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</a:rPr>
            <a:t> Month</a:t>
          </a:r>
          <a:endParaRPr lang="en-US" sz="12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1037844</xdr:colOff>
      <xdr:row>19</xdr:row>
      <xdr:rowOff>45720</xdr:rowOff>
    </xdr:from>
    <xdr:to>
      <xdr:col>4</xdr:col>
      <xdr:colOff>9144</xdr:colOff>
      <xdr:row>21</xdr:row>
      <xdr:rowOff>106680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1FE8B70-F9F2-4B43-9518-7B813F4D9074}"/>
            </a:ext>
          </a:extLst>
        </xdr:cNvPr>
        <xdr:cNvSpPr txBox="1"/>
      </xdr:nvSpPr>
      <xdr:spPr>
        <a:xfrm>
          <a:off x="2226564" y="3665220"/>
          <a:ext cx="1645920" cy="426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</a:rPr>
            <a:t>Year over Year</a:t>
          </a:r>
        </a:p>
      </xdr:txBody>
    </xdr:sp>
    <xdr:clientData/>
  </xdr:twoCellAnchor>
  <xdr:twoCellAnchor editAs="absolute">
    <xdr:from>
      <xdr:col>2</xdr:col>
      <xdr:colOff>99060</xdr:colOff>
      <xdr:row>21</xdr:row>
      <xdr:rowOff>60960</xdr:rowOff>
    </xdr:from>
    <xdr:to>
      <xdr:col>3</xdr:col>
      <xdr:colOff>472440</xdr:colOff>
      <xdr:row>23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9856EC8-B69E-4673-8B97-1CCF366C91F9}"/>
            </a:ext>
          </a:extLst>
        </xdr:cNvPr>
        <xdr:cNvSpPr txBox="1"/>
      </xdr:nvSpPr>
      <xdr:spPr>
        <a:xfrm>
          <a:off x="1112520" y="3985260"/>
          <a:ext cx="1744980" cy="426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>
                  <a:lumMod val="50000"/>
                  <a:lumOff val="50000"/>
                </a:schemeClr>
              </a:solidFill>
            </a:rPr>
            <a:t>Revenue</a:t>
          </a: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</a:rPr>
            <a:t> </a:t>
          </a:r>
          <a:r>
            <a:rPr lang="en-US" sz="1600" b="1">
              <a:solidFill>
                <a:schemeClr val="tx1">
                  <a:lumMod val="50000"/>
                  <a:lumOff val="50000"/>
                </a:schemeClr>
              </a:solidFill>
            </a:rPr>
            <a:t>Trend</a:t>
          </a:r>
          <a:endParaRPr lang="en-US" sz="12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absolute">
    <xdr:from>
      <xdr:col>5</xdr:col>
      <xdr:colOff>495300</xdr:colOff>
      <xdr:row>9</xdr:row>
      <xdr:rowOff>106680</xdr:rowOff>
    </xdr:from>
    <xdr:to>
      <xdr:col>16</xdr:col>
      <xdr:colOff>289560</xdr:colOff>
      <xdr:row>11</xdr:row>
      <xdr:rowOff>167640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02DFD8-148F-409B-BC8A-A9FE781A1FF4}"/>
            </a:ext>
          </a:extLst>
        </xdr:cNvPr>
        <xdr:cNvSpPr txBox="1"/>
      </xdr:nvSpPr>
      <xdr:spPr>
        <a:xfrm>
          <a:off x="4968240" y="1524000"/>
          <a:ext cx="6499860" cy="426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>
                  <a:lumMod val="50000"/>
                  <a:lumOff val="50000"/>
                </a:schemeClr>
              </a:solidFill>
            </a:rPr>
            <a:t>Store Performance</a:t>
          </a:r>
        </a:p>
      </xdr:txBody>
    </xdr:sp>
    <xdr:clientData/>
  </xdr:twoCellAnchor>
  <xdr:twoCellAnchor editAs="absolute">
    <xdr:from>
      <xdr:col>15</xdr:col>
      <xdr:colOff>594360</xdr:colOff>
      <xdr:row>9</xdr:row>
      <xdr:rowOff>91440</xdr:rowOff>
    </xdr:from>
    <xdr:to>
      <xdr:col>19</xdr:col>
      <xdr:colOff>68580</xdr:colOff>
      <xdr:row>11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38B23BC-A8AB-4A7B-A7FA-B071CD7F6E7E}"/>
            </a:ext>
          </a:extLst>
        </xdr:cNvPr>
        <xdr:cNvSpPr txBox="1"/>
      </xdr:nvSpPr>
      <xdr:spPr>
        <a:xfrm>
          <a:off x="11163300" y="1508760"/>
          <a:ext cx="2788920" cy="426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>
                  <a:lumMod val="50000"/>
                  <a:lumOff val="50000"/>
                </a:schemeClr>
              </a:solidFill>
            </a:rPr>
            <a:t>Top Performing</a:t>
          </a:r>
          <a:r>
            <a:rPr lang="en-US" sz="1600" b="1" baseline="0">
              <a:solidFill>
                <a:schemeClr val="tx1">
                  <a:lumMod val="50000"/>
                  <a:lumOff val="50000"/>
                </a:schemeClr>
              </a:solidFill>
            </a:rPr>
            <a:t> Products</a:t>
          </a:r>
        </a:p>
        <a:p>
          <a:pPr algn="ctr"/>
          <a:endParaRPr lang="en-US" sz="12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absolute">
    <xdr:from>
      <xdr:col>16</xdr:col>
      <xdr:colOff>106680</xdr:colOff>
      <xdr:row>23</xdr:row>
      <xdr:rowOff>76200</xdr:rowOff>
    </xdr:from>
    <xdr:to>
      <xdr:col>19</xdr:col>
      <xdr:colOff>121920</xdr:colOff>
      <xdr:row>25</xdr:row>
      <xdr:rowOff>137160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064562A-6B58-46B9-A008-24AE4D4A39DB}"/>
            </a:ext>
          </a:extLst>
        </xdr:cNvPr>
        <xdr:cNvSpPr txBox="1"/>
      </xdr:nvSpPr>
      <xdr:spPr>
        <a:xfrm>
          <a:off x="11285220" y="4427220"/>
          <a:ext cx="2720340" cy="4267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>
                  <a:lumMod val="50000"/>
                  <a:lumOff val="50000"/>
                </a:schemeClr>
              </a:solidFill>
            </a:rPr>
            <a:t>Bottom Performing</a:t>
          </a:r>
          <a:r>
            <a:rPr lang="en-US" sz="1600" b="1" baseline="0">
              <a:solidFill>
                <a:schemeClr val="tx1">
                  <a:lumMod val="50000"/>
                  <a:lumOff val="50000"/>
                </a:schemeClr>
              </a:solidFill>
            </a:rPr>
            <a:t> Products</a:t>
          </a:r>
        </a:p>
        <a:p>
          <a:pPr algn="ctr"/>
          <a:endParaRPr lang="en-US" sz="1200" b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179070</xdr:colOff>
      <xdr:row>10</xdr:row>
      <xdr:rowOff>175260</xdr:rowOff>
    </xdr:from>
    <xdr:to>
      <xdr:col>3</xdr:col>
      <xdr:colOff>1283970</xdr:colOff>
      <xdr:row>15</xdr:row>
      <xdr:rowOff>129540</xdr:rowOff>
    </xdr:to>
    <xdr:sp macro="" textlink="'Data Prep'!E2">
      <xdr:nvSpPr>
        <xdr:cNvPr id="20" name="TextBox 19">
          <a:extLst>
            <a:ext uri="{FF2B5EF4-FFF2-40B4-BE49-F238E27FC236}">
              <a16:creationId xmlns:a16="http://schemas.microsoft.com/office/drawing/2014/main" id="{1A905AB5-17A1-4AF6-8593-04B77FB60832}"/>
            </a:ext>
          </a:extLst>
        </xdr:cNvPr>
        <xdr:cNvSpPr txBox="1"/>
      </xdr:nvSpPr>
      <xdr:spPr>
        <a:xfrm>
          <a:off x="179070" y="1775460"/>
          <a:ext cx="366522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B83FF41-24B5-4712-941C-490E71D13E65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$50,618</a:t>
          </a:fld>
          <a:endParaRPr lang="en-US" sz="239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967740</xdr:colOff>
          <xdr:row>16</xdr:row>
          <xdr:rowOff>189909</xdr:rowOff>
        </xdr:from>
        <xdr:to>
          <xdr:col>4</xdr:col>
          <xdr:colOff>94488</xdr:colOff>
          <xdr:row>18</xdr:row>
          <xdr:rowOff>169777</xdr:rowOff>
        </xdr:to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4AEBA9BD-95DA-4DBE-9726-A24A2A3182E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61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81200" y="3039789"/>
              <a:ext cx="1801368" cy="452308"/>
            </a:xfrm>
            <a:prstGeom prst="rect">
              <a:avLst/>
            </a:prstGeom>
            <a:solidFill>
              <a:sysClr val="window" lastClr="FFFFFF"/>
            </a:soli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128016</xdr:colOff>
          <xdr:row>16</xdr:row>
          <xdr:rowOff>189909</xdr:rowOff>
        </xdr:from>
        <xdr:to>
          <xdr:col>2</xdr:col>
          <xdr:colOff>740664</xdr:colOff>
          <xdr:row>18</xdr:row>
          <xdr:rowOff>154695</xdr:rowOff>
        </xdr:to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188FC08B-E026-4FDB-A685-DD2B0C4664E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617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8016" y="3039789"/>
              <a:ext cx="1801368" cy="43722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0</xdr:col>
      <xdr:colOff>129540</xdr:colOff>
      <xdr:row>16</xdr:row>
      <xdr:rowOff>0</xdr:rowOff>
    </xdr:from>
    <xdr:to>
      <xdr:col>4</xdr:col>
      <xdr:colOff>30480</xdr:colOff>
      <xdr:row>16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AE03232-003E-4A3A-A373-935E215BBAE8}"/>
            </a:ext>
          </a:extLst>
        </xdr:cNvPr>
        <xdr:cNvCxnSpPr/>
      </xdr:nvCxnSpPr>
      <xdr:spPr>
        <a:xfrm>
          <a:off x="129540" y="2849880"/>
          <a:ext cx="3589020" cy="0"/>
        </a:xfrm>
        <a:prstGeom prst="line">
          <a:avLst/>
        </a:prstGeom>
        <a:ln w="1270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910590</xdr:colOff>
      <xdr:row>15</xdr:row>
      <xdr:rowOff>228600</xdr:rowOff>
    </xdr:from>
    <xdr:to>
      <xdr:col>2</xdr:col>
      <xdr:colOff>910590</xdr:colOff>
      <xdr:row>20</xdr:row>
      <xdr:rowOff>152400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C7FE42B-3449-49FF-B523-42DEFBC7FAFA}"/>
            </a:ext>
          </a:extLst>
        </xdr:cNvPr>
        <xdr:cNvCxnSpPr/>
      </xdr:nvCxnSpPr>
      <xdr:spPr>
        <a:xfrm flipV="1">
          <a:off x="1924050" y="2842260"/>
          <a:ext cx="0" cy="1051560"/>
        </a:xfrm>
        <a:prstGeom prst="line">
          <a:avLst/>
        </a:prstGeom>
        <a:ln w="1270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167640</xdr:colOff>
      <xdr:row>23</xdr:row>
      <xdr:rowOff>15240</xdr:rowOff>
    </xdr:from>
    <xdr:to>
      <xdr:col>3</xdr:col>
      <xdr:colOff>1089660</xdr:colOff>
      <xdr:row>36</xdr:row>
      <xdr:rowOff>60960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B113AA2-1A89-44DD-9F87-84EA8D5B0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117348</xdr:colOff>
      <xdr:row>11</xdr:row>
      <xdr:rowOff>76200</xdr:rowOff>
    </xdr:from>
    <xdr:to>
      <xdr:col>11</xdr:col>
      <xdr:colOff>144780</xdr:colOff>
      <xdr:row>36</xdr:row>
      <xdr:rowOff>167640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C378FD1-C3A4-4DAC-ACDE-F533B444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502920</xdr:colOff>
      <xdr:row>11</xdr:row>
      <xdr:rowOff>160020</xdr:rowOff>
    </xdr:from>
    <xdr:to>
      <xdr:col>15</xdr:col>
      <xdr:colOff>396240</xdr:colOff>
      <xdr:row>37</xdr:row>
      <xdr:rowOff>68580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04564CD-D68B-4620-969C-BE98ABC1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AD84BB-F8E5-4880-856C-E76899586699}" name="Data" displayName="Data" ref="A1:J4795" totalsRowShown="0" headerRowDxfId="8">
  <autoFilter ref="A1:J4795" xr:uid="{D4AD84BB-F8E5-4880-856C-E76899586699}"/>
  <tableColumns count="10">
    <tableColumn id="1" xr3:uid="{0FD4EFDE-7F00-40EC-B674-9B5BE9379F4A}" name="Year"/>
    <tableColumn id="2" xr3:uid="{7EBEC774-D398-47CA-BC2C-5F5092D172CA}" name="Month"/>
    <tableColumn id="3" xr3:uid="{A9B24E78-D947-4EE9-A6EB-7DB4D77AB891}" name="Store Name"/>
    <tableColumn id="4" xr3:uid="{0ADB5C20-CD64-48B3-A00C-5C1E724FBAA1}" name="Region"/>
    <tableColumn id="5" xr3:uid="{D8C0A309-8411-4345-B442-52CA1105153E}" name="Store Type"/>
    <tableColumn id="6" xr3:uid="{3854DE92-F7D0-4689-81F8-6094B48898E2}" name="Product Name"/>
    <tableColumn id="7" xr3:uid="{9052641B-22C6-41B9-B507-C7FFA0B48B42}" name="Product Category"/>
    <tableColumn id="8" xr3:uid="{F3721751-A11C-4348-84BC-0E465D2F1446}" name="Units Sold"/>
    <tableColumn id="9" xr3:uid="{68482E2B-EA5E-41CC-863D-BACD49E9A5BD}" name="Revenue" dataDxfId="10"/>
    <tableColumn id="10" xr3:uid="{51011537-5FCA-4C5E-9751-BCD37452017F}" name="Profit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503" zoomScaleNormal="100" workbookViewId="0">
      <selection activeCell="A4536" sqref="A4536:J4795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SUMIFS(I:I,D:D,_xlfn.SINGLE(Region),C:C,AW3,G:G,AX3,A:A,_xlfn.SINGLE(CurYear),B:B,_xlfn.SINGLE(CurMonth))</f>
        <v>0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SUMIFS(I:I,D:D,_xlfn.SINGLE(Region),C:C,AW4,G:G,AX4,A:A,_xlfn.SINGLE(CurYear),B:B,_xlfn.SINGLE(CurMonth))</f>
        <v>0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SUMIFS(I:I,D:D,_xlfn.SINGLE(Region),C:C,AW5,G:G,AX5,A:A,_xlfn.SINGLE(CurYear),B:B,_xlfn.SINGLE(CurMonth))</f>
        <v>0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SUMIFS(I:I,D:D,_xlfn.SINGLE(Region),C:C,AW6,G:G,AX6,A:A,_xlfn.SINGLE(CurYear),B:B,_xlfn.SINGLE(CurMonth))</f>
        <v>0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SUMIFS(I:I,D:D,_xlfn.SINGLE(Region),C:C,AW7,G:G,AX7,A:A,_xlfn.SINGLE(CurYear),B:B,_xlfn.SINGLE(CurMonth))</f>
        <v>0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SUMIFS(I:I,D:D,_xlfn.SINGLE(Region),C:C,AW8,G:G,AX8,A:A,_xlfn.SINGLE(CurYear),B:B,_xlfn.SINGLE(CurMonth))</f>
        <v>7339.2999999999993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SUMIFS(I:I,D:D,_xlfn.SINGLE(Region),C:C,AW9,G:G,AX9,A:A,_xlfn.SINGLE(CurYear),B:B,_xlfn.SINGLE(CurMonth))</f>
        <v>369.76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SUMIFS(I:I,D:D,_xlfn.SINGLE(Region),C:C,AW10,G:G,AX10,A:A,_xlfn.SINGLE(CurYear),B:B,_xlfn.SINGLE(CurMonth))</f>
        <v>712.64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SUMIFS(I:I,D:D,_xlfn.SINGLE(Region),C:C,AW11,G:G,AX11,A:A,_xlfn.SINGLE(CurYear),B:B,_xlfn.SINGLE(CurMonth))</f>
        <v>3087.3799999999997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SUMIFS(I:I,D:D,_xlfn.SINGLE(Region),C:C,AW12,G:G,AX12,A:A,_xlfn.SINGLE(CurYear),B:B,_xlfn.SINGLE(CurMonth))</f>
        <v>4746.1500000000005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SUMIFS(I:I,D:D,_xlfn.SINGLE(Region),C:C,AW13,G:G,AX13,A:A,_xlfn.SINGLE(CurYear),B:B,_xlfn.SINGLE(CurMonth))</f>
        <v>0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SUMIFS(I:I,D:D,_xlfn.SINGLE(Region),C:C,AW14,G:G,AX14,A:A,_xlfn.SINGLE(CurYear),B:B,_xlfn.SINGLE(CurMonth))</f>
        <v>0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SUMIFS(I:I,D:D,_xlfn.SINGLE(Region),C:C,AW15,G:G,AX15,A:A,_xlfn.SINGLE(CurYear),B:B,_xlfn.SINGLE(CurMonth))</f>
        <v>0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SUMIFS(I:I,D:D,_xlfn.SINGLE(Region),C:C,AW16,G:G,AX16,A:A,_xlfn.SINGLE(CurYear),B:B,_xlfn.SINGLE(CurMonth))</f>
        <v>0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SUMIFS(I:I,D:D,_xlfn.SINGLE(Region),C:C,AW17,G:G,AX17,A:A,_xlfn.SINGLE(CurYear),B:B,_xlfn.SINGLE(CurMonth))</f>
        <v>0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SUMIFS(I:I,D:D,_xlfn.SINGLE(Region),C:C,AW18,G:G,AX18,A:A,_xlfn.SINGLE(CurYear),B:B,_xlfn.SINGLE(CurMonth))</f>
        <v>4315.2000000000007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SUMIFS(I:I,D:D,_xlfn.SINGLE(Region),C:C,AW19,G:G,AX19,A:A,_xlfn.SINGLE(CurYear),B:B,_xlfn.SINGLE(CurMonth))</f>
        <v>2035.05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SUMIFS(I:I,D:D,_xlfn.SINGLE(Region),C:C,AW20,G:G,AX20,A:A,_xlfn.SINGLE(CurYear),B:B,_xlfn.SINGLE(CurMonth))</f>
        <v>1619.1799999999998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SUMIFS(I:I,D:D,_xlfn.SINGLE(Region),C:C,AW21,G:G,AX21,A:A,_xlfn.SINGLE(CurYear),B:B,_xlfn.SINGLE(CurMonth))</f>
        <v>2586.08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SUMIFS(I:I,D:D,_xlfn.SINGLE(Region),C:C,AW22,G:G,AX22,A:A,_xlfn.SINGLE(CurYear),B:B,_xlfn.SINGLE(CurMonth))</f>
        <v>3323.62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SUMIFS(I:I,D:D,_xlfn.SINGLE(Region),C:C,AW23,G:G,AX23,A:A,_xlfn.SINGLE(CurYear),B:B,_xlfn.SINGLE(CurMonth))</f>
        <v>0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SUMIFS(I:I,D:D,_xlfn.SINGLE(Region),C:C,AW24,G:G,AX24,A:A,_xlfn.SINGLE(CurYear),B:B,_xlfn.SINGLE(CurMonth))</f>
        <v>0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SUMIFS(I:I,D:D,_xlfn.SINGLE(Region),C:C,AW25,G:G,AX25,A:A,_xlfn.SINGLE(CurYear),B:B,_xlfn.SINGLE(CurMonth))</f>
        <v>0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SUMIFS(I:I,D:D,_xlfn.SINGLE(Region),C:C,AW26,G:G,AX26,A:A,_xlfn.SINGLE(CurYear),B:B,_xlfn.SINGLE(CurMonth))</f>
        <v>0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SUMIFS(I:I,D:D,_xlfn.SINGLE(Region),C:C,AW27,G:G,AX27,A:A,_xlfn.SINGLE(CurYear),B:B,_xlfn.SINGLE(CurMonth))</f>
        <v>0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SUMIFS(I:I,D:D,_xlfn.SINGLE(Region),C:C,AW28,G:G,AX28,A:A,_xlfn.SINGLE(CurYear),B:B,_xlfn.SINGLE(CurMonth))</f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SUMIFS(I:I,D:D,_xlfn.SINGLE(Region),C:C,AW29,G:G,AX29,A:A,_xlfn.SINGLE(CurYear),B:B,_xlfn.SINGLE(CurMonth))</f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SUMIFS(I:I,D:D,_xlfn.SINGLE(Region),C:C,AW30,G:G,AX30,A:A,_xlfn.SINGLE(CurYear),B:B,_xlfn.SINGLE(CurMonth))</f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SUMIFS(I:I,D:D,_xlfn.SINGLE(Region),C:C,AW31,G:G,AX31,A:A,_xlfn.SINGLE(CurYear),B:B,_xlfn.SINGLE(CurMonth))</f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SUMIFS(I:I,D:D,_xlfn.SINGLE(Region),C:C,AW32,G:G,AX32,A:A,_xlfn.SINGLE(CurYear),B:B,_xlfn.SINGLE(CurMonth))</f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SUMIFS(I:I,D:D,_xlfn.SINGLE(Region),C:C,AW33,G:G,AX33,A:A,_xlfn.SINGLE(CurYear),B:B,_xlfn.SINGLE(CurMonth))</f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SUMIFS(I:I,D:D,_xlfn.SINGLE(Region),C:C,AW34,G:G,AX34,A:A,_xlfn.SINGLE(CurYear),B:B,_xlfn.SINGLE(CurMonth))</f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SUMIFS(I:I,D:D,_xlfn.SINGLE(Region),C:C,AW36,G:G,AX36,A:A,_xlfn.SINGLE(CurYear),B:B,_xlfn.SINGLE(CurMonth))</f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SUMIFS(I:I,D:D,_xlfn.SINGLE(Region),C:C,AW37,G:G,AX37,A:A,_xlfn.SINGLE(CurYear),B:B,_xlfn.SINGLE(CurMonth))</f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SUMIFS(I:I,D:D,_xlfn.SINGLE(Region),C:C,AW38,G:G,AX38,A:A,_xlfn.SINGLE(CurYear),B:B,_xlfn.SINGLE(CurMonth))</f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SUMIFS(I:I,D:D,_xlfn.SINGLE(Region),C:C,AW39,G:G,AX39,A:A,_xlfn.SINGLE(CurYear),B:B,_xlfn.SINGLE(CurMonth))</f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SUMIFS(I:I,D:D,_xlfn.SINGLE(Region),C:C,AW40,G:G,AX40,A:A,_xlfn.SINGLE(CurYear),B:B,_xlfn.SINGLE(CurMonth))</f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SUMIFS(I:I,D:D,_xlfn.SINGLE(Region),C:C,AW41,G:G,AX41,A:A,_xlfn.SINGLE(CurYear),B:B,_xlfn.SINGLE(CurMonth))</f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SUMIFS(I:I,D:D,_xlfn.SINGLE(Region),C:C,AW42,G:G,AX42,A:A,_xlfn.SINGLE(CurYear),B:B,_xlfn.SINGLE(CurMonth))</f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SUMIFS(I:I,D:D,_xlfn.SINGLE(Region),C:C,AW43,G:G,AX43,A:A,_xlfn.SINGLE(CurYear),B:B,_xlfn.SINGLE(CurMonth))</f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SUMIFS(I:I,D:D,_xlfn.SINGLE(Region),C:C,AW44,G:G,AX44,A:A,_xlfn.SINGLE(CurYear),B:B,_xlfn.SINGLE(CurMonth))</f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SUMIFS(I:I,D:D,_xlfn.SINGLE(Region),C:C,AW45,G:G,AX45,A:A,_xlfn.SINGLE(CurYear),B:B,_xlfn.SINGLE(CurMonth))</f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SUMIFS(I:I,D:D,_xlfn.SINGLE(Region),C:C,AW46,G:G,AX46,A:A,_xlfn.SINGLE(CurYear),B:B,_xlfn.SINGLE(CurMonth))</f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SUMIFS(I:I,D:D,_xlfn.SINGLE(Region),C:C,AW47,G:G,AX47,A:A,_xlfn.SINGLE(CurYear),B:B,_xlfn.SINGLE(CurMonth))</f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SUMIFS(I:I,D:D,_xlfn.SINGLE(Region),C:C,AW48,G:G,AX48,A:A,_xlfn.SINGLE(CurYear),B:B,_xlfn.SINGLE(CurMonth))</f>
        <v>7644.92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SUMIFS(I:I,D:D,_xlfn.SINGLE(Region),C:C,AW49,G:G,AX49,A:A,_xlfn.SINGLE(CurYear),B:B,_xlfn.SINGLE(CurMonth))</f>
        <v>2198.61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SUMIFS(I:I,D:D,_xlfn.SINGLE(Region),C:C,AW50,G:G,AX50,A:A,_xlfn.SINGLE(CurYear),B:B,_xlfn.SINGLE(CurMonth))</f>
        <v>3036.0899999999997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SUMIFS(I:I,D:D,_xlfn.SINGLE(Region),C:C,AW51,G:G,AX51,A:A,_xlfn.SINGLE(CurYear),B:B,_xlfn.SINGLE(CurMonth))</f>
        <v>1791.69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SUMIFS(I:I,D:D,_xlfn.SINGLE(Region),C:C,AW52,G:G,AX52,A:A,_xlfn.SINGLE(CurYear),B:B,_xlfn.SINGLE(CurMonth))</f>
        <v>5812.6999999999989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DC26-CAEA-4DFD-AE41-B36A25B145F3}">
  <dimension ref="A1:AK36"/>
  <sheetViews>
    <sheetView topLeftCell="A4" workbookViewId="0">
      <selection activeCell="B14" sqref="B14"/>
    </sheetView>
  </sheetViews>
  <sheetFormatPr defaultRowHeight="14.4" x14ac:dyDescent="0.3"/>
  <cols>
    <col min="1" max="1" width="15.109375" bestFit="1" customWidth="1"/>
    <col min="2" max="2" width="10.44140625" bestFit="1" customWidth="1"/>
    <col min="4" max="4" width="13.33203125" bestFit="1" customWidth="1"/>
    <col min="5" max="5" width="11.33203125" customWidth="1"/>
    <col min="9" max="9" width="8.109375" bestFit="1" customWidth="1"/>
    <col min="13" max="13" width="19.6640625" bestFit="1" customWidth="1"/>
    <col min="15" max="15" width="11.109375" bestFit="1" customWidth="1"/>
    <col min="20" max="20" width="11.77734375" bestFit="1" customWidth="1"/>
    <col min="21" max="21" width="11.77734375" customWidth="1"/>
    <col min="27" max="27" width="15.21875" bestFit="1" customWidth="1"/>
    <col min="29" max="29" width="11.6640625" bestFit="1" customWidth="1"/>
    <col min="35" max="35" width="13.21875" bestFit="1" customWidth="1"/>
  </cols>
  <sheetData>
    <row r="1" spans="1:37" x14ac:dyDescent="0.3">
      <c r="A1" s="4" t="s">
        <v>75</v>
      </c>
      <c r="B1" s="4"/>
      <c r="D1" s="11" t="s">
        <v>82</v>
      </c>
      <c r="E1" s="11"/>
      <c r="G1" s="11" t="s">
        <v>89</v>
      </c>
      <c r="H1" s="11"/>
      <c r="I1" s="11"/>
      <c r="J1" s="11"/>
      <c r="K1" s="11"/>
      <c r="M1" s="11" t="s">
        <v>103</v>
      </c>
      <c r="N1" s="11"/>
      <c r="O1" s="11"/>
      <c r="P1" s="11"/>
      <c r="Q1" s="11"/>
      <c r="S1" s="11" t="s">
        <v>106</v>
      </c>
      <c r="T1" s="11"/>
      <c r="U1" s="11"/>
      <c r="V1" s="11"/>
      <c r="W1" s="11"/>
      <c r="X1" s="11"/>
      <c r="Y1" s="11"/>
      <c r="AA1" s="11" t="s">
        <v>107</v>
      </c>
      <c r="AB1" s="11"/>
      <c r="AC1" s="11"/>
      <c r="AD1" s="11"/>
      <c r="AE1" s="11"/>
      <c r="AF1" s="11"/>
      <c r="AH1" s="11" t="s">
        <v>112</v>
      </c>
      <c r="AI1" s="11"/>
      <c r="AJ1" s="11"/>
      <c r="AK1" s="11"/>
    </row>
    <row r="2" spans="1:37" x14ac:dyDescent="0.3">
      <c r="A2" s="6" t="s">
        <v>52</v>
      </c>
      <c r="B2" s="6" t="s">
        <v>76</v>
      </c>
      <c r="D2" s="7" t="s">
        <v>83</v>
      </c>
      <c r="E2" s="8">
        <f>SUMIFS(Data[Revenue],Data[Region],Region,Data[Month],CurMonth,Data[Year],CurYear)</f>
        <v>50618.369999999995</v>
      </c>
      <c r="G2" s="13" t="s">
        <v>90</v>
      </c>
      <c r="H2" s="13" t="s">
        <v>49</v>
      </c>
      <c r="I2" s="13">
        <f>PrevYear</f>
        <v>2020</v>
      </c>
      <c r="J2" s="13">
        <f>CurYear</f>
        <v>2021</v>
      </c>
      <c r="K2" s="13" t="s">
        <v>76</v>
      </c>
      <c r="M2" s="13" t="s">
        <v>63</v>
      </c>
      <c r="N2" s="13" t="s">
        <v>46</v>
      </c>
      <c r="O2" s="13" t="s">
        <v>104</v>
      </c>
      <c r="P2" s="13" t="s">
        <v>88</v>
      </c>
      <c r="Q2" s="13" t="s">
        <v>105</v>
      </c>
      <c r="S2" s="13" t="s">
        <v>105</v>
      </c>
      <c r="T2" s="13" t="s">
        <v>63</v>
      </c>
      <c r="U2" s="13" t="s">
        <v>52</v>
      </c>
      <c r="V2" s="13" t="s">
        <v>46</v>
      </c>
      <c r="W2" s="13" t="s">
        <v>88</v>
      </c>
      <c r="X2" s="13" t="s">
        <v>76</v>
      </c>
      <c r="Y2" s="13" t="s">
        <v>76</v>
      </c>
      <c r="AA2" s="13" t="s">
        <v>108</v>
      </c>
      <c r="AB2" s="13" t="s">
        <v>46</v>
      </c>
      <c r="AC2" s="13" t="s">
        <v>104</v>
      </c>
      <c r="AD2" s="13" t="s">
        <v>109</v>
      </c>
      <c r="AE2" s="13" t="s">
        <v>110</v>
      </c>
      <c r="AF2" s="13" t="s">
        <v>111</v>
      </c>
      <c r="AH2" s="13" t="s">
        <v>105</v>
      </c>
      <c r="AI2" s="13" t="s">
        <v>108</v>
      </c>
      <c r="AJ2" s="13" t="s">
        <v>46</v>
      </c>
      <c r="AK2" s="13" t="s">
        <v>109</v>
      </c>
    </row>
    <row r="3" spans="1:37" x14ac:dyDescent="0.3">
      <c r="A3" t="s">
        <v>4</v>
      </c>
      <c r="B3" t="str">
        <f>Dashboard!C7</f>
        <v>New York</v>
      </c>
      <c r="D3" s="7" t="s">
        <v>84</v>
      </c>
      <c r="E3" s="8">
        <f>SUMIFS(Data[Revenue],Data[Region],Region,Data[Month],CurMonth,Data[Year],PrevYear)</f>
        <v>34844.409999999982</v>
      </c>
      <c r="G3">
        <v>1</v>
      </c>
      <c r="H3" t="s">
        <v>91</v>
      </c>
      <c r="I3" s="3">
        <f>SUMIFS(Data[[Revenue]:[Revenue]],Data[[Region]:[Region]],Region,Data[[Month]:[Month]],'Data Prep'!$G3,Data[[Year]:[Year]],'Data Prep'!I$2)</f>
        <v>31544.950000000004</v>
      </c>
      <c r="J3" s="3">
        <f>IF(G3&gt;CurMonth,NA(),(SUMIFS(Data[[Revenue]:[Revenue]],Data[[Region]:[Region]],Region,Data[[Month]:[Month]],'Data Prep'!$G3,Data[[Year]:[Year]],'Data Prep'!J$2)))</f>
        <v>45431.029999999984</v>
      </c>
      <c r="K3" s="3" t="e">
        <f>IF(G3=CurMonth,J3,NA())</f>
        <v>#N/A</v>
      </c>
      <c r="M3" t="s">
        <v>59</v>
      </c>
      <c r="N3" s="3">
        <f>SUMIFS(Data[Revenue],Data[Store Name],M3,Data[Year],CurYear,Data[Month],CurMonth)</f>
        <v>10103.540000000001</v>
      </c>
      <c r="O3" s="3">
        <f>SUMIFS(Data[Revenue],Data[Store Name],M3,Data[Month],PrevMonth,Data[Year],PMYear)</f>
        <v>7938.76</v>
      </c>
      <c r="P3" s="14">
        <f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VLOOKUP('Data Prep'!T3,Data!C:D,2,FALSE)</f>
        <v>Chicago</v>
      </c>
      <c r="V3" s="3">
        <f t="shared" ref="V3:W12" si="0">INDEX($M$3:$P$12,MATCH($S3,$Q$3:$Q$12,0),MATCH(V$2,$M$2:$P$2,0))</f>
        <v>7721.8800000000019</v>
      </c>
      <c r="W3" s="22">
        <f t="shared" si="0"/>
        <v>-0.23788412342481746</v>
      </c>
      <c r="X3" s="24">
        <f>IF($U3=Region,V3,0)</f>
        <v>0</v>
      </c>
      <c r="Y3" s="25">
        <f>IF($U3=Region,W3,0)</f>
        <v>0</v>
      </c>
      <c r="AA3" t="s">
        <v>13</v>
      </c>
      <c r="AB3" s="3">
        <f>SUMIFS(Data[Revenue],Data[Region],Region,Data[Month],CurMonth,Data[Year],CurYear,Data[Product Name],'Data Prep'!$AA3)</f>
        <v>1311.1799999999998</v>
      </c>
      <c r="AC3" s="3">
        <f>SUMIFS(Data[Revenue],Data[Region],Region,Data[Month],PrevMonth,Data[Year],PMYear,Data[Product Name],'Data Prep'!AA3)</f>
        <v>1471.0800000000002</v>
      </c>
      <c r="AD3" s="2">
        <f>AB3-AC3</f>
        <v>-159.90000000000032</v>
      </c>
      <c r="AE3">
        <f>_xlfn.RANK.AVG(AD3,$AD$3:$AD$36,0)</f>
        <v>23</v>
      </c>
      <c r="AF3">
        <f>_xlfn.RANK.AVG(AD3,$AD$3:$AD$36,1)</f>
        <v>12</v>
      </c>
      <c r="AH3">
        <v>1</v>
      </c>
      <c r="AI3" t="str">
        <f>INDEX($AA$3:$AD$36,MATCH($AH3,$AE$3:$AE$36,0),MATCH(AI$2,$AA$2:$AD$2,0))</f>
        <v>Dinosaur Figures</v>
      </c>
      <c r="AJ3" s="3">
        <f t="shared" ref="AJ3:AK8" si="1">INDEX($AA$3:$AD$36,MATCH($AH3,$AE$3:$AE$36,0),MATCH(AJ$2,$AA$2:$AD$2,0))</f>
        <v>2893.07</v>
      </c>
      <c r="AK3" s="3">
        <f t="shared" si="1"/>
        <v>989.34000000000015</v>
      </c>
    </row>
    <row r="4" spans="1:37" x14ac:dyDescent="0.3">
      <c r="A4" t="s">
        <v>5</v>
      </c>
      <c r="D4" s="7" t="s">
        <v>85</v>
      </c>
      <c r="E4" s="8">
        <f>SUMIFS(Data[Revenue],Data[Region],Region,Data[Month],'Data Prep'!B11,Data[Year],PMYear)</f>
        <v>49838.54</v>
      </c>
      <c r="G4">
        <v>2</v>
      </c>
      <c r="H4" t="s">
        <v>92</v>
      </c>
      <c r="I4" s="3">
        <f>SUMIFS(Data[[Revenue]:[Revenue]],Data[[Region]:[Region]],Region,Data[[Month]:[Month]],'Data Prep'!$G4,Data[[Year]:[Year]],'Data Prep'!I$2)</f>
        <v>31002.100000000009</v>
      </c>
      <c r="J4" s="3">
        <f>IF(G4&gt;CurMonth,NA(),(SUMIFS(Data[[Revenue]:[Revenue]],Data[[Region]:[Region]],Region,Data[[Month]:[Month]],'Data Prep'!$G4,Data[[Year]:[Year]],'Data Prep'!J$2)))</f>
        <v>42456.219999999987</v>
      </c>
      <c r="K4" s="3" t="e">
        <f>IF(G4=CurMonth,J4,NA())</f>
        <v>#N/A</v>
      </c>
      <c r="M4" t="s">
        <v>56</v>
      </c>
      <c r="N4" s="3">
        <f>SUMIFS(Data[Revenue],Data[Store Name],M4,Data[Year],CurYear,Data[Month],CurMonth)</f>
        <v>15765.830000000002</v>
      </c>
      <c r="O4" s="3">
        <f>SUMIFS(Data[Revenue],Data[Store Name],M4,Data[Month],PrevMonth,Data[Year],PMYear)</f>
        <v>11411.519999999999</v>
      </c>
      <c r="P4" s="14">
        <f>N4/O4-1</f>
        <v>0.38157142957292312</v>
      </c>
      <c r="Q4">
        <f t="shared" ref="Q4:Q12" si="2">_xlfn.RANK.AVG(N4,$N$3:$N$12,1)</f>
        <v>4</v>
      </c>
      <c r="S4">
        <v>2</v>
      </c>
      <c r="T4" t="str">
        <f t="shared" ref="T4:T12" si="3">INDEX($M$3:$P$12,MATCH($S4,$Q$3:$Q$12,0),MATCH(T$2,$M$2:$P$2,0))</f>
        <v>Hollywood</v>
      </c>
      <c r="U4" t="str">
        <f>VLOOKUP('Data Prep'!T4,Data!C:D,2,FALSE)</f>
        <v>Los Angeles</v>
      </c>
      <c r="V4" s="3">
        <f t="shared" si="0"/>
        <v>10103.540000000001</v>
      </c>
      <c r="W4" s="22">
        <f t="shared" si="0"/>
        <v>0.27268490293194403</v>
      </c>
      <c r="X4" s="24">
        <f>IF($U4=Region,V4,0)</f>
        <v>0</v>
      </c>
      <c r="Y4" s="25">
        <f>IF($U4=Region,W4,0)</f>
        <v>0</v>
      </c>
      <c r="AA4" t="s">
        <v>24</v>
      </c>
      <c r="AB4" s="3">
        <f>SUMIFS(Data[Revenue],Data[Region],Region,Data[Month],CurMonth,Data[Year],CurYear,Data[Product Name],'Data Prep'!AA4)</f>
        <v>2649.96</v>
      </c>
      <c r="AC4" s="3">
        <f>SUMIFS(Data[Revenue],Data[Region],Region,Data[Month],PrevMonth,Data[Year],PMYear,Data[Product Name],'Data Prep'!AA4)</f>
        <v>2766.87</v>
      </c>
      <c r="AD4" s="2">
        <f t="shared" ref="AD4:AD36" si="4">AB4-AC4</f>
        <v>-116.90999999999985</v>
      </c>
      <c r="AE4">
        <f t="shared" ref="AE4:AE36" si="5">_xlfn.RANK.AVG(AD4,$AD$3:$AD$36,0)</f>
        <v>21</v>
      </c>
      <c r="AF4">
        <f t="shared" ref="AF4:AF36" si="6">_xlfn.RANK.AVG(AD4,$AD$3:$AD$36,1)</f>
        <v>14</v>
      </c>
      <c r="AH4">
        <v>2</v>
      </c>
      <c r="AI4" t="str">
        <f t="shared" ref="AI4:AI8" si="7">INDEX($AA$3:$AD$36,MATCH($AH4,$AE$3:$AE$36,0),MATCH(AI$2,$AA$2:$AD$2,0))</f>
        <v>Monopoly</v>
      </c>
      <c r="AJ4" s="3">
        <f t="shared" si="1"/>
        <v>899.55</v>
      </c>
      <c r="AK4" s="3">
        <f t="shared" si="1"/>
        <v>739.63</v>
      </c>
    </row>
    <row r="5" spans="1:37" x14ac:dyDescent="0.3">
      <c r="A5" t="s">
        <v>48</v>
      </c>
      <c r="D5" s="7" t="s">
        <v>87</v>
      </c>
      <c r="E5" s="17">
        <f>E2/E3-1</f>
        <v>0.45269700362267651</v>
      </c>
      <c r="G5">
        <v>3</v>
      </c>
      <c r="H5" t="s">
        <v>93</v>
      </c>
      <c r="I5" s="3">
        <f>SUMIFS(Data[[Revenue]:[Revenue]],Data[[Region]:[Region]],Region,Data[[Month]:[Month]],'Data Prep'!$G5,Data[[Year]:[Year]],'Data Prep'!I$2)</f>
        <v>40942.11</v>
      </c>
      <c r="J5" s="3">
        <f>IF(G5&gt;CurMonth,NA(),(SUMIFS(Data[[Revenue]:[Revenue]],Data[[Region]:[Region]],Region,Data[[Month]:[Month]],'Data Prep'!$G5,Data[[Year]:[Year]],'Data Prep'!J$2)))</f>
        <v>58945.410000000011</v>
      </c>
      <c r="K5" s="3" t="e">
        <f>IF(G5=CurMonth,J5,NA())</f>
        <v>#N/A</v>
      </c>
      <c r="M5" t="s">
        <v>54</v>
      </c>
      <c r="N5" s="3">
        <f>SUMIFS(Data[Revenue],Data[Store Name],M5,Data[Year],CurYear,Data[Month],CurMonth)</f>
        <v>7721.8800000000019</v>
      </c>
      <c r="O5" s="3">
        <f>SUMIFS(Data[Revenue],Data[Store Name],M5,Data[Month],PrevMonth,Data[Year],PMYear)</f>
        <v>10132.16</v>
      </c>
      <c r="P5" s="14">
        <f>N5/O5-1</f>
        <v>-0.23788412342481746</v>
      </c>
      <c r="Q5">
        <f t="shared" si="2"/>
        <v>1</v>
      </c>
      <c r="S5">
        <v>3</v>
      </c>
      <c r="T5" t="str">
        <f t="shared" si="3"/>
        <v>JFK</v>
      </c>
      <c r="U5" t="str">
        <f>VLOOKUP('Data Prep'!T5,Data!C:D,2,FALSE)</f>
        <v>New York</v>
      </c>
      <c r="V5" s="3">
        <f t="shared" si="0"/>
        <v>13879.13</v>
      </c>
      <c r="W5" s="22">
        <f t="shared" si="0"/>
        <v>5.7257752439920262E-2</v>
      </c>
      <c r="X5" s="24">
        <f>IF($U5=Region,V5,0)</f>
        <v>13879.13</v>
      </c>
      <c r="Y5" s="25">
        <f>IF($U5=Region,W5,0)</f>
        <v>5.7257752439920262E-2</v>
      </c>
      <c r="AA5" t="s">
        <v>18</v>
      </c>
      <c r="AB5" s="3">
        <f>SUMIFS(Data[Revenue],Data[Region],Region,Data[Month],CurMonth,Data[Year],CurYear,Data[Product Name],'Data Prep'!AA5)</f>
        <v>0</v>
      </c>
      <c r="AC5" s="3">
        <f>SUMIFS(Data[Revenue],Data[Region],Region,Data[Month],PrevMonth,Data[Year],PMYear,Data[Product Name],'Data Prep'!AA5)</f>
        <v>402.69</v>
      </c>
      <c r="AD5" s="2">
        <f t="shared" si="4"/>
        <v>-402.69</v>
      </c>
      <c r="AE5">
        <f t="shared" si="5"/>
        <v>29</v>
      </c>
      <c r="AF5">
        <f t="shared" si="6"/>
        <v>6</v>
      </c>
      <c r="AH5">
        <v>3</v>
      </c>
      <c r="AI5" t="str">
        <f t="shared" si="7"/>
        <v>Magic Sand</v>
      </c>
      <c r="AJ5" s="3">
        <f t="shared" si="1"/>
        <v>4589.13</v>
      </c>
      <c r="AK5" s="3">
        <f t="shared" si="1"/>
        <v>687.57000000000016</v>
      </c>
    </row>
    <row r="6" spans="1:37" x14ac:dyDescent="0.3">
      <c r="D6" s="7" t="s">
        <v>88</v>
      </c>
      <c r="E6" s="17">
        <f>E2/E4-1</f>
        <v>1.5647127704784269E-2</v>
      </c>
      <c r="G6">
        <v>4</v>
      </c>
      <c r="H6" t="s">
        <v>94</v>
      </c>
      <c r="I6" s="3">
        <f>SUMIFS(Data[[Revenue]:[Revenue]],Data[[Region]:[Region]],Region,Data[[Month]:[Month]],'Data Prep'!$G6,Data[[Year]:[Year]],'Data Prep'!I$2)</f>
        <v>51274.420000000006</v>
      </c>
      <c r="J6" s="3">
        <f>IF(G6&gt;CurMonth,NA(),(SUMIFS(Data[[Revenue]:[Revenue]],Data[[Region]:[Region]],Region,Data[[Month]:[Month]],'Data Prep'!$G6,Data[[Year]:[Year]],'Data Prep'!J$2)))</f>
        <v>66317.759999999995</v>
      </c>
      <c r="K6" s="3" t="e">
        <f>IF(G6=CurMonth,J6,NA())</f>
        <v>#N/A</v>
      </c>
      <c r="M6" t="s">
        <v>55</v>
      </c>
      <c r="N6" s="3">
        <f>SUMIFS(Data[Revenue],Data[Store Name],M6,Data[Year],CurYear,Data[Month],CurMonth)</f>
        <v>18238.46</v>
      </c>
      <c r="O6" s="3">
        <f>SUMIFS(Data[Revenue],Data[Store Name],M6,Data[Month],PrevMonth,Data[Year],PMYear)</f>
        <v>15332.379999999996</v>
      </c>
      <c r="P6" s="14">
        <f>N6/O6-1</f>
        <v>0.18953874088693379</v>
      </c>
      <c r="Q6">
        <f t="shared" si="2"/>
        <v>9</v>
      </c>
      <c r="S6">
        <v>4</v>
      </c>
      <c r="T6" t="str">
        <f t="shared" si="3"/>
        <v>Beverly Hills</v>
      </c>
      <c r="U6" t="str">
        <f>VLOOKUP('Data Prep'!T6,Data!C:D,2,FALSE)</f>
        <v>Los Angeles</v>
      </c>
      <c r="V6" s="3">
        <f t="shared" si="0"/>
        <v>15765.830000000002</v>
      </c>
      <c r="W6" s="22">
        <f t="shared" si="0"/>
        <v>0.38157142957292312</v>
      </c>
      <c r="X6" s="24">
        <f>IF($U6=Region,V6,0)</f>
        <v>0</v>
      </c>
      <c r="Y6" s="25">
        <f>IF($U6=Region,W6,0)</f>
        <v>0</v>
      </c>
      <c r="AA6" t="s">
        <v>30</v>
      </c>
      <c r="AB6" s="3">
        <f>SUMIFS(Data[Revenue],Data[Region],Region,Data[Month],CurMonth,Data[Year],CurYear,Data[Product Name],'Data Prep'!AA6)</f>
        <v>109.89</v>
      </c>
      <c r="AC6" s="3">
        <f>SUMIFS(Data[Revenue],Data[Region],Region,Data[Month],PrevMonth,Data[Year],PMYear,Data[Product Name],'Data Prep'!AA6)</f>
        <v>0</v>
      </c>
      <c r="AD6" s="2">
        <f t="shared" si="4"/>
        <v>109.89</v>
      </c>
      <c r="AE6">
        <f t="shared" si="5"/>
        <v>9</v>
      </c>
      <c r="AF6">
        <f t="shared" si="6"/>
        <v>26</v>
      </c>
      <c r="AH6">
        <v>4</v>
      </c>
      <c r="AI6" t="str">
        <f t="shared" si="7"/>
        <v>Barrel O' Slime</v>
      </c>
      <c r="AJ6" s="3">
        <f t="shared" si="1"/>
        <v>1356.6</v>
      </c>
      <c r="AK6" s="3">
        <f t="shared" si="1"/>
        <v>550.61999999999989</v>
      </c>
    </row>
    <row r="7" spans="1:37" x14ac:dyDescent="0.3">
      <c r="A7" s="4" t="s">
        <v>77</v>
      </c>
      <c r="B7" s="4"/>
      <c r="G7">
        <v>5</v>
      </c>
      <c r="H7" t="s">
        <v>95</v>
      </c>
      <c r="I7" s="3">
        <f>SUMIFS(Data[[Revenue]:[Revenue]],Data[[Region]:[Region]],Region,Data[[Month]:[Month]],'Data Prep'!$G7,Data[[Year]:[Year]],'Data Prep'!I$2)</f>
        <v>39052.43</v>
      </c>
      <c r="J7" s="3">
        <f>IF(G7&gt;CurMonth,NA(),(SUMIFS(Data[[Revenue]:[Revenue]],Data[[Region]:[Region]],Region,Data[[Month]:[Month]],'Data Prep'!$G7,Data[[Year]:[Year]],'Data Prep'!J$2)))</f>
        <v>63906.600000000006</v>
      </c>
      <c r="K7" s="3" t="e">
        <f>IF(G7=CurMonth,J7,NA())</f>
        <v>#N/A</v>
      </c>
      <c r="M7" t="s">
        <v>53</v>
      </c>
      <c r="N7" s="3">
        <f>SUMIFS(Data[Revenue],Data[Store Name],M7,Data[Year],CurYear,Data[Month],CurMonth)</f>
        <v>17505.330000000002</v>
      </c>
      <c r="O7" s="3">
        <f>SUMIFS(Data[Revenue],Data[Store Name],M7,Data[Month],PrevMonth,Data[Year],PMYear)</f>
        <v>17049.52</v>
      </c>
      <c r="P7" s="15">
        <f>N7/O7-1</f>
        <v>2.6734476982343214E-2</v>
      </c>
      <c r="Q7">
        <f t="shared" si="2"/>
        <v>6</v>
      </c>
      <c r="S7">
        <v>5</v>
      </c>
      <c r="T7" t="str">
        <f t="shared" si="3"/>
        <v>Fifth Avenue</v>
      </c>
      <c r="U7" t="str">
        <f>VLOOKUP('Data Prep'!T7,Data!C:D,2,FALSE)</f>
        <v>New York</v>
      </c>
      <c r="V7" s="3">
        <f t="shared" si="0"/>
        <v>16255.230000000001</v>
      </c>
      <c r="W7" s="22">
        <f t="shared" si="0"/>
        <v>-0.13607835613264074</v>
      </c>
      <c r="X7" s="24">
        <f>IF($U7=Region,V7,0)</f>
        <v>16255.230000000001</v>
      </c>
      <c r="Y7" s="25">
        <f>IF($U7=Region,W7,0)</f>
        <v>-0.13607835613264074</v>
      </c>
      <c r="AA7" t="s">
        <v>20</v>
      </c>
      <c r="AB7" s="3">
        <f>SUMIFS(Data[Revenue],Data[Region],Region,Data[Month],CurMonth,Data[Year],CurYear,Data[Product Name],'Data Prep'!AA7)</f>
        <v>3117.92</v>
      </c>
      <c r="AC7" s="3">
        <f>SUMIFS(Data[Revenue],Data[Region],Region,Data[Month],PrevMonth,Data[Year],PMYear,Data[Product Name],'Data Prep'!AA7)</f>
        <v>3102.93</v>
      </c>
      <c r="AD7" s="2">
        <f t="shared" si="4"/>
        <v>14.990000000000236</v>
      </c>
      <c r="AE7">
        <f t="shared" si="5"/>
        <v>12</v>
      </c>
      <c r="AF7">
        <f t="shared" si="6"/>
        <v>23</v>
      </c>
      <c r="AH7">
        <v>5</v>
      </c>
      <c r="AI7" t="str">
        <f t="shared" si="7"/>
        <v>Deck Of Cards</v>
      </c>
      <c r="AJ7" s="3">
        <f t="shared" si="1"/>
        <v>1901.28</v>
      </c>
      <c r="AK7" s="3">
        <f t="shared" si="1"/>
        <v>426.38999999999987</v>
      </c>
    </row>
    <row r="8" spans="1:37" x14ac:dyDescent="0.3">
      <c r="A8" s="7" t="s">
        <v>78</v>
      </c>
      <c r="B8" s="9">
        <f>MAX(Data[Year])</f>
        <v>2021</v>
      </c>
      <c r="G8">
        <v>6</v>
      </c>
      <c r="H8" t="s">
        <v>96</v>
      </c>
      <c r="I8" s="3">
        <f>SUMIFS(Data[[Revenue]:[Revenue]],Data[[Region]:[Region]],Region,Data[[Month]:[Month]],'Data Prep'!$G8,Data[[Year]:[Year]],'Data Prep'!I$2)</f>
        <v>47915.380000000005</v>
      </c>
      <c r="J8" s="3">
        <f>IF(G8&gt;CurMonth,NA(),(SUMIFS(Data[[Revenue]:[Revenue]],Data[[Region]:[Region]],Region,Data[[Month]:[Month]],'Data Prep'!$G8,Data[[Year]:[Year]],'Data Prep'!J$2)))</f>
        <v>61649.439999999981</v>
      </c>
      <c r="K8" s="3" t="e">
        <f>IF(G8=CurMonth,J8,NA())</f>
        <v>#N/A</v>
      </c>
      <c r="M8" t="s">
        <v>58</v>
      </c>
      <c r="N8" s="3">
        <f>SUMIFS(Data[Revenue],Data[Store Name],M8,Data[Year],CurYear,Data[Month],CurMonth)</f>
        <v>16255.230000000001</v>
      </c>
      <c r="O8" s="3">
        <f>SUMIFS(Data[Revenue],Data[Store Name],M8,Data[Month],PrevMonth,Data[Year],PMYear)</f>
        <v>18815.63</v>
      </c>
      <c r="P8" s="14">
        <f>N8/O8-1</f>
        <v>-0.13607835613264074</v>
      </c>
      <c r="Q8">
        <f t="shared" si="2"/>
        <v>5</v>
      </c>
      <c r="S8">
        <v>6</v>
      </c>
      <c r="T8" t="str">
        <f t="shared" si="3"/>
        <v>Lincoln Park</v>
      </c>
      <c r="U8" t="str">
        <f>VLOOKUP('Data Prep'!T8,Data!C:D,2,FALSE)</f>
        <v>Chicago</v>
      </c>
      <c r="V8" s="3">
        <f t="shared" si="0"/>
        <v>17505.330000000002</v>
      </c>
      <c r="W8" s="22">
        <f t="shared" si="0"/>
        <v>2.6734476982343214E-2</v>
      </c>
      <c r="X8" s="24">
        <f>IF($U8=Region,V8,0)</f>
        <v>0</v>
      </c>
      <c r="Y8" s="25">
        <f>IF($U8=Region,W8,0)</f>
        <v>0</v>
      </c>
      <c r="AA8" t="s">
        <v>25</v>
      </c>
      <c r="AB8" s="3">
        <f>SUMIFS(Data[Revenue],Data[Region],Region,Data[Month],CurMonth,Data[Year],CurYear,Data[Product Name],'Data Prep'!AA8)</f>
        <v>1487.0700000000002</v>
      </c>
      <c r="AC8" s="3">
        <f>SUMIFS(Data[Revenue],Data[Region],Region,Data[Month],PrevMonth,Data[Year],PMYear,Data[Product Name],'Data Prep'!AA8)</f>
        <v>1087.32</v>
      </c>
      <c r="AD8" s="2">
        <f t="shared" si="4"/>
        <v>399.75000000000023</v>
      </c>
      <c r="AE8">
        <f t="shared" si="5"/>
        <v>7</v>
      </c>
      <c r="AF8">
        <f t="shared" si="6"/>
        <v>28</v>
      </c>
      <c r="AH8">
        <v>6</v>
      </c>
      <c r="AI8" t="str">
        <f t="shared" si="7"/>
        <v>Nerf Gun</v>
      </c>
      <c r="AJ8" s="3">
        <f t="shared" si="1"/>
        <v>2278.8599999999997</v>
      </c>
      <c r="AK8" s="3">
        <f t="shared" si="1"/>
        <v>419.78999999999974</v>
      </c>
    </row>
    <row r="9" spans="1:37" x14ac:dyDescent="0.3">
      <c r="A9" s="7" t="s">
        <v>79</v>
      </c>
      <c r="B9" s="10">
        <f>_xlfn.MAXIFS(Data[Month],Data[Year],[0]!CurYear)</f>
        <v>9</v>
      </c>
      <c r="G9">
        <v>7</v>
      </c>
      <c r="H9" t="s">
        <v>97</v>
      </c>
      <c r="I9" s="3">
        <f>SUMIFS(Data[[Revenue]:[Revenue]],Data[[Region]:[Region]],Region,Data[[Month]:[Month]],'Data Prep'!$G9,Data[[Year]:[Year]],'Data Prep'!I$2)</f>
        <v>41568.47</v>
      </c>
      <c r="J9" s="3">
        <f>IF(G9&gt;CurMonth,NA(),(SUMIFS(Data[[Revenue]:[Revenue]],Data[[Region]:[Region]],Region,Data[[Month]:[Month]],'Data Prep'!$G9,Data[[Year]:[Year]],'Data Prep'!J$2)))</f>
        <v>69037.8</v>
      </c>
      <c r="K9" s="3" t="e">
        <f>IF(G9=CurMonth,J9,NA())</f>
        <v>#N/A</v>
      </c>
      <c r="M9" t="s">
        <v>62</v>
      </c>
      <c r="N9" s="3">
        <f>SUMIFS(Data[Revenue],Data[Store Name],M9,Data[Year],CurYear,Data[Month],CurMonth)</f>
        <v>20484.010000000002</v>
      </c>
      <c r="O9" s="3">
        <f>SUMIFS(Data[Revenue],Data[Store Name],M9,Data[Month],PrevMonth,Data[Year],PMYear)</f>
        <v>17895.43</v>
      </c>
      <c r="P9" s="16">
        <f>N9/O9-1</f>
        <v>0.14465033810308014</v>
      </c>
      <c r="Q9">
        <f t="shared" si="2"/>
        <v>10</v>
      </c>
      <c r="S9">
        <v>7</v>
      </c>
      <c r="T9" t="str">
        <f t="shared" si="3"/>
        <v>LAX</v>
      </c>
      <c r="U9" t="str">
        <f>VLOOKUP('Data Prep'!T9,Data!C:D,2,FALSE)</f>
        <v>Los Angeles</v>
      </c>
      <c r="V9" s="3">
        <f t="shared" si="0"/>
        <v>18171.759999999995</v>
      </c>
      <c r="W9" s="22">
        <f t="shared" si="0"/>
        <v>-0.17099256839675403</v>
      </c>
      <c r="X9" s="24">
        <f>IF($U9=Region,V9,0)</f>
        <v>0</v>
      </c>
      <c r="Y9" s="25">
        <f>IF($U9=Region,W9,0)</f>
        <v>0</v>
      </c>
      <c r="AA9" t="s">
        <v>8</v>
      </c>
      <c r="AB9" s="3">
        <f>SUMIFS(Data[Revenue],Data[Region],Region,Data[Month],CurMonth,Data[Year],CurYear,Data[Product Name],'Data Prep'!AA9)</f>
        <v>1901.28</v>
      </c>
      <c r="AC9" s="3">
        <f>SUMIFS(Data[Revenue],Data[Region],Region,Data[Month],PrevMonth,Data[Year],PMYear,Data[Product Name],'Data Prep'!AA9)</f>
        <v>1474.89</v>
      </c>
      <c r="AD9" s="2">
        <f t="shared" si="4"/>
        <v>426.38999999999987</v>
      </c>
      <c r="AE9">
        <f t="shared" si="5"/>
        <v>5</v>
      </c>
      <c r="AF9">
        <f t="shared" si="6"/>
        <v>30</v>
      </c>
    </row>
    <row r="10" spans="1:37" x14ac:dyDescent="0.3">
      <c r="A10" s="7" t="s">
        <v>80</v>
      </c>
      <c r="B10" s="9">
        <f>CurYear-1</f>
        <v>2020</v>
      </c>
      <c r="G10">
        <v>8</v>
      </c>
      <c r="H10" t="s">
        <v>98</v>
      </c>
      <c r="I10" s="3">
        <f>SUMIFS(Data[[Revenue]:[Revenue]],Data[[Region]:[Region]],Region,Data[[Month]:[Month]],'Data Prep'!$G10,Data[[Year]:[Year]],'Data Prep'!I$2)</f>
        <v>30149.900000000009</v>
      </c>
      <c r="J10" s="3">
        <f>IF(G10&gt;CurMonth,NA(),(SUMIFS(Data[[Revenue]:[Revenue]],Data[[Region]:[Region]],Region,Data[[Month]:[Month]],'Data Prep'!$G10,Data[[Year]:[Year]],'Data Prep'!J$2)))</f>
        <v>49838.54</v>
      </c>
      <c r="K10" s="3" t="e">
        <f>IF(G10=CurMonth,J10,NA())</f>
        <v>#N/A</v>
      </c>
      <c r="M10" t="s">
        <v>60</v>
      </c>
      <c r="N10" s="3">
        <f>SUMIFS(Data[Revenue],Data[Store Name],M10,Data[Year],CurYear,Data[Month],CurMonth)</f>
        <v>13879.13</v>
      </c>
      <c r="O10" s="3">
        <f>SUMIFS(Data[Revenue],Data[Store Name],M10,Data[Month],PrevMonth,Data[Year],PMYear)</f>
        <v>13127.479999999996</v>
      </c>
      <c r="P10" s="16">
        <f>N10/O10-1</f>
        <v>5.7257752439920262E-2</v>
      </c>
      <c r="Q10">
        <f t="shared" si="2"/>
        <v>3</v>
      </c>
      <c r="S10">
        <v>8</v>
      </c>
      <c r="T10" t="str">
        <f t="shared" si="3"/>
        <v>O'Hare</v>
      </c>
      <c r="U10" t="str">
        <f>VLOOKUP('Data Prep'!T10,Data!C:D,2,FALSE)</f>
        <v>Chicago</v>
      </c>
      <c r="V10" s="3">
        <f t="shared" si="0"/>
        <v>18237.980000000003</v>
      </c>
      <c r="W10" s="22">
        <f t="shared" si="0"/>
        <v>-0.3315731431233282</v>
      </c>
      <c r="X10" s="24">
        <f>IF($U10=Region,V10,0)</f>
        <v>0</v>
      </c>
      <c r="Y10" s="25">
        <f>IF($U10=Region,W10,0)</f>
        <v>0</v>
      </c>
      <c r="AA10" t="s">
        <v>17</v>
      </c>
      <c r="AB10" s="3">
        <f>SUMIFS(Data[Revenue],Data[Region],Region,Data[Month],CurMonth,Data[Year],CurYear,Data[Product Name],'Data Prep'!AA10)</f>
        <v>1483.65</v>
      </c>
      <c r="AC10" s="3">
        <f>SUMIFS(Data[Revenue],Data[Region],Region,Data[Month],PrevMonth,Data[Year],PMYear,Data[Product Name],'Data Prep'!AA10)</f>
        <v>1780.38</v>
      </c>
      <c r="AD10" s="2">
        <f t="shared" si="4"/>
        <v>-296.73</v>
      </c>
      <c r="AE10">
        <f t="shared" si="5"/>
        <v>25</v>
      </c>
      <c r="AF10">
        <f t="shared" si="6"/>
        <v>10</v>
      </c>
      <c r="AH10" s="11" t="s">
        <v>113</v>
      </c>
      <c r="AI10" s="11"/>
      <c r="AJ10" s="11"/>
      <c r="AK10" s="11"/>
    </row>
    <row r="11" spans="1:37" x14ac:dyDescent="0.3">
      <c r="A11" s="7" t="s">
        <v>81</v>
      </c>
      <c r="B11" s="9">
        <f>IF(CurMonth=1,12,CurMonth-1)</f>
        <v>8</v>
      </c>
      <c r="G11">
        <v>9</v>
      </c>
      <c r="H11" t="s">
        <v>99</v>
      </c>
      <c r="I11" s="3">
        <f>SUMIFS(Data[[Revenue]:[Revenue]],Data[[Region]:[Region]],Region,Data[[Month]:[Month]],'Data Prep'!$G11,Data[[Year]:[Year]],'Data Prep'!I$2)</f>
        <v>34844.409999999982</v>
      </c>
      <c r="J11" s="3">
        <f>IF(G11&gt;CurMonth,NA(),(SUMIFS(Data[[Revenue]:[Revenue]],Data[[Region]:[Region]],Region,Data[[Month]:[Month]],'Data Prep'!$G11,Data[[Year]:[Year]],'Data Prep'!J$2)))</f>
        <v>50618.369999999995</v>
      </c>
      <c r="K11" s="3">
        <f>IF(G11=CurMonth,J11,NA())</f>
        <v>50618.369999999995</v>
      </c>
      <c r="M11" t="s">
        <v>61</v>
      </c>
      <c r="N11" s="3">
        <f>SUMIFS(Data[Revenue],Data[Store Name],M11,Data[Year],CurYear,Data[Month],CurMonth)</f>
        <v>18171.759999999995</v>
      </c>
      <c r="O11" s="3">
        <f>SUMIFS(Data[Revenue],Data[Store Name],M11,Data[Month],PrevMonth,Data[Year],PMYear)</f>
        <v>21919.900000000005</v>
      </c>
      <c r="P11" s="16">
        <f>N11/O11-1</f>
        <v>-0.17099256839675403</v>
      </c>
      <c r="Q11">
        <f t="shared" si="2"/>
        <v>7</v>
      </c>
      <c r="S11">
        <v>9</v>
      </c>
      <c r="T11" t="str">
        <f t="shared" si="3"/>
        <v>Millenium</v>
      </c>
      <c r="U11" t="str">
        <f>VLOOKUP('Data Prep'!T11,Data!C:D,2,FALSE)</f>
        <v>Chicago</v>
      </c>
      <c r="V11" s="3">
        <f t="shared" si="0"/>
        <v>18238.46</v>
      </c>
      <c r="W11" s="22">
        <f t="shared" si="0"/>
        <v>0.18953874088693379</v>
      </c>
      <c r="X11" s="24">
        <f>IF($U11=Region,V11,0)</f>
        <v>0</v>
      </c>
      <c r="Y11" s="25">
        <f>IF($U11=Region,W11,0)</f>
        <v>0</v>
      </c>
      <c r="AA11" t="s">
        <v>28</v>
      </c>
      <c r="AB11" s="3">
        <f>SUMIFS(Data[Revenue],Data[Region],Region,Data[Month],CurMonth,Data[Year],CurYear,Data[Product Name],'Data Prep'!AA11)</f>
        <v>2893.07</v>
      </c>
      <c r="AC11" s="3">
        <f>SUMIFS(Data[Revenue],Data[Region],Region,Data[Month],PrevMonth,Data[Year],PMYear,Data[Product Name],'Data Prep'!AA11)</f>
        <v>1903.73</v>
      </c>
      <c r="AD11" s="2">
        <f t="shared" si="4"/>
        <v>989.34000000000015</v>
      </c>
      <c r="AE11">
        <f t="shared" si="5"/>
        <v>1</v>
      </c>
      <c r="AF11">
        <f t="shared" si="6"/>
        <v>34</v>
      </c>
      <c r="AH11" s="13" t="s">
        <v>105</v>
      </c>
      <c r="AI11" s="13" t="s">
        <v>108</v>
      </c>
      <c r="AJ11" s="13" t="s">
        <v>46</v>
      </c>
      <c r="AK11" s="13" t="s">
        <v>109</v>
      </c>
    </row>
    <row r="12" spans="1:37" x14ac:dyDescent="0.3">
      <c r="A12" s="7" t="s">
        <v>86</v>
      </c>
      <c r="B12" s="9">
        <f>IF(CurMonth=1,PrevYear,CurYear)</f>
        <v>2021</v>
      </c>
      <c r="G12">
        <v>10</v>
      </c>
      <c r="H12" t="s">
        <v>100</v>
      </c>
      <c r="I12" s="3">
        <f>SUMIFS(Data[[Revenue]:[Revenue]],Data[[Region]:[Region]],Region,Data[[Month]:[Month]],'Data Prep'!$G12,Data[[Year]:[Year]],'Data Prep'!I$2)</f>
        <v>36809.12000000001</v>
      </c>
      <c r="J12" s="3" t="e">
        <f>IF(G12&gt;CurMonth,NA(),(SUMIFS(Data[[Revenue]:[Revenue]],Data[[Region]:[Region]],Region,Data[[Month]:[Month]],'Data Prep'!$G12,Data[[Year]:[Year]],'Data Prep'!J$2)))</f>
        <v>#N/A</v>
      </c>
      <c r="K12" s="3" t="e">
        <f>IF(G12=CurMonth,J12,NA())</f>
        <v>#N/A</v>
      </c>
      <c r="M12" t="s">
        <v>57</v>
      </c>
      <c r="N12" s="3">
        <f>SUMIFS(Data[Revenue],Data[Store Name],M12,Data[Year],CurYear,Data[Month],CurMonth)</f>
        <v>18237.980000000003</v>
      </c>
      <c r="O12" s="3">
        <f>SUMIFS(Data[Revenue],Data[Store Name],M12,Data[Month],PrevMonth,Data[Year],PMYear)</f>
        <v>27284.929999999993</v>
      </c>
      <c r="P12" s="16">
        <f>N12/O12-1</f>
        <v>-0.3315731431233282</v>
      </c>
      <c r="Q12">
        <f t="shared" si="2"/>
        <v>8</v>
      </c>
      <c r="S12">
        <v>10</v>
      </c>
      <c r="T12" t="str">
        <f t="shared" si="3"/>
        <v>Times Square</v>
      </c>
      <c r="U12" t="str">
        <f>VLOOKUP('Data Prep'!T12,Data!C:D,2,FALSE)</f>
        <v>New York</v>
      </c>
      <c r="V12" s="3">
        <f t="shared" si="0"/>
        <v>20484.010000000002</v>
      </c>
      <c r="W12" s="22">
        <f t="shared" si="0"/>
        <v>0.14465033810308014</v>
      </c>
      <c r="X12" s="24">
        <f>IF($U12=Region,V12,0)</f>
        <v>20484.010000000002</v>
      </c>
      <c r="Y12" s="25">
        <f>IF($U12=Region,W12,0)</f>
        <v>0.14465033810308014</v>
      </c>
      <c r="AA12" t="s">
        <v>32</v>
      </c>
      <c r="AB12" s="3">
        <f>SUMIFS(Data[Revenue],Data[Region],Region,Data[Month],CurMonth,Data[Year],CurYear,Data[Product Name],'Data Prep'!AA12)</f>
        <v>989.1</v>
      </c>
      <c r="AC12" s="3">
        <f>SUMIFS(Data[Revenue],Data[Region],Region,Data[Month],PrevMonth,Data[Year],PMYear,Data[Product Name],'Data Prep'!AA12)</f>
        <v>1505.63</v>
      </c>
      <c r="AD12" s="2">
        <f t="shared" si="4"/>
        <v>-516.53000000000009</v>
      </c>
      <c r="AE12">
        <f t="shared" si="5"/>
        <v>30</v>
      </c>
      <c r="AF12">
        <f t="shared" si="6"/>
        <v>5</v>
      </c>
      <c r="AH12">
        <v>1</v>
      </c>
      <c r="AI12" s="8" t="str">
        <f>INDEX($AA$3:$AD$36,MATCH($AH12,$AF$3:$AF$36,0),MATCH(AI$2,$AA$2:$AD$2,0))</f>
        <v>Rubik's Cube</v>
      </c>
      <c r="AJ12" s="3">
        <f>INDEX($AA$3:$AD$36,MATCH($AH12,$AF$3:$AF$36,0),MATCH(AJ$2,$AA$2:$AD$2,0))</f>
        <v>639.67999999999984</v>
      </c>
      <c r="AK12" s="3">
        <f>INDEX($AA$3:$AD$36,MATCH($AH12,$AF$3:$AF$36,0),MATCH(AK$2,$AA$2:$AD$2,0))</f>
        <v>-1359.3200000000002</v>
      </c>
    </row>
    <row r="13" spans="1:37" x14ac:dyDescent="0.3">
      <c r="A13" s="7" t="s">
        <v>116</v>
      </c>
      <c r="B13" t="str">
        <f>VLOOKUP(CurMonth,A16:B27,2,FALSE)&amp;" "&amp;CurYear&amp;"?"</f>
        <v>September 2021?</v>
      </c>
      <c r="G13">
        <v>11</v>
      </c>
      <c r="H13" t="s">
        <v>101</v>
      </c>
      <c r="I13" s="3">
        <f>SUMIFS(Data[[Revenue]:[Revenue]],Data[[Region]:[Region]],Region,Data[[Month]:[Month]],'Data Prep'!$G13,Data[[Year]:[Year]],'Data Prep'!I$2)</f>
        <v>42365.650000000009</v>
      </c>
      <c r="J13" s="3" t="e">
        <f>IF(G13&gt;CurMonth,NA(),(SUMIFS(Data[[Revenue]:[Revenue]],Data[[Region]:[Region]],Region,Data[[Month]:[Month]],'Data Prep'!$G13,Data[[Year]:[Year]],'Data Prep'!J$2)))</f>
        <v>#N/A</v>
      </c>
      <c r="K13" s="3" t="e">
        <f>IF(G13=CurMonth,J13,NA())</f>
        <v>#N/A</v>
      </c>
      <c r="X13" s="23"/>
      <c r="Y13" s="23"/>
      <c r="AA13" t="s">
        <v>31</v>
      </c>
      <c r="AB13" s="3">
        <f>SUMIFS(Data[Revenue],Data[Region],Region,Data[Month],CurMonth,Data[Year],CurYear,Data[Product Name],'Data Prep'!AA13)</f>
        <v>1159.4199999999998</v>
      </c>
      <c r="AC13" s="3">
        <f>SUMIFS(Data[Revenue],Data[Region],Region,Data[Month],PrevMonth,Data[Year],PMYear,Data[Product Name],'Data Prep'!AA13)</f>
        <v>1559.2199999999998</v>
      </c>
      <c r="AD13" s="2">
        <f t="shared" si="4"/>
        <v>-399.79999999999995</v>
      </c>
      <c r="AE13">
        <f t="shared" si="5"/>
        <v>28</v>
      </c>
      <c r="AF13">
        <f t="shared" si="6"/>
        <v>7</v>
      </c>
      <c r="AH13">
        <v>2</v>
      </c>
      <c r="AI13" s="8" t="str">
        <f t="shared" ref="AI13:AI17" si="8">INDEX($AA$3:$AD$36,MATCH($AH13,$AF$3:$AF$36,0),MATCH(AI$2,$AA$2:$AD$2,0))</f>
        <v>Lego Bricks</v>
      </c>
      <c r="AJ13" s="3">
        <f t="shared" ref="AJ13:AK17" si="9">INDEX($AA$3:$AD$36,MATCH($AH13,$AF$3:$AF$36,0),MATCH(AJ$2,$AA$2:$AD$2,0))</f>
        <v>9317.67</v>
      </c>
      <c r="AK13" s="3">
        <f t="shared" si="9"/>
        <v>-799.80000000000109</v>
      </c>
    </row>
    <row r="14" spans="1:37" x14ac:dyDescent="0.3">
      <c r="G14">
        <v>12</v>
      </c>
      <c r="H14" t="s">
        <v>102</v>
      </c>
      <c r="I14" s="3">
        <f>SUMIFS(Data[[Revenue]:[Revenue]],Data[[Region]:[Region]],Region,Data[[Month]:[Month]],'Data Prep'!$G14,Data[[Year]:[Year]],'Data Prep'!I$2)</f>
        <v>48216.44999999999</v>
      </c>
      <c r="J14" s="3" t="e">
        <f>IF(G14&gt;CurMonth,NA(),(SUMIFS(Data[[Revenue]:[Revenue]],Data[[Region]:[Region]],Region,Data[[Month]:[Month]],'Data Prep'!$G14,Data[[Year]:[Year]],'Data Prep'!J$2)))</f>
        <v>#N/A</v>
      </c>
      <c r="K14" s="3" t="e">
        <f>IF(G14=CurMonth,J14,NA())</f>
        <v>#N/A</v>
      </c>
      <c r="AA14" t="s">
        <v>15</v>
      </c>
      <c r="AB14" s="3">
        <f>SUMIFS(Data[Revenue],Data[Region],Region,Data[Month],CurMonth,Data[Year],CurYear,Data[Product Name],'Data Prep'!AA14)</f>
        <v>9317.67</v>
      </c>
      <c r="AC14" s="3">
        <f>SUMIFS(Data[Revenue],Data[Region],Region,Data[Month],PrevMonth,Data[Year],PMYear,Data[Product Name],'Data Prep'!AA14)</f>
        <v>10117.470000000001</v>
      </c>
      <c r="AD14" s="2">
        <f t="shared" si="4"/>
        <v>-799.80000000000109</v>
      </c>
      <c r="AE14">
        <f t="shared" si="5"/>
        <v>33</v>
      </c>
      <c r="AF14">
        <f t="shared" si="6"/>
        <v>2</v>
      </c>
      <c r="AH14">
        <v>3</v>
      </c>
      <c r="AI14" s="8" t="str">
        <f t="shared" si="8"/>
        <v>Mr. Potatohead</v>
      </c>
      <c r="AJ14" s="3">
        <f t="shared" si="9"/>
        <v>459.53999999999996</v>
      </c>
      <c r="AK14" s="3">
        <f t="shared" si="9"/>
        <v>-719.28</v>
      </c>
    </row>
    <row r="15" spans="1:37" x14ac:dyDescent="0.3">
      <c r="A15" s="30" t="s">
        <v>90</v>
      </c>
      <c r="B15" s="6" t="s">
        <v>49</v>
      </c>
      <c r="AA15" t="s">
        <v>71</v>
      </c>
      <c r="AB15" s="3">
        <f>SUMIFS(Data[Revenue],Data[Region],Region,Data[Month],CurMonth,Data[Year],CurYear,Data[Product Name],'Data Prep'!AA15)</f>
        <v>0</v>
      </c>
      <c r="AC15" s="3">
        <f>SUMIFS(Data[Revenue],Data[Region],Region,Data[Month],PrevMonth,Data[Year],PMYear,Data[Product Name],'Data Prep'!AA15)</f>
        <v>0</v>
      </c>
      <c r="AD15" s="2">
        <f t="shared" si="4"/>
        <v>0</v>
      </c>
      <c r="AE15">
        <f t="shared" si="5"/>
        <v>15.5</v>
      </c>
      <c r="AF15">
        <f t="shared" si="6"/>
        <v>19.5</v>
      </c>
      <c r="AH15">
        <v>4</v>
      </c>
      <c r="AI15" s="8" t="str">
        <f t="shared" si="8"/>
        <v>Etch A Sketch</v>
      </c>
      <c r="AJ15" s="3">
        <f t="shared" si="9"/>
        <v>881.57999999999993</v>
      </c>
      <c r="AK15" s="3">
        <f t="shared" si="9"/>
        <v>-524.75</v>
      </c>
    </row>
    <row r="16" spans="1:37" x14ac:dyDescent="0.3">
      <c r="A16">
        <v>1</v>
      </c>
      <c r="B16" t="s">
        <v>117</v>
      </c>
      <c r="AA16" t="s">
        <v>19</v>
      </c>
      <c r="AB16" s="3">
        <f>SUMIFS(Data[Revenue],Data[Region],Region,Data[Month],CurMonth,Data[Year],CurYear,Data[Product Name],'Data Prep'!AA16)</f>
        <v>899.55</v>
      </c>
      <c r="AC16" s="3">
        <f>SUMIFS(Data[Revenue],Data[Region],Region,Data[Month],PrevMonth,Data[Year],PMYear,Data[Product Name],'Data Prep'!AA16)</f>
        <v>159.91999999999999</v>
      </c>
      <c r="AD16" s="2">
        <f t="shared" si="4"/>
        <v>739.63</v>
      </c>
      <c r="AE16">
        <f t="shared" si="5"/>
        <v>2</v>
      </c>
      <c r="AF16">
        <f t="shared" si="6"/>
        <v>33</v>
      </c>
      <c r="AH16">
        <v>5</v>
      </c>
      <c r="AI16" s="8" t="str">
        <f t="shared" si="8"/>
        <v>Glass Marbles</v>
      </c>
      <c r="AJ16" s="3">
        <f t="shared" si="9"/>
        <v>989.1</v>
      </c>
      <c r="AK16" s="3">
        <f t="shared" si="9"/>
        <v>-516.53000000000009</v>
      </c>
    </row>
    <row r="17" spans="1:37" x14ac:dyDescent="0.3">
      <c r="A17">
        <v>2</v>
      </c>
      <c r="B17" t="s">
        <v>118</v>
      </c>
      <c r="AA17" t="s">
        <v>27</v>
      </c>
      <c r="AB17" s="3">
        <f>SUMIFS(Data[Revenue],Data[Region],Region,Data[Month],CurMonth,Data[Year],CurYear,Data[Product Name],'Data Prep'!AA17)</f>
        <v>1219.92</v>
      </c>
      <c r="AC17" s="3">
        <f>SUMIFS(Data[Revenue],Data[Region],Region,Data[Month],PrevMonth,Data[Year],PMYear,Data[Product Name],'Data Prep'!AA17)</f>
        <v>1267.7600000000002</v>
      </c>
      <c r="AD17" s="2">
        <f t="shared" si="4"/>
        <v>-47.840000000000146</v>
      </c>
      <c r="AE17">
        <f t="shared" si="5"/>
        <v>19</v>
      </c>
      <c r="AF17">
        <f t="shared" si="6"/>
        <v>16</v>
      </c>
      <c r="AH17">
        <v>6</v>
      </c>
      <c r="AI17" s="8" t="str">
        <f t="shared" si="8"/>
        <v>Chutes &amp; Ladders</v>
      </c>
      <c r="AJ17" s="3">
        <f t="shared" si="9"/>
        <v>0</v>
      </c>
      <c r="AK17" s="3">
        <f t="shared" si="9"/>
        <v>-402.69</v>
      </c>
    </row>
    <row r="18" spans="1:37" x14ac:dyDescent="0.3">
      <c r="A18">
        <v>3</v>
      </c>
      <c r="B18" t="s">
        <v>119</v>
      </c>
      <c r="AA18" t="s">
        <v>11</v>
      </c>
      <c r="AB18" s="3">
        <f>SUMIFS(Data[Revenue],Data[Region],Region,Data[Month],CurMonth,Data[Year],CurYear,Data[Product Name],'Data Prep'!AA18)</f>
        <v>374.25</v>
      </c>
      <c r="AC18" s="3">
        <f>SUMIFS(Data[Revenue],Data[Region],Region,Data[Month],PrevMonth,Data[Year],PMYear,Data[Product Name],'Data Prep'!AA18)</f>
        <v>449.1</v>
      </c>
      <c r="AD18" s="2">
        <f t="shared" si="4"/>
        <v>-74.850000000000023</v>
      </c>
      <c r="AE18">
        <f t="shared" si="5"/>
        <v>20</v>
      </c>
      <c r="AF18">
        <f t="shared" si="6"/>
        <v>15</v>
      </c>
    </row>
    <row r="19" spans="1:37" x14ac:dyDescent="0.3">
      <c r="A19">
        <v>4</v>
      </c>
      <c r="B19" t="s">
        <v>120</v>
      </c>
      <c r="AA19" t="s">
        <v>26</v>
      </c>
      <c r="AB19" s="3">
        <f>SUMIFS(Data[Revenue],Data[Region],Region,Data[Month],CurMonth,Data[Year],CurYear,Data[Product Name],'Data Prep'!AA19)</f>
        <v>639.67999999999984</v>
      </c>
      <c r="AC19" s="3">
        <f>SUMIFS(Data[Revenue],Data[Region],Region,Data[Month],PrevMonth,Data[Year],PMYear,Data[Product Name],'Data Prep'!AA19)</f>
        <v>1999</v>
      </c>
      <c r="AD19" s="2">
        <f t="shared" si="4"/>
        <v>-1359.3200000000002</v>
      </c>
      <c r="AE19">
        <f t="shared" si="5"/>
        <v>34</v>
      </c>
      <c r="AF19">
        <f t="shared" si="6"/>
        <v>1</v>
      </c>
    </row>
    <row r="20" spans="1:37" x14ac:dyDescent="0.3">
      <c r="A20">
        <v>5</v>
      </c>
      <c r="B20" t="s">
        <v>95</v>
      </c>
      <c r="X20" s="21"/>
      <c r="Y20" s="12"/>
      <c r="AA20" t="s">
        <v>6</v>
      </c>
      <c r="AB20" s="3">
        <f>SUMIFS(Data[Revenue],Data[Region],Region,Data[Month],CurMonth,Data[Year],CurYear,Data[Product Name],'Data Prep'!AA20)</f>
        <v>2247.5</v>
      </c>
      <c r="AC20" s="3">
        <f>SUMIFS(Data[Revenue],Data[Region],Region,Data[Month],PrevMonth,Data[Year],PMYear,Data[Product Name],'Data Prep'!AA20)</f>
        <v>2481.2400000000002</v>
      </c>
      <c r="AD20" s="2">
        <f t="shared" si="4"/>
        <v>-233.74000000000024</v>
      </c>
      <c r="AE20">
        <f t="shared" si="5"/>
        <v>24</v>
      </c>
      <c r="AF20">
        <f t="shared" si="6"/>
        <v>11</v>
      </c>
    </row>
    <row r="21" spans="1:37" x14ac:dyDescent="0.3">
      <c r="A21">
        <v>6</v>
      </c>
      <c r="B21" t="s">
        <v>121</v>
      </c>
      <c r="AA21" t="s">
        <v>16</v>
      </c>
      <c r="AB21" s="3">
        <f>SUMIFS(Data[Revenue],Data[Region],Region,Data[Month],CurMonth,Data[Year],CurYear,Data[Product Name],'Data Prep'!AA21)</f>
        <v>0</v>
      </c>
      <c r="AC21" s="3">
        <f>SUMIFS(Data[Revenue],Data[Region],Region,Data[Month],PrevMonth,Data[Year],PMYear,Data[Product Name],'Data Prep'!AA21)</f>
        <v>363.72</v>
      </c>
      <c r="AD21" s="2">
        <f t="shared" si="4"/>
        <v>-363.72</v>
      </c>
      <c r="AE21">
        <f t="shared" si="5"/>
        <v>27</v>
      </c>
      <c r="AF21">
        <f t="shared" si="6"/>
        <v>8</v>
      </c>
    </row>
    <row r="22" spans="1:37" x14ac:dyDescent="0.3">
      <c r="A22">
        <v>7</v>
      </c>
      <c r="B22" t="s">
        <v>122</v>
      </c>
      <c r="AA22" t="s">
        <v>23</v>
      </c>
      <c r="AB22" s="3">
        <f>SUMIFS(Data[Revenue],Data[Region],Region,Data[Month],CurMonth,Data[Year],CurYear,Data[Product Name],'Data Prep'!AA22)</f>
        <v>675.74</v>
      </c>
      <c r="AC22" s="3">
        <f>SUMIFS(Data[Revenue],Data[Region],Region,Data[Month],PrevMonth,Data[Year],PMYear,Data[Product Name],'Data Prep'!AA22)</f>
        <v>987.61999999999989</v>
      </c>
      <c r="AD22" s="2">
        <f t="shared" si="4"/>
        <v>-311.87999999999988</v>
      </c>
      <c r="AE22">
        <f t="shared" si="5"/>
        <v>26</v>
      </c>
      <c r="AF22">
        <f t="shared" si="6"/>
        <v>9</v>
      </c>
    </row>
    <row r="23" spans="1:37" x14ac:dyDescent="0.3">
      <c r="A23">
        <v>8</v>
      </c>
      <c r="B23" t="s">
        <v>123</v>
      </c>
      <c r="AA23" t="s">
        <v>10</v>
      </c>
      <c r="AB23" s="3">
        <f>SUMIFS(Data[Revenue],Data[Region],Region,Data[Month],CurMonth,Data[Year],CurYear,Data[Product Name],'Data Prep'!AA23)</f>
        <v>2278.8599999999997</v>
      </c>
      <c r="AC23" s="3">
        <f>SUMIFS(Data[Revenue],Data[Region],Region,Data[Month],PrevMonth,Data[Year],PMYear,Data[Product Name],'Data Prep'!AA23)</f>
        <v>1859.07</v>
      </c>
      <c r="AD23" s="2">
        <f t="shared" si="4"/>
        <v>419.78999999999974</v>
      </c>
      <c r="AE23">
        <f t="shared" si="5"/>
        <v>6</v>
      </c>
      <c r="AF23">
        <f t="shared" si="6"/>
        <v>29</v>
      </c>
    </row>
    <row r="24" spans="1:37" x14ac:dyDescent="0.3">
      <c r="A24">
        <v>9</v>
      </c>
      <c r="B24" t="s">
        <v>124</v>
      </c>
      <c r="AA24" t="s">
        <v>66</v>
      </c>
      <c r="AB24" s="3">
        <f>SUMIFS(Data[Revenue],Data[Region],Region,Data[Month],CurMonth,Data[Year],CurYear,Data[Product Name],'Data Prep'!AA24)</f>
        <v>0</v>
      </c>
      <c r="AC24" s="3">
        <f>SUMIFS(Data[Revenue],Data[Region],Region,Data[Month],PrevMonth,Data[Year],PMYear,Data[Product Name],'Data Prep'!AA24)</f>
        <v>0</v>
      </c>
      <c r="AD24" s="2">
        <f t="shared" si="4"/>
        <v>0</v>
      </c>
      <c r="AE24">
        <f t="shared" si="5"/>
        <v>15.5</v>
      </c>
      <c r="AF24">
        <f t="shared" si="6"/>
        <v>19.5</v>
      </c>
    </row>
    <row r="25" spans="1:37" x14ac:dyDescent="0.3">
      <c r="A25">
        <v>10</v>
      </c>
      <c r="B25" t="s">
        <v>125</v>
      </c>
      <c r="AA25" t="s">
        <v>29</v>
      </c>
      <c r="AB25" s="3">
        <f>SUMIFS(Data[Revenue],Data[Region],Region,Data[Month],CurMonth,Data[Year],CurYear,Data[Product Name],'Data Prep'!AA25)</f>
        <v>63.92</v>
      </c>
      <c r="AC25" s="3">
        <f>SUMIFS(Data[Revenue],Data[Region],Region,Data[Month],PrevMonth,Data[Year],PMYear,Data[Product Name],'Data Prep'!AA25)</f>
        <v>0</v>
      </c>
      <c r="AD25" s="2">
        <f t="shared" si="4"/>
        <v>63.92</v>
      </c>
      <c r="AE25">
        <f t="shared" si="5"/>
        <v>11</v>
      </c>
      <c r="AF25">
        <f t="shared" si="6"/>
        <v>24</v>
      </c>
    </row>
    <row r="26" spans="1:37" x14ac:dyDescent="0.3">
      <c r="A26">
        <v>11</v>
      </c>
      <c r="B26" t="s">
        <v>126</v>
      </c>
      <c r="AA26" t="s">
        <v>34</v>
      </c>
      <c r="AB26" s="3">
        <f>SUMIFS(Data[Revenue],Data[Region],Region,Data[Month],CurMonth,Data[Year],CurYear,Data[Product Name],'Data Prep'!AA26)</f>
        <v>1356.6</v>
      </c>
      <c r="AC26" s="3">
        <f>SUMIFS(Data[Revenue],Data[Region],Region,Data[Month],PrevMonth,Data[Year],PMYear,Data[Product Name],'Data Prep'!AA26)</f>
        <v>805.98</v>
      </c>
      <c r="AD26" s="2">
        <f t="shared" si="4"/>
        <v>550.61999999999989</v>
      </c>
      <c r="AE26">
        <f t="shared" si="5"/>
        <v>4</v>
      </c>
      <c r="AF26">
        <f t="shared" si="6"/>
        <v>31</v>
      </c>
    </row>
    <row r="27" spans="1:37" x14ac:dyDescent="0.3">
      <c r="A27">
        <v>12</v>
      </c>
      <c r="B27" t="s">
        <v>127</v>
      </c>
      <c r="AA27" t="s">
        <v>70</v>
      </c>
      <c r="AB27" s="3">
        <f>SUMIFS(Data[Revenue],Data[Region],Region,Data[Month],CurMonth,Data[Year],CurYear,Data[Product Name],'Data Prep'!AA27)</f>
        <v>0</v>
      </c>
      <c r="AC27" s="3">
        <f>SUMIFS(Data[Revenue],Data[Region],Region,Data[Month],PrevMonth,Data[Year],PMYear,Data[Product Name],'Data Prep'!AA27)</f>
        <v>0</v>
      </c>
      <c r="AD27" s="2">
        <f t="shared" si="4"/>
        <v>0</v>
      </c>
      <c r="AE27">
        <f t="shared" si="5"/>
        <v>15.5</v>
      </c>
      <c r="AF27">
        <f t="shared" si="6"/>
        <v>19.5</v>
      </c>
    </row>
    <row r="28" spans="1:37" x14ac:dyDescent="0.3">
      <c r="AA28" t="s">
        <v>67</v>
      </c>
      <c r="AB28" s="3">
        <f>SUMIFS(Data[Revenue],Data[Region],Region,Data[Month],CurMonth,Data[Year],CurYear,Data[Product Name],'Data Prep'!AA28)</f>
        <v>0</v>
      </c>
      <c r="AC28" s="3">
        <f>SUMIFS(Data[Revenue],Data[Region],Region,Data[Month],PrevMonth,Data[Year],PMYear,Data[Product Name],'Data Prep'!AA28)</f>
        <v>0</v>
      </c>
      <c r="AD28" s="2">
        <f t="shared" si="4"/>
        <v>0</v>
      </c>
      <c r="AE28">
        <f t="shared" si="5"/>
        <v>15.5</v>
      </c>
      <c r="AF28">
        <f t="shared" si="6"/>
        <v>19.5</v>
      </c>
    </row>
    <row r="29" spans="1:37" x14ac:dyDescent="0.3">
      <c r="AA29" t="s">
        <v>37</v>
      </c>
      <c r="AB29" s="3">
        <f>SUMIFS(Data[Revenue],Data[Region],Region,Data[Month],CurMonth,Data[Year],CurYear,Data[Product Name],'Data Prep'!AA29)</f>
        <v>949.61999999999989</v>
      </c>
      <c r="AC29" s="3">
        <f>SUMIFS(Data[Revenue],Data[Region],Region,Data[Month],PrevMonth,Data[Year],PMYear,Data[Product Name],'Data Prep'!AA29)</f>
        <v>874.64999999999986</v>
      </c>
      <c r="AD29" s="2">
        <f t="shared" si="4"/>
        <v>74.970000000000027</v>
      </c>
      <c r="AE29">
        <f t="shared" si="5"/>
        <v>10</v>
      </c>
      <c r="AF29">
        <f t="shared" si="6"/>
        <v>25</v>
      </c>
    </row>
    <row r="30" spans="1:37" x14ac:dyDescent="0.3">
      <c r="AA30" t="s">
        <v>38</v>
      </c>
      <c r="AB30" s="3">
        <f>SUMIFS(Data[Revenue],Data[Region],Region,Data[Month],CurMonth,Data[Year],CurYear,Data[Product Name],'Data Prep'!AA30)</f>
        <v>0</v>
      </c>
      <c r="AC30" s="3">
        <f>SUMIFS(Data[Revenue],Data[Region],Region,Data[Month],PrevMonth,Data[Year],PMYear,Data[Product Name],'Data Prep'!AA30)</f>
        <v>119.88</v>
      </c>
      <c r="AD30" s="2">
        <f t="shared" si="4"/>
        <v>-119.88</v>
      </c>
      <c r="AE30">
        <f t="shared" si="5"/>
        <v>22</v>
      </c>
      <c r="AF30">
        <f t="shared" si="6"/>
        <v>13</v>
      </c>
    </row>
    <row r="31" spans="1:37" x14ac:dyDescent="0.3">
      <c r="AA31" t="s">
        <v>39</v>
      </c>
      <c r="AB31" s="3">
        <f>SUMIFS(Data[Revenue],Data[Region],Region,Data[Month],CurMonth,Data[Year],CurYear,Data[Product Name],'Data Prep'!AA31)</f>
        <v>279.85999999999996</v>
      </c>
      <c r="AC31" s="3">
        <f>SUMIFS(Data[Revenue],Data[Region],Region,Data[Month],PrevMonth,Data[Year],PMYear,Data[Product Name],'Data Prep'!AA31)</f>
        <v>39.979999999999997</v>
      </c>
      <c r="AD31" s="2">
        <f t="shared" si="4"/>
        <v>239.87999999999997</v>
      </c>
      <c r="AE31">
        <f t="shared" si="5"/>
        <v>8</v>
      </c>
      <c r="AF31">
        <f t="shared" si="6"/>
        <v>27</v>
      </c>
    </row>
    <row r="32" spans="1:37" x14ac:dyDescent="0.3">
      <c r="AA32" t="s">
        <v>68</v>
      </c>
      <c r="AB32" s="3">
        <f>SUMIFS(Data[Revenue],Data[Region],Region,Data[Month],CurMonth,Data[Year],CurYear,Data[Product Name],'Data Prep'!AA32)</f>
        <v>0</v>
      </c>
      <c r="AC32" s="3">
        <f>SUMIFS(Data[Revenue],Data[Region],Region,Data[Month],PrevMonth,Data[Year],PMYear,Data[Product Name],'Data Prep'!AA32)</f>
        <v>0</v>
      </c>
      <c r="AD32" s="2">
        <f t="shared" si="4"/>
        <v>0</v>
      </c>
      <c r="AE32">
        <f t="shared" si="5"/>
        <v>15.5</v>
      </c>
      <c r="AF32">
        <f t="shared" si="6"/>
        <v>19.5</v>
      </c>
    </row>
    <row r="33" spans="9:32" x14ac:dyDescent="0.3">
      <c r="I33" s="12"/>
      <c r="AA33" t="s">
        <v>42</v>
      </c>
      <c r="AB33" s="3">
        <f>SUMIFS(Data[Revenue],Data[Region],Region,Data[Month],CurMonth,Data[Year],CurYear,Data[Product Name],'Data Prep'!AA33)</f>
        <v>4589.13</v>
      </c>
      <c r="AC33" s="3">
        <f>SUMIFS(Data[Revenue],Data[Region],Region,Data[Month],PrevMonth,Data[Year],PMYear,Data[Product Name],'Data Prep'!AA33)</f>
        <v>3901.56</v>
      </c>
      <c r="AD33" s="2">
        <f t="shared" si="4"/>
        <v>687.57000000000016</v>
      </c>
      <c r="AE33">
        <f t="shared" si="5"/>
        <v>3</v>
      </c>
      <c r="AF33">
        <f t="shared" si="6"/>
        <v>32</v>
      </c>
    </row>
    <row r="34" spans="9:32" x14ac:dyDescent="0.3">
      <c r="AA34" t="s">
        <v>41</v>
      </c>
      <c r="AB34" s="3">
        <f>SUMIFS(Data[Revenue],Data[Region],Region,Data[Month],CurMonth,Data[Year],CurYear,Data[Product Name],'Data Prep'!AA34)</f>
        <v>459.53999999999996</v>
      </c>
      <c r="AC34" s="3">
        <f>SUMIFS(Data[Revenue],Data[Region],Region,Data[Month],PrevMonth,Data[Year],PMYear,Data[Product Name],'Data Prep'!AA34)</f>
        <v>1178.82</v>
      </c>
      <c r="AD34" s="2">
        <f t="shared" si="4"/>
        <v>-719.28</v>
      </c>
      <c r="AE34">
        <f t="shared" si="5"/>
        <v>32</v>
      </c>
      <c r="AF34">
        <f t="shared" si="6"/>
        <v>3</v>
      </c>
    </row>
    <row r="35" spans="9:32" x14ac:dyDescent="0.3">
      <c r="AA35" t="s">
        <v>43</v>
      </c>
      <c r="AB35" s="3">
        <f>SUMIFS(Data[Revenue],Data[Region],Region,Data[Month],CurMonth,Data[Year],CurYear,Data[Product Name],'Data Prep'!AA35)</f>
        <v>881.57999999999993</v>
      </c>
      <c r="AC35" s="3">
        <f>SUMIFS(Data[Revenue],Data[Region],Region,Data[Month],PrevMonth,Data[Year],PMYear,Data[Product Name],'Data Prep'!AA35)</f>
        <v>1406.33</v>
      </c>
      <c r="AD35" s="2">
        <f t="shared" si="4"/>
        <v>-524.75</v>
      </c>
      <c r="AE35">
        <f t="shared" si="5"/>
        <v>31</v>
      </c>
      <c r="AF35">
        <f t="shared" si="6"/>
        <v>4</v>
      </c>
    </row>
    <row r="36" spans="9:32" x14ac:dyDescent="0.3">
      <c r="AA36" t="s">
        <v>69</v>
      </c>
      <c r="AB36" s="3">
        <f>SUMIFS(Data[Revenue],Data[Region],Region,Data[Month],CurMonth,Data[Year],CurYear,Data[Product Name],'Data Prep'!AA36)</f>
        <v>0</v>
      </c>
      <c r="AC36" s="3">
        <f>SUMIFS(Data[Revenue],Data[Region],Region,Data[Month],PrevMonth,Data[Year],PMYear,Data[Product Name],'Data Prep'!AA36)</f>
        <v>0</v>
      </c>
      <c r="AD36" s="2">
        <f t="shared" si="4"/>
        <v>0</v>
      </c>
      <c r="AE36">
        <f t="shared" si="5"/>
        <v>15.5</v>
      </c>
      <c r="AF36">
        <f t="shared" si="6"/>
        <v>19.5</v>
      </c>
    </row>
  </sheetData>
  <sortState xmlns:xlrd2="http://schemas.microsoft.com/office/spreadsheetml/2017/richdata2" ref="M3:P12">
    <sortCondition ref="N3:N12"/>
  </sortState>
  <phoneticPr fontId="2" type="noConversion"/>
  <conditionalFormatting sqref="E5:E6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P3:P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W3:W12">
    <cfRule type="cellIs" dxfId="3" priority="3" operator="lessThan">
      <formula>0</formula>
    </cfRule>
    <cfRule type="cellIs" dxfId="2" priority="4" operator="greaterThan">
      <formula>0</formula>
    </cfRule>
  </conditionalFormatting>
  <pageMargins left="0.7" right="0.7" top="0.75" bottom="0.75" header="0.3" footer="0.3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A36C-C988-44EC-AE58-7FCF7C22138D}">
  <dimension ref="B4:S35"/>
  <sheetViews>
    <sheetView showGridLines="0" showRowColHeaders="0" tabSelected="1" zoomScaleNormal="100" workbookViewId="0">
      <selection activeCell="C7" sqref="C7"/>
    </sheetView>
  </sheetViews>
  <sheetFormatPr defaultRowHeight="14.4" x14ac:dyDescent="0.3"/>
  <cols>
    <col min="1" max="1" width="3.109375" customWidth="1"/>
    <col min="2" max="2" width="14.21875" bestFit="1" customWidth="1"/>
    <col min="3" max="3" width="20" customWidth="1"/>
    <col min="4" max="4" width="19" customWidth="1"/>
    <col min="17" max="17" width="13.88671875" bestFit="1" customWidth="1"/>
    <col min="18" max="18" width="9" bestFit="1" customWidth="1"/>
    <col min="19" max="19" width="16.5546875" bestFit="1" customWidth="1"/>
  </cols>
  <sheetData>
    <row r="4" spans="2:19" ht="6" customHeight="1" x14ac:dyDescent="0.3"/>
    <row r="5" spans="2:19" hidden="1" x14ac:dyDescent="0.3"/>
    <row r="6" spans="2:19" ht="7.8" customHeight="1" x14ac:dyDescent="0.3"/>
    <row r="7" spans="2:19" ht="25.8" x14ac:dyDescent="0.5">
      <c r="B7" s="29" t="s">
        <v>115</v>
      </c>
      <c r="C7" s="32" t="s">
        <v>5</v>
      </c>
      <c r="D7" s="33" t="s">
        <v>128</v>
      </c>
      <c r="E7" s="31" t="str">
        <f>'Data Prep'!B13</f>
        <v>September 2021?</v>
      </c>
    </row>
    <row r="13" spans="2:19" ht="18.600000000000001" customHeight="1" x14ac:dyDescent="0.3">
      <c r="Q13" s="18" t="s">
        <v>108</v>
      </c>
      <c r="R13" s="19" t="s">
        <v>46</v>
      </c>
      <c r="S13" s="19" t="s">
        <v>114</v>
      </c>
    </row>
    <row r="14" spans="2:19" ht="18.600000000000001" customHeight="1" x14ac:dyDescent="0.3">
      <c r="Q14" t="str">
        <f>'Data Prep'!AI3</f>
        <v>Dinosaur Figures</v>
      </c>
      <c r="R14" s="20">
        <f>'Data Prep'!AJ3</f>
        <v>2893.07</v>
      </c>
      <c r="S14" s="20">
        <f>'Data Prep'!AK3</f>
        <v>989.34000000000015</v>
      </c>
    </row>
    <row r="15" spans="2:19" ht="18.600000000000001" customHeight="1" x14ac:dyDescent="0.3">
      <c r="Q15" t="str">
        <f>'Data Prep'!AI4</f>
        <v>Monopoly</v>
      </c>
      <c r="R15" s="20">
        <f>'Data Prep'!AJ4</f>
        <v>899.55</v>
      </c>
      <c r="S15" s="20">
        <f>'Data Prep'!AK4</f>
        <v>739.63</v>
      </c>
    </row>
    <row r="16" spans="2:19" ht="18.600000000000001" customHeight="1" x14ac:dyDescent="0.3">
      <c r="Q16" t="str">
        <f>'Data Prep'!AI5</f>
        <v>Magic Sand</v>
      </c>
      <c r="R16" s="20">
        <f>'Data Prep'!AJ5</f>
        <v>4589.13</v>
      </c>
      <c r="S16" s="20">
        <f>'Data Prep'!AK5</f>
        <v>687.57000000000016</v>
      </c>
    </row>
    <row r="17" spans="17:19" ht="18.600000000000001" customHeight="1" x14ac:dyDescent="0.3">
      <c r="Q17" t="str">
        <f>'Data Prep'!AI6</f>
        <v>Barrel O' Slime</v>
      </c>
      <c r="R17" s="20">
        <f>'Data Prep'!AJ6</f>
        <v>1356.6</v>
      </c>
      <c r="S17" s="20">
        <f>'Data Prep'!AK6</f>
        <v>550.61999999999989</v>
      </c>
    </row>
    <row r="18" spans="17:19" ht="18.600000000000001" customHeight="1" x14ac:dyDescent="0.3">
      <c r="Q18" t="str">
        <f>'Data Prep'!AI7</f>
        <v>Deck Of Cards</v>
      </c>
      <c r="R18" s="20">
        <f>'Data Prep'!AJ7</f>
        <v>1901.28</v>
      </c>
      <c r="S18" s="20">
        <f>'Data Prep'!AK7</f>
        <v>426.38999999999987</v>
      </c>
    </row>
    <row r="19" spans="17:19" ht="18.600000000000001" customHeight="1" x14ac:dyDescent="0.3">
      <c r="Q19" t="str">
        <f>'Data Prep'!AI8</f>
        <v>Nerf Gun</v>
      </c>
      <c r="R19" s="20">
        <f>'Data Prep'!AJ8</f>
        <v>2278.8599999999997</v>
      </c>
      <c r="S19" s="20">
        <f>'Data Prep'!AK8</f>
        <v>419.78999999999974</v>
      </c>
    </row>
    <row r="20" spans="17:19" x14ac:dyDescent="0.3">
      <c r="S20" s="26">
        <f>SUM(S14:S19)</f>
        <v>3813.34</v>
      </c>
    </row>
    <row r="27" spans="17:19" ht="15.6" x14ac:dyDescent="0.3">
      <c r="Q27" s="18" t="s">
        <v>108</v>
      </c>
      <c r="R27" s="19" t="s">
        <v>46</v>
      </c>
      <c r="S27" s="19" t="s">
        <v>114</v>
      </c>
    </row>
    <row r="28" spans="17:19" ht="18.600000000000001" customHeight="1" x14ac:dyDescent="0.3">
      <c r="Q28" t="str">
        <f>'Data Prep'!AI12</f>
        <v>Rubik's Cube</v>
      </c>
      <c r="R28" s="20">
        <f>'Data Prep'!AJ12</f>
        <v>639.67999999999984</v>
      </c>
      <c r="S28" s="27">
        <f>'Data Prep'!AK12</f>
        <v>-1359.3200000000002</v>
      </c>
    </row>
    <row r="29" spans="17:19" ht="18.600000000000001" customHeight="1" x14ac:dyDescent="0.3">
      <c r="Q29" t="str">
        <f>'Data Prep'!AI13</f>
        <v>Lego Bricks</v>
      </c>
      <c r="R29" s="20">
        <f>'Data Prep'!AJ13</f>
        <v>9317.67</v>
      </c>
      <c r="S29" s="27">
        <f>'Data Prep'!AK13</f>
        <v>-799.80000000000109</v>
      </c>
    </row>
    <row r="30" spans="17:19" ht="18.600000000000001" customHeight="1" x14ac:dyDescent="0.3">
      <c r="Q30" t="str">
        <f>'Data Prep'!AI14</f>
        <v>Mr. Potatohead</v>
      </c>
      <c r="R30" s="20">
        <f>'Data Prep'!AJ14</f>
        <v>459.53999999999996</v>
      </c>
      <c r="S30" s="27">
        <f>'Data Prep'!AK14</f>
        <v>-719.28</v>
      </c>
    </row>
    <row r="31" spans="17:19" ht="18.600000000000001" customHeight="1" x14ac:dyDescent="0.3">
      <c r="Q31" t="str">
        <f>'Data Prep'!AI15</f>
        <v>Etch A Sketch</v>
      </c>
      <c r="R31" s="20">
        <f>'Data Prep'!AJ15</f>
        <v>881.57999999999993</v>
      </c>
      <c r="S31" s="27">
        <f>'Data Prep'!AK15</f>
        <v>-524.75</v>
      </c>
    </row>
    <row r="32" spans="17:19" ht="18.600000000000001" customHeight="1" x14ac:dyDescent="0.3">
      <c r="Q32" t="str">
        <f>'Data Prep'!AI16</f>
        <v>Glass Marbles</v>
      </c>
      <c r="R32" s="20">
        <f>'Data Prep'!AJ16</f>
        <v>989.1</v>
      </c>
      <c r="S32" s="27">
        <f>'Data Prep'!AK16</f>
        <v>-516.53000000000009</v>
      </c>
    </row>
    <row r="33" spans="17:19" ht="18.600000000000001" customHeight="1" x14ac:dyDescent="0.3">
      <c r="Q33" t="str">
        <f>'Data Prep'!AI17</f>
        <v>Chutes &amp; Ladders</v>
      </c>
      <c r="R33" s="20">
        <f>'Data Prep'!AJ17</f>
        <v>0</v>
      </c>
      <c r="S33" s="27">
        <f>'Data Prep'!AK17</f>
        <v>-402.69</v>
      </c>
    </row>
    <row r="34" spans="17:19" ht="18.600000000000001" customHeight="1" x14ac:dyDescent="0.3">
      <c r="S34" s="28">
        <f>SUM(S28:S33)</f>
        <v>-4322.3700000000017</v>
      </c>
    </row>
    <row r="35" spans="17:19" ht="19.8" customHeight="1" x14ac:dyDescent="0.3"/>
  </sheetData>
  <sheetProtection sheet="1" objects="1" scenarios="1" selectLockedCells="1"/>
  <conditionalFormatting sqref="S14:S19">
    <cfRule type="colorScale" priority="2">
      <colorScale>
        <cfvo type="min"/>
        <cfvo type="max"/>
        <color theme="0"/>
        <color theme="9" tint="0.59999389629810485"/>
      </colorScale>
    </cfRule>
  </conditionalFormatting>
  <conditionalFormatting sqref="S28:S33">
    <cfRule type="colorScale" priority="1">
      <colorScale>
        <cfvo type="min"/>
        <cfvo type="max"/>
        <color rgb="FFF98386"/>
        <color theme="0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B4A7FA-CB3B-4BA0-B5EE-B32482368EFF}">
          <x14:formula1>
            <xm:f>'Data Prep'!$A$3:$A$5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27" workbookViewId="0">
      <selection sqref="A1:J269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10" workbookViewId="0">
      <selection sqref="A1:J260"/>
    </sheetView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Patrick</cp:lastModifiedBy>
  <dcterms:created xsi:type="dcterms:W3CDTF">2021-07-16T18:17:37Z</dcterms:created>
  <dcterms:modified xsi:type="dcterms:W3CDTF">2022-01-31T19:12:40Z</dcterms:modified>
</cp:coreProperties>
</file>