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RPA\Process\TA Reconciliation Process\Data\Input\Template\"/>
    </mc:Choice>
  </mc:AlternateContent>
  <xr:revisionPtr revIDLastSave="0" documentId="8_{83BA816D-B9AD-4249-A5D0-04E7EB38041F}" xr6:coauthVersionLast="47" xr6:coauthVersionMax="47" xr10:uidLastSave="{00000000-0000-0000-0000-000000000000}"/>
  <bookViews>
    <workbookView xWindow="-120" yWindow="-120" windowWidth="20730" windowHeight="11160" activeTab="3" xr2:uid="{1822EF4D-B254-40D4-B000-B4FA95D3CDEA}"/>
  </bookViews>
  <sheets>
    <sheet name="May 22" sheetId="1" r:id="rId1"/>
    <sheet name="Center Balance" sheetId="2" r:id="rId2"/>
    <sheet name="GL007-Account Balance Inquiry B" sheetId="3" r:id="rId3"/>
    <sheet name="2022" sheetId="4"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08" i="1" l="1"/>
  <c r="I207" i="1"/>
  <c r="M206" i="1"/>
  <c r="M207" i="1" s="1"/>
  <c r="B204" i="1"/>
  <c r="M203" i="1"/>
  <c r="M202" i="1"/>
  <c r="M201" i="1"/>
  <c r="M195" i="1"/>
  <c r="M184" i="1"/>
  <c r="M170" i="1"/>
  <c r="M160" i="1"/>
  <c r="M159" i="1"/>
  <c r="M158" i="1"/>
  <c r="M152" i="1"/>
  <c r="M149" i="1"/>
  <c r="M141" i="1"/>
  <c r="M133" i="1"/>
  <c r="M132" i="1"/>
  <c r="M122" i="1"/>
  <c r="M116" i="1"/>
  <c r="M113" i="1"/>
  <c r="M109" i="1"/>
  <c r="M107" i="1"/>
  <c r="M106" i="1"/>
  <c r="M104" i="1"/>
  <c r="M102" i="1"/>
  <c r="M100" i="1"/>
  <c r="M99" i="1"/>
  <c r="M97" i="1"/>
  <c r="M95" i="1"/>
  <c r="M90" i="1"/>
  <c r="M89" i="1"/>
  <c r="M87" i="1"/>
  <c r="M85" i="1"/>
  <c r="M82" i="1"/>
  <c r="M80" i="1"/>
  <c r="M79" i="1"/>
  <c r="M74" i="1"/>
  <c r="M72" i="1"/>
  <c r="M67" i="1"/>
  <c r="M66" i="1"/>
  <c r="M65" i="1"/>
  <c r="M64" i="1"/>
  <c r="M61" i="1"/>
  <c r="M59" i="1"/>
  <c r="M58" i="1"/>
  <c r="M57" i="1"/>
  <c r="M56" i="1"/>
  <c r="M55" i="1"/>
  <c r="K52" i="1"/>
  <c r="K51" i="1"/>
  <c r="K48" i="1"/>
  <c r="M47" i="1"/>
  <c r="K46" i="1"/>
  <c r="K45" i="1"/>
  <c r="K44" i="1"/>
  <c r="M43" i="1"/>
  <c r="K42" i="1"/>
  <c r="M40" i="1"/>
  <c r="M39" i="1"/>
  <c r="M38" i="1"/>
  <c r="M36" i="1"/>
  <c r="M34" i="1"/>
  <c r="M32" i="1"/>
  <c r="M31" i="1"/>
  <c r="M30" i="1"/>
  <c r="M29" i="1"/>
  <c r="M28" i="1"/>
  <c r="M27" i="1"/>
  <c r="M26" i="1"/>
  <c r="M25" i="1"/>
  <c r="M23" i="1"/>
  <c r="M22" i="1"/>
  <c r="M20" i="1"/>
  <c r="M19" i="1"/>
  <c r="M18" i="1"/>
  <c r="M17" i="1"/>
  <c r="M16" i="1"/>
  <c r="M15" i="1"/>
  <c r="M14" i="1"/>
  <c r="M13" i="1"/>
  <c r="M12" i="1"/>
  <c r="M11" i="1"/>
  <c r="M10" i="1"/>
  <c r="M9" i="1"/>
  <c r="M204" i="1" s="1"/>
</calcChain>
</file>

<file path=xl/sharedStrings.xml><?xml version="1.0" encoding="utf-8"?>
<sst xmlns="http://schemas.openxmlformats.org/spreadsheetml/2006/main" count="1830" uniqueCount="515">
  <si>
    <t>Account #</t>
  </si>
  <si>
    <t>=</t>
  </si>
  <si>
    <t>Accnt Description</t>
  </si>
  <si>
    <t>Development Tenant Allowance Payable</t>
  </si>
  <si>
    <t>Date</t>
  </si>
  <si>
    <t>Center Status</t>
  </si>
  <si>
    <t>Center</t>
  </si>
  <si>
    <t>Center Name</t>
  </si>
  <si>
    <t>Asset #</t>
  </si>
  <si>
    <t>GL Date</t>
  </si>
  <si>
    <t>Tenant Name</t>
  </si>
  <si>
    <t>Project Code</t>
  </si>
  <si>
    <t>Space #</t>
  </si>
  <si>
    <t>RCD</t>
  </si>
  <si>
    <t>Lease begin date</t>
  </si>
  <si>
    <t>Last day to
request TA</t>
  </si>
  <si>
    <t>Original TA Amount</t>
  </si>
  <si>
    <t>Outstanding Amount</t>
  </si>
  <si>
    <t>Comment</t>
  </si>
  <si>
    <t xml:space="preserve">Active </t>
  </si>
  <si>
    <t xml:space="preserve">Century City   </t>
  </si>
  <si>
    <t>Bumo</t>
  </si>
  <si>
    <t>C.20127900</t>
  </si>
  <si>
    <t>Not open yet, 1 year after RCD</t>
  </si>
  <si>
    <t>Bibigo</t>
  </si>
  <si>
    <t xml:space="preserve">Booked in Ops, reclass done in August. </t>
  </si>
  <si>
    <t>Sugar Factory</t>
  </si>
  <si>
    <t>U.2010</t>
  </si>
  <si>
    <r>
      <t xml:space="preserve">AR Offset-Debit needed - </t>
    </r>
    <r>
      <rPr>
        <sz val="10"/>
        <color rgb="FF0070C0"/>
        <rFont val="Arial"/>
        <family val="2"/>
      </rPr>
      <t>Contaced AR (April/Moises) to void the JE since AP void the payment.</t>
    </r>
  </si>
  <si>
    <t>Fashion Square</t>
  </si>
  <si>
    <t>Lovisa</t>
  </si>
  <si>
    <t>C20367500</t>
  </si>
  <si>
    <t>AR Offset-Debit needed</t>
  </si>
  <si>
    <t>New York &amp; Co.</t>
  </si>
  <si>
    <t>C.203667500</t>
  </si>
  <si>
    <t>Re-class from Ops</t>
  </si>
  <si>
    <t>Kura Sushi Bar</t>
  </si>
  <si>
    <t>Box Union</t>
  </si>
  <si>
    <t>C.20367500</t>
  </si>
  <si>
    <t xml:space="preserve"> Culver City Mall LP</t>
  </si>
  <si>
    <t>California Fish</t>
  </si>
  <si>
    <t>C.20330700</t>
  </si>
  <si>
    <t>FSU7</t>
  </si>
  <si>
    <t>Remaining $20K is for HVAC reimbursement, no expiration on the remaining $20K, see lease sec 27.28</t>
  </si>
  <si>
    <t>Garden State Plaza</t>
  </si>
  <si>
    <t>Old Navy</t>
  </si>
  <si>
    <t>L.932681</t>
  </si>
  <si>
    <t>Lululemon</t>
  </si>
  <si>
    <t>Arena Stem</t>
  </si>
  <si>
    <t>Mission Valley</t>
  </si>
  <si>
    <t>F21Red</t>
  </si>
  <si>
    <t>C. 20362300</t>
  </si>
  <si>
    <t xml:space="preserve"> Life of the lease</t>
  </si>
  <si>
    <t>Cava</t>
  </si>
  <si>
    <t>C.20373300</t>
  </si>
  <si>
    <t>FSU17</t>
  </si>
  <si>
    <t>1 year after RCD. Amendment No.1 dated 02/27/2020 amended the TA amount from $218,900 to $229,083.</t>
  </si>
  <si>
    <t>Pesto Italian Craft Kitchen</t>
  </si>
  <si>
    <t>FSU16</t>
  </si>
  <si>
    <t>1 year after RCD.</t>
  </si>
  <si>
    <t>Havana Grill</t>
  </si>
  <si>
    <t>FSU19</t>
  </si>
  <si>
    <t>Not open yet. 1 year after RCD.</t>
  </si>
  <si>
    <t>USE Credi Union</t>
  </si>
  <si>
    <t>FSU20</t>
  </si>
  <si>
    <t>Not open yet. 2 years after required opening date (7/1/21).</t>
  </si>
  <si>
    <t>South Shore</t>
  </si>
  <si>
    <t>Ziki Steakhouse</t>
  </si>
  <si>
    <t>L.913387</t>
  </si>
  <si>
    <t>A20</t>
  </si>
  <si>
    <t>Current tenant Takumi in operation TA.  Reverse in July-21</t>
  </si>
  <si>
    <t>Cotton On</t>
  </si>
  <si>
    <t>L.913537</t>
  </si>
  <si>
    <t>E4</t>
  </si>
  <si>
    <t>life of the lease</t>
  </si>
  <si>
    <t>Oakridge</t>
  </si>
  <si>
    <t>Living Spaces</t>
  </si>
  <si>
    <t>C.20359900</t>
  </si>
  <si>
    <t>Reclass from Ops</t>
  </si>
  <si>
    <t>Wheel Work</t>
  </si>
  <si>
    <t>UFC Gym</t>
  </si>
  <si>
    <t>Sleep Number</t>
  </si>
  <si>
    <t>Meet Fresh</t>
  </si>
  <si>
    <t>Topanga</t>
  </si>
  <si>
    <t>Pinstripes</t>
  </si>
  <si>
    <t>C.20309700</t>
  </si>
  <si>
    <t xml:space="preserve">UTC </t>
  </si>
  <si>
    <t>Reformation</t>
  </si>
  <si>
    <t>C.20310200</t>
  </si>
  <si>
    <t>1 year after RCD</t>
  </si>
  <si>
    <t>Lucid USA, Inc.</t>
  </si>
  <si>
    <t>UCSD</t>
  </si>
  <si>
    <t>N/A</t>
  </si>
  <si>
    <t>Life of the lease</t>
  </si>
  <si>
    <t>UTC Development</t>
  </si>
  <si>
    <t>Johnny Was</t>
  </si>
  <si>
    <t>18 months after RCD, will reverse</t>
  </si>
  <si>
    <t>Quay</t>
  </si>
  <si>
    <t>Superdry</t>
  </si>
  <si>
    <t>2 years after RCD, will reverse</t>
  </si>
  <si>
    <t>WTC Development</t>
  </si>
  <si>
    <t>Jones the Grocer/Market Lane</t>
  </si>
  <si>
    <t>LL2465</t>
  </si>
  <si>
    <t>Store not open, one year after RCD</t>
  </si>
  <si>
    <t>Epicerie Boulud</t>
  </si>
  <si>
    <t>L.907428</t>
  </si>
  <si>
    <t>LL4000</t>
  </si>
  <si>
    <r>
      <rPr>
        <sz val="10"/>
        <color rgb="FF0070C0"/>
        <rFont val="Arial"/>
        <family val="2"/>
      </rPr>
      <t>HOLD - Leasing have been in discussion with Tenant for an amendment.</t>
    </r>
    <r>
      <rPr>
        <sz val="10"/>
        <rFont val="Arial"/>
        <family val="2"/>
      </rPr>
      <t xml:space="preserve"> 2 year after RCD.</t>
    </r>
  </si>
  <si>
    <t xml:space="preserve">   Breads Bakery </t>
  </si>
  <si>
    <t>C.20312000</t>
  </si>
  <si>
    <t>store not open yet, exp 1 yr after RCD</t>
  </si>
  <si>
    <t xml:space="preserve"> CharlesTyrwhit </t>
  </si>
  <si>
    <t>LL2365</t>
  </si>
  <si>
    <r>
      <rPr>
        <sz val="10"/>
        <color rgb="FF0070C0"/>
        <rFont val="Arial"/>
        <family val="2"/>
      </rPr>
      <t xml:space="preserve">DO NOT DISPOSE- AR HOLD- Tenant requested on time. </t>
    </r>
    <r>
      <rPr>
        <sz val="10"/>
        <rFont val="Arial"/>
        <family val="2"/>
      </rPr>
      <t>Do not reverse. Tenant requested on time- missing documents. 8/28/18, KS - HOLD. Do not reverse. Tenant submitted on time. TA is currently routing for approvals in Nexus.</t>
    </r>
  </si>
  <si>
    <t xml:space="preserve">   DesignerEyes </t>
  </si>
  <si>
    <t>LL2355</t>
  </si>
  <si>
    <r>
      <rPr>
        <sz val="10"/>
        <color rgb="FF0070C0"/>
        <rFont val="Arial"/>
        <family val="2"/>
      </rPr>
      <t>DISPOSE- Final Payment of $162k Outstanding - Tenant has not submitted their request yet. Final payment was an exception to released 50% of it - approved by David Ruddick</t>
    </r>
    <r>
      <rPr>
        <sz val="10"/>
        <rFont val="Arial"/>
        <family val="2"/>
      </rPr>
      <t>. 2 years after RCD. 8/28/18, KS - HOLD. Do not reverse. 2 years after RCD; Deal maker is reaching out to the Tenant in regards to their TA.</t>
    </r>
  </si>
  <si>
    <t xml:space="preserve">   Kusmi </t>
  </si>
  <si>
    <t>LL2340</t>
  </si>
  <si>
    <t>exp 2 yr after RCD</t>
  </si>
  <si>
    <t xml:space="preserve">   Longines </t>
  </si>
  <si>
    <t>LL4035</t>
  </si>
  <si>
    <r>
      <rPr>
        <sz val="10"/>
        <color rgb="FF0070C0"/>
        <rFont val="Arial"/>
        <family val="2"/>
      </rPr>
      <t>DISPOSE- Tenant has not submitted their request yet. Tenant is open and operating.</t>
    </r>
    <r>
      <rPr>
        <sz val="10"/>
        <rFont val="Arial"/>
        <family val="2"/>
      </rPr>
      <t>16 months after RCD. REVERSE, No request - Leasing will not do an amendment 6/5/18. 8/28/18, KS - HOLD. Do not reverse. No action to be taken.</t>
    </r>
  </si>
  <si>
    <t xml:space="preserve">   Minamoto Ki  </t>
  </si>
  <si>
    <t>LL2460</t>
  </si>
  <si>
    <r>
      <rPr>
        <sz val="10"/>
        <color rgb="FF0070C0"/>
        <rFont val="Arial"/>
        <family val="2"/>
      </rPr>
      <t>DISPOSE- Tenant has not submitted their request yet. Tenant is open and operating</t>
    </r>
    <r>
      <rPr>
        <sz val="10"/>
        <rFont val="Arial"/>
        <family val="2"/>
      </rPr>
      <t>. Do not reverse. NO REQUEST, inquiring with Leasing if they will extend due to multiple issues with PA. REVERSE, No request - Leasing will not do an amendment 6/5/18. 8/28/18, KS - HOLD. Do not reverse. No action to be taken.</t>
    </r>
  </si>
  <si>
    <t xml:space="preserve">  Pret A Manger </t>
  </si>
  <si>
    <t>LL3105</t>
  </si>
  <si>
    <t>no expiration date</t>
  </si>
  <si>
    <t xml:space="preserve">   Stuart Weit  </t>
  </si>
  <si>
    <t>LL4028</t>
  </si>
  <si>
    <r>
      <rPr>
        <sz val="10"/>
        <color rgb="FF0070C0"/>
        <rFont val="Arial"/>
        <family val="2"/>
      </rPr>
      <t>DISPOSE- Tenant has not submitted their request yet. Tenant is open and operating</t>
    </r>
    <r>
      <rPr>
        <sz val="10"/>
        <rFont val="Arial"/>
        <family val="2"/>
      </rPr>
      <t>. Do not reverse. NO REQUEST, inquiring with Leasing if they will extend due to multiple issues with PA. REVERSE, No Request, Leasing will not do an amendment 6/5/18. 8/28/18, KS - HOLD. Do not reverse. No action to be taken.</t>
    </r>
  </si>
  <si>
    <t xml:space="preserve">   Sugarfina </t>
  </si>
  <si>
    <t>LL2030</t>
  </si>
  <si>
    <t xml:space="preserve">   Solstice </t>
  </si>
  <si>
    <t>LL5140</t>
  </si>
  <si>
    <r>
      <rPr>
        <sz val="10"/>
        <color rgb="FF0070C0"/>
        <rFont val="Arial"/>
        <family val="2"/>
      </rPr>
      <t>DISPOSE- Tenant submitted request on 6/4/18. Leasing will not do an amendment to extend TA at that time</t>
    </r>
    <r>
      <rPr>
        <sz val="10"/>
        <rFont val="Arial"/>
        <family val="2"/>
      </rPr>
      <t>. Do not reverse. NO REQUEST, inquiring with Leasing if they will extend due to multiple issues with PA. REVERSE, submitted on June but Leasing will not do an amendment to extend expiration 6/5/18. 8/28/18, KS - HOLD. Do not reverse. No action to be taken.</t>
    </r>
  </si>
  <si>
    <t xml:space="preserve">   Tissot  </t>
  </si>
  <si>
    <t>LL2330</t>
  </si>
  <si>
    <r>
      <rPr>
        <sz val="10"/>
        <color rgb="FF0070C0"/>
        <rFont val="Arial"/>
        <family val="2"/>
      </rPr>
      <t>DISPOSE- Tenant has not submitted their request yet. Tenant is open and operating</t>
    </r>
    <r>
      <rPr>
        <sz val="10"/>
        <rFont val="Arial"/>
        <family val="2"/>
      </rPr>
      <t>.16 months after RCD. REVERSE, No Request Leasing will not do an amendment 6/5/18. 8/28/18, KS - HOLD. Do not reverse. No action to be taken.</t>
    </r>
  </si>
  <si>
    <t xml:space="preserve">   Tous  </t>
  </si>
  <si>
    <t>LL2353</t>
  </si>
  <si>
    <r>
      <rPr>
        <sz val="10"/>
        <color rgb="FF0070C0"/>
        <rFont val="Arial"/>
        <family val="2"/>
      </rPr>
      <t xml:space="preserve">DISPOSE- Tenant has not submitted their request yet. Tenant is open and operating. </t>
    </r>
    <r>
      <rPr>
        <sz val="10"/>
        <rFont val="Arial"/>
        <family val="2"/>
      </rPr>
      <t>Do not reverse. NO REQUEST, inquiring with Leasing if they will extend due to multiple issues with PA. REVERSE, No Request Leasing will not do an amendment 6/5/18. 8/28/18, KS - HOLD. Do not reverse. No action to be taken.</t>
    </r>
  </si>
  <si>
    <t xml:space="preserve">  Under Armour  </t>
  </si>
  <si>
    <t>LL4302</t>
  </si>
  <si>
    <r>
      <rPr>
        <sz val="10"/>
        <color rgb="FF0070C0"/>
        <rFont val="Arial"/>
        <family val="2"/>
      </rPr>
      <t xml:space="preserve">DISPOSE - Abandonment 5/12/17. </t>
    </r>
    <r>
      <rPr>
        <sz val="10"/>
        <rFont val="Arial"/>
        <family val="2"/>
      </rPr>
      <t>2 years after RCD. 8/28/18, KS - Reverse. Tenant abandoned space. Cancelled PO.</t>
    </r>
  </si>
  <si>
    <t>abandoned space, reverse once lease (910424) is updated to "T" in E1</t>
  </si>
  <si>
    <t xml:space="preserve"> Hawksmoor</t>
  </si>
  <si>
    <t>LL3320</t>
  </si>
  <si>
    <t>Nunu Chocolates</t>
  </si>
  <si>
    <t>LL2425</t>
  </si>
  <si>
    <t>Settlement Stipulation</t>
  </si>
  <si>
    <t>Gloveworx</t>
  </si>
  <si>
    <t>C. 56342911</t>
  </si>
  <si>
    <t>LL3001</t>
  </si>
  <si>
    <t>Taco Dumbo</t>
  </si>
  <si>
    <t>C.56342911</t>
  </si>
  <si>
    <t>LL3100</t>
  </si>
  <si>
    <t>Not open yet, 1 year after RCD. TA Offset in Ops BU</t>
  </si>
  <si>
    <t>Elysium</t>
  </si>
  <si>
    <t>C.56342915</t>
  </si>
  <si>
    <t>LL2315</t>
  </si>
  <si>
    <t>Proper Hall</t>
  </si>
  <si>
    <t>C.20342900</t>
  </si>
  <si>
    <t>LL4065</t>
  </si>
  <si>
    <t>Victoria Secret</t>
  </si>
  <si>
    <t>C.56342928</t>
  </si>
  <si>
    <t>LL4410</t>
  </si>
  <si>
    <t>Settlement Stipulation- Additional TA Delay Costs</t>
  </si>
  <si>
    <t>Century City Development</t>
  </si>
  <si>
    <t>Din Tai Fung</t>
  </si>
  <si>
    <t>L'Occitane En Provence</t>
  </si>
  <si>
    <t>2 year after RCD</t>
  </si>
  <si>
    <t>AsianBox</t>
  </si>
  <si>
    <t>FC3</t>
  </si>
  <si>
    <r>
      <rPr>
        <sz val="10"/>
        <color rgb="FF0070C0"/>
        <rFont val="Arial"/>
        <family val="2"/>
      </rPr>
      <t xml:space="preserve">DISPOSE - Tenant has not submitted their request yet. </t>
    </r>
    <r>
      <rPr>
        <sz val="10"/>
        <rFont val="Arial"/>
        <family val="2"/>
      </rPr>
      <t>1  year after RCD. REVERSE, No Request, Leasing will not do an amendment 6/5/18. 8/28/18, KS - HOLD. Do not reverse. No action to be taken.</t>
    </r>
  </si>
  <si>
    <t>Javier's</t>
  </si>
  <si>
    <t>La Colombe</t>
  </si>
  <si>
    <r>
      <rPr>
        <sz val="10"/>
        <color rgb="FF0070C0"/>
        <rFont val="Arial"/>
        <family val="2"/>
      </rPr>
      <t xml:space="preserve">DISPOSE - Tenant has not submitted their final request yet. </t>
    </r>
    <r>
      <rPr>
        <sz val="10"/>
        <rFont val="Arial"/>
        <family val="2"/>
      </rPr>
      <t>TA + LLW Delay Claim, 1 year after RCD. LLW Delay Claim - PAID 1/16/18. REVERSE,TA - Leasing will not do an amendment -TA 6/5/18. 8/28/18, KS - HOLD. Do not reverse. No action to be taken.</t>
    </r>
  </si>
  <si>
    <t>Smitten Ice Cream</t>
  </si>
  <si>
    <r>
      <rPr>
        <sz val="10"/>
        <color rgb="FF0070C0"/>
        <rFont val="Arial"/>
        <family val="2"/>
      </rPr>
      <t>PENDING TERMINATION- still on the discussion between the Tenant, Leasing, Mall Management and Legal.</t>
    </r>
    <r>
      <rPr>
        <sz val="10"/>
        <rFont val="Arial"/>
        <family val="2"/>
      </rPr>
      <t xml:space="preserve"> 1 year after RCD. 8/28/18, KS - HOLD. Do not reverse. No action to be taken.</t>
    </r>
  </si>
  <si>
    <t>Tosai Sushi</t>
  </si>
  <si>
    <t>C.56127903</t>
  </si>
  <si>
    <t>FC25</t>
  </si>
  <si>
    <r>
      <rPr>
        <sz val="10"/>
        <color rgb="FF0070C0"/>
        <rFont val="Arial"/>
        <family val="2"/>
      </rPr>
      <t xml:space="preserve">DISPOSE- Tenant has not submitted their request yet. </t>
    </r>
    <r>
      <rPr>
        <sz val="10"/>
        <rFont val="Arial"/>
        <family val="2"/>
      </rPr>
      <t>1 year after RCD</t>
    </r>
  </si>
  <si>
    <t>Bigfish, Littlefish</t>
  </si>
  <si>
    <t>FC23</t>
  </si>
  <si>
    <r>
      <rPr>
        <sz val="10"/>
        <color rgb="FF0070C0"/>
        <rFont val="Arial"/>
        <family val="2"/>
      </rPr>
      <t xml:space="preserve">DISPOSE- Tenant has not submitted their request yet. </t>
    </r>
    <r>
      <rPr>
        <sz val="10"/>
        <rFont val="Arial"/>
        <family val="2"/>
      </rPr>
      <t>1  year after RCD. 8/28/18, KS - HOLD. Do not reverse. No action to be taken.</t>
    </r>
  </si>
  <si>
    <t>House of Polish</t>
  </si>
  <si>
    <r>
      <rPr>
        <sz val="10"/>
        <color rgb="FF0070C0"/>
        <rFont val="Arial"/>
        <family val="2"/>
      </rPr>
      <t xml:space="preserve">DISPOSE- Tenant has not submitted their request yet. </t>
    </r>
    <r>
      <rPr>
        <sz val="10"/>
        <rFont val="Arial"/>
        <family val="2"/>
      </rPr>
      <t>1  year after RCD. REVERSE, No Request, Leasing will not do an amendment 6/5/18. 8/28/18, KS - HOLD. Do not reverse. No action to be taken.</t>
    </r>
  </si>
  <si>
    <t xml:space="preserve">John Hardy Est </t>
  </si>
  <si>
    <r>
      <rPr>
        <sz val="10"/>
        <color rgb="FF0070C0"/>
        <rFont val="Arial"/>
        <family val="2"/>
      </rPr>
      <t xml:space="preserve">DISPOSE- Tenant has not submitted their request yet. </t>
    </r>
    <r>
      <rPr>
        <sz val="10"/>
        <rFont val="Arial"/>
        <family val="2"/>
      </rPr>
      <t>1  year after RCD</t>
    </r>
  </si>
  <si>
    <t>Not Open yet, Life of the lease</t>
  </si>
  <si>
    <t>Hello Darling</t>
  </si>
  <si>
    <t>2 years after RCD</t>
  </si>
  <si>
    <t>Malin + Goetz</t>
  </si>
  <si>
    <t>7 For All Mankind</t>
  </si>
  <si>
    <t>Gap, Gap Kids, Baby Gap</t>
  </si>
  <si>
    <t>Red Straw</t>
  </si>
  <si>
    <t>not open yet, 1 year after RCD</t>
  </si>
  <si>
    <t>Haidailao</t>
  </si>
  <si>
    <t>UCLA Health</t>
  </si>
  <si>
    <t>Life of the lease. TA should not be paid out until LLW is completed and confirmed that Tenant has reimbursed LL for all LLW cost. LLW cost addition to Tenant reimbursed amount will be offset by TA, remaining balance in TA will then be given to Tenant.</t>
  </si>
  <si>
    <t>Shuck House</t>
  </si>
  <si>
    <t>FC12</t>
  </si>
  <si>
    <t>Invisalign</t>
  </si>
  <si>
    <t>terminated lease</t>
  </si>
  <si>
    <t>Honeymee</t>
  </si>
  <si>
    <t>AT&amp;T Mobility</t>
  </si>
  <si>
    <t>Leaff Waffle</t>
  </si>
  <si>
    <t>TAD AR Offset</t>
  </si>
  <si>
    <t>Kindbody</t>
  </si>
  <si>
    <t>Valley Fair Development</t>
  </si>
  <si>
    <t>Bamboo Sushi</t>
  </si>
  <si>
    <t>C.20108700</t>
  </si>
  <si>
    <t>Not Open, 18mos after RCD, and will reduce $50k per month after 1yr RCD</t>
  </si>
  <si>
    <t>A9</t>
  </si>
  <si>
    <t>Anne Fontaine</t>
  </si>
  <si>
    <t>f</t>
  </si>
  <si>
    <t>Valley Fair</t>
  </si>
  <si>
    <t>Sunglass Hut</t>
  </si>
  <si>
    <t>L.00926028</t>
  </si>
  <si>
    <t xml:space="preserve"> need to check with Terry on project ID</t>
  </si>
  <si>
    <t>Honey Birdette</t>
  </si>
  <si>
    <t>B301</t>
  </si>
  <si>
    <t>Del Frisco's Double</t>
  </si>
  <si>
    <t>Shake Shack</t>
  </si>
  <si>
    <t>Q4 Accrual</t>
  </si>
  <si>
    <t>APM Monaco</t>
  </si>
  <si>
    <t>CoCo Fresh Tea and Juice</t>
  </si>
  <si>
    <t>Gorjana</t>
  </si>
  <si>
    <t>John Varvatos</t>
  </si>
  <si>
    <t>Adjustment JE booked in Apr</t>
  </si>
  <si>
    <t>Salt and Straw</t>
  </si>
  <si>
    <t>SomiSomi Goldfish Waffle Cone</t>
  </si>
  <si>
    <t>UNTUCKit</t>
  </si>
  <si>
    <t>Jimmy Cho</t>
  </si>
  <si>
    <t>Cole Haan</t>
  </si>
  <si>
    <t>King's Fish House</t>
  </si>
  <si>
    <t>Rodd &amp; Gunn New Zealand</t>
  </si>
  <si>
    <t>AR offset</t>
  </si>
  <si>
    <t>PlayLive Nation</t>
  </si>
  <si>
    <t>Vietnoms</t>
  </si>
  <si>
    <t>Daniel Wellington</t>
  </si>
  <si>
    <t>Tiffany &amp; Co</t>
  </si>
  <si>
    <t>Anthropologie</t>
  </si>
  <si>
    <t>fm2050</t>
  </si>
  <si>
    <t>Urban Outfitters</t>
  </si>
  <si>
    <t>Chanel</t>
  </si>
  <si>
    <t>GoldenGoose</t>
  </si>
  <si>
    <t>Indochino</t>
  </si>
  <si>
    <t xml:space="preserve">Maje </t>
  </si>
  <si>
    <t>Not Open, 3 years after RCD</t>
  </si>
  <si>
    <t xml:space="preserve">Sandro   </t>
  </si>
  <si>
    <t>Versace</t>
  </si>
  <si>
    <t>0/27/2022</t>
  </si>
  <si>
    <t>Bulgari</t>
  </si>
  <si>
    <t>Not Open, 1 year after RCD</t>
  </si>
  <si>
    <t>Forward</t>
  </si>
  <si>
    <t>Eataly</t>
  </si>
  <si>
    <t>North Face</t>
  </si>
  <si>
    <t>A25</t>
  </si>
  <si>
    <t>Not open, 1 year after RCD</t>
  </si>
  <si>
    <t>Neiwai</t>
  </si>
  <si>
    <t>Montblanc</t>
  </si>
  <si>
    <t>Breitling</t>
  </si>
  <si>
    <t>Fabletics</t>
  </si>
  <si>
    <t>Gentle Monster</t>
  </si>
  <si>
    <t>Aritzia</t>
  </si>
  <si>
    <t>A118</t>
  </si>
  <si>
    <t>Club Monaco</t>
  </si>
  <si>
    <t>C20108700</t>
  </si>
  <si>
    <t>A126</t>
  </si>
  <si>
    <t>Do Not REVERSE</t>
  </si>
  <si>
    <t>Orangetheory</t>
  </si>
  <si>
    <t>Longchamp</t>
  </si>
  <si>
    <t>Rag &amp; Bone</t>
  </si>
  <si>
    <t>Lady M Cake</t>
  </si>
  <si>
    <t>Dyson</t>
  </si>
  <si>
    <t>Rooster&amp;Rice</t>
  </si>
  <si>
    <t>B331</t>
  </si>
  <si>
    <t>Innisfree</t>
  </si>
  <si>
    <t>A52</t>
  </si>
  <si>
    <t>Capital One</t>
  </si>
  <si>
    <t>A155</t>
  </si>
  <si>
    <t>Lucid Motors</t>
  </si>
  <si>
    <t>Opened</t>
  </si>
  <si>
    <t>Peloton</t>
  </si>
  <si>
    <t>Gucci</t>
  </si>
  <si>
    <t>L.00929574</t>
  </si>
  <si>
    <t xml:space="preserve">Gucci </t>
  </si>
  <si>
    <t>Lease Inducement</t>
  </si>
  <si>
    <t>Aesop</t>
  </si>
  <si>
    <t>Panerai</t>
  </si>
  <si>
    <t xml:space="preserve"> Psycho Bunny</t>
  </si>
  <si>
    <t>L.00932375</t>
  </si>
  <si>
    <t>Dr Martens</t>
  </si>
  <si>
    <t>Polestar</t>
  </si>
  <si>
    <t>L.932329</t>
  </si>
  <si>
    <t>Diesel</t>
  </si>
  <si>
    <t>L.934653</t>
  </si>
  <si>
    <t>A31</t>
  </si>
  <si>
    <t>R&amp;B Tea</t>
  </si>
  <si>
    <t>L.933616</t>
  </si>
  <si>
    <t>FC21</t>
  </si>
  <si>
    <t>Blue Nile</t>
  </si>
  <si>
    <t>L.933859</t>
  </si>
  <si>
    <t>A105</t>
  </si>
  <si>
    <t xml:space="preserve">Hive &amp; Colony </t>
  </si>
  <si>
    <t>Rothy's</t>
  </si>
  <si>
    <t>Bowlero</t>
  </si>
  <si>
    <t>Baekjeong</t>
  </si>
  <si>
    <t>Leafy</t>
  </si>
  <si>
    <t>Dior</t>
  </si>
  <si>
    <t>Free People</t>
  </si>
  <si>
    <t>Byredo</t>
  </si>
  <si>
    <t>World Trade Center</t>
  </si>
  <si>
    <t>COS or Collection of</t>
  </si>
  <si>
    <t>LL4060</t>
  </si>
  <si>
    <t>&amp; Other Stories</t>
  </si>
  <si>
    <t>LL2020</t>
  </si>
  <si>
    <t xml:space="preserve">Fulton Center Development </t>
  </si>
  <si>
    <t>C.56315502</t>
  </si>
  <si>
    <t>Count</t>
  </si>
  <si>
    <t xml:space="preserve"> </t>
  </si>
  <si>
    <t>Subtotal</t>
  </si>
  <si>
    <t>Grand total</t>
  </si>
  <si>
    <t>check if new ones paid or not</t>
  </si>
  <si>
    <t>Business
Unit</t>
  </si>
  <si>
    <t>200332 - Dev TA Payable
Cumulative 5
Actual
2022</t>
  </si>
  <si>
    <t>Var</t>
  </si>
  <si>
    <t>Accounting Region</t>
  </si>
  <si>
    <t>Object
Account</t>
  </si>
  <si>
    <t>Subsidiary</t>
  </si>
  <si>
    <t>Batch
Type</t>
  </si>
  <si>
    <t>Reverse or Void</t>
  </si>
  <si>
    <t>Batch
Number</t>
  </si>
  <si>
    <t>Document
Number</t>
  </si>
  <si>
    <t>Document
Type</t>
  </si>
  <si>
    <t>Period
Number</t>
  </si>
  <si>
    <t>Year
(Short)</t>
  </si>
  <si>
    <t>Actual
Amount</t>
  </si>
  <si>
    <t>Asset
Number</t>
  </si>
  <si>
    <t>Service Date</t>
  </si>
  <si>
    <t>Batch
Date</t>
  </si>
  <si>
    <t>Remark</t>
  </si>
  <si>
    <t>JE
Explanation</t>
  </si>
  <si>
    <t>Invoice Number</t>
  </si>
  <si>
    <t>Tenant / Vendor Name</t>
  </si>
  <si>
    <t>Subledger</t>
  </si>
  <si>
    <t>Subledger Description</t>
  </si>
  <si>
    <t>Reference
1</t>
  </si>
  <si>
    <t>Reference
2</t>
  </si>
  <si>
    <t>Reference
3</t>
  </si>
  <si>
    <t>Description</t>
  </si>
  <si>
    <t>Post Status</t>
  </si>
  <si>
    <t>Trans.
Originator</t>
  </si>
  <si>
    <t>User
ID</t>
  </si>
  <si>
    <t>Account
Number</t>
  </si>
  <si>
    <t>Settlement Batch #</t>
  </si>
  <si>
    <t>I/C Status</t>
  </si>
  <si>
    <t>E1</t>
  </si>
  <si>
    <t>12235</t>
  </si>
  <si>
    <t>200332</t>
  </si>
  <si>
    <t>V</t>
  </si>
  <si>
    <t>PV</t>
  </si>
  <si>
    <t>00222611</t>
  </si>
  <si>
    <t>TA - lululemon athletica - GSP</t>
  </si>
  <si>
    <t>lululemon</t>
  </si>
  <si>
    <t>TA-LULULEMON-GSPDEV120821</t>
  </si>
  <si>
    <t>lululemon USA INC.</t>
  </si>
  <si>
    <t>L.00037577 - Lululemon Athletica</t>
  </si>
  <si>
    <t>Dev TA Payable</t>
  </si>
  <si>
    <t>Posted</t>
  </si>
  <si>
    <t>BASWAREUS</t>
  </si>
  <si>
    <t>SCHED</t>
  </si>
  <si>
    <t>12235.200332</t>
  </si>
  <si>
    <t>00221132</t>
  </si>
  <si>
    <t>TA - Old Navy - GSP</t>
  </si>
  <si>
    <t>TAOLDNAVYGSP1/10/22-FINAL</t>
  </si>
  <si>
    <t>Old Navy, LLC</t>
  </si>
  <si>
    <t>L.00932681 - Old Navy</t>
  </si>
  <si>
    <t>00220178</t>
  </si>
  <si>
    <t>TA - Arena STEM - GSP</t>
  </si>
  <si>
    <t>Arena STEM</t>
  </si>
  <si>
    <t>TA-ARENASTEM-GSPDEV#2</t>
  </si>
  <si>
    <t>Arena Paramus, LLC</t>
  </si>
  <si>
    <t>L.00932985 - Arena STEM</t>
  </si>
  <si>
    <t>12253</t>
  </si>
  <si>
    <t>00216784</t>
  </si>
  <si>
    <t>TA - Ideal Image - MVC</t>
  </si>
  <si>
    <t>Ideal Image</t>
  </si>
  <si>
    <t>TA-IDEALIMAGE-MVCDEV10622</t>
  </si>
  <si>
    <t>Ideal of Image of California, LLC</t>
  </si>
  <si>
    <t>C.20373300 - MV - Michaels Takeback</t>
  </si>
  <si>
    <t>12253.200332</t>
  </si>
  <si>
    <t>W1</t>
  </si>
  <si>
    <t>12291</t>
  </si>
  <si>
    <t>00221984</t>
  </si>
  <si>
    <t>TA-Pinstripes-TOP</t>
  </si>
  <si>
    <t>TA-PINSTRIPES-121321</t>
  </si>
  <si>
    <t>Pinstripes, Inc.</t>
  </si>
  <si>
    <t>C.20309700 - Topanga - Sears</t>
  </si>
  <si>
    <t>12291.200332</t>
  </si>
  <si>
    <t>TA-PINSTRIPES-011022</t>
  </si>
  <si>
    <t>12297</t>
  </si>
  <si>
    <t>00214157</t>
  </si>
  <si>
    <t>TA-Tiffany &amp; Co-VLF</t>
  </si>
  <si>
    <t>Tiffany &amp; Co.</t>
  </si>
  <si>
    <t>TA-TIFFANY-VLF-07022021</t>
  </si>
  <si>
    <t>Tiffany and Company U.S. Sales, LLC</t>
  </si>
  <si>
    <t>L.00112879 - Tiffany &amp; Co.</t>
  </si>
  <si>
    <t>12297.200332</t>
  </si>
  <si>
    <t>00214153</t>
  </si>
  <si>
    <t>AR Offset</t>
  </si>
  <si>
    <t>TA-RODD&amp;GUNN-032420</t>
  </si>
  <si>
    <t>Rodd &amp; Gunn USA Retail Inc.</t>
  </si>
  <si>
    <t>C.20108700 - Valley Fair Development</t>
  </si>
  <si>
    <t>TA-Rodd and Gunn-VLF</t>
  </si>
  <si>
    <t>RALFARO</t>
  </si>
  <si>
    <t>2B</t>
  </si>
  <si>
    <t>RD</t>
  </si>
  <si>
    <t>U.1120</t>
  </si>
  <si>
    <t>00222671</t>
  </si>
  <si>
    <t>TA Hive &amp; Colony VLF</t>
  </si>
  <si>
    <t>Hive &amp; Colony</t>
  </si>
  <si>
    <t>TA-HIVE AND COLONY-111821</t>
  </si>
  <si>
    <t>H&amp;C CA VAF LLC</t>
  </si>
  <si>
    <t>00215392</t>
  </si>
  <si>
    <t>TA-North Face-VLF</t>
  </si>
  <si>
    <t>North Face, The</t>
  </si>
  <si>
    <t>TA-NORTHFACE-070921</t>
  </si>
  <si>
    <t>VF Outdoor, LLC</t>
  </si>
  <si>
    <t>12360</t>
  </si>
  <si>
    <t>G</t>
  </si>
  <si>
    <t>JE</t>
  </si>
  <si>
    <t>00214141</t>
  </si>
  <si>
    <t>Dev TA CocoFresh #A90</t>
  </si>
  <si>
    <t>Development TAs January 2022</t>
  </si>
  <si>
    <t>08-02</t>
  </si>
  <si>
    <t>MGALVEZ</t>
  </si>
  <si>
    <t>12360.200332</t>
  </si>
  <si>
    <t>00214151</t>
  </si>
  <si>
    <t>Dev TA Honey Birdette #B301</t>
  </si>
  <si>
    <t>00223600</t>
  </si>
  <si>
    <t>Dev TA - Byredo U#A041</t>
  </si>
  <si>
    <t>Grand Total</t>
  </si>
  <si>
    <t>TA - Havana Grill - MVC</t>
  </si>
  <si>
    <t>Q1-22 TA Payable Adj</t>
  </si>
  <si>
    <t>10-02</t>
  </si>
  <si>
    <t>RREN</t>
  </si>
  <si>
    <t>00221775</t>
  </si>
  <si>
    <t>TA-PINSTRIPES-02022022</t>
  </si>
  <si>
    <t>VCORNEJO</t>
  </si>
  <si>
    <t>TA-Polestar-VLF</t>
  </si>
  <si>
    <t>TA-POLESTAR-101521</t>
  </si>
  <si>
    <t>Price-Simms PA LLC</t>
  </si>
  <si>
    <t>L.00932329 - Polestar</t>
  </si>
  <si>
    <t>00221657</t>
  </si>
  <si>
    <t>Correct Double Booked TA</t>
  </si>
  <si>
    <t>MMA</t>
  </si>
  <si>
    <t>TA-ARENASTEM-GSPDEV #3F</t>
  </si>
  <si>
    <t>TA_Arena Stem_U# 2145</t>
  </si>
  <si>
    <t>Record Dev TA</t>
  </si>
  <si>
    <t>ASHRESTHA</t>
  </si>
  <si>
    <t>TA_Lululemon_U#D10</t>
  </si>
  <si>
    <t>TA-ArenaSTEM-GSP-10062020</t>
  </si>
  <si>
    <t>RCL TA Invoice - Arena Stem</t>
  </si>
  <si>
    <t>PSINNER</t>
  </si>
  <si>
    <t>12211</t>
  </si>
  <si>
    <t>TA-Bumo-CEN (payment #2)</t>
  </si>
  <si>
    <t>TA-BUMO-082121</t>
  </si>
  <si>
    <t>PARC Ventures, Inc.</t>
  </si>
  <si>
    <t>L.00931125 - Bumo</t>
  </si>
  <si>
    <t>12211.200332</t>
  </si>
  <si>
    <t>00218652</t>
  </si>
  <si>
    <t>Dev TA_Sugar Factory_U#2010</t>
  </si>
  <si>
    <t>Rcls Sugar Factory Payable</t>
  </si>
  <si>
    <t>C.20127900 - Century City Redevelopment</t>
  </si>
  <si>
    <t>CAO</t>
  </si>
  <si>
    <t>00192636</t>
  </si>
  <si>
    <t>TA-Eataly-VLF</t>
  </si>
  <si>
    <t>TA-EATALY-011922 #5</t>
  </si>
  <si>
    <t>Eataly Silicon Valley, LLC</t>
  </si>
  <si>
    <t>00215391</t>
  </si>
  <si>
    <t>TA-TIFFANY-VLF-07022021R</t>
  </si>
  <si>
    <t>TA-Peloton-VLF</t>
  </si>
  <si>
    <t>TA-PELOTON-VLF-030222</t>
  </si>
  <si>
    <t>Peloton Interactive, Inc.</t>
  </si>
  <si>
    <t>00220347</t>
  </si>
  <si>
    <t>12363</t>
  </si>
  <si>
    <t>C.56127903 - Century City - Phase I</t>
  </si>
  <si>
    <t>12363.200332</t>
  </si>
  <si>
    <t>W2</t>
  </si>
  <si>
    <t>12266</t>
  </si>
  <si>
    <t>TA-UFCGym-OAK</t>
  </si>
  <si>
    <t>TA-UFCGYM-3RD-120921</t>
  </si>
  <si>
    <t>Aujla-Toor UFC Gym Inc. and SJ Gym, LLC</t>
  </si>
  <si>
    <t>C.20359900 - Oakridge Sears Take Back</t>
  </si>
  <si>
    <t>12266.200332</t>
  </si>
  <si>
    <t>00221640</t>
  </si>
  <si>
    <t>TA-UFCGYM-2ND-120921</t>
  </si>
  <si>
    <t>U.2145 - P1-3/5/20; Anthropologie</t>
  </si>
  <si>
    <t>TA-PINSTRIPES-TOP-032322</t>
  </si>
  <si>
    <t>Dev TA Cleanup</t>
  </si>
  <si>
    <t>VF Dev TA Cleanup Rag &amp; Bone</t>
  </si>
  <si>
    <t>MBOSKA</t>
  </si>
  <si>
    <t>00219105</t>
  </si>
  <si>
    <t>TA-Leafy-VLF</t>
  </si>
  <si>
    <t>TA-LEAFY-VLF-031022</t>
  </si>
  <si>
    <t>Leafy LLC</t>
  </si>
  <si>
    <t>00222812</t>
  </si>
  <si>
    <t>TA-EATALY-VLF-031422</t>
  </si>
  <si>
    <t>VF Dev TA Cleanup J Varvatos</t>
  </si>
  <si>
    <t>00214143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</si>
</sst>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0.00;\(#,##0.00\)"/>
  </numFmts>
  <fonts count="20" x14ac:knownFonts="1">
    <font>
      <sz val="11"/>
      <color theme="1"/>
      <name val="Calibri"/>
      <family val="2"/>
      <scheme val="minor"/>
    </font>
    <font>
      <sz val="11"/>
      <color theme="1"/>
      <name val="Calibri"/>
      <family val="2"/>
      <scheme val="minor"/>
    </font>
    <font>
      <sz val="11"/>
      <color rgb="FF9C0006"/>
      <name val="Calibri"/>
      <family val="2"/>
      <scheme val="minor"/>
    </font>
    <font>
      <sz val="11"/>
      <name val="Arial"/>
      <family val="2"/>
    </font>
    <font>
      <sz val="11"/>
      <color rgb="FFFFFFFF"/>
      <name val="Arial"/>
      <family val="2"/>
    </font>
    <font>
      <sz val="11"/>
      <color rgb="FF0000FF"/>
      <name val="Arial"/>
      <family val="2"/>
    </font>
    <font>
      <b/>
      <sz val="11"/>
      <name val="Arial"/>
      <family val="2"/>
    </font>
    <font>
      <sz val="10"/>
      <name val="Arial"/>
      <family val="2"/>
    </font>
    <font>
      <b/>
      <sz val="11"/>
      <color indexed="10"/>
      <name val="Arial"/>
      <family val="2"/>
    </font>
    <font>
      <b/>
      <sz val="11"/>
      <color rgb="FFFFFFFF"/>
      <name val="Arial"/>
      <family val="2"/>
    </font>
    <font>
      <b/>
      <sz val="11"/>
      <color rgb="FF0000FF"/>
      <name val="Arial"/>
      <family val="2"/>
    </font>
    <font>
      <sz val="10"/>
      <color rgb="FF0000FF"/>
      <name val="Arial"/>
      <family val="2"/>
    </font>
    <font>
      <b/>
      <sz val="10"/>
      <name val="Arial"/>
      <family val="2"/>
    </font>
    <font>
      <sz val="10"/>
      <color rgb="FF0070C0"/>
      <name val="Arial"/>
      <family val="2"/>
    </font>
    <font>
      <sz val="10"/>
      <color rgb="FFFF0000"/>
      <name val="Arial"/>
      <family val="2"/>
    </font>
    <font>
      <sz val="8"/>
      <color rgb="FF000000"/>
      <name val="Microsoft Sans Serif"/>
      <family val="2"/>
    </font>
    <font>
      <sz val="11"/>
      <color rgb="FF000000"/>
      <name val="Microsoft Sans Serif"/>
      <family val="2"/>
    </font>
    <font>
      <b/>
      <sz val="10"/>
      <color theme="0"/>
      <name val="Arial"/>
      <family val="2"/>
    </font>
    <font>
      <sz val="10"/>
      <color theme="0"/>
      <name val="Arial"/>
      <family val="2"/>
    </font>
    <font>
      <b/>
      <sz val="8"/>
      <color rgb="FF000000"/>
      <name val="Microsoft Sans Serif"/>
      <family val="2"/>
    </font>
  </fonts>
  <fills count="7">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indexed="65"/>
        <bgColor indexed="64"/>
      </patternFill>
    </fill>
    <fill>
      <patternFill patternType="solid">
        <fgColor theme="4" tint="0.79998168889431442"/>
        <bgColor indexed="64"/>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808080"/>
      </left>
      <right style="thin">
        <color rgb="FF808080"/>
      </right>
      <top style="thin">
        <color rgb="FF808080"/>
      </top>
      <bottom style="thin">
        <color rgb="FF808080"/>
      </bottom>
      <diagonal/>
    </border>
    <border>
      <left/>
      <right/>
      <top style="thin">
        <color indexed="64"/>
      </top>
      <bottom style="double">
        <color indexed="64"/>
      </bottom>
      <diagonal/>
    </border>
    <border>
      <left style="thin">
        <color rgb="FFFFFFFF"/>
      </left>
      <right style="thin">
        <color rgb="FFFFFFFF"/>
      </right>
      <top style="thin">
        <color rgb="FFFFFFFF"/>
      </top>
      <bottom style="thin">
        <color rgb="FFA9A9A9"/>
      </bottom>
      <diagonal/>
    </border>
    <border>
      <left style="thin">
        <color rgb="FF808080"/>
      </left>
      <right style="thin">
        <color rgb="FF808080"/>
      </right>
      <top style="thin">
        <color rgb="FF808080"/>
      </top>
      <bottom/>
      <diagonal/>
    </border>
    <border>
      <left style="thin">
        <color rgb="FF808080"/>
      </left>
      <right style="thin">
        <color rgb="FF808080"/>
      </right>
      <top style="thin">
        <color rgb="FF000000"/>
      </top>
      <bottom style="thin">
        <color rgb="FF808080"/>
      </bottom>
      <diagonal/>
    </border>
  </borders>
  <cellStyleXfs count="6">
    <xf numFmtId="0" fontId="0" fillId="0" borderId="0"/>
    <xf numFmtId="43" fontId="1" fillId="0" borderId="0" applyFont="0" applyFill="0" applyBorder="0" applyAlignment="0" applyProtection="0"/>
    <xf numFmtId="0" fontId="2" fillId="2" borderId="0" applyNumberFormat="0" applyBorder="0" applyAlignment="0" applyProtection="0"/>
    <xf numFmtId="0" fontId="7" fillId="0" borderId="0"/>
    <xf numFmtId="0" fontId="7" fillId="0" borderId="0"/>
    <xf numFmtId="0" fontId="7" fillId="0" borderId="0"/>
  </cellStyleXfs>
  <cellXfs count="108">
    <xf numFmtId="0" fontId="0" fillId="0" borderId="0" xfId="0"/>
    <xf numFmtId="0" fontId="3" fillId="0" borderId="0" xfId="0" applyFont="1"/>
    <xf numFmtId="164" fontId="3" fillId="0" borderId="0" xfId="0" applyNumberFormat="1" applyFont="1"/>
    <xf numFmtId="0" fontId="3" fillId="0" borderId="0" xfId="0" applyFont="1" applyAlignment="1">
      <alignment horizontal="right"/>
    </xf>
    <xf numFmtId="164" fontId="3" fillId="0" borderId="0" xfId="0" applyNumberFormat="1" applyFont="1" applyAlignment="1">
      <alignment horizontal="right"/>
    </xf>
    <xf numFmtId="0" fontId="3" fillId="0" borderId="0" xfId="0" applyFont="1" applyAlignment="1">
      <alignment horizontal="center"/>
    </xf>
    <xf numFmtId="164" fontId="4" fillId="0" borderId="0" xfId="0" applyNumberFormat="1" applyFont="1" applyAlignment="1">
      <alignment horizontal="right"/>
    </xf>
    <xf numFmtId="39" fontId="3" fillId="0" borderId="0" xfId="0" applyNumberFormat="1" applyFont="1"/>
    <xf numFmtId="39" fontId="3" fillId="0" borderId="0" xfId="0" applyNumberFormat="1" applyFont="1" applyAlignment="1">
      <alignment wrapText="1"/>
    </xf>
    <xf numFmtId="0" fontId="5" fillId="0" borderId="0" xfId="0" applyFont="1"/>
    <xf numFmtId="39" fontId="6" fillId="0" borderId="0" xfId="0" applyNumberFormat="1" applyFont="1" applyAlignment="1">
      <alignment horizontal="center"/>
    </xf>
    <xf numFmtId="39" fontId="6" fillId="0" borderId="0" xfId="0" applyNumberFormat="1" applyFont="1" applyAlignment="1">
      <alignment wrapText="1"/>
    </xf>
    <xf numFmtId="0" fontId="3" fillId="0" borderId="1" xfId="3" applyFont="1" applyBorder="1" applyAlignment="1">
      <alignment horizontal="left"/>
    </xf>
    <xf numFmtId="0" fontId="3" fillId="0" borderId="2" xfId="3" applyFont="1" applyBorder="1" applyAlignment="1">
      <alignment horizontal="right"/>
    </xf>
    <xf numFmtId="0" fontId="3" fillId="0" borderId="3" xfId="3" applyFont="1" applyBorder="1"/>
    <xf numFmtId="0" fontId="8" fillId="0" borderId="0" xfId="3" applyFont="1" applyAlignment="1">
      <alignment horizontal="center"/>
    </xf>
    <xf numFmtId="0" fontId="3" fillId="0" borderId="0" xfId="4" applyFont="1" applyAlignment="1">
      <alignment horizontal="center"/>
    </xf>
    <xf numFmtId="39" fontId="9" fillId="0" borderId="0" xfId="0" applyNumberFormat="1" applyFont="1" applyAlignment="1">
      <alignment horizontal="center"/>
    </xf>
    <xf numFmtId="164" fontId="3" fillId="0" borderId="1" xfId="3" applyNumberFormat="1" applyFont="1" applyBorder="1" applyAlignment="1">
      <alignment horizontal="left"/>
    </xf>
    <xf numFmtId="0" fontId="3" fillId="0" borderId="1" xfId="3" applyFont="1" applyBorder="1"/>
    <xf numFmtId="164" fontId="3" fillId="0" borderId="2" xfId="3" applyNumberFormat="1" applyFont="1" applyBorder="1" applyAlignment="1">
      <alignment horizontal="center"/>
    </xf>
    <xf numFmtId="0" fontId="3" fillId="0" borderId="4" xfId="3" applyFont="1" applyBorder="1" applyAlignment="1">
      <alignment horizontal="left"/>
    </xf>
    <xf numFmtId="0" fontId="5" fillId="0" borderId="4" xfId="3" applyFont="1" applyBorder="1" applyAlignment="1">
      <alignment horizontal="left"/>
    </xf>
    <xf numFmtId="0" fontId="3" fillId="0" borderId="4" xfId="3" applyFont="1" applyBorder="1" applyAlignment="1">
      <alignment horizontal="right"/>
    </xf>
    <xf numFmtId="164" fontId="3" fillId="0" borderId="4" xfId="3" applyNumberFormat="1" applyFont="1" applyBorder="1" applyAlignment="1">
      <alignment horizontal="right"/>
    </xf>
    <xf numFmtId="0" fontId="3" fillId="0" borderId="4" xfId="3" applyFont="1" applyBorder="1"/>
    <xf numFmtId="0" fontId="6" fillId="0" borderId="0" xfId="0" applyFont="1"/>
    <xf numFmtId="0" fontId="6" fillId="0" borderId="5" xfId="0" applyFont="1" applyBorder="1"/>
    <xf numFmtId="0" fontId="10" fillId="0" borderId="5" xfId="0" applyFont="1" applyBorder="1"/>
    <xf numFmtId="0" fontId="6" fillId="0" borderId="5" xfId="0" applyFont="1" applyBorder="1" applyAlignment="1">
      <alignment horizontal="center"/>
    </xf>
    <xf numFmtId="164" fontId="6" fillId="0" borderId="5" xfId="0" applyNumberFormat="1" applyFont="1" applyBorder="1" applyAlignment="1">
      <alignment horizontal="center"/>
    </xf>
    <xf numFmtId="164" fontId="6" fillId="0" borderId="5" xfId="0" applyNumberFormat="1" applyFont="1" applyBorder="1" applyAlignment="1">
      <alignment horizontal="center" wrapText="1"/>
    </xf>
    <xf numFmtId="39" fontId="6" fillId="0" borderId="5" xfId="0" applyNumberFormat="1" applyFont="1" applyBorder="1" applyAlignment="1">
      <alignment horizontal="center"/>
    </xf>
    <xf numFmtId="0" fontId="7" fillId="0" borderId="0" xfId="0" applyFont="1"/>
    <xf numFmtId="0" fontId="0" fillId="0" borderId="0" xfId="0" applyAlignment="1">
      <alignment horizontal="right"/>
    </xf>
    <xf numFmtId="0" fontId="11" fillId="0" borderId="0" xfId="0" applyFont="1"/>
    <xf numFmtId="164" fontId="7" fillId="0" borderId="0" xfId="0" applyNumberFormat="1" applyFont="1"/>
    <xf numFmtId="0" fontId="7" fillId="0" borderId="0" xfId="0" applyFont="1" applyAlignment="1">
      <alignment horizontal="center"/>
    </xf>
    <xf numFmtId="43" fontId="7" fillId="0" borderId="0" xfId="1" applyFont="1" applyFill="1"/>
    <xf numFmtId="164" fontId="7" fillId="0" borderId="0" xfId="0" applyNumberFormat="1" applyFont="1" applyAlignment="1">
      <alignment wrapText="1"/>
    </xf>
    <xf numFmtId="0" fontId="12" fillId="0" borderId="0" xfId="0" applyFont="1"/>
    <xf numFmtId="1" fontId="0" fillId="0" borderId="0" xfId="0" applyNumberFormat="1" applyAlignment="1">
      <alignment horizontal="right"/>
    </xf>
    <xf numFmtId="1" fontId="7" fillId="0" borderId="0" xfId="0" applyNumberFormat="1" applyFont="1" applyAlignment="1">
      <alignment horizontal="center"/>
    </xf>
    <xf numFmtId="1" fontId="7" fillId="0" borderId="0" xfId="0" quotePrefix="1" applyNumberFormat="1" applyFont="1" applyAlignment="1">
      <alignment horizontal="center"/>
    </xf>
    <xf numFmtId="14" fontId="7" fillId="0" borderId="0" xfId="0" applyNumberFormat="1" applyFont="1" applyAlignment="1">
      <alignment horizontal="right"/>
    </xf>
    <xf numFmtId="43" fontId="0" fillId="0" borderId="0" xfId="1" applyFont="1" applyFill="1"/>
    <xf numFmtId="39" fontId="7" fillId="0" borderId="0" xfId="0" applyNumberFormat="1" applyFont="1" applyAlignment="1">
      <alignment wrapText="1"/>
    </xf>
    <xf numFmtId="164" fontId="7" fillId="0" borderId="0" xfId="0" applyNumberFormat="1" applyFont="1" applyAlignment="1">
      <alignment horizontal="right"/>
    </xf>
    <xf numFmtId="0" fontId="14" fillId="0" borderId="0" xfId="0" applyFont="1"/>
    <xf numFmtId="14" fontId="7" fillId="0" borderId="0" xfId="0" quotePrefix="1" applyNumberFormat="1" applyFont="1" applyAlignment="1">
      <alignment horizontal="right"/>
    </xf>
    <xf numFmtId="164" fontId="7" fillId="0" borderId="0" xfId="0" applyNumberFormat="1" applyFont="1" applyAlignment="1">
      <alignment horizontal="center"/>
    </xf>
    <xf numFmtId="39" fontId="12" fillId="0" borderId="0" xfId="0" applyNumberFormat="1" applyFont="1" applyAlignment="1">
      <alignment wrapText="1"/>
    </xf>
    <xf numFmtId="39" fontId="7" fillId="0" borderId="0" xfId="0" applyNumberFormat="1" applyFont="1" applyAlignment="1">
      <alignment horizontal="left" vertical="center" wrapText="1"/>
    </xf>
    <xf numFmtId="39" fontId="7" fillId="3" borderId="0" xfId="0" applyNumberFormat="1" applyFont="1" applyFill="1" applyAlignment="1">
      <alignment wrapText="1"/>
    </xf>
    <xf numFmtId="39" fontId="7" fillId="3" borderId="0" xfId="0" applyNumberFormat="1" applyFont="1" applyFill="1" applyAlignment="1">
      <alignment horizontal="left" vertical="center" wrapText="1"/>
    </xf>
    <xf numFmtId="0" fontId="12" fillId="0" borderId="0" xfId="0" applyFont="1" applyAlignment="1">
      <alignment wrapText="1"/>
    </xf>
    <xf numFmtId="39" fontId="14" fillId="0" borderId="0" xfId="0" applyNumberFormat="1" applyFont="1" applyAlignment="1">
      <alignment wrapText="1"/>
    </xf>
    <xf numFmtId="14" fontId="7" fillId="0" borderId="0" xfId="0" applyNumberFormat="1" applyFont="1" applyAlignment="1">
      <alignment horizontal="center"/>
    </xf>
    <xf numFmtId="164" fontId="7" fillId="0" borderId="0" xfId="0" applyNumberFormat="1" applyFont="1" applyAlignment="1">
      <alignment horizontal="left" vertical="top"/>
    </xf>
    <xf numFmtId="164" fontId="7" fillId="0" borderId="0" xfId="0" applyNumberFormat="1" applyFont="1" applyAlignment="1">
      <alignment horizontal="left"/>
    </xf>
    <xf numFmtId="164" fontId="7" fillId="3" borderId="0" xfId="0" applyNumberFormat="1" applyFont="1" applyFill="1" applyAlignment="1">
      <alignment wrapText="1"/>
    </xf>
    <xf numFmtId="164" fontId="14" fillId="0" borderId="0" xfId="0" applyNumberFormat="1" applyFont="1" applyAlignment="1">
      <alignment wrapText="1"/>
    </xf>
    <xf numFmtId="0" fontId="15" fillId="0" borderId="6" xfId="0" applyFont="1" applyBorder="1" applyAlignment="1">
      <alignment horizontal="left" vertical="center"/>
    </xf>
    <xf numFmtId="14" fontId="3" fillId="0" borderId="0" xfId="0" applyNumberFormat="1" applyFont="1" applyAlignment="1">
      <alignment horizontal="center"/>
    </xf>
    <xf numFmtId="43" fontId="3" fillId="0" borderId="0" xfId="1" applyFont="1" applyFill="1"/>
    <xf numFmtId="164" fontId="3" fillId="0" borderId="0" xfId="0" applyNumberFormat="1" applyFont="1" applyAlignment="1">
      <alignment wrapText="1"/>
    </xf>
    <xf numFmtId="164" fontId="3" fillId="0" borderId="0" xfId="0" applyNumberFormat="1" applyFont="1" applyAlignment="1">
      <alignment horizontal="left" vertical="top"/>
    </xf>
    <xf numFmtId="0" fontId="16" fillId="4" borderId="6" xfId="0" applyFont="1" applyFill="1" applyBorder="1" applyAlignment="1">
      <alignment horizontal="left" vertical="center"/>
    </xf>
    <xf numFmtId="0" fontId="16" fillId="0" borderId="0" xfId="0" applyFont="1" applyAlignment="1">
      <alignment horizontal="left" vertical="center"/>
    </xf>
    <xf numFmtId="0" fontId="15" fillId="4" borderId="6" xfId="0" applyFont="1" applyFill="1" applyBorder="1" applyAlignment="1">
      <alignment horizontal="left" vertical="center"/>
    </xf>
    <xf numFmtId="0" fontId="3" fillId="5" borderId="0" xfId="0" applyFont="1" applyFill="1" applyAlignment="1">
      <alignment horizontal="right"/>
    </xf>
    <xf numFmtId="0" fontId="5" fillId="5" borderId="0" xfId="0" applyFont="1" applyFill="1"/>
    <xf numFmtId="164" fontId="3" fillId="5" borderId="0" xfId="0" applyNumberFormat="1" applyFont="1" applyFill="1" applyAlignment="1">
      <alignment horizontal="right"/>
    </xf>
    <xf numFmtId="164" fontId="3" fillId="5" borderId="0" xfId="0" applyNumberFormat="1" applyFont="1" applyFill="1" applyAlignment="1">
      <alignment horizontal="left" vertical="top"/>
    </xf>
    <xf numFmtId="0" fontId="3" fillId="5" borderId="0" xfId="0" applyFont="1" applyFill="1" applyAlignment="1">
      <alignment horizontal="center"/>
    </xf>
    <xf numFmtId="164" fontId="3" fillId="5" borderId="0" xfId="0" applyNumberFormat="1" applyFont="1" applyFill="1"/>
    <xf numFmtId="43" fontId="3" fillId="5" borderId="0" xfId="1" applyFont="1" applyFill="1"/>
    <xf numFmtId="0" fontId="6" fillId="5" borderId="0" xfId="0" applyFont="1" applyFill="1"/>
    <xf numFmtId="164" fontId="2" fillId="0" borderId="0" xfId="2" applyNumberFormat="1" applyFill="1" applyAlignment="1">
      <alignment wrapText="1"/>
    </xf>
    <xf numFmtId="43" fontId="7" fillId="0" borderId="0" xfId="0" applyNumberFormat="1" applyFont="1" applyAlignment="1">
      <alignment horizontal="left"/>
    </xf>
    <xf numFmtId="164" fontId="0" fillId="0" borderId="0" xfId="0" applyNumberFormat="1" applyAlignment="1">
      <alignment horizontal="right"/>
    </xf>
    <xf numFmtId="43" fontId="7" fillId="0" borderId="0" xfId="0" applyNumberFormat="1" applyFont="1" applyAlignment="1">
      <alignment horizontal="center"/>
    </xf>
    <xf numFmtId="0" fontId="12" fillId="0" borderId="7" xfId="0" applyFont="1" applyBorder="1"/>
    <xf numFmtId="0" fontId="7" fillId="0" borderId="0" xfId="0" applyFont="1" applyAlignment="1">
      <alignment horizontal="right"/>
    </xf>
    <xf numFmtId="49" fontId="7" fillId="0" borderId="0" xfId="0" applyNumberFormat="1" applyFont="1"/>
    <xf numFmtId="0" fontId="0" fillId="0" borderId="0" xfId="0" applyAlignment="1">
      <alignment horizontal="center"/>
    </xf>
    <xf numFmtId="43" fontId="7" fillId="0" borderId="0" xfId="0" applyNumberFormat="1" applyFont="1" applyAlignment="1">
      <alignment horizontal="right"/>
    </xf>
    <xf numFmtId="0" fontId="12" fillId="0" borderId="0" xfId="0" applyFont="1" applyAlignment="1">
      <alignment horizontal="right"/>
    </xf>
    <xf numFmtId="43" fontId="12" fillId="0" borderId="7" xfId="1" applyFont="1" applyBorder="1"/>
    <xf numFmtId="43" fontId="7" fillId="0" borderId="0" xfId="0" applyNumberFormat="1" applyFont="1" applyAlignment="1">
      <alignment wrapText="1"/>
    </xf>
    <xf numFmtId="43" fontId="17" fillId="0" borderId="0" xfId="1" applyFont="1" applyFill="1" applyAlignment="1">
      <alignment horizontal="right"/>
    </xf>
    <xf numFmtId="43" fontId="18" fillId="0" borderId="0" xfId="1" applyFont="1"/>
    <xf numFmtId="39" fontId="0" fillId="0" borderId="0" xfId="0" applyNumberFormat="1" applyAlignment="1">
      <alignment wrapText="1"/>
    </xf>
    <xf numFmtId="164" fontId="0" fillId="0" borderId="0" xfId="0" applyNumberFormat="1"/>
    <xf numFmtId="43" fontId="0" fillId="0" borderId="0" xfId="1" applyFont="1" applyFill="1" applyBorder="1"/>
    <xf numFmtId="43" fontId="12" fillId="0" borderId="0" xfId="1" applyFont="1" applyFill="1" applyBorder="1"/>
    <xf numFmtId="43" fontId="3" fillId="0" borderId="0" xfId="1" applyFont="1"/>
    <xf numFmtId="0" fontId="3" fillId="0" borderId="0" xfId="5" applyFont="1"/>
    <xf numFmtId="0" fontId="5" fillId="0" borderId="0" xfId="5" applyFont="1"/>
    <xf numFmtId="0" fontId="19" fillId="4" borderId="6" xfId="0" applyFont="1" applyFill="1" applyBorder="1" applyAlignment="1">
      <alignment horizontal="center" vertical="center" wrapText="1"/>
    </xf>
    <xf numFmtId="0" fontId="19" fillId="0" borderId="8" xfId="0" applyFont="1" applyBorder="1" applyAlignment="1">
      <alignment horizontal="center" vertical="center" wrapText="1"/>
    </xf>
    <xf numFmtId="165" fontId="15" fillId="6" borderId="6" xfId="0" applyNumberFormat="1" applyFont="1" applyFill="1" applyBorder="1" applyAlignment="1">
      <alignment horizontal="right" vertical="center"/>
    </xf>
    <xf numFmtId="14" fontId="15" fillId="4" borderId="6" xfId="0" applyNumberFormat="1" applyFont="1" applyFill="1" applyBorder="1" applyAlignment="1">
      <alignment horizontal="left" vertical="center"/>
    </xf>
    <xf numFmtId="0" fontId="15" fillId="4" borderId="9" xfId="0" applyFont="1" applyFill="1" applyBorder="1" applyAlignment="1">
      <alignment horizontal="left" vertical="center"/>
    </xf>
    <xf numFmtId="165" fontId="15" fillId="6" borderId="9" xfId="0" applyNumberFormat="1" applyFont="1" applyFill="1" applyBorder="1" applyAlignment="1">
      <alignment horizontal="right" vertical="center"/>
    </xf>
    <xf numFmtId="14" fontId="15" fillId="4" borderId="9" xfId="0" applyNumberFormat="1" applyFont="1" applyFill="1" applyBorder="1" applyAlignment="1">
      <alignment horizontal="left" vertical="center"/>
    </xf>
    <xf numFmtId="0" fontId="19" fillId="4" borderId="10" xfId="0" applyFont="1" applyFill="1" applyBorder="1" applyAlignment="1">
      <alignment horizontal="left" vertical="center"/>
    </xf>
    <xf numFmtId="165" fontId="19" fillId="6" borderId="10" xfId="0" applyNumberFormat="1" applyFont="1" applyFill="1" applyBorder="1" applyAlignment="1">
      <alignment horizontal="right" vertical="center"/>
    </xf>
  </cellXfs>
  <cellStyles count="6">
    <cellStyle name="Bad" xfId="2" builtinId="27"/>
    <cellStyle name="Comma" xfId="1" builtinId="3"/>
    <cellStyle name="Normal" xfId="0" builtinId="0"/>
    <cellStyle name="Normal 8 2" xfId="5" xr:uid="{DBBEE99F-80CA-4F93-A2CA-8083D87D777F}"/>
    <cellStyle name="Normal_BS Reconciliaion Template (2)" xfId="3" xr:uid="{C240753F-A6B7-4BA5-9C08-3D1F2F3E9F53}"/>
    <cellStyle name="Normal_Sheet1" xfId="4" xr:uid="{AC8CEA8B-4EA6-4FBF-831C-EAAE912D6990}"/>
  </cellStyles>
  <dxfs count="1">
    <dxf>
      <font>
        <b/>
        <i val="0"/>
        <color rgb="FFFF0000"/>
        <name val="Cambria"/>
        <scheme val="none"/>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52917</xdr:colOff>
      <xdr:row>0</xdr:row>
      <xdr:rowOff>0</xdr:rowOff>
    </xdr:from>
    <xdr:to>
      <xdr:col>2</xdr:col>
      <xdr:colOff>1725084</xdr:colOff>
      <xdr:row>2</xdr:row>
      <xdr:rowOff>251354</xdr:rowOff>
    </xdr:to>
    <xdr:pic>
      <xdr:nvPicPr>
        <xdr:cNvPr id="2" name="Image 1">
          <a:extLst>
            <a:ext uri="{FF2B5EF4-FFF2-40B4-BE49-F238E27FC236}">
              <a16:creationId xmlns:a16="http://schemas.microsoft.com/office/drawing/2014/main" id="{21E8E767-D459-4AC7-8B78-3469FD213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3467" y="0"/>
          <a:ext cx="2443692" cy="6133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v%20TA%20Payable%20Re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22"/>
      <sheetName val="Center Balance"/>
      <sheetName val="GL007-Account Balance Inquiry B"/>
      <sheetName val="2022"/>
      <sheetName val="2021"/>
      <sheetName val="2020"/>
      <sheetName val="2019"/>
      <sheetName val="Table"/>
      <sheetName val="Disposed in 2018"/>
      <sheetName val="Lease Statu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70DF7-B2BB-4309-B38A-BD3492E235D3}">
  <dimension ref="A1:O221"/>
  <sheetViews>
    <sheetView workbookViewId="0">
      <selection sqref="A1:XFD1048576"/>
    </sheetView>
  </sheetViews>
  <sheetFormatPr defaultColWidth="8.85546875" defaultRowHeight="14.25" x14ac:dyDescent="0.2"/>
  <cols>
    <col min="1" max="1" width="8.85546875" style="1"/>
    <col min="2" max="2" width="11.5703125" style="1" customWidth="1"/>
    <col min="3" max="3" width="31.140625" style="9" customWidth="1"/>
    <col min="4" max="4" width="11.85546875" style="3" bestFit="1" customWidth="1"/>
    <col min="5" max="5" width="14.42578125" style="4" customWidth="1"/>
    <col min="6" max="6" width="30.42578125" style="1" customWidth="1"/>
    <col min="7" max="7" width="12.5703125" style="5" bestFit="1" customWidth="1"/>
    <col min="8" max="8" width="11.140625" style="5" customWidth="1"/>
    <col min="9" max="9" width="11.7109375" style="4" bestFit="1" customWidth="1"/>
    <col min="10" max="10" width="11.7109375" style="4" customWidth="1"/>
    <col min="11" max="11" width="18" style="4" bestFit="1" customWidth="1"/>
    <col min="12" max="12" width="18" style="4" customWidth="1"/>
    <col min="13" max="13" width="24.42578125" style="7" bestFit="1" customWidth="1"/>
    <col min="14" max="14" width="74.5703125" style="8" customWidth="1"/>
    <col min="15" max="15" width="37.5703125" style="1" customWidth="1"/>
    <col min="16" max="16384" width="8.85546875" style="1"/>
  </cols>
  <sheetData>
    <row r="1" spans="1:14" x14ac:dyDescent="0.2">
      <c r="C1" s="2"/>
      <c r="K1" s="6"/>
      <c r="L1" s="6"/>
    </row>
    <row r="3" spans="1:14" ht="21" customHeight="1" x14ac:dyDescent="0.25">
      <c r="M3" s="10"/>
      <c r="N3" s="11"/>
    </row>
    <row r="4" spans="1:14" ht="21" customHeight="1" x14ac:dyDescent="0.25">
      <c r="B4" s="12" t="s">
        <v>0</v>
      </c>
      <c r="C4" s="12"/>
      <c r="D4" s="12"/>
      <c r="E4" s="13">
        <v>200332</v>
      </c>
      <c r="F4" s="14"/>
      <c r="G4" s="15"/>
      <c r="H4" s="16"/>
      <c r="M4" s="17" t="s">
        <v>1</v>
      </c>
    </row>
    <row r="5" spans="1:14" ht="21" customHeight="1" x14ac:dyDescent="0.25">
      <c r="B5" s="12" t="s">
        <v>2</v>
      </c>
      <c r="C5" s="12"/>
      <c r="D5" s="12"/>
      <c r="E5" s="18" t="s">
        <v>3</v>
      </c>
      <c r="F5" s="19"/>
      <c r="G5" s="15"/>
      <c r="H5" s="16"/>
    </row>
    <row r="6" spans="1:14" ht="21" customHeight="1" x14ac:dyDescent="0.25">
      <c r="B6" s="12" t="s">
        <v>4</v>
      </c>
      <c r="C6" s="12"/>
      <c r="D6" s="12"/>
      <c r="E6" s="20">
        <v>44712</v>
      </c>
      <c r="F6" s="14"/>
      <c r="G6" s="15"/>
      <c r="H6" s="16"/>
    </row>
    <row r="7" spans="1:14" ht="15" x14ac:dyDescent="0.25">
      <c r="B7" s="21"/>
      <c r="C7" s="22"/>
      <c r="D7" s="23"/>
      <c r="E7" s="24"/>
      <c r="F7" s="25"/>
      <c r="G7" s="15"/>
      <c r="H7" s="16"/>
    </row>
    <row r="8" spans="1:14" s="26" customFormat="1" ht="30" x14ac:dyDescent="0.25">
      <c r="A8" s="26" t="s">
        <v>5</v>
      </c>
      <c r="B8" s="27" t="s">
        <v>6</v>
      </c>
      <c r="C8" s="28" t="s">
        <v>7</v>
      </c>
      <c r="D8" s="29" t="s">
        <v>8</v>
      </c>
      <c r="E8" s="30" t="s">
        <v>9</v>
      </c>
      <c r="F8" s="27" t="s">
        <v>10</v>
      </c>
      <c r="G8" s="29" t="s">
        <v>11</v>
      </c>
      <c r="H8" s="29" t="s">
        <v>12</v>
      </c>
      <c r="I8" s="30" t="s">
        <v>13</v>
      </c>
      <c r="J8" s="30" t="s">
        <v>14</v>
      </c>
      <c r="K8" s="31" t="s">
        <v>15</v>
      </c>
      <c r="L8" s="31" t="s">
        <v>16</v>
      </c>
      <c r="M8" s="32" t="s">
        <v>17</v>
      </c>
      <c r="N8" s="32" t="s">
        <v>18</v>
      </c>
    </row>
    <row r="9" spans="1:14" s="40" customFormat="1" ht="25.5" customHeight="1" x14ac:dyDescent="0.25">
      <c r="A9" s="33" t="s">
        <v>19</v>
      </c>
      <c r="B9" s="34">
        <v>12211</v>
      </c>
      <c r="C9" s="35" t="s">
        <v>20</v>
      </c>
      <c r="D9" s="34">
        <v>218652</v>
      </c>
      <c r="E9" s="36">
        <v>44013</v>
      </c>
      <c r="F9" s="36" t="s">
        <v>21</v>
      </c>
      <c r="G9" s="33" t="s">
        <v>22</v>
      </c>
      <c r="H9" s="37"/>
      <c r="I9" s="36"/>
      <c r="J9" s="36"/>
      <c r="K9" s="36"/>
      <c r="L9" s="36"/>
      <c r="M9" s="38">
        <f>-772395+772395+476431.06</f>
        <v>476431.06</v>
      </c>
      <c r="N9" s="39" t="s">
        <v>23</v>
      </c>
    </row>
    <row r="10" spans="1:14" s="40" customFormat="1" ht="25.5" customHeight="1" x14ac:dyDescent="0.25">
      <c r="A10" s="33" t="s">
        <v>19</v>
      </c>
      <c r="B10" s="34">
        <v>12211</v>
      </c>
      <c r="C10" s="35" t="s">
        <v>20</v>
      </c>
      <c r="D10" s="34">
        <v>214684</v>
      </c>
      <c r="E10" s="36">
        <v>44015</v>
      </c>
      <c r="F10" s="36" t="s">
        <v>24</v>
      </c>
      <c r="G10" s="33" t="s">
        <v>22</v>
      </c>
      <c r="H10" s="37"/>
      <c r="I10" s="36"/>
      <c r="J10" s="36"/>
      <c r="K10" s="36"/>
      <c r="L10" s="36"/>
      <c r="M10" s="38">
        <f>55000-55000</f>
        <v>0</v>
      </c>
      <c r="N10" s="39" t="s">
        <v>25</v>
      </c>
    </row>
    <row r="11" spans="1:14" s="40" customFormat="1" ht="25.5" customHeight="1" x14ac:dyDescent="0.25">
      <c r="A11" s="33" t="s">
        <v>19</v>
      </c>
      <c r="B11" s="34">
        <v>12211</v>
      </c>
      <c r="C11" s="35" t="s">
        <v>20</v>
      </c>
      <c r="D11" s="34">
        <v>192636</v>
      </c>
      <c r="E11" s="36">
        <v>44317</v>
      </c>
      <c r="F11" s="33" t="s">
        <v>26</v>
      </c>
      <c r="G11" s="33" t="s">
        <v>27</v>
      </c>
      <c r="H11" s="37">
        <v>2010</v>
      </c>
      <c r="I11" s="36">
        <v>43922</v>
      </c>
      <c r="J11" s="36"/>
      <c r="K11" s="36">
        <v>44317</v>
      </c>
      <c r="L11" s="36"/>
      <c r="M11" s="38">
        <f>366941.67-366941.67</f>
        <v>0</v>
      </c>
      <c r="N11" s="39" t="s">
        <v>28</v>
      </c>
    </row>
    <row r="12" spans="1:14" s="40" customFormat="1" ht="25.5" customHeight="1" x14ac:dyDescent="0.25">
      <c r="A12" s="33" t="s">
        <v>19</v>
      </c>
      <c r="B12" s="34">
        <v>12229</v>
      </c>
      <c r="C12" s="35" t="s">
        <v>29</v>
      </c>
      <c r="D12" s="34">
        <v>211695</v>
      </c>
      <c r="E12" s="36">
        <v>43657</v>
      </c>
      <c r="F12" s="36" t="s">
        <v>30</v>
      </c>
      <c r="G12" s="33" t="s">
        <v>31</v>
      </c>
      <c r="H12" s="37">
        <v>23</v>
      </c>
      <c r="I12" s="36">
        <v>43559</v>
      </c>
      <c r="J12" s="36"/>
      <c r="K12" s="36">
        <v>44290</v>
      </c>
      <c r="L12" s="36"/>
      <c r="M12" s="38">
        <f>-77200+77200-2250</f>
        <v>-2250</v>
      </c>
      <c r="N12" s="39" t="s">
        <v>32</v>
      </c>
    </row>
    <row r="13" spans="1:14" s="40" customFormat="1" ht="25.5" customHeight="1" x14ac:dyDescent="0.25">
      <c r="A13" s="33" t="s">
        <v>19</v>
      </c>
      <c r="B13" s="34">
        <v>12229</v>
      </c>
      <c r="C13" s="35" t="s">
        <v>29</v>
      </c>
      <c r="D13" s="34">
        <v>193704</v>
      </c>
      <c r="E13" s="36">
        <v>43777</v>
      </c>
      <c r="F13" s="36" t="s">
        <v>33</v>
      </c>
      <c r="G13" s="33" t="s">
        <v>34</v>
      </c>
      <c r="H13" s="37">
        <v>38</v>
      </c>
      <c r="I13" s="36"/>
      <c r="J13" s="36"/>
      <c r="K13" s="36"/>
      <c r="L13" s="36"/>
      <c r="M13" s="38">
        <f>-70000+66625.33</f>
        <v>-3374.6699999999983</v>
      </c>
      <c r="N13" s="39" t="s">
        <v>35</v>
      </c>
    </row>
    <row r="14" spans="1:14" s="40" customFormat="1" ht="25.5" customHeight="1" x14ac:dyDescent="0.25">
      <c r="A14" s="33" t="s">
        <v>19</v>
      </c>
      <c r="B14" s="34">
        <v>12229</v>
      </c>
      <c r="C14" s="35" t="s">
        <v>29</v>
      </c>
      <c r="D14" s="34">
        <v>221634</v>
      </c>
      <c r="E14" s="36">
        <v>44377</v>
      </c>
      <c r="F14" s="36" t="s">
        <v>36</v>
      </c>
      <c r="G14" s="33"/>
      <c r="H14" s="37">
        <v>24</v>
      </c>
      <c r="I14" s="36"/>
      <c r="J14" s="36"/>
      <c r="K14" s="36"/>
      <c r="L14" s="36"/>
      <c r="M14" s="38">
        <f>-540000+540000-540000+540000+540000-540000</f>
        <v>0</v>
      </c>
      <c r="N14" s="39"/>
    </row>
    <row r="15" spans="1:14" s="40" customFormat="1" ht="25.5" customHeight="1" x14ac:dyDescent="0.25">
      <c r="A15" s="33" t="s">
        <v>19</v>
      </c>
      <c r="B15" s="34">
        <v>12229</v>
      </c>
      <c r="C15" s="35" t="s">
        <v>29</v>
      </c>
      <c r="D15" s="34">
        <v>221635</v>
      </c>
      <c r="E15" s="36">
        <v>44419</v>
      </c>
      <c r="F15" s="36" t="s">
        <v>37</v>
      </c>
      <c r="G15" s="33" t="s">
        <v>38</v>
      </c>
      <c r="H15" s="37"/>
      <c r="I15" s="36"/>
      <c r="J15" s="36"/>
      <c r="K15" s="36"/>
      <c r="L15" s="36"/>
      <c r="M15" s="38">
        <f>119033.13+119033.13-238066.26</f>
        <v>0</v>
      </c>
      <c r="N15" s="39"/>
    </row>
    <row r="16" spans="1:14" s="40" customFormat="1" ht="25.5" customHeight="1" x14ac:dyDescent="0.25">
      <c r="A16" s="33" t="s">
        <v>19</v>
      </c>
      <c r="B16" s="34">
        <v>12230</v>
      </c>
      <c r="C16" s="35" t="s">
        <v>39</v>
      </c>
      <c r="D16" s="34">
        <v>181432</v>
      </c>
      <c r="E16" s="36">
        <v>42691</v>
      </c>
      <c r="F16" s="36" t="s">
        <v>40</v>
      </c>
      <c r="G16" s="33" t="s">
        <v>41</v>
      </c>
      <c r="H16" s="37" t="s">
        <v>42</v>
      </c>
      <c r="I16" s="36">
        <v>42522</v>
      </c>
      <c r="J16" s="36"/>
      <c r="K16" s="36">
        <v>46326</v>
      </c>
      <c r="L16" s="36"/>
      <c r="M16" s="38">
        <f>-90600+70600</f>
        <v>-20000</v>
      </c>
      <c r="N16" s="39" t="s">
        <v>43</v>
      </c>
    </row>
    <row r="17" spans="1:15" s="40" customFormat="1" ht="25.5" customHeight="1" x14ac:dyDescent="0.25">
      <c r="A17" s="33" t="s">
        <v>19</v>
      </c>
      <c r="B17" s="34">
        <v>12235</v>
      </c>
      <c r="C17" s="35" t="s">
        <v>44</v>
      </c>
      <c r="D17" s="34">
        <v>221132</v>
      </c>
      <c r="E17" s="36">
        <v>44392</v>
      </c>
      <c r="F17" s="36" t="s">
        <v>45</v>
      </c>
      <c r="G17" s="33" t="s">
        <v>46</v>
      </c>
      <c r="H17" s="37"/>
      <c r="I17" s="36"/>
      <c r="J17" s="36"/>
      <c r="K17" s="36"/>
      <c r="L17" s="36"/>
      <c r="M17" s="38">
        <f>165000+577500-825000+82500</f>
        <v>0</v>
      </c>
      <c r="N17" s="39"/>
    </row>
    <row r="18" spans="1:15" s="40" customFormat="1" ht="25.5" customHeight="1" x14ac:dyDescent="0.25">
      <c r="A18" s="33" t="s">
        <v>19</v>
      </c>
      <c r="B18" s="34">
        <v>12235</v>
      </c>
      <c r="C18" s="35" t="s">
        <v>44</v>
      </c>
      <c r="D18" s="34">
        <v>222611</v>
      </c>
      <c r="E18" s="36"/>
      <c r="F18" s="36" t="s">
        <v>47</v>
      </c>
      <c r="G18" s="33"/>
      <c r="H18" s="37"/>
      <c r="I18" s="36"/>
      <c r="J18" s="36"/>
      <c r="K18" s="36"/>
      <c r="L18" s="36"/>
      <c r="M18" s="38">
        <f>796968.14-885520.16</f>
        <v>-88552.020000000019</v>
      </c>
      <c r="N18" s="39"/>
    </row>
    <row r="19" spans="1:15" s="40" customFormat="1" ht="25.5" customHeight="1" x14ac:dyDescent="0.25">
      <c r="A19" s="33" t="s">
        <v>19</v>
      </c>
      <c r="B19" s="34">
        <v>12235</v>
      </c>
      <c r="C19" s="35" t="s">
        <v>44</v>
      </c>
      <c r="D19" s="34">
        <v>220178</v>
      </c>
      <c r="E19" s="36"/>
      <c r="F19" s="36" t="s">
        <v>48</v>
      </c>
      <c r="G19" s="33"/>
      <c r="H19" s="37"/>
      <c r="I19" s="36"/>
      <c r="J19" s="36"/>
      <c r="K19" s="36"/>
      <c r="L19" s="36"/>
      <c r="M19" s="38">
        <f>125000-4256.1+100000-750000+500000+4256.1</f>
        <v>-24999.999999999978</v>
      </c>
      <c r="N19" s="39"/>
    </row>
    <row r="20" spans="1:15" s="33" customFormat="1" ht="12.75" customHeight="1" x14ac:dyDescent="0.25">
      <c r="A20" s="33" t="s">
        <v>19</v>
      </c>
      <c r="B20" s="41">
        <v>12253</v>
      </c>
      <c r="C20" s="35" t="s">
        <v>49</v>
      </c>
      <c r="D20" s="41">
        <v>191232</v>
      </c>
      <c r="E20" s="36">
        <v>43208</v>
      </c>
      <c r="F20" t="s">
        <v>50</v>
      </c>
      <c r="G20" s="42" t="s">
        <v>51</v>
      </c>
      <c r="H20" s="43">
        <v>112</v>
      </c>
      <c r="I20" s="44">
        <v>43311</v>
      </c>
      <c r="J20" s="44"/>
      <c r="K20" s="44"/>
      <c r="L20" s="44"/>
      <c r="M20" s="45">
        <f>-638520+255408+255408</f>
        <v>-127704</v>
      </c>
      <c r="N20" s="46" t="s">
        <v>52</v>
      </c>
    </row>
    <row r="21" spans="1:15" s="33" customFormat="1" ht="24" customHeight="1" x14ac:dyDescent="0.25">
      <c r="A21" s="33" t="s">
        <v>19</v>
      </c>
      <c r="B21" s="41">
        <v>12253</v>
      </c>
      <c r="C21" s="35" t="s">
        <v>49</v>
      </c>
      <c r="D21" s="41">
        <v>196859</v>
      </c>
      <c r="E21" s="36">
        <v>44316</v>
      </c>
      <c r="F21" s="36" t="s">
        <v>53</v>
      </c>
      <c r="G21" s="42" t="s">
        <v>54</v>
      </c>
      <c r="H21" s="43" t="s">
        <v>55</v>
      </c>
      <c r="I21" s="44">
        <v>43960</v>
      </c>
      <c r="J21" s="44"/>
      <c r="K21" s="47">
        <v>44325</v>
      </c>
      <c r="L21" s="47"/>
      <c r="M21" s="45">
        <v>-229083</v>
      </c>
      <c r="N21" s="46" t="s">
        <v>56</v>
      </c>
    </row>
    <row r="22" spans="1:15" s="33" customFormat="1" ht="12.75" customHeight="1" x14ac:dyDescent="0.25">
      <c r="A22" s="33" t="s">
        <v>19</v>
      </c>
      <c r="B22" s="41">
        <v>12253</v>
      </c>
      <c r="C22" s="35" t="s">
        <v>49</v>
      </c>
      <c r="D22" s="41">
        <v>220177</v>
      </c>
      <c r="E22" s="36">
        <v>44165</v>
      </c>
      <c r="F22" s="36" t="s">
        <v>57</v>
      </c>
      <c r="G22" s="42" t="s">
        <v>54</v>
      </c>
      <c r="H22" s="43" t="s">
        <v>58</v>
      </c>
      <c r="I22" s="44">
        <v>44058</v>
      </c>
      <c r="J22" s="44"/>
      <c r="K22" s="47">
        <v>44423</v>
      </c>
      <c r="L22" s="47"/>
      <c r="M22" s="45">
        <f>-365000+182500+37500+110000</f>
        <v>-35000</v>
      </c>
      <c r="N22" s="46" t="s">
        <v>59</v>
      </c>
      <c r="O22" s="48"/>
    </row>
    <row r="23" spans="1:15" s="33" customFormat="1" ht="12.75" customHeight="1" x14ac:dyDescent="0.25">
      <c r="A23" s="33" t="s">
        <v>19</v>
      </c>
      <c r="B23" s="41">
        <v>12253</v>
      </c>
      <c r="C23" s="35" t="s">
        <v>49</v>
      </c>
      <c r="D23" s="41">
        <v>221775</v>
      </c>
      <c r="E23" s="36">
        <v>44439</v>
      </c>
      <c r="F23" s="36" t="s">
        <v>60</v>
      </c>
      <c r="G23" s="42" t="s">
        <v>54</v>
      </c>
      <c r="H23" s="43" t="s">
        <v>61</v>
      </c>
      <c r="I23" s="49"/>
      <c r="J23" s="49"/>
      <c r="K23" s="47"/>
      <c r="L23" s="47"/>
      <c r="M23" s="45">
        <f>-375000+75000</f>
        <v>-300000</v>
      </c>
      <c r="N23" s="46" t="s">
        <v>62</v>
      </c>
      <c r="O23" s="48"/>
    </row>
    <row r="24" spans="1:15" s="33" customFormat="1" ht="12.75" customHeight="1" x14ac:dyDescent="0.25">
      <c r="A24" s="33" t="s">
        <v>19</v>
      </c>
      <c r="B24" s="41">
        <v>12253</v>
      </c>
      <c r="C24" s="35" t="s">
        <v>49</v>
      </c>
      <c r="D24" s="41">
        <v>221923</v>
      </c>
      <c r="E24" s="36">
        <v>44439</v>
      </c>
      <c r="F24" s="36" t="s">
        <v>63</v>
      </c>
      <c r="G24" s="42" t="s">
        <v>54</v>
      </c>
      <c r="H24" s="43" t="s">
        <v>64</v>
      </c>
      <c r="I24" s="49">
        <v>44180</v>
      </c>
      <c r="J24" s="49"/>
      <c r="K24" s="47">
        <v>45107</v>
      </c>
      <c r="L24" s="47"/>
      <c r="M24" s="45">
        <v>-275000</v>
      </c>
      <c r="N24" s="46" t="s">
        <v>65</v>
      </c>
      <c r="O24" s="48"/>
    </row>
    <row r="25" spans="1:15" s="40" customFormat="1" ht="12.75" customHeight="1" x14ac:dyDescent="0.25">
      <c r="A25" s="33" t="s">
        <v>19</v>
      </c>
      <c r="B25" s="34">
        <v>12285</v>
      </c>
      <c r="C25" s="35" t="s">
        <v>66</v>
      </c>
      <c r="D25" s="34">
        <v>148384</v>
      </c>
      <c r="E25" s="36">
        <v>42460</v>
      </c>
      <c r="F25" s="36" t="s">
        <v>67</v>
      </c>
      <c r="G25" s="33" t="s">
        <v>68</v>
      </c>
      <c r="H25" s="37" t="s">
        <v>69</v>
      </c>
      <c r="I25" s="36"/>
      <c r="J25" s="36"/>
      <c r="K25" s="36"/>
      <c r="L25" s="36"/>
      <c r="M25" s="38">
        <f>-519000+1000+518000</f>
        <v>0</v>
      </c>
      <c r="N25" s="36" t="s">
        <v>70</v>
      </c>
    </row>
    <row r="26" spans="1:15" s="40" customFormat="1" ht="12.75" customHeight="1" x14ac:dyDescent="0.25">
      <c r="A26" s="33" t="s">
        <v>19</v>
      </c>
      <c r="B26" s="34">
        <v>12285</v>
      </c>
      <c r="C26" s="35" t="s">
        <v>66</v>
      </c>
      <c r="D26" s="34">
        <v>182192</v>
      </c>
      <c r="E26" s="36">
        <v>42717</v>
      </c>
      <c r="F26" s="36" t="s">
        <v>71</v>
      </c>
      <c r="G26" s="33" t="s">
        <v>72</v>
      </c>
      <c r="H26" s="37" t="s">
        <v>73</v>
      </c>
      <c r="I26" s="36">
        <v>42471</v>
      </c>
      <c r="J26" s="36"/>
      <c r="K26" s="36">
        <v>46053</v>
      </c>
      <c r="L26" s="36"/>
      <c r="M26" s="38">
        <f>-536804+533874.76+2929.24</f>
        <v>9.0949470177292824E-12</v>
      </c>
      <c r="N26" s="36" t="s">
        <v>74</v>
      </c>
    </row>
    <row r="27" spans="1:15" s="40" customFormat="1" ht="12.75" customHeight="1" x14ac:dyDescent="0.25">
      <c r="A27" s="33" t="s">
        <v>19</v>
      </c>
      <c r="B27" s="34">
        <v>12266</v>
      </c>
      <c r="C27" s="35" t="s">
        <v>75</v>
      </c>
      <c r="D27" s="34">
        <v>196878</v>
      </c>
      <c r="E27" s="36">
        <v>43951</v>
      </c>
      <c r="F27" s="36" t="s">
        <v>76</v>
      </c>
      <c r="G27" s="33" t="s">
        <v>77</v>
      </c>
      <c r="H27" s="37"/>
      <c r="I27" s="36">
        <v>43787</v>
      </c>
      <c r="J27" s="36"/>
      <c r="K27" s="36"/>
      <c r="L27" s="36"/>
      <c r="M27" s="38">
        <f>-333333.34+300000</f>
        <v>-33333.340000000026</v>
      </c>
      <c r="N27" s="36" t="s">
        <v>78</v>
      </c>
    </row>
    <row r="28" spans="1:15" s="40" customFormat="1" ht="12.75" customHeight="1" x14ac:dyDescent="0.25">
      <c r="A28" s="33" t="s">
        <v>19</v>
      </c>
      <c r="B28" s="34">
        <v>12266</v>
      </c>
      <c r="C28" s="35" t="s">
        <v>75</v>
      </c>
      <c r="D28" s="34">
        <v>220737</v>
      </c>
      <c r="E28" s="36">
        <v>44347</v>
      </c>
      <c r="F28" s="36" t="s">
        <v>79</v>
      </c>
      <c r="G28" s="33" t="s">
        <v>77</v>
      </c>
      <c r="H28" s="37"/>
      <c r="I28" s="36"/>
      <c r="J28" s="36"/>
      <c r="K28" s="36"/>
      <c r="L28" s="36"/>
      <c r="M28" s="38">
        <f>-25000+25000</f>
        <v>0</v>
      </c>
      <c r="N28" s="36"/>
    </row>
    <row r="29" spans="1:15" s="40" customFormat="1" ht="12.75" customHeight="1" x14ac:dyDescent="0.25">
      <c r="A29" s="33" t="s">
        <v>19</v>
      </c>
      <c r="B29" s="34">
        <v>12266</v>
      </c>
      <c r="C29" s="35" t="s">
        <v>75</v>
      </c>
      <c r="D29" s="34">
        <v>221640</v>
      </c>
      <c r="E29" s="36">
        <v>44347</v>
      </c>
      <c r="F29" s="36" t="s">
        <v>80</v>
      </c>
      <c r="G29" s="33" t="s">
        <v>77</v>
      </c>
      <c r="H29" s="37"/>
      <c r="I29" s="36"/>
      <c r="J29" s="36"/>
      <c r="K29" s="36"/>
      <c r="L29" s="36"/>
      <c r="M29" s="38">
        <f>-2820360+846108+846108+846108</f>
        <v>-282036</v>
      </c>
      <c r="N29" s="36"/>
    </row>
    <row r="30" spans="1:15" s="40" customFormat="1" ht="12.75" customHeight="1" x14ac:dyDescent="0.25">
      <c r="A30" s="33" t="s">
        <v>19</v>
      </c>
      <c r="B30" s="34">
        <v>12266</v>
      </c>
      <c r="C30" s="35" t="s">
        <v>75</v>
      </c>
      <c r="D30" s="34">
        <v>221643</v>
      </c>
      <c r="E30" s="36">
        <v>44347</v>
      </c>
      <c r="F30" s="36" t="s">
        <v>81</v>
      </c>
      <c r="G30" s="33" t="s">
        <v>77</v>
      </c>
      <c r="H30" s="37"/>
      <c r="I30" s="36"/>
      <c r="J30" s="36"/>
      <c r="K30" s="36"/>
      <c r="L30" s="36"/>
      <c r="M30" s="38">
        <f>-150000+150000</f>
        <v>0</v>
      </c>
      <c r="N30" s="36"/>
    </row>
    <row r="31" spans="1:15" s="40" customFormat="1" ht="12.75" customHeight="1" x14ac:dyDescent="0.25">
      <c r="A31" s="33" t="s">
        <v>19</v>
      </c>
      <c r="B31" s="34">
        <v>12266</v>
      </c>
      <c r="C31" s="35" t="s">
        <v>75</v>
      </c>
      <c r="D31" s="34">
        <v>221644</v>
      </c>
      <c r="E31" s="36">
        <v>44347</v>
      </c>
      <c r="F31" s="36" t="s">
        <v>82</v>
      </c>
      <c r="G31" s="33" t="s">
        <v>77</v>
      </c>
      <c r="H31" s="37"/>
      <c r="I31" s="36"/>
      <c r="J31" s="36"/>
      <c r="K31" s="36"/>
      <c r="L31" s="36"/>
      <c r="M31" s="38">
        <f>-115560+115560</f>
        <v>0</v>
      </c>
      <c r="N31" s="36"/>
    </row>
    <row r="32" spans="1:15" s="40" customFormat="1" ht="12.75" customHeight="1" x14ac:dyDescent="0.25">
      <c r="A32" s="33" t="s">
        <v>19</v>
      </c>
      <c r="B32" s="34">
        <v>12291</v>
      </c>
      <c r="C32" s="35" t="s">
        <v>83</v>
      </c>
      <c r="D32" s="34">
        <v>221984</v>
      </c>
      <c r="E32" s="36">
        <v>44424</v>
      </c>
      <c r="F32" s="36" t="s">
        <v>84</v>
      </c>
      <c r="G32" s="33" t="s">
        <v>85</v>
      </c>
      <c r="H32" s="37"/>
      <c r="I32" s="36"/>
      <c r="J32" s="36"/>
      <c r="K32" s="36"/>
      <c r="L32" s="36"/>
      <c r="M32" s="38">
        <f>116682.5+27062.5+87192.5-5000000+96487.5+58975+37628.36+15056.25+7647.5</f>
        <v>-4553267.8899999997</v>
      </c>
      <c r="N32" s="36"/>
    </row>
    <row r="33" spans="1:15" s="40" customFormat="1" ht="12.75" customHeight="1" x14ac:dyDescent="0.25">
      <c r="A33" s="33" t="s">
        <v>19</v>
      </c>
      <c r="B33" s="34">
        <v>12293</v>
      </c>
      <c r="C33" s="35" t="s">
        <v>86</v>
      </c>
      <c r="D33" s="34">
        <v>221993</v>
      </c>
      <c r="E33" s="36">
        <v>44439</v>
      </c>
      <c r="F33" s="36" t="s">
        <v>87</v>
      </c>
      <c r="G33" s="33" t="s">
        <v>88</v>
      </c>
      <c r="H33" s="37">
        <v>2120</v>
      </c>
      <c r="I33" s="36">
        <v>44542</v>
      </c>
      <c r="J33" s="36"/>
      <c r="K33" s="36">
        <v>44906</v>
      </c>
      <c r="L33" s="36"/>
      <c r="M33" s="38">
        <v>-300000</v>
      </c>
      <c r="N33" s="36" t="s">
        <v>89</v>
      </c>
    </row>
    <row r="34" spans="1:15" s="40" customFormat="1" ht="12.75" customHeight="1" x14ac:dyDescent="0.25">
      <c r="A34" s="33" t="s">
        <v>19</v>
      </c>
      <c r="B34" s="34">
        <v>12293</v>
      </c>
      <c r="C34" s="35" t="s">
        <v>86</v>
      </c>
      <c r="D34" s="34">
        <v>222784</v>
      </c>
      <c r="E34" s="36">
        <v>44511</v>
      </c>
      <c r="F34" s="36" t="s">
        <v>90</v>
      </c>
      <c r="G34" s="33" t="s">
        <v>88</v>
      </c>
      <c r="H34" s="37">
        <v>2435</v>
      </c>
      <c r="I34" s="36">
        <v>44461</v>
      </c>
      <c r="J34" s="36"/>
      <c r="K34" s="36">
        <v>44825</v>
      </c>
      <c r="L34" s="36"/>
      <c r="M34" s="38">
        <f>111050-222100</f>
        <v>-111050</v>
      </c>
      <c r="N34" s="36" t="s">
        <v>89</v>
      </c>
    </row>
    <row r="35" spans="1:15" s="40" customFormat="1" ht="12.75" customHeight="1" x14ac:dyDescent="0.25">
      <c r="A35" s="33" t="s">
        <v>19</v>
      </c>
      <c r="B35" s="34">
        <v>12293</v>
      </c>
      <c r="C35" s="35" t="s">
        <v>86</v>
      </c>
      <c r="D35" s="34">
        <v>222647</v>
      </c>
      <c r="E35" s="36">
        <v>44561</v>
      </c>
      <c r="F35" s="36" t="s">
        <v>91</v>
      </c>
      <c r="G35" s="33" t="s">
        <v>88</v>
      </c>
      <c r="H35" s="37">
        <v>2110</v>
      </c>
      <c r="I35" s="36">
        <v>44228</v>
      </c>
      <c r="J35" s="36"/>
      <c r="K35" s="47" t="s">
        <v>92</v>
      </c>
      <c r="L35" s="47"/>
      <c r="M35" s="38">
        <v>-1331010</v>
      </c>
      <c r="N35" s="36" t="s">
        <v>93</v>
      </c>
    </row>
    <row r="36" spans="1:15" s="40" customFormat="1" ht="15" x14ac:dyDescent="0.25">
      <c r="A36" s="33" t="s">
        <v>19</v>
      </c>
      <c r="B36" s="34">
        <v>12359</v>
      </c>
      <c r="C36" s="35" t="s">
        <v>94</v>
      </c>
      <c r="D36" s="34">
        <v>186316</v>
      </c>
      <c r="E36" s="36">
        <v>42941</v>
      </c>
      <c r="F36" s="36" t="s">
        <v>95</v>
      </c>
      <c r="G36" s="33" t="s">
        <v>88</v>
      </c>
      <c r="H36" s="37">
        <v>2135</v>
      </c>
      <c r="I36" s="36">
        <v>43055</v>
      </c>
      <c r="J36" s="36"/>
      <c r="K36" s="36">
        <v>43601</v>
      </c>
      <c r="L36" s="36"/>
      <c r="M36" s="38">
        <f>-238650+88825+88825+45000</f>
        <v>-16000</v>
      </c>
      <c r="N36" s="36" t="s">
        <v>96</v>
      </c>
      <c r="O36" s="33"/>
    </row>
    <row r="37" spans="1:15" s="40" customFormat="1" ht="15" x14ac:dyDescent="0.25">
      <c r="A37" s="33" t="s">
        <v>19</v>
      </c>
      <c r="B37" s="34">
        <v>12359</v>
      </c>
      <c r="C37" s="35" t="s">
        <v>94</v>
      </c>
      <c r="D37" s="34">
        <v>186840</v>
      </c>
      <c r="E37" s="36">
        <v>42986</v>
      </c>
      <c r="F37" s="36" t="s">
        <v>97</v>
      </c>
      <c r="G37" s="33" t="s">
        <v>88</v>
      </c>
      <c r="H37" s="37">
        <v>2116</v>
      </c>
      <c r="I37" s="36">
        <v>43055</v>
      </c>
      <c r="J37" s="36"/>
      <c r="K37" s="36">
        <v>43601</v>
      </c>
      <c r="L37" s="36"/>
      <c r="M37" s="38">
        <v>-79800</v>
      </c>
      <c r="N37" s="36" t="s">
        <v>96</v>
      </c>
      <c r="O37" s="33"/>
    </row>
    <row r="38" spans="1:15" s="40" customFormat="1" ht="15" x14ac:dyDescent="0.25">
      <c r="A38" s="33" t="s">
        <v>19</v>
      </c>
      <c r="B38" s="34">
        <v>12359</v>
      </c>
      <c r="C38" s="35" t="s">
        <v>94</v>
      </c>
      <c r="D38" s="34">
        <v>187276</v>
      </c>
      <c r="E38" s="36">
        <v>43008</v>
      </c>
      <c r="F38" s="36" t="s">
        <v>98</v>
      </c>
      <c r="G38" s="33" t="s">
        <v>88</v>
      </c>
      <c r="H38" s="37">
        <v>2220</v>
      </c>
      <c r="I38" s="36">
        <v>43055</v>
      </c>
      <c r="J38" s="36"/>
      <c r="K38" s="36">
        <v>43784</v>
      </c>
      <c r="L38" s="36"/>
      <c r="M38" s="38">
        <f>-1500000+750000+740000</f>
        <v>-10000</v>
      </c>
      <c r="N38" s="36" t="s">
        <v>99</v>
      </c>
      <c r="O38" s="33"/>
    </row>
    <row r="39" spans="1:15" s="40" customFormat="1" ht="12.75" customHeight="1" x14ac:dyDescent="0.25">
      <c r="A39" s="33" t="s">
        <v>19</v>
      </c>
      <c r="B39" s="34">
        <v>12361</v>
      </c>
      <c r="C39" s="35" t="s">
        <v>100</v>
      </c>
      <c r="D39" s="34">
        <v>179589</v>
      </c>
      <c r="E39" s="47">
        <v>42563</v>
      </c>
      <c r="F39" s="36" t="s">
        <v>101</v>
      </c>
      <c r="G39" s="42" t="s">
        <v>88</v>
      </c>
      <c r="H39" s="37" t="s">
        <v>102</v>
      </c>
      <c r="I39" s="50"/>
      <c r="J39" s="50"/>
      <c r="K39" s="50"/>
      <c r="L39" s="50"/>
      <c r="M39" s="38">
        <f>-2000000+600000+600000+600000+100000</f>
        <v>-100000</v>
      </c>
      <c r="N39" s="51" t="s">
        <v>103</v>
      </c>
    </row>
    <row r="40" spans="1:15" s="40" customFormat="1" ht="25.5" customHeight="1" x14ac:dyDescent="0.25">
      <c r="A40" s="33" t="s">
        <v>19</v>
      </c>
      <c r="B40" s="34">
        <v>12361</v>
      </c>
      <c r="C40" s="35" t="s">
        <v>100</v>
      </c>
      <c r="D40" s="34">
        <v>180357</v>
      </c>
      <c r="E40" s="47">
        <v>42629</v>
      </c>
      <c r="F40" s="36" t="s">
        <v>104</v>
      </c>
      <c r="G40" s="37" t="s">
        <v>105</v>
      </c>
      <c r="H40" s="37" t="s">
        <v>106</v>
      </c>
      <c r="I40" s="50">
        <v>42671</v>
      </c>
      <c r="J40" s="50"/>
      <c r="K40" s="50">
        <v>43400</v>
      </c>
      <c r="L40" s="50"/>
      <c r="M40" s="38">
        <f>-1545000+944173.8+446326.2</f>
        <v>-154499.99999999994</v>
      </c>
      <c r="N40" s="46" t="s">
        <v>107</v>
      </c>
    </row>
    <row r="41" spans="1:15" s="40" customFormat="1" ht="12.75" customHeight="1" x14ac:dyDescent="0.25">
      <c r="A41" s="33" t="s">
        <v>19</v>
      </c>
      <c r="B41" s="34">
        <v>12361</v>
      </c>
      <c r="C41" s="35" t="s">
        <v>100</v>
      </c>
      <c r="D41" s="41">
        <v>181030</v>
      </c>
      <c r="E41" s="47">
        <v>42681</v>
      </c>
      <c r="F41" s="36" t="s">
        <v>108</v>
      </c>
      <c r="G41" s="37" t="s">
        <v>109</v>
      </c>
      <c r="H41" s="37">
        <v>1403</v>
      </c>
      <c r="I41" s="50"/>
      <c r="J41" s="50"/>
      <c r="K41" s="50"/>
      <c r="L41" s="50"/>
      <c r="M41" s="38">
        <v>-707600</v>
      </c>
      <c r="N41" s="36" t="s">
        <v>110</v>
      </c>
    </row>
    <row r="42" spans="1:15" s="40" customFormat="1" ht="51" customHeight="1" x14ac:dyDescent="0.25">
      <c r="A42" s="33" t="s">
        <v>19</v>
      </c>
      <c r="B42" s="34">
        <v>12361</v>
      </c>
      <c r="C42" s="35" t="s">
        <v>100</v>
      </c>
      <c r="D42" s="41">
        <v>181042</v>
      </c>
      <c r="E42" s="47">
        <v>42681</v>
      </c>
      <c r="F42" s="36" t="s">
        <v>111</v>
      </c>
      <c r="G42" s="37" t="s">
        <v>109</v>
      </c>
      <c r="H42" s="37" t="s">
        <v>112</v>
      </c>
      <c r="I42" s="50">
        <v>42598</v>
      </c>
      <c r="J42" s="50"/>
      <c r="K42" s="50">
        <f>I42+365</f>
        <v>42963</v>
      </c>
      <c r="L42" s="50"/>
      <c r="M42" s="38">
        <v>-150000</v>
      </c>
      <c r="N42" s="52" t="s">
        <v>113</v>
      </c>
    </row>
    <row r="43" spans="1:15" s="40" customFormat="1" ht="63.75" customHeight="1" x14ac:dyDescent="0.25">
      <c r="A43" s="33" t="s">
        <v>19</v>
      </c>
      <c r="B43" s="34">
        <v>12361</v>
      </c>
      <c r="C43" s="35" t="s">
        <v>100</v>
      </c>
      <c r="D43" s="41">
        <v>181046</v>
      </c>
      <c r="E43" s="47">
        <v>42681</v>
      </c>
      <c r="F43" s="36" t="s">
        <v>114</v>
      </c>
      <c r="G43" s="37" t="s">
        <v>109</v>
      </c>
      <c r="H43" s="37" t="s">
        <v>115</v>
      </c>
      <c r="I43" s="50">
        <v>42598</v>
      </c>
      <c r="J43" s="50"/>
      <c r="K43" s="50">
        <v>43328</v>
      </c>
      <c r="L43" s="50"/>
      <c r="M43" s="38">
        <f>-250000-400000+325000+162500</f>
        <v>-162500</v>
      </c>
      <c r="N43" s="53" t="s">
        <v>116</v>
      </c>
    </row>
    <row r="44" spans="1:15" s="40" customFormat="1" ht="12.75" customHeight="1" x14ac:dyDescent="0.25">
      <c r="A44" s="33" t="s">
        <v>19</v>
      </c>
      <c r="B44" s="34">
        <v>12361</v>
      </c>
      <c r="C44" s="35" t="s">
        <v>100</v>
      </c>
      <c r="D44" s="41">
        <v>181098</v>
      </c>
      <c r="E44" s="47">
        <v>42682</v>
      </c>
      <c r="F44" s="36" t="s">
        <v>117</v>
      </c>
      <c r="G44" s="37" t="s">
        <v>109</v>
      </c>
      <c r="H44" s="37" t="s">
        <v>118</v>
      </c>
      <c r="I44" s="50">
        <v>42719</v>
      </c>
      <c r="J44" s="50"/>
      <c r="K44" s="50">
        <f>I44+365+365</f>
        <v>43449</v>
      </c>
      <c r="L44" s="50"/>
      <c r="M44" s="38">
        <v>-50000</v>
      </c>
      <c r="N44" s="36" t="s">
        <v>119</v>
      </c>
    </row>
    <row r="45" spans="1:15" s="40" customFormat="1" ht="51" customHeight="1" x14ac:dyDescent="0.25">
      <c r="A45" s="33" t="s">
        <v>19</v>
      </c>
      <c r="B45" s="34">
        <v>12361</v>
      </c>
      <c r="C45" s="35" t="s">
        <v>100</v>
      </c>
      <c r="D45" s="41">
        <v>181100</v>
      </c>
      <c r="E45" s="47">
        <v>42682</v>
      </c>
      <c r="F45" s="36" t="s">
        <v>120</v>
      </c>
      <c r="G45" s="37" t="s">
        <v>109</v>
      </c>
      <c r="H45" s="37" t="s">
        <v>121</v>
      </c>
      <c r="I45" s="50">
        <v>42598</v>
      </c>
      <c r="J45" s="50"/>
      <c r="K45" s="50">
        <f>I45+365+182</f>
        <v>43145</v>
      </c>
      <c r="L45" s="50"/>
      <c r="M45" s="38">
        <v>-50000</v>
      </c>
      <c r="N45" s="53" t="s">
        <v>122</v>
      </c>
    </row>
    <row r="46" spans="1:15" s="40" customFormat="1" ht="63.75" customHeight="1" x14ac:dyDescent="0.25">
      <c r="A46" s="33" t="s">
        <v>19</v>
      </c>
      <c r="B46" s="34">
        <v>12361</v>
      </c>
      <c r="C46" s="35" t="s">
        <v>100</v>
      </c>
      <c r="D46" s="41">
        <v>181101</v>
      </c>
      <c r="E46" s="47">
        <v>42682</v>
      </c>
      <c r="F46" s="36" t="s">
        <v>123</v>
      </c>
      <c r="G46" s="37" t="s">
        <v>109</v>
      </c>
      <c r="H46" s="37" t="s">
        <v>124</v>
      </c>
      <c r="I46" s="50">
        <v>42598</v>
      </c>
      <c r="J46" s="50"/>
      <c r="K46" s="50">
        <f>I46+365</f>
        <v>42963</v>
      </c>
      <c r="L46" s="50"/>
      <c r="M46" s="38">
        <v>-75900</v>
      </c>
      <c r="N46" s="54" t="s">
        <v>125</v>
      </c>
    </row>
    <row r="47" spans="1:15" s="40" customFormat="1" ht="12.75" customHeight="1" x14ac:dyDescent="0.25">
      <c r="A47" s="33" t="s">
        <v>19</v>
      </c>
      <c r="B47" s="34">
        <v>12361</v>
      </c>
      <c r="C47" s="35" t="s">
        <v>100</v>
      </c>
      <c r="D47" s="41">
        <v>181146</v>
      </c>
      <c r="E47" s="47">
        <v>42682</v>
      </c>
      <c r="F47" s="36" t="s">
        <v>126</v>
      </c>
      <c r="G47" s="37" t="s">
        <v>109</v>
      </c>
      <c r="H47" s="37" t="s">
        <v>127</v>
      </c>
      <c r="I47" s="50">
        <v>42627</v>
      </c>
      <c r="J47" s="50"/>
      <c r="K47" s="50">
        <v>45716</v>
      </c>
      <c r="L47" s="50"/>
      <c r="M47" s="38">
        <f>-170000-49000+49000</f>
        <v>-170000</v>
      </c>
      <c r="N47" s="46" t="s">
        <v>128</v>
      </c>
    </row>
    <row r="48" spans="1:15" s="40" customFormat="1" ht="63.75" customHeight="1" x14ac:dyDescent="0.25">
      <c r="A48" s="33" t="s">
        <v>19</v>
      </c>
      <c r="B48" s="34">
        <v>12361</v>
      </c>
      <c r="C48" s="35" t="s">
        <v>100</v>
      </c>
      <c r="D48" s="41">
        <v>181281</v>
      </c>
      <c r="E48" s="47">
        <v>42684</v>
      </c>
      <c r="F48" s="36" t="s">
        <v>129</v>
      </c>
      <c r="G48" s="37" t="s">
        <v>109</v>
      </c>
      <c r="H48" s="37" t="s">
        <v>130</v>
      </c>
      <c r="I48" s="50">
        <v>42598</v>
      </c>
      <c r="J48" s="50"/>
      <c r="K48" s="50">
        <f>I48+365</f>
        <v>42963</v>
      </c>
      <c r="L48" s="50"/>
      <c r="M48" s="38">
        <v>-170000</v>
      </c>
      <c r="N48" s="54" t="s">
        <v>131</v>
      </c>
    </row>
    <row r="49" spans="1:15" s="40" customFormat="1" ht="12.75" customHeight="1" x14ac:dyDescent="0.25">
      <c r="A49" s="33" t="s">
        <v>19</v>
      </c>
      <c r="B49" s="34">
        <v>12361</v>
      </c>
      <c r="C49" s="35" t="s">
        <v>100</v>
      </c>
      <c r="D49" s="41">
        <v>181282</v>
      </c>
      <c r="E49" s="47">
        <v>42684</v>
      </c>
      <c r="F49" s="36" t="s">
        <v>132</v>
      </c>
      <c r="G49" s="37" t="s">
        <v>109</v>
      </c>
      <c r="H49" s="37" t="s">
        <v>133</v>
      </c>
      <c r="I49" s="50">
        <v>42598</v>
      </c>
      <c r="J49" s="50"/>
      <c r="K49" s="50">
        <v>46053</v>
      </c>
      <c r="L49" s="50"/>
      <c r="M49" s="38">
        <v>-50000</v>
      </c>
      <c r="N49" s="46" t="s">
        <v>128</v>
      </c>
    </row>
    <row r="50" spans="1:15" s="40" customFormat="1" ht="76.5" customHeight="1" x14ac:dyDescent="0.25">
      <c r="A50" s="33" t="s">
        <v>19</v>
      </c>
      <c r="B50" s="34">
        <v>12361</v>
      </c>
      <c r="C50" s="35" t="s">
        <v>100</v>
      </c>
      <c r="D50" s="41">
        <v>181222</v>
      </c>
      <c r="E50" s="47">
        <v>42682</v>
      </c>
      <c r="F50" s="36" t="s">
        <v>134</v>
      </c>
      <c r="G50" s="37" t="s">
        <v>109</v>
      </c>
      <c r="H50" s="37" t="s">
        <v>135</v>
      </c>
      <c r="I50" s="50">
        <v>42764</v>
      </c>
      <c r="J50" s="50"/>
      <c r="K50" s="50">
        <v>43128</v>
      </c>
      <c r="L50" s="50"/>
      <c r="M50" s="38">
        <v>-25000</v>
      </c>
      <c r="N50" s="54" t="s">
        <v>136</v>
      </c>
    </row>
    <row r="51" spans="1:15" s="40" customFormat="1" ht="51" customHeight="1" x14ac:dyDescent="0.25">
      <c r="A51" s="33" t="s">
        <v>19</v>
      </c>
      <c r="B51" s="34">
        <v>12361</v>
      </c>
      <c r="C51" s="35" t="s">
        <v>100</v>
      </c>
      <c r="D51" s="41">
        <v>181285</v>
      </c>
      <c r="E51" s="47">
        <v>42684</v>
      </c>
      <c r="F51" s="36" t="s">
        <v>137</v>
      </c>
      <c r="G51" s="37" t="s">
        <v>109</v>
      </c>
      <c r="H51" s="37" t="s">
        <v>138</v>
      </c>
      <c r="I51" s="50">
        <v>42598</v>
      </c>
      <c r="J51" s="50"/>
      <c r="K51" s="50">
        <f>I51+365+182</f>
        <v>43145</v>
      </c>
      <c r="L51" s="50"/>
      <c r="M51" s="38">
        <v>-250000</v>
      </c>
      <c r="N51" s="53" t="s">
        <v>139</v>
      </c>
    </row>
    <row r="52" spans="1:15" s="40" customFormat="1" ht="63.75" customHeight="1" x14ac:dyDescent="0.25">
      <c r="A52" s="33" t="s">
        <v>19</v>
      </c>
      <c r="B52" s="34">
        <v>12361</v>
      </c>
      <c r="C52" s="35" t="s">
        <v>100</v>
      </c>
      <c r="D52" s="41">
        <v>181286</v>
      </c>
      <c r="E52" s="47">
        <v>42684</v>
      </c>
      <c r="F52" s="36" t="s">
        <v>140</v>
      </c>
      <c r="G52" s="37" t="s">
        <v>109</v>
      </c>
      <c r="H52" s="37" t="s">
        <v>141</v>
      </c>
      <c r="I52" s="50">
        <v>42598</v>
      </c>
      <c r="J52" s="50"/>
      <c r="K52" s="50">
        <f>I52+365</f>
        <v>42963</v>
      </c>
      <c r="L52" s="50"/>
      <c r="M52" s="38">
        <v>-75000</v>
      </c>
      <c r="N52" s="54" t="s">
        <v>142</v>
      </c>
    </row>
    <row r="53" spans="1:15" s="40" customFormat="1" ht="25.5" customHeight="1" x14ac:dyDescent="0.25">
      <c r="A53" s="33" t="s">
        <v>19</v>
      </c>
      <c r="B53" s="34">
        <v>12361</v>
      </c>
      <c r="C53" s="35" t="s">
        <v>100</v>
      </c>
      <c r="D53" s="41">
        <v>181288</v>
      </c>
      <c r="E53" s="47">
        <v>42684</v>
      </c>
      <c r="F53" s="36" t="s">
        <v>143</v>
      </c>
      <c r="G53" s="37" t="s">
        <v>109</v>
      </c>
      <c r="H53" s="37" t="s">
        <v>144</v>
      </c>
      <c r="I53" s="50">
        <v>42598</v>
      </c>
      <c r="J53" s="50"/>
      <c r="K53" s="50">
        <v>43328</v>
      </c>
      <c r="L53" s="50"/>
      <c r="M53" s="38">
        <v>-1088200</v>
      </c>
      <c r="N53" s="46" t="s">
        <v>145</v>
      </c>
      <c r="O53" s="55" t="s">
        <v>146</v>
      </c>
    </row>
    <row r="54" spans="1:15" s="40" customFormat="1" ht="12.75" customHeight="1" x14ac:dyDescent="0.25">
      <c r="A54" s="33" t="s">
        <v>19</v>
      </c>
      <c r="B54" s="34">
        <v>12361</v>
      </c>
      <c r="C54" s="35" t="s">
        <v>100</v>
      </c>
      <c r="D54" s="41">
        <v>182662</v>
      </c>
      <c r="E54" s="47">
        <v>42744</v>
      </c>
      <c r="F54" s="36" t="s">
        <v>147</v>
      </c>
      <c r="G54" s="37" t="s">
        <v>109</v>
      </c>
      <c r="H54" s="37" t="s">
        <v>148</v>
      </c>
      <c r="I54" s="50"/>
      <c r="J54" s="50"/>
      <c r="K54" s="50"/>
      <c r="L54" s="50"/>
      <c r="M54" s="38">
        <v>-5000000</v>
      </c>
      <c r="N54" s="36" t="s">
        <v>110</v>
      </c>
    </row>
    <row r="55" spans="1:15" s="40" customFormat="1" ht="12.75" customHeight="1" x14ac:dyDescent="0.25">
      <c r="A55" s="33" t="s">
        <v>19</v>
      </c>
      <c r="B55" s="34">
        <v>12361</v>
      </c>
      <c r="C55" s="35" t="s">
        <v>100</v>
      </c>
      <c r="D55" s="41">
        <v>188238</v>
      </c>
      <c r="E55" s="47">
        <v>43039</v>
      </c>
      <c r="F55" s="36" t="s">
        <v>149</v>
      </c>
      <c r="G55" s="37" t="s">
        <v>109</v>
      </c>
      <c r="H55" s="37" t="s">
        <v>150</v>
      </c>
      <c r="I55" s="50">
        <v>43090</v>
      </c>
      <c r="J55" s="50"/>
      <c r="K55" s="50">
        <v>45657</v>
      </c>
      <c r="L55" s="50"/>
      <c r="M55" s="38">
        <f>-350000+116666.67+116666.67-11493.42+11493.42</f>
        <v>-116666.66000000002</v>
      </c>
      <c r="N55" s="46" t="s">
        <v>151</v>
      </c>
    </row>
    <row r="56" spans="1:15" s="40" customFormat="1" ht="12.75" customHeight="1" x14ac:dyDescent="0.25">
      <c r="A56" s="33" t="s">
        <v>19</v>
      </c>
      <c r="B56" s="34">
        <v>12361</v>
      </c>
      <c r="C56" s="35" t="s">
        <v>100</v>
      </c>
      <c r="D56" s="41">
        <v>194852</v>
      </c>
      <c r="E56" s="47">
        <v>43336</v>
      </c>
      <c r="F56" s="36" t="s">
        <v>152</v>
      </c>
      <c r="G56" s="37" t="s">
        <v>153</v>
      </c>
      <c r="H56" s="37" t="s">
        <v>154</v>
      </c>
      <c r="I56" s="50"/>
      <c r="J56" s="50"/>
      <c r="K56" s="50"/>
      <c r="L56" s="50"/>
      <c r="M56" s="38">
        <f>-440000+87562.5+87562.5</f>
        <v>-264875</v>
      </c>
      <c r="N56" s="46" t="s">
        <v>23</v>
      </c>
    </row>
    <row r="57" spans="1:15" s="40" customFormat="1" ht="12.75" customHeight="1" x14ac:dyDescent="0.25">
      <c r="A57" s="33" t="s">
        <v>19</v>
      </c>
      <c r="B57" s="34">
        <v>12361</v>
      </c>
      <c r="C57" s="35" t="s">
        <v>100</v>
      </c>
      <c r="D57" s="41">
        <v>198147</v>
      </c>
      <c r="E57" s="47">
        <v>43557</v>
      </c>
      <c r="F57" s="36" t="s">
        <v>155</v>
      </c>
      <c r="G57" s="37" t="s">
        <v>156</v>
      </c>
      <c r="H57" s="37" t="s">
        <v>157</v>
      </c>
      <c r="I57" s="50"/>
      <c r="J57" s="50"/>
      <c r="K57" s="50"/>
      <c r="L57" s="50"/>
      <c r="M57" s="38">
        <f>-830000+450000-190000+190000+190000</f>
        <v>-190000</v>
      </c>
      <c r="N57" s="56" t="s">
        <v>158</v>
      </c>
    </row>
    <row r="58" spans="1:15" s="40" customFormat="1" ht="12.75" customHeight="1" x14ac:dyDescent="0.25">
      <c r="A58" s="33" t="s">
        <v>19</v>
      </c>
      <c r="B58" s="34">
        <v>12361</v>
      </c>
      <c r="C58" s="35" t="s">
        <v>100</v>
      </c>
      <c r="D58" s="41">
        <v>210876</v>
      </c>
      <c r="E58" s="47">
        <v>43595</v>
      </c>
      <c r="F58" s="36" t="s">
        <v>159</v>
      </c>
      <c r="G58" s="37" t="s">
        <v>160</v>
      </c>
      <c r="H58" s="37" t="s">
        <v>161</v>
      </c>
      <c r="I58" s="57"/>
      <c r="J58" s="57"/>
      <c r="K58" s="50"/>
      <c r="L58" s="50"/>
      <c r="M58" s="38">
        <f>-230000+30000</f>
        <v>-200000</v>
      </c>
      <c r="N58" s="46" t="s">
        <v>23</v>
      </c>
    </row>
    <row r="59" spans="1:15" s="40" customFormat="1" ht="14.1" customHeight="1" x14ac:dyDescent="0.25">
      <c r="A59" s="33" t="s">
        <v>19</v>
      </c>
      <c r="B59" s="34">
        <v>12361</v>
      </c>
      <c r="C59" s="35" t="s">
        <v>100</v>
      </c>
      <c r="D59" s="41">
        <v>212509</v>
      </c>
      <c r="E59" s="47">
        <v>43709</v>
      </c>
      <c r="F59" s="36" t="s">
        <v>162</v>
      </c>
      <c r="G59" s="37" t="s">
        <v>163</v>
      </c>
      <c r="H59" s="37" t="s">
        <v>164</v>
      </c>
      <c r="I59" s="57"/>
      <c r="J59" s="57"/>
      <c r="K59" s="50"/>
      <c r="L59" s="50"/>
      <c r="M59" s="38">
        <f>-3500000+700000+150000</f>
        <v>-2650000</v>
      </c>
      <c r="N59" s="46" t="s">
        <v>23</v>
      </c>
    </row>
    <row r="60" spans="1:15" s="40" customFormat="1" ht="14.1" customHeight="1" x14ac:dyDescent="0.25">
      <c r="A60" s="33" t="s">
        <v>19</v>
      </c>
      <c r="B60" s="34">
        <v>12361</v>
      </c>
      <c r="C60" s="35" t="s">
        <v>100</v>
      </c>
      <c r="D60" s="41">
        <v>220190</v>
      </c>
      <c r="E60" s="47">
        <v>44196</v>
      </c>
      <c r="F60" s="36" t="s">
        <v>165</v>
      </c>
      <c r="G60" s="37" t="s">
        <v>166</v>
      </c>
      <c r="H60" s="37" t="s">
        <v>167</v>
      </c>
      <c r="I60" s="57"/>
      <c r="J60" s="57"/>
      <c r="K60" s="50"/>
      <c r="L60" s="50"/>
      <c r="M60" s="38">
        <v>-192474.87</v>
      </c>
      <c r="N60" s="46" t="s">
        <v>168</v>
      </c>
    </row>
    <row r="61" spans="1:15" s="40" customFormat="1" ht="12.75" customHeight="1" x14ac:dyDescent="0.25">
      <c r="A61" s="33" t="s">
        <v>19</v>
      </c>
      <c r="B61" s="34">
        <v>12363</v>
      </c>
      <c r="C61" s="35" t="s">
        <v>169</v>
      </c>
      <c r="D61" s="34">
        <v>183656</v>
      </c>
      <c r="E61" s="47">
        <v>42795</v>
      </c>
      <c r="F61" s="58" t="s">
        <v>170</v>
      </c>
      <c r="G61" s="37" t="s">
        <v>22</v>
      </c>
      <c r="H61" s="37">
        <v>2400</v>
      </c>
      <c r="I61" s="36">
        <v>43047</v>
      </c>
      <c r="J61" s="36"/>
      <c r="K61" s="36">
        <v>48610</v>
      </c>
      <c r="L61" s="36"/>
      <c r="M61" s="38">
        <f>-2350000+562500+562500+562500+562500+74640</f>
        <v>-25360</v>
      </c>
      <c r="N61" s="36" t="s">
        <v>74</v>
      </c>
    </row>
    <row r="62" spans="1:15" s="40" customFormat="1" ht="12.75" customHeight="1" x14ac:dyDescent="0.25">
      <c r="A62" s="33" t="s">
        <v>19</v>
      </c>
      <c r="B62" s="34">
        <v>12363</v>
      </c>
      <c r="C62" s="35" t="s">
        <v>169</v>
      </c>
      <c r="D62" s="34">
        <v>183669</v>
      </c>
      <c r="E62" s="47">
        <v>42796</v>
      </c>
      <c r="F62" s="58" t="s">
        <v>171</v>
      </c>
      <c r="G62" s="37" t="s">
        <v>22</v>
      </c>
      <c r="H62" s="37">
        <v>1660</v>
      </c>
      <c r="I62" s="36">
        <v>42831</v>
      </c>
      <c r="J62" s="36"/>
      <c r="K62" s="36">
        <v>43560</v>
      </c>
      <c r="L62" s="36"/>
      <c r="M62" s="38">
        <v>-100000</v>
      </c>
      <c r="N62" s="36" t="s">
        <v>172</v>
      </c>
    </row>
    <row r="63" spans="1:15" s="40" customFormat="1" ht="38.25" customHeight="1" x14ac:dyDescent="0.25">
      <c r="A63" s="33" t="s">
        <v>19</v>
      </c>
      <c r="B63" s="34">
        <v>12363</v>
      </c>
      <c r="C63" s="35" t="s">
        <v>169</v>
      </c>
      <c r="D63" s="34">
        <v>183681</v>
      </c>
      <c r="E63" s="47">
        <v>42800</v>
      </c>
      <c r="F63" s="59" t="s">
        <v>173</v>
      </c>
      <c r="G63" s="37" t="s">
        <v>22</v>
      </c>
      <c r="H63" s="37" t="s">
        <v>174</v>
      </c>
      <c r="I63" s="36">
        <v>42861</v>
      </c>
      <c r="J63" s="36"/>
      <c r="K63" s="36">
        <v>43225</v>
      </c>
      <c r="L63" s="36"/>
      <c r="M63" s="38">
        <v>-63600</v>
      </c>
      <c r="N63" s="60" t="s">
        <v>175</v>
      </c>
    </row>
    <row r="64" spans="1:15" s="40" customFormat="1" ht="25.5" customHeight="1" x14ac:dyDescent="0.25">
      <c r="A64" s="33" t="s">
        <v>19</v>
      </c>
      <c r="B64" s="34">
        <v>12363</v>
      </c>
      <c r="C64" s="35" t="s">
        <v>20</v>
      </c>
      <c r="D64" s="34">
        <v>218652</v>
      </c>
      <c r="E64" s="36">
        <v>44013</v>
      </c>
      <c r="F64" s="36" t="s">
        <v>21</v>
      </c>
      <c r="G64" s="33" t="s">
        <v>22</v>
      </c>
      <c r="H64" s="37"/>
      <c r="I64" s="36">
        <v>43867</v>
      </c>
      <c r="J64" s="36"/>
      <c r="K64" s="36">
        <v>44232</v>
      </c>
      <c r="L64" s="36"/>
      <c r="M64" s="38">
        <f>-772395+250000</f>
        <v>-522395</v>
      </c>
      <c r="N64" s="39" t="s">
        <v>23</v>
      </c>
    </row>
    <row r="65" spans="1:14" s="40" customFormat="1" ht="12.75" customHeight="1" x14ac:dyDescent="0.25">
      <c r="A65" s="33" t="s">
        <v>19</v>
      </c>
      <c r="B65" s="34">
        <v>12363</v>
      </c>
      <c r="C65" s="35" t="s">
        <v>169</v>
      </c>
      <c r="D65" s="34">
        <v>183972</v>
      </c>
      <c r="E65" s="47">
        <v>42824</v>
      </c>
      <c r="F65" s="58" t="s">
        <v>176</v>
      </c>
      <c r="G65" s="37" t="s">
        <v>22</v>
      </c>
      <c r="H65" s="37">
        <v>1005</v>
      </c>
      <c r="I65" s="36">
        <v>42831</v>
      </c>
      <c r="J65" s="36"/>
      <c r="K65" s="36">
        <v>43560</v>
      </c>
      <c r="L65" s="36"/>
      <c r="M65" s="38">
        <f>-1575674+630269.6+630269.6</f>
        <v>-315134.80000000005</v>
      </c>
      <c r="N65" s="36" t="s">
        <v>172</v>
      </c>
    </row>
    <row r="66" spans="1:14" s="40" customFormat="1" ht="51" customHeight="1" x14ac:dyDescent="0.25">
      <c r="A66" s="33" t="s">
        <v>19</v>
      </c>
      <c r="B66" s="34">
        <v>12363</v>
      </c>
      <c r="C66" s="35" t="s">
        <v>169</v>
      </c>
      <c r="D66" s="34">
        <v>183469</v>
      </c>
      <c r="E66" s="47">
        <v>42922</v>
      </c>
      <c r="F66" s="58" t="s">
        <v>177</v>
      </c>
      <c r="G66" s="37" t="s">
        <v>22</v>
      </c>
      <c r="H66" s="37">
        <v>1620</v>
      </c>
      <c r="I66" s="36">
        <v>42831</v>
      </c>
      <c r="J66" s="36"/>
      <c r="K66" s="36">
        <v>43195</v>
      </c>
      <c r="L66" s="36"/>
      <c r="M66" s="38">
        <f>-162374+73199</f>
        <v>-89175</v>
      </c>
      <c r="N66" s="60" t="s">
        <v>178</v>
      </c>
    </row>
    <row r="67" spans="1:14" s="40" customFormat="1" ht="38.25" customHeight="1" x14ac:dyDescent="0.25">
      <c r="A67" s="33" t="s">
        <v>19</v>
      </c>
      <c r="B67" s="34">
        <v>12363</v>
      </c>
      <c r="C67" s="35" t="s">
        <v>169</v>
      </c>
      <c r="D67" s="34">
        <v>186268</v>
      </c>
      <c r="E67" s="47">
        <v>42930</v>
      </c>
      <c r="F67" s="58" t="s">
        <v>179</v>
      </c>
      <c r="G67" s="37" t="s">
        <v>22</v>
      </c>
      <c r="H67" s="37">
        <v>9190</v>
      </c>
      <c r="I67" s="36">
        <v>42979</v>
      </c>
      <c r="J67" s="36"/>
      <c r="K67" s="36">
        <v>43343</v>
      </c>
      <c r="L67" s="36"/>
      <c r="M67" s="38">
        <f>-85000+42500</f>
        <v>-42500</v>
      </c>
      <c r="N67" s="39" t="s">
        <v>180</v>
      </c>
    </row>
    <row r="68" spans="1:14" s="40" customFormat="1" ht="12.75" customHeight="1" x14ac:dyDescent="0.25">
      <c r="A68" s="33" t="s">
        <v>19</v>
      </c>
      <c r="B68" s="34">
        <v>12363</v>
      </c>
      <c r="C68" s="35" t="s">
        <v>169</v>
      </c>
      <c r="D68" s="34">
        <v>186800</v>
      </c>
      <c r="E68" s="47">
        <v>42978</v>
      </c>
      <c r="F68" s="58" t="s">
        <v>181</v>
      </c>
      <c r="G68" s="37" t="s">
        <v>182</v>
      </c>
      <c r="H68" s="37" t="s">
        <v>183</v>
      </c>
      <c r="I68" s="36">
        <v>43011</v>
      </c>
      <c r="J68" s="36"/>
      <c r="K68" s="36">
        <v>43375</v>
      </c>
      <c r="L68" s="36"/>
      <c r="M68" s="38">
        <v>-50000</v>
      </c>
      <c r="N68" s="60" t="s">
        <v>184</v>
      </c>
    </row>
    <row r="69" spans="1:14" s="40" customFormat="1" ht="25.5" customHeight="1" x14ac:dyDescent="0.25">
      <c r="A69" s="33" t="s">
        <v>19</v>
      </c>
      <c r="B69" s="34">
        <v>12363</v>
      </c>
      <c r="C69" s="35" t="s">
        <v>169</v>
      </c>
      <c r="D69" s="34">
        <v>186832</v>
      </c>
      <c r="E69" s="47">
        <v>42985</v>
      </c>
      <c r="F69" s="58" t="s">
        <v>185</v>
      </c>
      <c r="G69" s="37" t="s">
        <v>182</v>
      </c>
      <c r="H69" s="37" t="s">
        <v>186</v>
      </c>
      <c r="I69" s="36">
        <v>42957</v>
      </c>
      <c r="J69" s="36"/>
      <c r="K69" s="36">
        <v>43321</v>
      </c>
      <c r="L69" s="36"/>
      <c r="M69" s="38">
        <v>-50000</v>
      </c>
      <c r="N69" s="60" t="s">
        <v>187</v>
      </c>
    </row>
    <row r="70" spans="1:14" s="40" customFormat="1" ht="38.25" customHeight="1" x14ac:dyDescent="0.25">
      <c r="A70" s="33" t="s">
        <v>19</v>
      </c>
      <c r="B70" s="34">
        <v>12363</v>
      </c>
      <c r="C70" s="35" t="s">
        <v>169</v>
      </c>
      <c r="D70" s="34">
        <v>186841</v>
      </c>
      <c r="E70" s="47">
        <v>42986</v>
      </c>
      <c r="F70" s="59" t="s">
        <v>188</v>
      </c>
      <c r="G70" s="37" t="s">
        <v>182</v>
      </c>
      <c r="H70" s="37">
        <v>1670</v>
      </c>
      <c r="I70" s="36">
        <v>42831</v>
      </c>
      <c r="J70" s="36"/>
      <c r="K70" s="36">
        <v>43195</v>
      </c>
      <c r="L70" s="36"/>
      <c r="M70" s="38">
        <v>-70000</v>
      </c>
      <c r="N70" s="60" t="s">
        <v>189</v>
      </c>
    </row>
    <row r="71" spans="1:14" s="40" customFormat="1" ht="12.75" customHeight="1" x14ac:dyDescent="0.25">
      <c r="A71" s="33" t="s">
        <v>19</v>
      </c>
      <c r="B71" s="34">
        <v>12363</v>
      </c>
      <c r="C71" s="35" t="s">
        <v>169</v>
      </c>
      <c r="D71" s="34">
        <v>186842</v>
      </c>
      <c r="E71" s="47">
        <v>42986</v>
      </c>
      <c r="F71" s="58" t="s">
        <v>190</v>
      </c>
      <c r="G71" s="37" t="s">
        <v>182</v>
      </c>
      <c r="H71" s="37">
        <v>1937</v>
      </c>
      <c r="I71" s="36">
        <v>42993</v>
      </c>
      <c r="J71" s="36"/>
      <c r="K71" s="36">
        <v>43357</v>
      </c>
      <c r="L71" s="36"/>
      <c r="M71" s="38">
        <v>-100000</v>
      </c>
      <c r="N71" s="60" t="s">
        <v>191</v>
      </c>
    </row>
    <row r="72" spans="1:14" s="40" customFormat="1" ht="12.75" customHeight="1" x14ac:dyDescent="0.25">
      <c r="A72" s="33" t="s">
        <v>19</v>
      </c>
      <c r="B72" s="34">
        <v>12363</v>
      </c>
      <c r="C72" s="35" t="s">
        <v>169</v>
      </c>
      <c r="D72" s="34">
        <v>186849</v>
      </c>
      <c r="E72" s="47">
        <v>42986</v>
      </c>
      <c r="F72" s="58" t="s">
        <v>45</v>
      </c>
      <c r="G72" s="37" t="s">
        <v>182</v>
      </c>
      <c r="H72" s="37">
        <v>2060</v>
      </c>
      <c r="I72" s="36"/>
      <c r="J72" s="36"/>
      <c r="K72" s="36"/>
      <c r="L72" s="36"/>
      <c r="M72" s="38">
        <f>-112500+78750+22500</f>
        <v>-11250</v>
      </c>
      <c r="N72" s="36" t="s">
        <v>192</v>
      </c>
    </row>
    <row r="73" spans="1:14" s="40" customFormat="1" ht="12.75" customHeight="1" x14ac:dyDescent="0.25">
      <c r="A73" s="33" t="s">
        <v>19</v>
      </c>
      <c r="B73" s="34">
        <v>12211</v>
      </c>
      <c r="C73" s="35" t="s">
        <v>20</v>
      </c>
      <c r="D73" s="34">
        <v>186849</v>
      </c>
      <c r="E73" s="47">
        <v>42986</v>
      </c>
      <c r="F73" s="58" t="s">
        <v>45</v>
      </c>
      <c r="G73" s="37" t="s">
        <v>182</v>
      </c>
      <c r="H73" s="37">
        <v>2060</v>
      </c>
      <c r="I73" s="36"/>
      <c r="J73" s="36"/>
      <c r="K73" s="36"/>
      <c r="L73" s="36"/>
      <c r="M73" s="38">
        <v>11250</v>
      </c>
      <c r="N73" s="36" t="s">
        <v>192</v>
      </c>
    </row>
    <row r="74" spans="1:14" s="40" customFormat="1" ht="12.75" customHeight="1" x14ac:dyDescent="0.25">
      <c r="A74" s="33" t="s">
        <v>19</v>
      </c>
      <c r="B74" s="34">
        <v>12363</v>
      </c>
      <c r="C74" s="35" t="s">
        <v>169</v>
      </c>
      <c r="D74" s="34">
        <v>187544</v>
      </c>
      <c r="E74" s="47">
        <v>43019</v>
      </c>
      <c r="F74" s="58" t="s">
        <v>193</v>
      </c>
      <c r="G74" s="37" t="s">
        <v>182</v>
      </c>
      <c r="H74" s="37">
        <v>2660</v>
      </c>
      <c r="I74" s="36">
        <v>43132</v>
      </c>
      <c r="J74" s="36"/>
      <c r="K74" s="36">
        <v>43861</v>
      </c>
      <c r="L74" s="36"/>
      <c r="M74" s="38">
        <f>-250000+83333.33+83333.33+33333.34+31620</f>
        <v>-18379.999999999985</v>
      </c>
      <c r="N74" s="36" t="s">
        <v>194</v>
      </c>
    </row>
    <row r="75" spans="1:14" s="40" customFormat="1" ht="12.75" customHeight="1" x14ac:dyDescent="0.25">
      <c r="A75" s="33" t="s">
        <v>19</v>
      </c>
      <c r="B75" s="34">
        <v>12363</v>
      </c>
      <c r="C75" s="35" t="s">
        <v>169</v>
      </c>
      <c r="D75" s="34">
        <v>188612</v>
      </c>
      <c r="E75" s="47">
        <v>43068</v>
      </c>
      <c r="F75" s="58" t="s">
        <v>195</v>
      </c>
      <c r="G75" s="37" t="s">
        <v>182</v>
      </c>
      <c r="H75" s="37">
        <v>1893</v>
      </c>
      <c r="I75" s="36">
        <v>43132</v>
      </c>
      <c r="J75" s="36"/>
      <c r="K75" s="36">
        <v>43496</v>
      </c>
      <c r="L75" s="36"/>
      <c r="M75" s="38">
        <v>-55000</v>
      </c>
      <c r="N75" s="36" t="s">
        <v>89</v>
      </c>
    </row>
    <row r="76" spans="1:14" s="40" customFormat="1" ht="12.75" customHeight="1" x14ac:dyDescent="0.25">
      <c r="A76" s="33" t="s">
        <v>19</v>
      </c>
      <c r="B76" s="34">
        <v>12363</v>
      </c>
      <c r="C76" s="35" t="s">
        <v>169</v>
      </c>
      <c r="D76" s="34">
        <v>189832</v>
      </c>
      <c r="E76" s="47">
        <v>43137</v>
      </c>
      <c r="F76" s="58" t="s">
        <v>196</v>
      </c>
      <c r="G76" s="37" t="s">
        <v>182</v>
      </c>
      <c r="H76" s="37">
        <v>1987</v>
      </c>
      <c r="I76" s="36"/>
      <c r="J76" s="36"/>
      <c r="K76" s="36"/>
      <c r="L76" s="36"/>
      <c r="M76" s="38">
        <v>-100000</v>
      </c>
      <c r="N76" s="36" t="s">
        <v>23</v>
      </c>
    </row>
    <row r="77" spans="1:14" s="40" customFormat="1" ht="12.75" customHeight="1" x14ac:dyDescent="0.25">
      <c r="A77" s="33" t="s">
        <v>19</v>
      </c>
      <c r="B77" s="34">
        <v>12363</v>
      </c>
      <c r="C77" s="35" t="s">
        <v>169</v>
      </c>
      <c r="D77" s="34">
        <v>192555</v>
      </c>
      <c r="E77" s="47">
        <v>43235</v>
      </c>
      <c r="F77" s="58" t="s">
        <v>197</v>
      </c>
      <c r="G77" s="37" t="s">
        <v>182</v>
      </c>
      <c r="H77" s="37">
        <v>2540</v>
      </c>
      <c r="I77" s="36">
        <v>43028</v>
      </c>
      <c r="J77" s="36"/>
      <c r="K77" s="36">
        <v>46904</v>
      </c>
      <c r="L77" s="36"/>
      <c r="M77" s="38">
        <v>-180600</v>
      </c>
      <c r="N77" s="36" t="s">
        <v>74</v>
      </c>
    </row>
    <row r="78" spans="1:14" s="40" customFormat="1" ht="12.75" customHeight="1" x14ac:dyDescent="0.25">
      <c r="A78" s="33" t="s">
        <v>19</v>
      </c>
      <c r="B78" s="34">
        <v>12363</v>
      </c>
      <c r="C78" s="35" t="s">
        <v>169</v>
      </c>
      <c r="D78" s="34">
        <v>192361</v>
      </c>
      <c r="E78" s="47">
        <v>43252</v>
      </c>
      <c r="F78" s="58" t="s">
        <v>198</v>
      </c>
      <c r="G78" s="37" t="s">
        <v>182</v>
      </c>
      <c r="H78" s="37">
        <v>2395</v>
      </c>
      <c r="I78" s="36">
        <v>43296</v>
      </c>
      <c r="J78" s="36"/>
      <c r="K78" s="36">
        <v>43660</v>
      </c>
      <c r="L78" s="36"/>
      <c r="M78" s="38">
        <v>-50000</v>
      </c>
      <c r="N78" s="36" t="s">
        <v>89</v>
      </c>
    </row>
    <row r="79" spans="1:14" s="40" customFormat="1" ht="12.75" customHeight="1" x14ac:dyDescent="0.25">
      <c r="A79" s="33" t="s">
        <v>19</v>
      </c>
      <c r="B79" s="34">
        <v>12363</v>
      </c>
      <c r="C79" s="35" t="s">
        <v>169</v>
      </c>
      <c r="D79" s="34">
        <v>192636</v>
      </c>
      <c r="E79" s="47">
        <v>43252</v>
      </c>
      <c r="F79" s="58" t="s">
        <v>26</v>
      </c>
      <c r="G79" s="37" t="s">
        <v>182</v>
      </c>
      <c r="H79" s="37">
        <v>2010</v>
      </c>
      <c r="I79" s="36"/>
      <c r="J79" s="36"/>
      <c r="K79" s="36"/>
      <c r="L79" s="36"/>
      <c r="M79" s="38">
        <f>-3000000+900000+900000+397662.84-133000+502337.16+66058.33+366941.67</f>
        <v>0</v>
      </c>
      <c r="N79" s="36" t="s">
        <v>199</v>
      </c>
    </row>
    <row r="80" spans="1:14" s="40" customFormat="1" ht="12.75" customHeight="1" x14ac:dyDescent="0.25">
      <c r="A80" s="33" t="s">
        <v>19</v>
      </c>
      <c r="B80" s="34">
        <v>12363</v>
      </c>
      <c r="C80" s="35" t="s">
        <v>169</v>
      </c>
      <c r="D80" s="34">
        <v>193246</v>
      </c>
      <c r="E80" s="47">
        <v>43290</v>
      </c>
      <c r="F80" s="58" t="s">
        <v>200</v>
      </c>
      <c r="G80" s="37" t="s">
        <v>182</v>
      </c>
      <c r="H80" s="37">
        <v>2610</v>
      </c>
      <c r="I80" s="57">
        <v>43435</v>
      </c>
      <c r="J80" s="57"/>
      <c r="K80" s="36"/>
      <c r="L80" s="36"/>
      <c r="M80" s="38">
        <f>-1117222.72+937475.46</f>
        <v>-179747.26</v>
      </c>
      <c r="N80" s="36" t="s">
        <v>23</v>
      </c>
    </row>
    <row r="81" spans="1:14" s="40" customFormat="1" ht="12.75" customHeight="1" x14ac:dyDescent="0.25">
      <c r="A81" s="33" t="s">
        <v>19</v>
      </c>
      <c r="B81" s="34">
        <v>12211</v>
      </c>
      <c r="C81" s="35" t="s">
        <v>20</v>
      </c>
      <c r="D81" s="34">
        <v>193246</v>
      </c>
      <c r="E81" s="47">
        <v>44454</v>
      </c>
      <c r="F81" s="58" t="s">
        <v>200</v>
      </c>
      <c r="G81" s="37" t="s">
        <v>182</v>
      </c>
      <c r="H81" s="37">
        <v>2610</v>
      </c>
      <c r="I81" s="36"/>
      <c r="J81" s="36"/>
      <c r="K81" s="36"/>
      <c r="L81" s="36"/>
      <c r="M81" s="38">
        <v>-82444.800000000003</v>
      </c>
      <c r="N81" s="36"/>
    </row>
    <row r="82" spans="1:14" s="40" customFormat="1" ht="51" customHeight="1" x14ac:dyDescent="0.25">
      <c r="A82" s="33" t="s">
        <v>19</v>
      </c>
      <c r="B82" s="34">
        <v>12363</v>
      </c>
      <c r="C82" s="35" t="s">
        <v>169</v>
      </c>
      <c r="D82" s="34">
        <v>187088</v>
      </c>
      <c r="E82" s="47">
        <v>43328</v>
      </c>
      <c r="F82" s="36" t="s">
        <v>201</v>
      </c>
      <c r="G82" s="37" t="s">
        <v>182</v>
      </c>
      <c r="H82" s="37">
        <v>2440</v>
      </c>
      <c r="I82" s="57">
        <v>43011</v>
      </c>
      <c r="J82" s="57"/>
      <c r="K82" s="36">
        <v>44957</v>
      </c>
      <c r="L82" s="36"/>
      <c r="M82" s="38">
        <f>-197450+197450</f>
        <v>0</v>
      </c>
      <c r="N82" s="39" t="s">
        <v>202</v>
      </c>
    </row>
    <row r="83" spans="1:14" s="40" customFormat="1" ht="12.75" customHeight="1" x14ac:dyDescent="0.25">
      <c r="A83" s="33" t="s">
        <v>19</v>
      </c>
      <c r="B83" s="34">
        <v>12363</v>
      </c>
      <c r="C83" s="35" t="s">
        <v>169</v>
      </c>
      <c r="D83" s="34">
        <v>194968</v>
      </c>
      <c r="E83" s="47">
        <v>43347</v>
      </c>
      <c r="F83" s="36" t="s">
        <v>203</v>
      </c>
      <c r="G83" s="37" t="s">
        <v>182</v>
      </c>
      <c r="H83" s="37" t="s">
        <v>204</v>
      </c>
      <c r="I83" s="57">
        <v>43435</v>
      </c>
      <c r="J83" s="57"/>
      <c r="K83" s="36"/>
      <c r="L83" s="36"/>
      <c r="M83" s="38">
        <v>-75000</v>
      </c>
      <c r="N83" s="39" t="s">
        <v>23</v>
      </c>
    </row>
    <row r="84" spans="1:14" s="40" customFormat="1" ht="12.75" customHeight="1" x14ac:dyDescent="0.25">
      <c r="A84" s="33" t="s">
        <v>19</v>
      </c>
      <c r="B84" s="34">
        <v>12363</v>
      </c>
      <c r="C84" s="35" t="s">
        <v>169</v>
      </c>
      <c r="D84" s="34">
        <v>194969</v>
      </c>
      <c r="E84" s="47">
        <v>43347</v>
      </c>
      <c r="F84" s="36" t="s">
        <v>205</v>
      </c>
      <c r="G84" s="37" t="s">
        <v>182</v>
      </c>
      <c r="H84" s="37">
        <v>2560</v>
      </c>
      <c r="I84" s="57">
        <v>43424</v>
      </c>
      <c r="J84" s="57"/>
      <c r="K84" s="36"/>
      <c r="L84" s="36"/>
      <c r="M84" s="38">
        <v>-200000</v>
      </c>
      <c r="N84" s="61" t="s">
        <v>206</v>
      </c>
    </row>
    <row r="85" spans="1:14" s="40" customFormat="1" ht="12.75" customHeight="1" x14ac:dyDescent="0.25">
      <c r="A85" s="33" t="s">
        <v>19</v>
      </c>
      <c r="B85" s="34">
        <v>12363</v>
      </c>
      <c r="C85" s="35" t="s">
        <v>169</v>
      </c>
      <c r="D85" s="34">
        <v>195684</v>
      </c>
      <c r="E85" s="47">
        <v>43398</v>
      </c>
      <c r="F85" s="36" t="s">
        <v>207</v>
      </c>
      <c r="G85" s="37" t="s">
        <v>182</v>
      </c>
      <c r="H85" s="37">
        <v>2390</v>
      </c>
      <c r="I85" s="57">
        <v>43374</v>
      </c>
      <c r="J85" s="57"/>
      <c r="K85" s="36"/>
      <c r="L85" s="36"/>
      <c r="M85" s="38">
        <f>-88600+18511.92+25788.08</f>
        <v>-44300</v>
      </c>
      <c r="N85" s="61" t="s">
        <v>206</v>
      </c>
    </row>
    <row r="86" spans="1:14" s="40" customFormat="1" ht="12.75" customHeight="1" x14ac:dyDescent="0.25">
      <c r="A86" s="33" t="s">
        <v>19</v>
      </c>
      <c r="B86" s="34">
        <v>12363</v>
      </c>
      <c r="C86" s="35" t="s">
        <v>169</v>
      </c>
      <c r="D86" s="34">
        <v>197379</v>
      </c>
      <c r="E86" s="47">
        <v>43496</v>
      </c>
      <c r="F86" s="36" t="s">
        <v>208</v>
      </c>
      <c r="G86" s="37" t="s">
        <v>182</v>
      </c>
      <c r="H86" s="37">
        <v>2930</v>
      </c>
      <c r="I86" s="57">
        <v>43282</v>
      </c>
      <c r="J86" s="57"/>
      <c r="K86" s="36">
        <v>43647</v>
      </c>
      <c r="L86" s="36"/>
      <c r="M86" s="38">
        <v>-196500</v>
      </c>
      <c r="N86" s="39" t="s">
        <v>23</v>
      </c>
    </row>
    <row r="87" spans="1:14" s="40" customFormat="1" ht="12.75" customHeight="1" x14ac:dyDescent="0.25">
      <c r="A87" s="33" t="s">
        <v>19</v>
      </c>
      <c r="B87" s="34">
        <v>12363</v>
      </c>
      <c r="C87" s="35" t="s">
        <v>169</v>
      </c>
      <c r="D87" s="34">
        <v>208561</v>
      </c>
      <c r="E87" s="47">
        <v>43579</v>
      </c>
      <c r="F87" s="36" t="s">
        <v>209</v>
      </c>
      <c r="G87" s="37" t="s">
        <v>182</v>
      </c>
      <c r="H87" s="37">
        <v>9270</v>
      </c>
      <c r="I87" s="57">
        <v>43344</v>
      </c>
      <c r="J87" s="57"/>
      <c r="K87" s="36"/>
      <c r="L87" s="36"/>
      <c r="M87" s="38">
        <f>-5818+5818</f>
        <v>0</v>
      </c>
      <c r="N87" s="39" t="s">
        <v>93</v>
      </c>
    </row>
    <row r="88" spans="1:14" s="40" customFormat="1" ht="12.75" customHeight="1" x14ac:dyDescent="0.25">
      <c r="A88" s="33" t="s">
        <v>19</v>
      </c>
      <c r="B88" s="34">
        <v>12211</v>
      </c>
      <c r="C88" s="35" t="s">
        <v>20</v>
      </c>
      <c r="D88" s="34">
        <v>208561</v>
      </c>
      <c r="E88" s="47">
        <v>44454</v>
      </c>
      <c r="F88" s="36" t="s">
        <v>209</v>
      </c>
      <c r="G88" s="37" t="s">
        <v>182</v>
      </c>
      <c r="H88" s="37">
        <v>9270</v>
      </c>
      <c r="I88" s="57"/>
      <c r="J88" s="57"/>
      <c r="K88" s="36"/>
      <c r="L88" s="36"/>
      <c r="M88" s="38">
        <v>5818</v>
      </c>
      <c r="N88" s="62" t="s">
        <v>210</v>
      </c>
    </row>
    <row r="89" spans="1:14" s="40" customFormat="1" ht="12.75" customHeight="1" x14ac:dyDescent="0.25">
      <c r="A89" s="33" t="s">
        <v>19</v>
      </c>
      <c r="B89" s="34">
        <v>12363</v>
      </c>
      <c r="C89" s="35" t="s">
        <v>169</v>
      </c>
      <c r="D89" s="34">
        <v>215399</v>
      </c>
      <c r="E89" s="47">
        <v>43890</v>
      </c>
      <c r="F89" s="36" t="s">
        <v>211</v>
      </c>
      <c r="G89" s="37" t="s">
        <v>22</v>
      </c>
      <c r="H89" s="37">
        <v>2897</v>
      </c>
      <c r="I89" s="57">
        <v>44102</v>
      </c>
      <c r="J89" s="57"/>
      <c r="K89" s="36">
        <v>44466</v>
      </c>
      <c r="L89" s="36"/>
      <c r="M89" s="38">
        <f>-538800+538800</f>
        <v>0</v>
      </c>
      <c r="N89" s="39" t="s">
        <v>23</v>
      </c>
    </row>
    <row r="90" spans="1:14" s="26" customFormat="1" ht="12.75" customHeight="1" x14ac:dyDescent="0.25">
      <c r="A90" s="33" t="s">
        <v>19</v>
      </c>
      <c r="B90" s="3">
        <v>12360</v>
      </c>
      <c r="C90" s="9" t="s">
        <v>212</v>
      </c>
      <c r="D90" s="3">
        <v>214829</v>
      </c>
      <c r="E90" s="4">
        <v>43833</v>
      </c>
      <c r="F90" s="2" t="s">
        <v>213</v>
      </c>
      <c r="G90" s="5" t="s">
        <v>214</v>
      </c>
      <c r="H90" s="5">
        <v>1800</v>
      </c>
      <c r="I90" s="63">
        <v>43895</v>
      </c>
      <c r="J90" s="63"/>
      <c r="K90" s="2"/>
      <c r="L90" s="2"/>
      <c r="M90" s="64">
        <f>-1133309.5+309992.85+309992.85+309992.85+203330.95</f>
        <v>0</v>
      </c>
      <c r="N90" s="65" t="s">
        <v>215</v>
      </c>
    </row>
    <row r="91" spans="1:14" s="26" customFormat="1" ht="12.75" customHeight="1" x14ac:dyDescent="0.25">
      <c r="A91" s="33" t="s">
        <v>19</v>
      </c>
      <c r="B91" s="3">
        <v>12360</v>
      </c>
      <c r="C91" s="9" t="s">
        <v>212</v>
      </c>
      <c r="D91" s="3">
        <v>197385</v>
      </c>
      <c r="E91" s="4">
        <v>43496</v>
      </c>
      <c r="F91" s="66" t="s">
        <v>208</v>
      </c>
      <c r="G91" s="5" t="s">
        <v>214</v>
      </c>
      <c r="H91" s="5" t="s">
        <v>216</v>
      </c>
      <c r="I91" s="2">
        <v>43466</v>
      </c>
      <c r="J91" s="2"/>
      <c r="K91" s="2">
        <v>43830</v>
      </c>
      <c r="L91" s="2"/>
      <c r="M91" s="64">
        <v>-228000</v>
      </c>
      <c r="N91" s="2" t="s">
        <v>89</v>
      </c>
    </row>
    <row r="92" spans="1:14" s="26" customFormat="1" ht="12.75" customHeight="1" x14ac:dyDescent="0.25">
      <c r="A92" s="33" t="s">
        <v>19</v>
      </c>
      <c r="B92" s="3">
        <v>12360</v>
      </c>
      <c r="C92" s="9" t="s">
        <v>212</v>
      </c>
      <c r="D92" s="3">
        <v>197387</v>
      </c>
      <c r="E92" s="4">
        <v>43496</v>
      </c>
      <c r="F92" s="66" t="s">
        <v>217</v>
      </c>
      <c r="G92" s="5" t="s">
        <v>214</v>
      </c>
      <c r="H92" s="5">
        <v>1240</v>
      </c>
      <c r="I92" s="2">
        <v>43770</v>
      </c>
      <c r="J92" s="2"/>
      <c r="K92" s="2">
        <v>44135</v>
      </c>
      <c r="L92" s="2"/>
      <c r="M92" s="64">
        <v>-158500</v>
      </c>
      <c r="N92" s="2" t="s">
        <v>218</v>
      </c>
    </row>
    <row r="93" spans="1:14" s="26" customFormat="1" ht="12.75" customHeight="1" x14ac:dyDescent="0.25">
      <c r="A93" s="33" t="s">
        <v>19</v>
      </c>
      <c r="B93" s="3">
        <v>12297</v>
      </c>
      <c r="C93" s="9" t="s">
        <v>219</v>
      </c>
      <c r="D93" s="3">
        <v>197387</v>
      </c>
      <c r="E93" s="4">
        <v>43496</v>
      </c>
      <c r="F93" s="66" t="s">
        <v>217</v>
      </c>
      <c r="G93" s="5" t="s">
        <v>214</v>
      </c>
      <c r="H93" s="5"/>
      <c r="I93" s="2"/>
      <c r="J93" s="2"/>
      <c r="K93" s="2"/>
      <c r="L93" s="2"/>
      <c r="M93" s="64">
        <v>34863.86</v>
      </c>
      <c r="N93" s="2"/>
    </row>
    <row r="94" spans="1:14" s="26" customFormat="1" ht="12.75" customHeight="1" x14ac:dyDescent="0.25">
      <c r="A94" s="33" t="s">
        <v>19</v>
      </c>
      <c r="B94" s="3">
        <v>12297</v>
      </c>
      <c r="C94" s="9" t="s">
        <v>219</v>
      </c>
      <c r="D94" s="3">
        <v>197387</v>
      </c>
      <c r="E94" s="4">
        <v>43496</v>
      </c>
      <c r="F94" s="66" t="s">
        <v>217</v>
      </c>
      <c r="G94" s="5" t="s">
        <v>214</v>
      </c>
      <c r="H94" s="5"/>
      <c r="I94" s="2"/>
      <c r="J94" s="2"/>
      <c r="K94" s="2"/>
      <c r="L94" s="2"/>
      <c r="M94" s="64">
        <v>123636.14</v>
      </c>
      <c r="N94" s="67" t="s">
        <v>210</v>
      </c>
    </row>
    <row r="95" spans="1:14" s="26" customFormat="1" ht="12.75" customHeight="1" x14ac:dyDescent="0.25">
      <c r="A95" s="33" t="s">
        <v>19</v>
      </c>
      <c r="B95" s="3">
        <v>12297</v>
      </c>
      <c r="C95" s="9" t="s">
        <v>219</v>
      </c>
      <c r="D95" s="3">
        <v>196439</v>
      </c>
      <c r="E95" s="4">
        <v>44470</v>
      </c>
      <c r="F95" s="66" t="s">
        <v>220</v>
      </c>
      <c r="G95" s="5" t="s">
        <v>221</v>
      </c>
      <c r="H95" s="5"/>
      <c r="I95" s="2"/>
      <c r="J95" s="2"/>
      <c r="K95" s="2"/>
      <c r="L95" s="2"/>
      <c r="M95" s="64">
        <f>90000-90000</f>
        <v>0</v>
      </c>
      <c r="N95" s="68" t="s">
        <v>222</v>
      </c>
    </row>
    <row r="96" spans="1:14" s="26" customFormat="1" ht="12.75" customHeight="1" x14ac:dyDescent="0.25">
      <c r="A96" s="33" t="s">
        <v>19</v>
      </c>
      <c r="B96" s="3">
        <v>12360</v>
      </c>
      <c r="C96" s="9" t="s">
        <v>212</v>
      </c>
      <c r="D96" s="3">
        <v>214151</v>
      </c>
      <c r="E96" s="4">
        <v>43801</v>
      </c>
      <c r="F96" s="66" t="s">
        <v>223</v>
      </c>
      <c r="G96" s="5" t="s">
        <v>214</v>
      </c>
      <c r="H96" s="5" t="s">
        <v>224</v>
      </c>
      <c r="I96" s="2"/>
      <c r="J96" s="2"/>
      <c r="K96" s="2"/>
      <c r="L96" s="2"/>
      <c r="M96" s="64">
        <v>-120000</v>
      </c>
      <c r="N96" s="2"/>
    </row>
    <row r="97" spans="1:14" s="26" customFormat="1" ht="12.75" customHeight="1" x14ac:dyDescent="0.25">
      <c r="A97" s="33" t="s">
        <v>19</v>
      </c>
      <c r="B97" s="3">
        <v>12360</v>
      </c>
      <c r="C97" s="9" t="s">
        <v>212</v>
      </c>
      <c r="D97" s="3">
        <v>214688</v>
      </c>
      <c r="E97" s="4">
        <v>43802</v>
      </c>
      <c r="F97" s="66" t="s">
        <v>225</v>
      </c>
      <c r="G97" s="5" t="s">
        <v>214</v>
      </c>
      <c r="H97" s="5">
        <v>1700</v>
      </c>
      <c r="I97" s="2"/>
      <c r="J97" s="2"/>
      <c r="K97" s="2"/>
      <c r="L97" s="2"/>
      <c r="M97" s="64">
        <f>-2750000+1100000-35000</f>
        <v>-1685000</v>
      </c>
      <c r="N97" s="2"/>
    </row>
    <row r="98" spans="1:14" s="26" customFormat="1" ht="12.75" customHeight="1" x14ac:dyDescent="0.25">
      <c r="A98" s="33" t="s">
        <v>19</v>
      </c>
      <c r="B98" s="3">
        <v>12297</v>
      </c>
      <c r="C98" s="9" t="s">
        <v>219</v>
      </c>
      <c r="D98" s="3">
        <v>214688</v>
      </c>
      <c r="E98" s="4">
        <v>44392</v>
      </c>
      <c r="F98" s="66" t="s">
        <v>225</v>
      </c>
      <c r="G98" s="5" t="s">
        <v>214</v>
      </c>
      <c r="H98" s="5">
        <v>1700</v>
      </c>
      <c r="I98" s="2"/>
      <c r="J98" s="2"/>
      <c r="K98" s="2"/>
      <c r="L98" s="2"/>
      <c r="M98" s="64">
        <v>939447.46</v>
      </c>
      <c r="N98" s="2"/>
    </row>
    <row r="99" spans="1:14" s="26" customFormat="1" ht="12.75" customHeight="1" x14ac:dyDescent="0.25">
      <c r="A99" s="33" t="s">
        <v>19</v>
      </c>
      <c r="B99" s="3">
        <v>12360</v>
      </c>
      <c r="C99" s="9" t="s">
        <v>212</v>
      </c>
      <c r="D99" s="3">
        <v>214108</v>
      </c>
      <c r="E99" s="4">
        <v>43830</v>
      </c>
      <c r="F99" s="66" t="s">
        <v>226</v>
      </c>
      <c r="G99" s="5" t="s">
        <v>214</v>
      </c>
      <c r="H99" s="5"/>
      <c r="I99" s="2"/>
      <c r="J99" s="2"/>
      <c r="K99" s="2"/>
      <c r="L99" s="2"/>
      <c r="M99" s="64">
        <f>-375000+187500</f>
        <v>-187500</v>
      </c>
      <c r="N99" s="2" t="s">
        <v>227</v>
      </c>
    </row>
    <row r="100" spans="1:14" s="26" customFormat="1" ht="12.75" customHeight="1" x14ac:dyDescent="0.25">
      <c r="A100" s="33" t="s">
        <v>19</v>
      </c>
      <c r="B100" s="3">
        <v>12297</v>
      </c>
      <c r="C100" s="9" t="s">
        <v>219</v>
      </c>
      <c r="D100" s="3">
        <v>214108</v>
      </c>
      <c r="E100" s="4">
        <v>44392</v>
      </c>
      <c r="F100" s="66" t="s">
        <v>226</v>
      </c>
      <c r="G100" s="5" t="s">
        <v>214</v>
      </c>
      <c r="H100" s="5"/>
      <c r="I100" s="2"/>
      <c r="J100" s="2"/>
      <c r="K100" s="2"/>
      <c r="L100" s="2"/>
      <c r="M100" s="64">
        <f>128200+59300</f>
        <v>187500</v>
      </c>
      <c r="N100" s="2" t="s">
        <v>227</v>
      </c>
    </row>
    <row r="101" spans="1:14" s="26" customFormat="1" ht="12.75" customHeight="1" x14ac:dyDescent="0.25">
      <c r="A101" s="33" t="s">
        <v>19</v>
      </c>
      <c r="B101" s="3">
        <v>12360</v>
      </c>
      <c r="C101" s="9" t="s">
        <v>212</v>
      </c>
      <c r="D101" s="3">
        <v>214138</v>
      </c>
      <c r="E101" s="4">
        <v>43830</v>
      </c>
      <c r="F101" s="66" t="s">
        <v>228</v>
      </c>
      <c r="G101" s="5" t="s">
        <v>214</v>
      </c>
      <c r="H101" s="5"/>
      <c r="I101" s="2"/>
      <c r="J101" s="2"/>
      <c r="K101" s="2"/>
      <c r="L101" s="2"/>
      <c r="M101" s="64">
        <v>-37920</v>
      </c>
      <c r="N101" s="2" t="s">
        <v>227</v>
      </c>
    </row>
    <row r="102" spans="1:14" s="26" customFormat="1" ht="12.75" customHeight="1" x14ac:dyDescent="0.25">
      <c r="A102" s="33" t="s">
        <v>19</v>
      </c>
      <c r="B102" s="3">
        <v>12360</v>
      </c>
      <c r="C102" s="9" t="s">
        <v>212</v>
      </c>
      <c r="D102" s="3">
        <v>214141</v>
      </c>
      <c r="E102" s="4">
        <v>43830</v>
      </c>
      <c r="F102" s="66" t="s">
        <v>229</v>
      </c>
      <c r="G102" s="5" t="s">
        <v>214</v>
      </c>
      <c r="H102" s="5"/>
      <c r="I102" s="2"/>
      <c r="J102" s="2"/>
      <c r="K102" s="2"/>
      <c r="L102" s="2"/>
      <c r="M102" s="64">
        <f>-50000</f>
        <v>-50000</v>
      </c>
      <c r="N102" s="2" t="s">
        <v>227</v>
      </c>
    </row>
    <row r="103" spans="1:14" s="26" customFormat="1" ht="12.75" customHeight="1" x14ac:dyDescent="0.25">
      <c r="A103" s="33" t="s">
        <v>19</v>
      </c>
      <c r="B103" s="3">
        <v>12297</v>
      </c>
      <c r="C103" s="9" t="s">
        <v>219</v>
      </c>
      <c r="D103" s="3">
        <v>214141</v>
      </c>
      <c r="E103" s="4"/>
      <c r="F103" s="66" t="s">
        <v>229</v>
      </c>
      <c r="G103" s="5" t="s">
        <v>214</v>
      </c>
      <c r="H103" s="5"/>
      <c r="I103" s="2"/>
      <c r="J103" s="2"/>
      <c r="K103" s="2"/>
      <c r="L103" s="2"/>
      <c r="M103" s="64">
        <v>29661.77</v>
      </c>
      <c r="N103" s="2"/>
    </row>
    <row r="104" spans="1:14" s="26" customFormat="1" ht="12.75" customHeight="1" x14ac:dyDescent="0.25">
      <c r="A104" s="33" t="s">
        <v>19</v>
      </c>
      <c r="B104" s="3">
        <v>12360</v>
      </c>
      <c r="C104" s="9" t="s">
        <v>212</v>
      </c>
      <c r="D104" s="3">
        <v>214142</v>
      </c>
      <c r="E104" s="4">
        <v>43830</v>
      </c>
      <c r="F104" s="66" t="s">
        <v>230</v>
      </c>
      <c r="G104" s="5" t="s">
        <v>214</v>
      </c>
      <c r="H104" s="5"/>
      <c r="I104" s="2"/>
      <c r="J104" s="2"/>
      <c r="K104" s="2"/>
      <c r="L104" s="2"/>
      <c r="M104" s="64">
        <f>-172500+157500-10095</f>
        <v>-25095</v>
      </c>
      <c r="N104" s="2" t="s">
        <v>227</v>
      </c>
    </row>
    <row r="105" spans="1:14" s="26" customFormat="1" ht="12.75" customHeight="1" x14ac:dyDescent="0.25">
      <c r="A105" s="33" t="s">
        <v>19</v>
      </c>
      <c r="B105" s="3">
        <v>12297</v>
      </c>
      <c r="C105" s="9" t="s">
        <v>219</v>
      </c>
      <c r="D105" s="3">
        <v>214142</v>
      </c>
      <c r="E105" s="4">
        <v>44391</v>
      </c>
      <c r="F105" s="66" t="s">
        <v>230</v>
      </c>
      <c r="G105" s="5" t="s">
        <v>214</v>
      </c>
      <c r="H105" s="5"/>
      <c r="I105" s="2"/>
      <c r="J105" s="2"/>
      <c r="K105" s="2"/>
      <c r="L105" s="2"/>
      <c r="M105" s="64">
        <v>15000</v>
      </c>
      <c r="N105" s="2" t="s">
        <v>227</v>
      </c>
    </row>
    <row r="106" spans="1:14" s="26" customFormat="1" ht="12.6" customHeight="1" x14ac:dyDescent="0.25">
      <c r="A106" s="33" t="s">
        <v>19</v>
      </c>
      <c r="B106" s="3">
        <v>12360</v>
      </c>
      <c r="C106" s="9" t="s">
        <v>212</v>
      </c>
      <c r="D106" s="3">
        <v>214143</v>
      </c>
      <c r="E106" s="4">
        <v>43830</v>
      </c>
      <c r="F106" s="66" t="s">
        <v>231</v>
      </c>
      <c r="G106" s="5" t="s">
        <v>214</v>
      </c>
      <c r="H106" s="5"/>
      <c r="I106" s="2"/>
      <c r="J106" s="2"/>
      <c r="K106" s="2"/>
      <c r="L106" s="2"/>
      <c r="M106" s="64">
        <f>-877825+292608.33+585216+0.67</f>
        <v>7.4505845937267168E-11</v>
      </c>
      <c r="N106" s="2" t="s">
        <v>232</v>
      </c>
    </row>
    <row r="107" spans="1:14" s="26" customFormat="1" ht="12.75" customHeight="1" x14ac:dyDescent="0.25">
      <c r="A107" s="33" t="s">
        <v>19</v>
      </c>
      <c r="B107" s="3">
        <v>12360</v>
      </c>
      <c r="C107" s="9" t="s">
        <v>212</v>
      </c>
      <c r="D107" s="3">
        <v>214145</v>
      </c>
      <c r="E107" s="4">
        <v>43830</v>
      </c>
      <c r="F107" s="66" t="s">
        <v>233</v>
      </c>
      <c r="G107" s="5" t="s">
        <v>214</v>
      </c>
      <c r="H107" s="5"/>
      <c r="I107" s="2"/>
      <c r="J107" s="2"/>
      <c r="K107" s="2"/>
      <c r="L107" s="2"/>
      <c r="M107" s="64">
        <f>-157500+157500</f>
        <v>0</v>
      </c>
      <c r="N107" s="2" t="s">
        <v>227</v>
      </c>
    </row>
    <row r="108" spans="1:14" s="26" customFormat="1" ht="12.75" customHeight="1" x14ac:dyDescent="0.25">
      <c r="A108" s="33" t="s">
        <v>19</v>
      </c>
      <c r="B108" s="3">
        <v>12360</v>
      </c>
      <c r="C108" s="9" t="s">
        <v>212</v>
      </c>
      <c r="D108" s="3">
        <v>214146</v>
      </c>
      <c r="E108" s="4">
        <v>43830</v>
      </c>
      <c r="F108" s="66" t="s">
        <v>234</v>
      </c>
      <c r="G108" s="5" t="s">
        <v>214</v>
      </c>
      <c r="H108" s="5"/>
      <c r="I108" s="2"/>
      <c r="J108" s="2"/>
      <c r="K108" s="2"/>
      <c r="L108" s="2"/>
      <c r="M108" s="64">
        <v>-60000</v>
      </c>
      <c r="N108" s="2" t="s">
        <v>227</v>
      </c>
    </row>
    <row r="109" spans="1:14" s="26" customFormat="1" ht="12.75" customHeight="1" x14ac:dyDescent="0.25">
      <c r="A109" s="33" t="s">
        <v>19</v>
      </c>
      <c r="B109" s="3">
        <v>12360</v>
      </c>
      <c r="C109" s="9" t="s">
        <v>212</v>
      </c>
      <c r="D109" s="3">
        <v>214147</v>
      </c>
      <c r="E109" s="4">
        <v>43830</v>
      </c>
      <c r="F109" s="66" t="s">
        <v>235</v>
      </c>
      <c r="G109" s="5" t="s">
        <v>214</v>
      </c>
      <c r="H109" s="5"/>
      <c r="I109" s="2"/>
      <c r="J109" s="2"/>
      <c r="K109" s="2"/>
      <c r="L109" s="2"/>
      <c r="M109" s="64">
        <f>-262375+262375</f>
        <v>0</v>
      </c>
      <c r="N109" s="2" t="s">
        <v>227</v>
      </c>
    </row>
    <row r="110" spans="1:14" s="26" customFormat="1" ht="12.75" customHeight="1" x14ac:dyDescent="0.25">
      <c r="A110" s="33" t="s">
        <v>19</v>
      </c>
      <c r="B110" s="3">
        <v>12360</v>
      </c>
      <c r="C110" s="9" t="s">
        <v>212</v>
      </c>
      <c r="D110" s="3">
        <v>214148</v>
      </c>
      <c r="E110" s="4">
        <v>43830</v>
      </c>
      <c r="F110" s="66" t="s">
        <v>236</v>
      </c>
      <c r="G110" s="5" t="s">
        <v>214</v>
      </c>
      <c r="H110" s="5"/>
      <c r="I110" s="2"/>
      <c r="J110" s="2"/>
      <c r="K110" s="2"/>
      <c r="L110" s="2"/>
      <c r="M110" s="64">
        <v>-300000</v>
      </c>
      <c r="N110" s="2" t="s">
        <v>227</v>
      </c>
    </row>
    <row r="111" spans="1:14" s="26" customFormat="1" ht="12.75" customHeight="1" x14ac:dyDescent="0.25">
      <c r="A111" s="33" t="s">
        <v>19</v>
      </c>
      <c r="B111" s="3">
        <v>12297</v>
      </c>
      <c r="C111" s="9" t="s">
        <v>219</v>
      </c>
      <c r="D111" s="3">
        <v>214148</v>
      </c>
      <c r="E111" s="4">
        <v>44391</v>
      </c>
      <c r="F111" s="66" t="s">
        <v>236</v>
      </c>
      <c r="G111" s="5" t="s">
        <v>214</v>
      </c>
      <c r="H111" s="5"/>
      <c r="I111" s="2"/>
      <c r="J111" s="2"/>
      <c r="K111" s="2"/>
      <c r="L111" s="2"/>
      <c r="M111" s="64">
        <v>300000</v>
      </c>
      <c r="N111" s="2" t="s">
        <v>227</v>
      </c>
    </row>
    <row r="112" spans="1:14" s="26" customFormat="1" ht="12.75" customHeight="1" x14ac:dyDescent="0.25">
      <c r="A112" s="33" t="s">
        <v>19</v>
      </c>
      <c r="B112" s="3">
        <v>12360</v>
      </c>
      <c r="C112" s="9" t="s">
        <v>212</v>
      </c>
      <c r="D112" s="3">
        <v>214149</v>
      </c>
      <c r="E112" s="4">
        <v>43830</v>
      </c>
      <c r="F112" s="66" t="s">
        <v>237</v>
      </c>
      <c r="G112" s="5" t="s">
        <v>214</v>
      </c>
      <c r="H112" s="5"/>
      <c r="I112" s="2"/>
      <c r="J112" s="2"/>
      <c r="K112" s="2"/>
      <c r="L112" s="2"/>
      <c r="M112" s="64">
        <v>-199650</v>
      </c>
      <c r="N112" s="2" t="s">
        <v>227</v>
      </c>
    </row>
    <row r="113" spans="1:14" s="26" customFormat="1" ht="12.75" customHeight="1" x14ac:dyDescent="0.25">
      <c r="A113" s="33" t="s">
        <v>19</v>
      </c>
      <c r="B113" s="3">
        <v>12297</v>
      </c>
      <c r="C113" s="9" t="s">
        <v>219</v>
      </c>
      <c r="D113" s="3">
        <v>214149</v>
      </c>
      <c r="E113" s="4">
        <v>44392</v>
      </c>
      <c r="F113" s="66" t="s">
        <v>237</v>
      </c>
      <c r="G113" s="5" t="s">
        <v>214</v>
      </c>
      <c r="H113" s="5"/>
      <c r="I113" s="2"/>
      <c r="J113" s="2"/>
      <c r="K113" s="2"/>
      <c r="L113" s="2"/>
      <c r="M113" s="64">
        <f>199650+89527.82-89527.82</f>
        <v>199650</v>
      </c>
      <c r="N113" s="2" t="s">
        <v>227</v>
      </c>
    </row>
    <row r="114" spans="1:14" s="26" customFormat="1" ht="12.75" customHeight="1" x14ac:dyDescent="0.25">
      <c r="A114" s="33" t="s">
        <v>19</v>
      </c>
      <c r="B114" s="3">
        <v>12360</v>
      </c>
      <c r="C114" s="9" t="s">
        <v>212</v>
      </c>
      <c r="D114" s="3">
        <v>214152</v>
      </c>
      <c r="E114" s="4">
        <v>43830</v>
      </c>
      <c r="F114" s="66" t="s">
        <v>238</v>
      </c>
      <c r="G114" s="5" t="s">
        <v>214</v>
      </c>
      <c r="H114" s="5"/>
      <c r="I114" s="2"/>
      <c r="J114" s="2"/>
      <c r="K114" s="2"/>
      <c r="L114" s="2"/>
      <c r="M114" s="64">
        <v>-42587.360000000001</v>
      </c>
      <c r="N114" s="2" t="s">
        <v>227</v>
      </c>
    </row>
    <row r="115" spans="1:14" s="26" customFormat="1" ht="12.75" customHeight="1" x14ac:dyDescent="0.25">
      <c r="A115" s="33" t="s">
        <v>19</v>
      </c>
      <c r="B115" s="3">
        <v>12297</v>
      </c>
      <c r="C115" s="9" t="s">
        <v>219</v>
      </c>
      <c r="D115" s="3">
        <v>214152</v>
      </c>
      <c r="E115" s="4">
        <v>43830</v>
      </c>
      <c r="F115" s="66" t="s">
        <v>238</v>
      </c>
      <c r="G115" s="5" t="s">
        <v>214</v>
      </c>
      <c r="H115" s="5"/>
      <c r="I115" s="2"/>
      <c r="J115" s="2"/>
      <c r="K115" s="2"/>
      <c r="L115" s="2"/>
      <c r="M115" s="64">
        <v>42587.360000000001</v>
      </c>
      <c r="N115" s="2"/>
    </row>
    <row r="116" spans="1:14" s="26" customFormat="1" ht="12.75" customHeight="1" x14ac:dyDescent="0.25">
      <c r="A116" s="33" t="s">
        <v>19</v>
      </c>
      <c r="B116" s="3">
        <v>12360</v>
      </c>
      <c r="C116" s="9" t="s">
        <v>212</v>
      </c>
      <c r="D116" s="3">
        <v>214153</v>
      </c>
      <c r="E116" s="4">
        <v>43830</v>
      </c>
      <c r="F116" s="66" t="s">
        <v>239</v>
      </c>
      <c r="G116" s="5" t="s">
        <v>214</v>
      </c>
      <c r="H116" s="5"/>
      <c r="I116" s="2"/>
      <c r="J116" s="2"/>
      <c r="K116" s="2"/>
      <c r="L116" s="2"/>
      <c r="M116" s="64">
        <f>-393750+131250</f>
        <v>-262500</v>
      </c>
      <c r="N116" s="2" t="s">
        <v>227</v>
      </c>
    </row>
    <row r="117" spans="1:14" s="26" customFormat="1" ht="12.75" customHeight="1" x14ac:dyDescent="0.25">
      <c r="A117" s="33" t="s">
        <v>19</v>
      </c>
      <c r="B117" s="3">
        <v>12297</v>
      </c>
      <c r="C117" s="9" t="s">
        <v>219</v>
      </c>
      <c r="D117" s="3">
        <v>214153</v>
      </c>
      <c r="E117" s="4"/>
      <c r="F117" s="66" t="s">
        <v>239</v>
      </c>
      <c r="G117" s="5" t="s">
        <v>214</v>
      </c>
      <c r="H117" s="5"/>
      <c r="I117" s="2"/>
      <c r="J117" s="2"/>
      <c r="K117" s="2"/>
      <c r="L117" s="2"/>
      <c r="M117" s="64">
        <v>262500</v>
      </c>
      <c r="N117" s="2" t="s">
        <v>240</v>
      </c>
    </row>
    <row r="118" spans="1:14" s="26" customFormat="1" ht="12.75" customHeight="1" x14ac:dyDescent="0.25">
      <c r="A118" s="33" t="s">
        <v>19</v>
      </c>
      <c r="B118" s="3">
        <v>12360</v>
      </c>
      <c r="C118" s="9" t="s">
        <v>212</v>
      </c>
      <c r="D118" s="3">
        <v>214154</v>
      </c>
      <c r="E118" s="4">
        <v>43830</v>
      </c>
      <c r="F118" s="66" t="s">
        <v>241</v>
      </c>
      <c r="G118" s="5" t="s">
        <v>214</v>
      </c>
      <c r="H118" s="5"/>
      <c r="I118" s="2"/>
      <c r="J118" s="2"/>
      <c r="K118" s="2"/>
      <c r="L118" s="2"/>
      <c r="M118" s="64">
        <v>-75000</v>
      </c>
      <c r="N118" s="2" t="s">
        <v>227</v>
      </c>
    </row>
    <row r="119" spans="1:14" s="26" customFormat="1" ht="12.75" customHeight="1" x14ac:dyDescent="0.25">
      <c r="A119" s="33" t="s">
        <v>19</v>
      </c>
      <c r="B119" s="3">
        <v>12360</v>
      </c>
      <c r="C119" s="9" t="s">
        <v>212</v>
      </c>
      <c r="D119" s="3">
        <v>214155</v>
      </c>
      <c r="E119" s="4">
        <v>43830</v>
      </c>
      <c r="F119" s="66" t="s">
        <v>242</v>
      </c>
      <c r="G119" s="5" t="s">
        <v>214</v>
      </c>
      <c r="H119" s="5"/>
      <c r="I119" s="2"/>
      <c r="J119" s="2"/>
      <c r="K119" s="2"/>
      <c r="L119" s="2"/>
      <c r="M119" s="64">
        <v>-120000</v>
      </c>
      <c r="N119" s="2" t="s">
        <v>227</v>
      </c>
    </row>
    <row r="120" spans="1:14" s="26" customFormat="1" ht="12.75" customHeight="1" x14ac:dyDescent="0.25">
      <c r="A120" s="33" t="s">
        <v>19</v>
      </c>
      <c r="B120" s="3">
        <v>12360</v>
      </c>
      <c r="C120" s="9" t="s">
        <v>212</v>
      </c>
      <c r="D120" s="3">
        <v>214156</v>
      </c>
      <c r="E120" s="4">
        <v>43830</v>
      </c>
      <c r="F120" s="66" t="s">
        <v>243</v>
      </c>
      <c r="G120" s="5" t="s">
        <v>214</v>
      </c>
      <c r="H120" s="5"/>
      <c r="I120" s="2"/>
      <c r="J120" s="2"/>
      <c r="K120" s="2"/>
      <c r="L120" s="2"/>
      <c r="M120" s="64">
        <v>-84175</v>
      </c>
      <c r="N120" s="2" t="s">
        <v>227</v>
      </c>
    </row>
    <row r="121" spans="1:14" s="26" customFormat="1" ht="12.75" customHeight="1" x14ac:dyDescent="0.25">
      <c r="A121" s="33" t="s">
        <v>19</v>
      </c>
      <c r="B121" s="3">
        <v>12360</v>
      </c>
      <c r="C121" s="9" t="s">
        <v>212</v>
      </c>
      <c r="D121" s="3">
        <v>214157</v>
      </c>
      <c r="E121" s="4">
        <v>43830</v>
      </c>
      <c r="F121" s="66" t="s">
        <v>244</v>
      </c>
      <c r="G121" s="5" t="s">
        <v>214</v>
      </c>
      <c r="H121" s="5"/>
      <c r="I121" s="2"/>
      <c r="J121" s="2"/>
      <c r="K121" s="2"/>
      <c r="L121" s="2"/>
      <c r="M121" s="64">
        <v>-1496261.9</v>
      </c>
      <c r="N121" s="2" t="s">
        <v>227</v>
      </c>
    </row>
    <row r="122" spans="1:14" s="26" customFormat="1" ht="12.75" customHeight="1" x14ac:dyDescent="0.25">
      <c r="A122" s="33" t="s">
        <v>19</v>
      </c>
      <c r="B122" s="3">
        <v>12297</v>
      </c>
      <c r="C122" s="9" t="s">
        <v>219</v>
      </c>
      <c r="D122" s="3">
        <v>214157</v>
      </c>
      <c r="E122" s="4">
        <v>43830</v>
      </c>
      <c r="F122" s="66" t="s">
        <v>244</v>
      </c>
      <c r="G122" s="5" t="s">
        <v>214</v>
      </c>
      <c r="H122" s="5"/>
      <c r="I122" s="2"/>
      <c r="J122" s="2"/>
      <c r="K122" s="2"/>
      <c r="L122" s="2"/>
      <c r="M122" s="64">
        <f>997507.94+498753.97-498753.97+309799.38</f>
        <v>1307307.3199999998</v>
      </c>
      <c r="N122" s="2"/>
    </row>
    <row r="123" spans="1:14" s="26" customFormat="1" ht="12.75" customHeight="1" x14ac:dyDescent="0.25">
      <c r="A123" s="33" t="s">
        <v>19</v>
      </c>
      <c r="B123" s="3">
        <v>12360</v>
      </c>
      <c r="C123" s="9" t="s">
        <v>212</v>
      </c>
      <c r="D123" s="3">
        <v>214158</v>
      </c>
      <c r="E123" s="4">
        <v>43830</v>
      </c>
      <c r="F123" s="66" t="s">
        <v>245</v>
      </c>
      <c r="G123" s="5" t="s">
        <v>214</v>
      </c>
      <c r="H123" s="5"/>
      <c r="I123" s="2"/>
      <c r="J123" s="2"/>
      <c r="K123" s="2"/>
      <c r="L123" s="2"/>
      <c r="M123" s="64">
        <v>-2050000</v>
      </c>
      <c r="N123" s="2" t="s">
        <v>227</v>
      </c>
    </row>
    <row r="124" spans="1:14" s="26" customFormat="1" ht="12.75" customHeight="1" x14ac:dyDescent="0.25">
      <c r="A124" s="33" t="s">
        <v>19</v>
      </c>
      <c r="B124" s="3">
        <v>12360</v>
      </c>
      <c r="C124" s="9" t="s">
        <v>212</v>
      </c>
      <c r="D124" s="3">
        <v>214159</v>
      </c>
      <c r="E124" s="4">
        <v>43830</v>
      </c>
      <c r="F124" s="66" t="s">
        <v>246</v>
      </c>
      <c r="G124" s="5" t="s">
        <v>214</v>
      </c>
      <c r="H124" s="5"/>
      <c r="I124" s="2"/>
      <c r="J124" s="2"/>
      <c r="K124" s="2"/>
      <c r="L124" s="2"/>
      <c r="M124" s="64">
        <v>-146800</v>
      </c>
      <c r="N124" s="2" t="s">
        <v>227</v>
      </c>
    </row>
    <row r="125" spans="1:14" s="26" customFormat="1" ht="12.75" customHeight="1" x14ac:dyDescent="0.25">
      <c r="A125" s="33" t="s">
        <v>19</v>
      </c>
      <c r="B125" s="3">
        <v>12297</v>
      </c>
      <c r="C125" s="9" t="s">
        <v>219</v>
      </c>
      <c r="D125" s="3">
        <v>214159</v>
      </c>
      <c r="E125" s="4">
        <v>43830</v>
      </c>
      <c r="F125" s="66" t="s">
        <v>246</v>
      </c>
      <c r="G125" s="5" t="s">
        <v>214</v>
      </c>
      <c r="H125" s="5"/>
      <c r="I125" s="2"/>
      <c r="J125" s="2"/>
      <c r="K125" s="2"/>
      <c r="L125" s="2"/>
      <c r="M125" s="64">
        <v>146800</v>
      </c>
      <c r="N125" s="2"/>
    </row>
    <row r="126" spans="1:14" s="26" customFormat="1" ht="12.75" customHeight="1" x14ac:dyDescent="0.25">
      <c r="A126" s="33" t="s">
        <v>19</v>
      </c>
      <c r="B126" s="3">
        <v>12360</v>
      </c>
      <c r="C126" s="9" t="s">
        <v>212</v>
      </c>
      <c r="D126" s="3">
        <v>214160</v>
      </c>
      <c r="E126" s="4">
        <v>43830</v>
      </c>
      <c r="F126" s="66" t="s">
        <v>247</v>
      </c>
      <c r="G126" s="5" t="s">
        <v>214</v>
      </c>
      <c r="H126" s="5"/>
      <c r="I126" s="2"/>
      <c r="J126" s="2"/>
      <c r="K126" s="2"/>
      <c r="L126" s="2"/>
      <c r="M126" s="64">
        <v>-2029835</v>
      </c>
      <c r="N126" s="2" t="s">
        <v>227</v>
      </c>
    </row>
    <row r="127" spans="1:14" s="26" customFormat="1" ht="12.75" customHeight="1" x14ac:dyDescent="0.25">
      <c r="A127" s="33" t="s">
        <v>19</v>
      </c>
      <c r="B127" s="3">
        <v>12360</v>
      </c>
      <c r="C127" s="9" t="s">
        <v>212</v>
      </c>
      <c r="D127" s="3">
        <v>214161</v>
      </c>
      <c r="E127" s="4">
        <v>43830</v>
      </c>
      <c r="F127" s="66" t="s">
        <v>248</v>
      </c>
      <c r="G127" s="5" t="s">
        <v>214</v>
      </c>
      <c r="H127" s="5"/>
      <c r="I127" s="2"/>
      <c r="J127" s="2"/>
      <c r="K127" s="2"/>
      <c r="L127" s="2"/>
      <c r="M127" s="64">
        <v>-200000</v>
      </c>
      <c r="N127" s="2" t="s">
        <v>227</v>
      </c>
    </row>
    <row r="128" spans="1:14" s="26" customFormat="1" ht="12.75" customHeight="1" x14ac:dyDescent="0.25">
      <c r="A128" s="33" t="s">
        <v>19</v>
      </c>
      <c r="B128" s="3">
        <v>12360</v>
      </c>
      <c r="C128" s="9" t="s">
        <v>212</v>
      </c>
      <c r="D128" s="3">
        <v>214163</v>
      </c>
      <c r="E128" s="4">
        <v>43830</v>
      </c>
      <c r="F128" s="66" t="s">
        <v>249</v>
      </c>
      <c r="G128" s="5" t="s">
        <v>214</v>
      </c>
      <c r="H128" s="5"/>
      <c r="I128" s="2"/>
      <c r="J128" s="2"/>
      <c r="K128" s="2"/>
      <c r="L128" s="2"/>
      <c r="M128" s="64">
        <v>-320000</v>
      </c>
      <c r="N128" s="2" t="s">
        <v>227</v>
      </c>
    </row>
    <row r="129" spans="1:14" s="26" customFormat="1" ht="12.75" customHeight="1" x14ac:dyDescent="0.25">
      <c r="A129" s="33" t="s">
        <v>19</v>
      </c>
      <c r="B129" s="3">
        <v>12297</v>
      </c>
      <c r="C129" s="9" t="s">
        <v>219</v>
      </c>
      <c r="D129" s="3">
        <v>214163</v>
      </c>
      <c r="E129" s="4"/>
      <c r="F129" s="66" t="s">
        <v>249</v>
      </c>
      <c r="G129" s="5" t="s">
        <v>214</v>
      </c>
      <c r="H129" s="5"/>
      <c r="I129" s="2"/>
      <c r="J129" s="2"/>
      <c r="K129" s="2"/>
      <c r="L129" s="2"/>
      <c r="M129" s="64">
        <v>320000</v>
      </c>
      <c r="N129" s="2"/>
    </row>
    <row r="130" spans="1:14" s="26" customFormat="1" ht="12.75" customHeight="1" x14ac:dyDescent="0.25">
      <c r="A130" s="33" t="s">
        <v>19</v>
      </c>
      <c r="B130" s="3">
        <v>12360</v>
      </c>
      <c r="C130" s="9" t="s">
        <v>212</v>
      </c>
      <c r="D130" s="3">
        <v>214164</v>
      </c>
      <c r="E130" s="4">
        <v>43830</v>
      </c>
      <c r="F130" s="66" t="s">
        <v>250</v>
      </c>
      <c r="G130" s="5" t="s">
        <v>214</v>
      </c>
      <c r="H130" s="5"/>
      <c r="I130" s="2"/>
      <c r="J130" s="2"/>
      <c r="K130" s="2"/>
      <c r="L130" s="2"/>
      <c r="M130" s="64">
        <v>-415530</v>
      </c>
      <c r="N130" s="2" t="s">
        <v>227</v>
      </c>
    </row>
    <row r="131" spans="1:14" s="26" customFormat="1" ht="12.75" customHeight="1" x14ac:dyDescent="0.25">
      <c r="A131" s="33" t="s">
        <v>19</v>
      </c>
      <c r="B131" s="3">
        <v>12297</v>
      </c>
      <c r="C131" s="9" t="s">
        <v>219</v>
      </c>
      <c r="D131" s="3">
        <v>214164</v>
      </c>
      <c r="E131" s="4"/>
      <c r="F131" s="66" t="s">
        <v>250</v>
      </c>
      <c r="G131" s="5" t="s">
        <v>214</v>
      </c>
      <c r="H131" s="5"/>
      <c r="I131" s="2"/>
      <c r="J131" s="2"/>
      <c r="K131" s="2"/>
      <c r="L131" s="2"/>
      <c r="M131" s="64">
        <v>415530</v>
      </c>
      <c r="N131" s="69" t="s">
        <v>210</v>
      </c>
    </row>
    <row r="132" spans="1:14" s="26" customFormat="1" ht="12.75" customHeight="1" x14ac:dyDescent="0.25">
      <c r="A132" s="33" t="s">
        <v>19</v>
      </c>
      <c r="B132" s="3">
        <v>12360</v>
      </c>
      <c r="C132" s="9" t="s">
        <v>212</v>
      </c>
      <c r="D132" s="3">
        <v>215382</v>
      </c>
      <c r="E132" s="4">
        <v>43868</v>
      </c>
      <c r="F132" s="66" t="s">
        <v>251</v>
      </c>
      <c r="G132" s="5" t="s">
        <v>214</v>
      </c>
      <c r="H132" s="5">
        <v>1265</v>
      </c>
      <c r="I132" s="2">
        <v>43952</v>
      </c>
      <c r="J132" s="2"/>
      <c r="K132" s="2">
        <v>45046</v>
      </c>
      <c r="L132" s="2"/>
      <c r="M132" s="64">
        <f>-540000+162000+162000+162000+54000</f>
        <v>0</v>
      </c>
      <c r="N132" s="2" t="s">
        <v>252</v>
      </c>
    </row>
    <row r="133" spans="1:14" s="26" customFormat="1" ht="12.75" customHeight="1" x14ac:dyDescent="0.25">
      <c r="A133" s="33" t="s">
        <v>19</v>
      </c>
      <c r="B133" s="3">
        <v>12360</v>
      </c>
      <c r="C133" s="9" t="s">
        <v>212</v>
      </c>
      <c r="D133" s="3">
        <v>215383</v>
      </c>
      <c r="E133" s="4">
        <v>43868</v>
      </c>
      <c r="F133" s="66" t="s">
        <v>253</v>
      </c>
      <c r="G133" s="5" t="s">
        <v>214</v>
      </c>
      <c r="H133" s="5">
        <v>1260</v>
      </c>
      <c r="I133" s="2">
        <v>43952</v>
      </c>
      <c r="J133" s="2"/>
      <c r="K133" s="2">
        <v>45046</v>
      </c>
      <c r="L133" s="2"/>
      <c r="M133" s="64">
        <f>-705600+211680+211680+211680+70560</f>
        <v>0</v>
      </c>
      <c r="N133" s="2" t="s">
        <v>252</v>
      </c>
    </row>
    <row r="134" spans="1:14" s="26" customFormat="1" ht="12.75" customHeight="1" x14ac:dyDescent="0.25">
      <c r="A134" s="33" t="s">
        <v>19</v>
      </c>
      <c r="B134" s="3">
        <v>12360</v>
      </c>
      <c r="C134" s="9" t="s">
        <v>212</v>
      </c>
      <c r="D134" s="3">
        <v>215384</v>
      </c>
      <c r="E134" s="4">
        <v>43869</v>
      </c>
      <c r="F134" s="66" t="s">
        <v>254</v>
      </c>
      <c r="G134" s="5" t="s">
        <v>214</v>
      </c>
      <c r="H134" s="5">
        <v>1203</v>
      </c>
      <c r="I134" s="2">
        <v>43888</v>
      </c>
      <c r="J134" s="2"/>
      <c r="K134" s="4" t="s">
        <v>255</v>
      </c>
      <c r="L134" s="4"/>
      <c r="M134" s="64">
        <v>-693400</v>
      </c>
      <c r="N134" s="2" t="s">
        <v>194</v>
      </c>
    </row>
    <row r="135" spans="1:14" s="26" customFormat="1" ht="12.75" customHeight="1" x14ac:dyDescent="0.25">
      <c r="A135" s="33" t="s">
        <v>19</v>
      </c>
      <c r="B135" s="3">
        <v>12297</v>
      </c>
      <c r="C135" s="9" t="s">
        <v>219</v>
      </c>
      <c r="D135" s="3">
        <v>215384</v>
      </c>
      <c r="E135" s="4">
        <v>44392</v>
      </c>
      <c r="F135" s="66" t="s">
        <v>254</v>
      </c>
      <c r="G135" s="5" t="s">
        <v>214</v>
      </c>
      <c r="H135" s="5">
        <v>1203</v>
      </c>
      <c r="I135" s="2">
        <v>43888</v>
      </c>
      <c r="J135" s="2"/>
      <c r="K135" s="4" t="s">
        <v>255</v>
      </c>
      <c r="L135" s="4"/>
      <c r="M135" s="64">
        <v>693400</v>
      </c>
      <c r="N135" s="2" t="s">
        <v>194</v>
      </c>
    </row>
    <row r="136" spans="1:14" s="26" customFormat="1" ht="12.75" customHeight="1" x14ac:dyDescent="0.25">
      <c r="A136" s="33" t="s">
        <v>19</v>
      </c>
      <c r="B136" s="3">
        <v>12360</v>
      </c>
      <c r="C136" s="9" t="s">
        <v>212</v>
      </c>
      <c r="D136" s="3">
        <v>215385</v>
      </c>
      <c r="E136" s="4">
        <v>43869</v>
      </c>
      <c r="F136" s="66" t="s">
        <v>256</v>
      </c>
      <c r="G136" s="5" t="s">
        <v>214</v>
      </c>
      <c r="H136" s="5">
        <v>1440</v>
      </c>
      <c r="I136" s="2">
        <v>44075</v>
      </c>
      <c r="J136" s="2"/>
      <c r="K136" s="2">
        <v>44439</v>
      </c>
      <c r="L136" s="2"/>
      <c r="M136" s="64">
        <v>-900000</v>
      </c>
      <c r="N136" s="2" t="s">
        <v>257</v>
      </c>
    </row>
    <row r="137" spans="1:14" s="26" customFormat="1" ht="12.75" customHeight="1" x14ac:dyDescent="0.25">
      <c r="A137" s="33" t="s">
        <v>19</v>
      </c>
      <c r="B137" s="3">
        <v>12297</v>
      </c>
      <c r="C137" s="9" t="s">
        <v>219</v>
      </c>
      <c r="D137" s="3">
        <v>215385</v>
      </c>
      <c r="E137" s="4">
        <v>43869</v>
      </c>
      <c r="F137" s="66" t="s">
        <v>256</v>
      </c>
      <c r="G137" s="5" t="s">
        <v>214</v>
      </c>
      <c r="H137" s="5">
        <v>1440</v>
      </c>
      <c r="I137" s="2"/>
      <c r="J137" s="2"/>
      <c r="K137" s="2"/>
      <c r="L137" s="2"/>
      <c r="M137" s="64">
        <v>900000</v>
      </c>
      <c r="N137" s="2"/>
    </row>
    <row r="138" spans="1:14" s="26" customFormat="1" ht="12.75" customHeight="1" x14ac:dyDescent="0.25">
      <c r="A138" s="33" t="s">
        <v>19</v>
      </c>
      <c r="B138" s="3">
        <v>12360</v>
      </c>
      <c r="C138" s="9" t="s">
        <v>212</v>
      </c>
      <c r="D138" s="3">
        <v>215387</v>
      </c>
      <c r="E138" s="4">
        <v>43889</v>
      </c>
      <c r="F138" s="66" t="s">
        <v>258</v>
      </c>
      <c r="G138" s="5" t="s">
        <v>214</v>
      </c>
      <c r="H138" s="5">
        <v>1663</v>
      </c>
      <c r="I138" s="2">
        <v>44014</v>
      </c>
      <c r="J138" s="2"/>
      <c r="K138" s="2">
        <v>44378</v>
      </c>
      <c r="L138" s="2"/>
      <c r="M138" s="64">
        <v>-349991</v>
      </c>
      <c r="N138" s="2" t="s">
        <v>257</v>
      </c>
    </row>
    <row r="139" spans="1:14" s="26" customFormat="1" ht="12.75" customHeight="1" x14ac:dyDescent="0.25">
      <c r="A139" s="33" t="s">
        <v>19</v>
      </c>
      <c r="B139" s="3">
        <v>12297</v>
      </c>
      <c r="C139" s="9" t="s">
        <v>219</v>
      </c>
      <c r="D139" s="3">
        <v>215387</v>
      </c>
      <c r="E139" s="4">
        <v>43889</v>
      </c>
      <c r="F139" s="66" t="s">
        <v>258</v>
      </c>
      <c r="G139" s="5" t="s">
        <v>214</v>
      </c>
      <c r="H139" s="5"/>
      <c r="I139" s="2"/>
      <c r="J139" s="2"/>
      <c r="K139" s="2"/>
      <c r="L139" s="2"/>
      <c r="M139" s="64">
        <v>349991</v>
      </c>
      <c r="N139" s="2"/>
    </row>
    <row r="140" spans="1:14" s="26" customFormat="1" ht="12.75" customHeight="1" x14ac:dyDescent="0.25">
      <c r="A140" s="33" t="s">
        <v>19</v>
      </c>
      <c r="B140" s="3">
        <v>12360</v>
      </c>
      <c r="C140" s="9" t="s">
        <v>212</v>
      </c>
      <c r="D140" s="3">
        <v>215391</v>
      </c>
      <c r="E140" s="4">
        <v>43890</v>
      </c>
      <c r="F140" s="66" t="s">
        <v>259</v>
      </c>
      <c r="G140" s="5" t="s">
        <v>214</v>
      </c>
      <c r="H140" s="5">
        <v>1650</v>
      </c>
      <c r="I140" s="2">
        <v>44256</v>
      </c>
      <c r="J140" s="2"/>
      <c r="K140" s="2">
        <v>44620</v>
      </c>
      <c r="L140" s="2"/>
      <c r="M140" s="64">
        <v>-30000000</v>
      </c>
      <c r="N140" s="2" t="s">
        <v>257</v>
      </c>
    </row>
    <row r="141" spans="1:14" s="26" customFormat="1" ht="12.75" customHeight="1" x14ac:dyDescent="0.25">
      <c r="A141" s="33" t="s">
        <v>19</v>
      </c>
      <c r="B141" s="3">
        <v>12297</v>
      </c>
      <c r="C141" s="9" t="s">
        <v>219</v>
      </c>
      <c r="D141" s="3">
        <v>215391</v>
      </c>
      <c r="E141" s="4">
        <v>44302</v>
      </c>
      <c r="F141" s="66" t="s">
        <v>259</v>
      </c>
      <c r="G141" s="5" t="s">
        <v>214</v>
      </c>
      <c r="H141" s="5">
        <v>1650</v>
      </c>
      <c r="I141" s="2"/>
      <c r="J141" s="2"/>
      <c r="K141" s="2"/>
      <c r="L141" s="2"/>
      <c r="M141" s="64">
        <f>1385363.73+1147660.03+2754337.4+2343451.62+4681053.4-640000+3202315.84</f>
        <v>14874182.02</v>
      </c>
      <c r="N141" s="2"/>
    </row>
    <row r="142" spans="1:14" s="26" customFormat="1" ht="12.75" customHeight="1" x14ac:dyDescent="0.25">
      <c r="A142" s="33" t="s">
        <v>19</v>
      </c>
      <c r="B142" s="3">
        <v>12360</v>
      </c>
      <c r="C142" s="9" t="s">
        <v>212</v>
      </c>
      <c r="D142" s="3">
        <v>215392</v>
      </c>
      <c r="E142" s="4">
        <v>43890</v>
      </c>
      <c r="F142" s="66" t="s">
        <v>260</v>
      </c>
      <c r="G142" s="5" t="s">
        <v>214</v>
      </c>
      <c r="H142" s="5" t="s">
        <v>261</v>
      </c>
      <c r="I142" s="2">
        <v>44290</v>
      </c>
      <c r="J142" s="2"/>
      <c r="K142" s="2">
        <v>44654</v>
      </c>
      <c r="L142" s="2"/>
      <c r="M142" s="64">
        <v>-251355</v>
      </c>
      <c r="N142" s="2" t="s">
        <v>262</v>
      </c>
    </row>
    <row r="143" spans="1:14" s="26" customFormat="1" ht="12.75" customHeight="1" x14ac:dyDescent="0.25">
      <c r="A143" s="33" t="s">
        <v>19</v>
      </c>
      <c r="B143" s="3">
        <v>12297</v>
      </c>
      <c r="C143" s="9" t="s">
        <v>219</v>
      </c>
      <c r="D143" s="3">
        <v>215392</v>
      </c>
      <c r="E143" s="4"/>
      <c r="F143" s="66" t="s">
        <v>260</v>
      </c>
      <c r="G143" s="5" t="s">
        <v>214</v>
      </c>
      <c r="H143" s="5"/>
      <c r="I143" s="2"/>
      <c r="J143" s="2"/>
      <c r="K143" s="2"/>
      <c r="L143" s="2"/>
      <c r="M143" s="64">
        <v>251355</v>
      </c>
      <c r="N143" s="2"/>
    </row>
    <row r="144" spans="1:14" s="26" customFormat="1" ht="12.75" customHeight="1" x14ac:dyDescent="0.25">
      <c r="A144" s="33" t="s">
        <v>19</v>
      </c>
      <c r="B144" s="3">
        <v>12360</v>
      </c>
      <c r="C144" s="9" t="s">
        <v>212</v>
      </c>
      <c r="D144" s="3">
        <v>215393</v>
      </c>
      <c r="E144" s="4">
        <v>43890</v>
      </c>
      <c r="F144" s="66" t="s">
        <v>263</v>
      </c>
      <c r="G144" s="5" t="s">
        <v>214</v>
      </c>
      <c r="H144" s="5">
        <v>1410</v>
      </c>
      <c r="I144" s="63">
        <v>43982</v>
      </c>
      <c r="J144" s="63"/>
      <c r="K144" s="2">
        <v>44346</v>
      </c>
      <c r="L144" s="2"/>
      <c r="M144" s="64">
        <v>-202160</v>
      </c>
      <c r="N144" s="2" t="s">
        <v>252</v>
      </c>
    </row>
    <row r="145" spans="1:15" s="26" customFormat="1" ht="12.75" customHeight="1" x14ac:dyDescent="0.25">
      <c r="A145" s="33" t="s">
        <v>19</v>
      </c>
      <c r="B145" s="3">
        <v>12360</v>
      </c>
      <c r="C145" s="9" t="s">
        <v>212</v>
      </c>
      <c r="D145" s="3">
        <v>215394</v>
      </c>
      <c r="E145" s="4">
        <v>43890</v>
      </c>
      <c r="F145" s="66" t="s">
        <v>264</v>
      </c>
      <c r="G145" s="5" t="s">
        <v>214</v>
      </c>
      <c r="H145" s="5">
        <v>1140</v>
      </c>
      <c r="I145" s="2">
        <v>43935</v>
      </c>
      <c r="J145" s="2"/>
      <c r="K145" s="2">
        <v>44299</v>
      </c>
      <c r="L145" s="2"/>
      <c r="M145" s="64">
        <v>-456300</v>
      </c>
      <c r="N145" s="2" t="s">
        <v>257</v>
      </c>
    </row>
    <row r="146" spans="1:15" s="26" customFormat="1" ht="12.75" customHeight="1" x14ac:dyDescent="0.25">
      <c r="A146" s="33" t="s">
        <v>19</v>
      </c>
      <c r="B146" s="3">
        <v>12297</v>
      </c>
      <c r="C146" s="9" t="s">
        <v>219</v>
      </c>
      <c r="D146" s="3">
        <v>215394</v>
      </c>
      <c r="E146" s="4">
        <v>43890</v>
      </c>
      <c r="F146" s="66" t="s">
        <v>264</v>
      </c>
      <c r="G146" s="5" t="s">
        <v>214</v>
      </c>
      <c r="H146" s="5">
        <v>1140</v>
      </c>
      <c r="I146" s="2"/>
      <c r="J146" s="2"/>
      <c r="K146" s="2"/>
      <c r="L146" s="2"/>
      <c r="M146" s="64">
        <v>456300</v>
      </c>
      <c r="N146" s="2"/>
    </row>
    <row r="147" spans="1:15" s="26" customFormat="1" ht="12.75" customHeight="1" x14ac:dyDescent="0.25">
      <c r="A147" s="33" t="s">
        <v>19</v>
      </c>
      <c r="B147" s="3">
        <v>12360</v>
      </c>
      <c r="C147" s="9" t="s">
        <v>212</v>
      </c>
      <c r="D147" s="3">
        <v>215395</v>
      </c>
      <c r="E147" s="4">
        <v>43890</v>
      </c>
      <c r="F147" s="66" t="s">
        <v>265</v>
      </c>
      <c r="G147" s="5" t="s">
        <v>214</v>
      </c>
      <c r="H147" s="5">
        <v>1210</v>
      </c>
      <c r="I147" s="2">
        <v>44089</v>
      </c>
      <c r="J147" s="2"/>
      <c r="K147" s="2">
        <v>44453</v>
      </c>
      <c r="L147" s="2"/>
      <c r="M147" s="64">
        <v>-343000</v>
      </c>
      <c r="N147" s="2" t="s">
        <v>262</v>
      </c>
    </row>
    <row r="148" spans="1:15" s="26" customFormat="1" ht="12.75" customHeight="1" x14ac:dyDescent="0.25">
      <c r="A148" s="33" t="s">
        <v>19</v>
      </c>
      <c r="B148" s="3">
        <v>12297</v>
      </c>
      <c r="C148" s="9" t="s">
        <v>219</v>
      </c>
      <c r="D148" s="3">
        <v>215395</v>
      </c>
      <c r="E148" s="4">
        <v>44449</v>
      </c>
      <c r="F148" s="66" t="s">
        <v>265</v>
      </c>
      <c r="G148" s="5" t="s">
        <v>214</v>
      </c>
      <c r="H148" s="5">
        <v>1210</v>
      </c>
      <c r="I148" s="2"/>
      <c r="J148" s="2"/>
      <c r="K148" s="2"/>
      <c r="L148" s="2"/>
      <c r="M148" s="64">
        <v>343000</v>
      </c>
      <c r="N148" s="2"/>
    </row>
    <row r="149" spans="1:15" s="26" customFormat="1" ht="12.75" customHeight="1" x14ac:dyDescent="0.25">
      <c r="A149" s="33" t="s">
        <v>19</v>
      </c>
      <c r="B149" s="3">
        <v>12360</v>
      </c>
      <c r="C149" s="9" t="s">
        <v>212</v>
      </c>
      <c r="D149" s="3">
        <v>215627</v>
      </c>
      <c r="E149" s="4">
        <v>43890</v>
      </c>
      <c r="F149" s="66" t="s">
        <v>266</v>
      </c>
      <c r="G149" s="5" t="s">
        <v>214</v>
      </c>
      <c r="H149" s="5">
        <v>2200</v>
      </c>
      <c r="I149" s="2">
        <v>43895</v>
      </c>
      <c r="J149" s="2"/>
      <c r="K149" s="2">
        <v>44259</v>
      </c>
      <c r="L149" s="2"/>
      <c r="M149" s="64">
        <f>-261300+130650+65325</f>
        <v>-65325</v>
      </c>
      <c r="N149" s="2" t="s">
        <v>257</v>
      </c>
    </row>
    <row r="150" spans="1:15" s="26" customFormat="1" ht="12.75" customHeight="1" x14ac:dyDescent="0.25">
      <c r="A150" s="33" t="s">
        <v>19</v>
      </c>
      <c r="B150" s="3">
        <v>12360</v>
      </c>
      <c r="C150" s="9" t="s">
        <v>212</v>
      </c>
      <c r="D150" s="3">
        <v>215390</v>
      </c>
      <c r="E150" s="4">
        <v>43890</v>
      </c>
      <c r="F150" s="66" t="s">
        <v>267</v>
      </c>
      <c r="G150" s="5" t="s">
        <v>214</v>
      </c>
      <c r="H150" s="5">
        <v>1215</v>
      </c>
      <c r="I150" s="2">
        <v>44012</v>
      </c>
      <c r="J150" s="2"/>
      <c r="K150" s="2">
        <v>44376</v>
      </c>
      <c r="L150" s="2"/>
      <c r="M150" s="64">
        <v>-1033440</v>
      </c>
      <c r="N150" s="2" t="s">
        <v>89</v>
      </c>
    </row>
    <row r="151" spans="1:15" s="26" customFormat="1" ht="12.75" customHeight="1" x14ac:dyDescent="0.25">
      <c r="A151" s="33" t="s">
        <v>19</v>
      </c>
      <c r="B151" s="3">
        <v>12297</v>
      </c>
      <c r="C151" s="9" t="s">
        <v>219</v>
      </c>
      <c r="D151" s="3">
        <v>215390</v>
      </c>
      <c r="E151" s="4">
        <v>44452</v>
      </c>
      <c r="F151" s="66" t="s">
        <v>267</v>
      </c>
      <c r="G151" s="5" t="s">
        <v>214</v>
      </c>
      <c r="H151" s="5">
        <v>1215</v>
      </c>
      <c r="I151" s="2"/>
      <c r="J151" s="2"/>
      <c r="K151" s="2"/>
      <c r="L151" s="2"/>
      <c r="M151" s="64">
        <v>1033440</v>
      </c>
      <c r="N151" s="2"/>
    </row>
    <row r="152" spans="1:15" s="26" customFormat="1" ht="12.75" customHeight="1" x14ac:dyDescent="0.25">
      <c r="A152" s="33" t="s">
        <v>19</v>
      </c>
      <c r="B152" s="3">
        <v>12360</v>
      </c>
      <c r="C152" s="9" t="s">
        <v>212</v>
      </c>
      <c r="D152" s="3">
        <v>216226</v>
      </c>
      <c r="E152" s="4">
        <v>43907</v>
      </c>
      <c r="F152" s="66" t="s">
        <v>268</v>
      </c>
      <c r="G152" s="5" t="s">
        <v>214</v>
      </c>
      <c r="H152" s="5" t="s">
        <v>269</v>
      </c>
      <c r="I152" s="2">
        <v>44078</v>
      </c>
      <c r="J152" s="2"/>
      <c r="K152" s="2"/>
      <c r="L152" s="2"/>
      <c r="M152" s="64">
        <f>-1014300+202860</f>
        <v>-811440</v>
      </c>
      <c r="N152" s="2" t="s">
        <v>128</v>
      </c>
    </row>
    <row r="153" spans="1:15" s="26" customFormat="1" ht="12.75" customHeight="1" x14ac:dyDescent="0.25">
      <c r="A153" s="33" t="s">
        <v>19</v>
      </c>
      <c r="B153" s="3">
        <v>12297</v>
      </c>
      <c r="C153" s="9" t="s">
        <v>219</v>
      </c>
      <c r="D153" s="3">
        <v>216226</v>
      </c>
      <c r="E153" s="4">
        <v>43907</v>
      </c>
      <c r="F153" s="66" t="s">
        <v>268</v>
      </c>
      <c r="G153" s="5" t="s">
        <v>214</v>
      </c>
      <c r="H153" s="5" t="s">
        <v>269</v>
      </c>
      <c r="I153" s="2"/>
      <c r="J153" s="2"/>
      <c r="K153" s="2"/>
      <c r="L153" s="2"/>
      <c r="M153" s="64">
        <v>811440</v>
      </c>
      <c r="N153" s="2"/>
    </row>
    <row r="154" spans="1:15" s="26" customFormat="1" ht="12.75" customHeight="1" x14ac:dyDescent="0.25">
      <c r="A154" s="33" t="s">
        <v>19</v>
      </c>
      <c r="B154" s="3">
        <v>12360</v>
      </c>
      <c r="C154" s="9" t="s">
        <v>212</v>
      </c>
      <c r="D154" s="3">
        <v>216783</v>
      </c>
      <c r="E154" s="4">
        <v>43957</v>
      </c>
      <c r="F154" s="66" t="s">
        <v>270</v>
      </c>
      <c r="G154" s="5" t="s">
        <v>271</v>
      </c>
      <c r="H154" s="5" t="s">
        <v>272</v>
      </c>
      <c r="I154" s="2">
        <v>43904</v>
      </c>
      <c r="J154" s="2"/>
      <c r="K154" s="2">
        <v>44269</v>
      </c>
      <c r="L154" s="2"/>
      <c r="M154" s="64">
        <v>-336000</v>
      </c>
      <c r="N154" s="2" t="s">
        <v>89</v>
      </c>
    </row>
    <row r="155" spans="1:15" s="26" customFormat="1" ht="12.75" customHeight="1" x14ac:dyDescent="0.25">
      <c r="A155" s="33" t="s">
        <v>19</v>
      </c>
      <c r="B155" s="3">
        <v>12297</v>
      </c>
      <c r="C155" s="9" t="s">
        <v>219</v>
      </c>
      <c r="D155" s="3">
        <v>216783</v>
      </c>
      <c r="E155" s="4"/>
      <c r="F155" s="66" t="s">
        <v>270</v>
      </c>
      <c r="G155" s="5" t="s">
        <v>271</v>
      </c>
      <c r="H155" s="5" t="s">
        <v>272</v>
      </c>
      <c r="I155" s="2">
        <v>43904</v>
      </c>
      <c r="J155" s="2"/>
      <c r="K155" s="2">
        <v>44269</v>
      </c>
      <c r="L155" s="2"/>
      <c r="M155" s="64">
        <v>336000</v>
      </c>
      <c r="N155" s="2"/>
    </row>
    <row r="156" spans="1:15" s="26" customFormat="1" ht="12.75" customHeight="1" x14ac:dyDescent="0.25">
      <c r="A156" s="33" t="s">
        <v>19</v>
      </c>
      <c r="B156" s="3">
        <v>12360</v>
      </c>
      <c r="C156" s="9" t="s">
        <v>212</v>
      </c>
      <c r="D156" s="3">
        <v>216782</v>
      </c>
      <c r="E156" s="4">
        <v>43957</v>
      </c>
      <c r="F156" s="66" t="s">
        <v>230</v>
      </c>
      <c r="G156" s="5" t="s">
        <v>271</v>
      </c>
      <c r="H156" s="5">
        <v>1400</v>
      </c>
      <c r="I156" s="2">
        <v>43895</v>
      </c>
      <c r="J156" s="2"/>
      <c r="K156" s="2">
        <v>44260</v>
      </c>
      <c r="L156" s="2"/>
      <c r="M156" s="64">
        <v>-172500</v>
      </c>
      <c r="N156" s="2" t="s">
        <v>89</v>
      </c>
      <c r="O156" s="26" t="s">
        <v>273</v>
      </c>
    </row>
    <row r="157" spans="1:15" s="26" customFormat="1" ht="12.75" customHeight="1" x14ac:dyDescent="0.25">
      <c r="A157" s="33" t="s">
        <v>19</v>
      </c>
      <c r="B157" s="3">
        <v>12360</v>
      </c>
      <c r="C157" s="9" t="s">
        <v>212</v>
      </c>
      <c r="D157" s="3">
        <v>216781</v>
      </c>
      <c r="E157" s="4">
        <v>43957</v>
      </c>
      <c r="F157" s="66" t="s">
        <v>274</v>
      </c>
      <c r="G157" s="5" t="s">
        <v>271</v>
      </c>
      <c r="H157" s="5">
        <v>1305</v>
      </c>
      <c r="I157" s="2">
        <v>43895</v>
      </c>
      <c r="J157" s="2"/>
      <c r="K157" s="2">
        <v>44260</v>
      </c>
      <c r="L157" s="2"/>
      <c r="M157" s="64">
        <v>-201760</v>
      </c>
      <c r="N157" s="2" t="s">
        <v>89</v>
      </c>
    </row>
    <row r="158" spans="1:15" s="26" customFormat="1" ht="12.75" customHeight="1" x14ac:dyDescent="0.25">
      <c r="A158" s="33" t="s">
        <v>19</v>
      </c>
      <c r="B158" s="3">
        <v>12360</v>
      </c>
      <c r="C158" s="9" t="s">
        <v>212</v>
      </c>
      <c r="D158" s="3">
        <v>216780</v>
      </c>
      <c r="E158" s="4">
        <v>43957</v>
      </c>
      <c r="F158" s="66" t="s">
        <v>275</v>
      </c>
      <c r="G158" s="5" t="s">
        <v>271</v>
      </c>
      <c r="H158" s="5">
        <v>1415</v>
      </c>
      <c r="I158" s="2">
        <v>43895</v>
      </c>
      <c r="J158" s="2"/>
      <c r="K158" s="2">
        <v>44260</v>
      </c>
      <c r="L158" s="2"/>
      <c r="M158" s="64">
        <f>-284250+284250</f>
        <v>0</v>
      </c>
      <c r="N158" s="2" t="s">
        <v>89</v>
      </c>
    </row>
    <row r="159" spans="1:15" s="77" customFormat="1" ht="12.75" customHeight="1" x14ac:dyDescent="0.25">
      <c r="A159" s="33" t="s">
        <v>19</v>
      </c>
      <c r="B159" s="70">
        <v>12360</v>
      </c>
      <c r="C159" s="71" t="s">
        <v>212</v>
      </c>
      <c r="D159" s="70">
        <v>219105</v>
      </c>
      <c r="E159" s="72">
        <v>44013</v>
      </c>
      <c r="F159" s="73" t="s">
        <v>276</v>
      </c>
      <c r="G159" s="74" t="s">
        <v>214</v>
      </c>
      <c r="H159" s="74">
        <v>1630</v>
      </c>
      <c r="I159" s="75"/>
      <c r="J159" s="75"/>
      <c r="K159" s="75"/>
      <c r="L159" s="75"/>
      <c r="M159" s="76">
        <f>-781550+260516.66+521033.32+0.02</f>
        <v>3.9581209837491471E-11</v>
      </c>
      <c r="N159" s="75" t="s">
        <v>232</v>
      </c>
    </row>
    <row r="160" spans="1:15" s="77" customFormat="1" ht="12.75" customHeight="1" x14ac:dyDescent="0.25">
      <c r="A160" s="33" t="s">
        <v>19</v>
      </c>
      <c r="B160" s="70">
        <v>12297</v>
      </c>
      <c r="C160" s="71" t="s">
        <v>219</v>
      </c>
      <c r="D160" s="70">
        <v>219105</v>
      </c>
      <c r="E160" s="72">
        <v>44392</v>
      </c>
      <c r="F160" s="73" t="s">
        <v>276</v>
      </c>
      <c r="G160" s="74" t="s">
        <v>214</v>
      </c>
      <c r="H160" s="74">
        <v>1630</v>
      </c>
      <c r="I160" s="75"/>
      <c r="J160" s="75"/>
      <c r="K160" s="75"/>
      <c r="L160" s="75"/>
      <c r="M160" s="76">
        <f>260516.66+260516.66-521033.32</f>
        <v>0</v>
      </c>
      <c r="N160" s="75" t="s">
        <v>232</v>
      </c>
    </row>
    <row r="161" spans="1:14" s="26" customFormat="1" ht="12.75" customHeight="1" x14ac:dyDescent="0.25">
      <c r="A161" s="33" t="s">
        <v>19</v>
      </c>
      <c r="B161" s="3">
        <v>12360</v>
      </c>
      <c r="C161" s="9" t="s">
        <v>212</v>
      </c>
      <c r="D161" s="3">
        <v>219109</v>
      </c>
      <c r="E161" s="4">
        <v>44013</v>
      </c>
      <c r="F161" s="66" t="s">
        <v>277</v>
      </c>
      <c r="G161" s="5" t="s">
        <v>214</v>
      </c>
      <c r="H161" s="5">
        <v>1320</v>
      </c>
      <c r="I161" s="2"/>
      <c r="J161" s="2"/>
      <c r="K161" s="2"/>
      <c r="L161" s="2"/>
      <c r="M161" s="64">
        <v>-300000</v>
      </c>
      <c r="N161" s="2"/>
    </row>
    <row r="162" spans="1:14" s="26" customFormat="1" ht="12.75" customHeight="1" x14ac:dyDescent="0.25">
      <c r="A162" s="33" t="s">
        <v>19</v>
      </c>
      <c r="B162" s="3">
        <v>12297</v>
      </c>
      <c r="C162" s="9" t="s">
        <v>219</v>
      </c>
      <c r="D162" s="3">
        <v>219109</v>
      </c>
      <c r="E162" s="4">
        <v>44013</v>
      </c>
      <c r="F162" s="66" t="s">
        <v>277</v>
      </c>
      <c r="G162" s="5" t="s">
        <v>214</v>
      </c>
      <c r="H162" s="5">
        <v>1320</v>
      </c>
      <c r="I162" s="2"/>
      <c r="J162" s="2"/>
      <c r="K162" s="2"/>
      <c r="L162" s="2"/>
      <c r="M162" s="64">
        <v>300000</v>
      </c>
      <c r="N162" s="2"/>
    </row>
    <row r="163" spans="1:14" s="26" customFormat="1" ht="12.75" customHeight="1" x14ac:dyDescent="0.25">
      <c r="A163" s="33" t="s">
        <v>19</v>
      </c>
      <c r="B163" s="3">
        <v>12360</v>
      </c>
      <c r="C163" s="9" t="s">
        <v>212</v>
      </c>
      <c r="D163" s="3">
        <v>219110</v>
      </c>
      <c r="E163" s="4">
        <v>44013</v>
      </c>
      <c r="F163" s="66" t="s">
        <v>278</v>
      </c>
      <c r="G163" s="5" t="s">
        <v>214</v>
      </c>
      <c r="H163" s="5">
        <v>1112</v>
      </c>
      <c r="I163" s="2"/>
      <c r="J163" s="2"/>
      <c r="K163" s="2"/>
      <c r="L163" s="2"/>
      <c r="M163" s="64">
        <v>-533600</v>
      </c>
      <c r="N163" s="2"/>
    </row>
    <row r="164" spans="1:14" s="26" customFormat="1" ht="12.75" customHeight="1" x14ac:dyDescent="0.25">
      <c r="A164" s="33" t="s">
        <v>19</v>
      </c>
      <c r="B164" s="3">
        <v>12297</v>
      </c>
      <c r="C164" s="9" t="s">
        <v>219</v>
      </c>
      <c r="D164" s="3">
        <v>219110</v>
      </c>
      <c r="E164" s="4"/>
      <c r="F164" s="66" t="s">
        <v>278</v>
      </c>
      <c r="G164" s="5" t="s">
        <v>214</v>
      </c>
      <c r="H164" s="5">
        <v>1112</v>
      </c>
      <c r="I164" s="2"/>
      <c r="J164" s="2"/>
      <c r="K164" s="2"/>
      <c r="L164" s="2"/>
      <c r="M164" s="64">
        <v>533600</v>
      </c>
      <c r="N164" s="2"/>
    </row>
    <row r="165" spans="1:14" s="26" customFormat="1" ht="12.75" customHeight="1" x14ac:dyDescent="0.25">
      <c r="A165" s="33" t="s">
        <v>19</v>
      </c>
      <c r="B165" s="3">
        <v>12360</v>
      </c>
      <c r="C165" s="9" t="s">
        <v>212</v>
      </c>
      <c r="D165" s="3">
        <v>219113</v>
      </c>
      <c r="E165" s="4">
        <v>44013</v>
      </c>
      <c r="F165" s="66" t="s">
        <v>279</v>
      </c>
      <c r="G165" s="5" t="s">
        <v>214</v>
      </c>
      <c r="H165" s="5" t="s">
        <v>280</v>
      </c>
      <c r="I165" s="2"/>
      <c r="J165" s="2"/>
      <c r="K165" s="2"/>
      <c r="L165" s="2"/>
      <c r="M165" s="64">
        <v>-150000</v>
      </c>
      <c r="N165" s="2"/>
    </row>
    <row r="166" spans="1:14" s="26" customFormat="1" ht="12.75" customHeight="1" x14ac:dyDescent="0.25">
      <c r="A166" s="33" t="s">
        <v>19</v>
      </c>
      <c r="B166" s="3">
        <v>12297</v>
      </c>
      <c r="C166" s="9" t="s">
        <v>219</v>
      </c>
      <c r="D166" s="3">
        <v>219113</v>
      </c>
      <c r="E166" s="4"/>
      <c r="F166" s="66" t="s">
        <v>279</v>
      </c>
      <c r="G166" s="5"/>
      <c r="H166" s="5"/>
      <c r="I166" s="2"/>
      <c r="J166" s="2"/>
      <c r="K166" s="2"/>
      <c r="L166" s="2"/>
      <c r="M166" s="64">
        <v>150000</v>
      </c>
      <c r="N166" s="2"/>
    </row>
    <row r="167" spans="1:14" s="26" customFormat="1" ht="12.75" customHeight="1" x14ac:dyDescent="0.25">
      <c r="A167" s="33" t="s">
        <v>19</v>
      </c>
      <c r="B167" s="3">
        <v>12360</v>
      </c>
      <c r="C167" s="9" t="s">
        <v>212</v>
      </c>
      <c r="D167" s="3">
        <v>219119</v>
      </c>
      <c r="E167" s="4">
        <v>44013</v>
      </c>
      <c r="F167" s="66" t="s">
        <v>281</v>
      </c>
      <c r="G167" s="5" t="s">
        <v>214</v>
      </c>
      <c r="H167" s="5" t="s">
        <v>282</v>
      </c>
      <c r="I167" s="2"/>
      <c r="J167" s="2"/>
      <c r="K167" s="2"/>
      <c r="L167" s="2"/>
      <c r="M167" s="64">
        <v>-100000</v>
      </c>
      <c r="N167" s="2"/>
    </row>
    <row r="168" spans="1:14" s="26" customFormat="1" ht="12.75" customHeight="1" x14ac:dyDescent="0.25">
      <c r="A168" s="33" t="s">
        <v>19</v>
      </c>
      <c r="B168" s="3">
        <v>12360</v>
      </c>
      <c r="C168" s="9" t="s">
        <v>212</v>
      </c>
      <c r="D168" s="3">
        <v>219120</v>
      </c>
      <c r="E168" s="4">
        <v>44013</v>
      </c>
      <c r="F168" s="66" t="s">
        <v>283</v>
      </c>
      <c r="G168" s="5" t="s">
        <v>214</v>
      </c>
      <c r="H168" s="5" t="s">
        <v>284</v>
      </c>
      <c r="I168" s="2"/>
      <c r="J168" s="2"/>
      <c r="K168" s="2"/>
      <c r="L168" s="2"/>
      <c r="M168" s="64">
        <v>-539000</v>
      </c>
      <c r="N168" s="2"/>
    </row>
    <row r="169" spans="1:14" s="26" customFormat="1" ht="12.75" customHeight="1" x14ac:dyDescent="0.25">
      <c r="A169" s="33" t="s">
        <v>19</v>
      </c>
      <c r="B169" s="3">
        <v>12297</v>
      </c>
      <c r="C169" s="9" t="s">
        <v>219</v>
      </c>
      <c r="D169" s="3">
        <v>219120</v>
      </c>
      <c r="E169" s="4">
        <v>44392</v>
      </c>
      <c r="F169" s="66" t="s">
        <v>283</v>
      </c>
      <c r="G169" s="5" t="s">
        <v>214</v>
      </c>
      <c r="H169" s="5" t="s">
        <v>284</v>
      </c>
      <c r="I169" s="2"/>
      <c r="J169" s="2"/>
      <c r="K169" s="2"/>
      <c r="L169" s="2"/>
      <c r="M169" s="64">
        <v>539000</v>
      </c>
      <c r="N169" s="2"/>
    </row>
    <row r="170" spans="1:14" s="26" customFormat="1" ht="12.75" customHeight="1" x14ac:dyDescent="0.25">
      <c r="A170" s="33" t="s">
        <v>19</v>
      </c>
      <c r="B170" s="3">
        <v>12360</v>
      </c>
      <c r="C170" s="9" t="s">
        <v>212</v>
      </c>
      <c r="D170" s="3">
        <v>220142</v>
      </c>
      <c r="E170" s="4">
        <v>44135</v>
      </c>
      <c r="F170" s="66" t="s">
        <v>285</v>
      </c>
      <c r="G170" s="5" t="s">
        <v>214</v>
      </c>
      <c r="H170" s="5">
        <v>1118</v>
      </c>
      <c r="I170" s="63">
        <v>44142</v>
      </c>
      <c r="J170" s="63"/>
      <c r="K170" s="2"/>
      <c r="L170" s="2"/>
      <c r="M170" s="64">
        <f>-519300+259650</f>
        <v>-259650</v>
      </c>
      <c r="N170" s="2" t="s">
        <v>286</v>
      </c>
    </row>
    <row r="171" spans="1:14" s="26" customFormat="1" ht="12.75" customHeight="1" x14ac:dyDescent="0.25">
      <c r="A171" s="33" t="s">
        <v>19</v>
      </c>
      <c r="B171" s="3">
        <v>12297</v>
      </c>
      <c r="C171" s="9" t="s">
        <v>219</v>
      </c>
      <c r="D171" s="3">
        <v>220142</v>
      </c>
      <c r="E171" s="4">
        <v>44135</v>
      </c>
      <c r="F171" s="66" t="s">
        <v>285</v>
      </c>
      <c r="G171" s="5" t="s">
        <v>214</v>
      </c>
      <c r="H171" s="5">
        <v>1118</v>
      </c>
      <c r="I171" s="63">
        <v>44142</v>
      </c>
      <c r="J171" s="63"/>
      <c r="K171" s="2"/>
      <c r="L171" s="2"/>
      <c r="M171" s="64">
        <v>259650</v>
      </c>
      <c r="N171" s="2"/>
    </row>
    <row r="172" spans="1:14" s="26" customFormat="1" ht="12.75" customHeight="1" x14ac:dyDescent="0.25">
      <c r="A172" s="33" t="s">
        <v>19</v>
      </c>
      <c r="B172" s="3">
        <v>12360</v>
      </c>
      <c r="C172" s="9" t="s">
        <v>212</v>
      </c>
      <c r="D172" s="3">
        <v>220347</v>
      </c>
      <c r="E172" s="4">
        <v>44153</v>
      </c>
      <c r="F172" s="66" t="s">
        <v>287</v>
      </c>
      <c r="G172" s="5" t="s">
        <v>214</v>
      </c>
      <c r="H172" s="5">
        <v>1115</v>
      </c>
      <c r="I172" s="63">
        <v>44076</v>
      </c>
      <c r="J172" s="63"/>
      <c r="K172" s="2"/>
      <c r="L172" s="2"/>
      <c r="M172" s="64">
        <v>-462777.84</v>
      </c>
      <c r="N172" s="2" t="s">
        <v>286</v>
      </c>
    </row>
    <row r="173" spans="1:14" s="26" customFormat="1" ht="12.75" customHeight="1" x14ac:dyDescent="0.25">
      <c r="A173" s="33" t="s">
        <v>19</v>
      </c>
      <c r="B173" s="3">
        <v>12297</v>
      </c>
      <c r="C173" s="9" t="s">
        <v>219</v>
      </c>
      <c r="D173" s="3">
        <v>220347</v>
      </c>
      <c r="E173" s="4">
        <v>44645</v>
      </c>
      <c r="F173" s="66" t="s">
        <v>287</v>
      </c>
      <c r="G173" s="5" t="s">
        <v>214</v>
      </c>
      <c r="H173" s="5">
        <v>1115</v>
      </c>
      <c r="I173" s="63"/>
      <c r="J173" s="63"/>
      <c r="K173" s="2"/>
      <c r="L173" s="2"/>
      <c r="M173" s="64">
        <v>462777.84</v>
      </c>
      <c r="N173" s="2"/>
    </row>
    <row r="174" spans="1:14" s="26" customFormat="1" ht="12.75" customHeight="1" x14ac:dyDescent="0.25">
      <c r="A174" s="33" t="s">
        <v>19</v>
      </c>
      <c r="B174" s="3">
        <v>12360</v>
      </c>
      <c r="C174" s="9" t="s">
        <v>212</v>
      </c>
      <c r="D174" s="3">
        <v>220348</v>
      </c>
      <c r="E174" s="4">
        <v>44153</v>
      </c>
      <c r="F174" s="66" t="s">
        <v>288</v>
      </c>
      <c r="G174" s="5" t="s">
        <v>214</v>
      </c>
      <c r="H174" s="5">
        <v>1205</v>
      </c>
      <c r="I174" s="63">
        <v>44085</v>
      </c>
      <c r="J174" s="63"/>
      <c r="K174" s="2"/>
      <c r="L174" s="2"/>
      <c r="M174" s="64">
        <v>-5500000</v>
      </c>
      <c r="N174" s="2" t="s">
        <v>286</v>
      </c>
    </row>
    <row r="175" spans="1:14" s="26" customFormat="1" ht="12.75" customHeight="1" x14ac:dyDescent="0.25">
      <c r="A175" s="33" t="s">
        <v>19</v>
      </c>
      <c r="B175" s="3">
        <v>12297</v>
      </c>
      <c r="C175" s="9" t="s">
        <v>219</v>
      </c>
      <c r="D175" s="3">
        <v>220348</v>
      </c>
      <c r="E175" s="4">
        <v>44312</v>
      </c>
      <c r="F175" s="66" t="s">
        <v>288</v>
      </c>
      <c r="G175" s="5" t="s">
        <v>289</v>
      </c>
      <c r="H175" s="5">
        <v>1205</v>
      </c>
      <c r="I175" s="63">
        <v>43987</v>
      </c>
      <c r="J175" s="63"/>
      <c r="K175" s="2"/>
      <c r="L175" s="2"/>
      <c r="M175" s="64">
        <v>5128000</v>
      </c>
      <c r="N175" s="2"/>
    </row>
    <row r="176" spans="1:14" s="26" customFormat="1" ht="12.75" customHeight="1" x14ac:dyDescent="0.25">
      <c r="A176" s="33" t="s">
        <v>19</v>
      </c>
      <c r="B176" s="3">
        <v>12297</v>
      </c>
      <c r="C176" s="9" t="s">
        <v>219</v>
      </c>
      <c r="D176" s="3">
        <v>220348</v>
      </c>
      <c r="E176" s="4">
        <v>44312</v>
      </c>
      <c r="F176" s="66" t="s">
        <v>288</v>
      </c>
      <c r="G176" s="5" t="s">
        <v>289</v>
      </c>
      <c r="H176" s="5">
        <v>1205</v>
      </c>
      <c r="I176" s="63">
        <v>43987</v>
      </c>
      <c r="J176" s="63"/>
      <c r="K176" s="2"/>
      <c r="L176" s="2"/>
      <c r="M176" s="64">
        <v>848625.91</v>
      </c>
      <c r="N176" s="2"/>
    </row>
    <row r="177" spans="1:14" s="26" customFormat="1" ht="12.75" customHeight="1" x14ac:dyDescent="0.25">
      <c r="A177" s="33" t="s">
        <v>19</v>
      </c>
      <c r="B177" s="3">
        <v>12360</v>
      </c>
      <c r="C177" s="9" t="s">
        <v>212</v>
      </c>
      <c r="D177" s="3">
        <v>220348</v>
      </c>
      <c r="E177" s="4">
        <v>44312</v>
      </c>
      <c r="F177" s="66" t="s">
        <v>290</v>
      </c>
      <c r="G177" s="5" t="s">
        <v>289</v>
      </c>
      <c r="H177" s="5">
        <v>1205</v>
      </c>
      <c r="I177" s="63">
        <v>43987</v>
      </c>
      <c r="J177" s="63"/>
      <c r="K177" s="2"/>
      <c r="L177" s="2"/>
      <c r="M177" s="64">
        <v>-848625.91</v>
      </c>
      <c r="N177" s="2" t="s">
        <v>291</v>
      </c>
    </row>
    <row r="178" spans="1:14" s="26" customFormat="1" ht="12.75" customHeight="1" x14ac:dyDescent="0.25">
      <c r="A178" s="33" t="s">
        <v>19</v>
      </c>
      <c r="B178" s="3">
        <v>12360</v>
      </c>
      <c r="C178" s="9" t="s">
        <v>212</v>
      </c>
      <c r="D178" s="3">
        <v>219872</v>
      </c>
      <c r="E178" s="4">
        <v>44119</v>
      </c>
      <c r="F178" s="66" t="s">
        <v>292</v>
      </c>
      <c r="G178" s="5" t="s">
        <v>214</v>
      </c>
      <c r="H178" s="5">
        <v>1420</v>
      </c>
      <c r="I178" s="63">
        <v>44114</v>
      </c>
      <c r="J178" s="63"/>
      <c r="K178" s="2"/>
      <c r="L178" s="2"/>
      <c r="M178" s="64">
        <v>-100000</v>
      </c>
      <c r="N178" s="2" t="s">
        <v>286</v>
      </c>
    </row>
    <row r="179" spans="1:14" s="26" customFormat="1" ht="12.75" customHeight="1" x14ac:dyDescent="0.25">
      <c r="A179" s="33" t="s">
        <v>19</v>
      </c>
      <c r="B179" s="3">
        <v>12297</v>
      </c>
      <c r="C179" s="9" t="s">
        <v>219</v>
      </c>
      <c r="D179" s="3">
        <v>219872</v>
      </c>
      <c r="E179" s="4">
        <v>44119</v>
      </c>
      <c r="F179" s="66" t="s">
        <v>292</v>
      </c>
      <c r="G179" s="5" t="s">
        <v>214</v>
      </c>
      <c r="H179" s="5"/>
      <c r="I179" s="63"/>
      <c r="J179" s="63"/>
      <c r="K179" s="2"/>
      <c r="L179" s="2"/>
      <c r="M179" s="64">
        <v>100000</v>
      </c>
      <c r="N179" s="2"/>
    </row>
    <row r="180" spans="1:14" s="26" customFormat="1" ht="12.75" customHeight="1" x14ac:dyDescent="0.25">
      <c r="A180" s="33" t="s">
        <v>19</v>
      </c>
      <c r="B180" s="3">
        <v>12360</v>
      </c>
      <c r="C180" s="9" t="s">
        <v>212</v>
      </c>
      <c r="D180" s="3">
        <v>220581</v>
      </c>
      <c r="E180" s="4">
        <v>44227</v>
      </c>
      <c r="F180" s="66" t="s">
        <v>293</v>
      </c>
      <c r="G180" s="5" t="s">
        <v>214</v>
      </c>
      <c r="H180" s="5">
        <v>1130</v>
      </c>
      <c r="I180" s="63">
        <v>44075</v>
      </c>
      <c r="J180" s="63"/>
      <c r="K180" s="2"/>
      <c r="L180" s="2"/>
      <c r="M180" s="64">
        <v>-480000</v>
      </c>
      <c r="N180" s="2"/>
    </row>
    <row r="181" spans="1:14" s="26" customFormat="1" ht="12.75" customHeight="1" x14ac:dyDescent="0.25">
      <c r="A181" s="33" t="s">
        <v>19</v>
      </c>
      <c r="B181" s="3">
        <v>12297</v>
      </c>
      <c r="C181" s="9" t="s">
        <v>219</v>
      </c>
      <c r="D181" s="3">
        <v>220581</v>
      </c>
      <c r="E181" s="4">
        <v>44392</v>
      </c>
      <c r="F181" s="66" t="s">
        <v>293</v>
      </c>
      <c r="G181" s="5" t="s">
        <v>214</v>
      </c>
      <c r="H181" s="5">
        <v>1130</v>
      </c>
      <c r="I181" s="63">
        <v>44075</v>
      </c>
      <c r="J181" s="63"/>
      <c r="K181" s="2"/>
      <c r="L181" s="2"/>
      <c r="M181" s="64">
        <v>480000</v>
      </c>
      <c r="N181" s="2"/>
    </row>
    <row r="182" spans="1:14" s="26" customFormat="1" ht="12.75" customHeight="1" x14ac:dyDescent="0.25">
      <c r="A182" s="33" t="s">
        <v>19</v>
      </c>
      <c r="B182" s="3">
        <v>12360</v>
      </c>
      <c r="C182" s="9" t="s">
        <v>212</v>
      </c>
      <c r="D182" s="3">
        <v>220819</v>
      </c>
      <c r="E182" s="4">
        <v>44255</v>
      </c>
      <c r="F182" s="66" t="s">
        <v>294</v>
      </c>
      <c r="G182" s="5" t="s">
        <v>295</v>
      </c>
      <c r="H182" s="5">
        <v>1116</v>
      </c>
      <c r="I182" s="2"/>
      <c r="J182" s="2"/>
      <c r="K182" s="2"/>
      <c r="L182" s="2"/>
      <c r="M182" s="64">
        <v>-400000</v>
      </c>
      <c r="N182" s="2"/>
    </row>
    <row r="183" spans="1:14" s="26" customFormat="1" ht="12.75" customHeight="1" x14ac:dyDescent="0.25">
      <c r="A183" s="33" t="s">
        <v>19</v>
      </c>
      <c r="B183" s="3">
        <v>12297</v>
      </c>
      <c r="C183" s="9" t="s">
        <v>219</v>
      </c>
      <c r="D183" s="3">
        <v>220819</v>
      </c>
      <c r="E183" s="4">
        <v>44423</v>
      </c>
      <c r="F183" s="66" t="s">
        <v>294</v>
      </c>
      <c r="G183" s="5" t="s">
        <v>295</v>
      </c>
      <c r="H183" s="5">
        <v>1116</v>
      </c>
      <c r="I183" s="2"/>
      <c r="J183" s="2"/>
      <c r="K183" s="2"/>
      <c r="L183" s="2"/>
      <c r="M183" s="64">
        <v>400000</v>
      </c>
      <c r="N183" s="2"/>
    </row>
    <row r="184" spans="1:14" s="26" customFormat="1" ht="12.75" customHeight="1" x14ac:dyDescent="0.25">
      <c r="A184" s="33" t="s">
        <v>19</v>
      </c>
      <c r="B184" s="3">
        <v>12297</v>
      </c>
      <c r="C184" s="9" t="s">
        <v>219</v>
      </c>
      <c r="D184" s="3">
        <v>220817</v>
      </c>
      <c r="E184" s="4"/>
      <c r="F184" s="66" t="s">
        <v>296</v>
      </c>
      <c r="G184" s="5"/>
      <c r="H184" s="5"/>
      <c r="I184" s="2"/>
      <c r="J184" s="2"/>
      <c r="K184" s="2"/>
      <c r="L184" s="2"/>
      <c r="M184" s="64">
        <f>-92625+92625</f>
        <v>0</v>
      </c>
      <c r="N184" s="2"/>
    </row>
    <row r="185" spans="1:14" s="26" customFormat="1" ht="12.75" customHeight="1" x14ac:dyDescent="0.25">
      <c r="A185" s="33" t="s">
        <v>19</v>
      </c>
      <c r="B185" s="3">
        <v>12360</v>
      </c>
      <c r="C185" s="9" t="s">
        <v>212</v>
      </c>
      <c r="D185" s="3">
        <v>221657</v>
      </c>
      <c r="E185" s="4">
        <v>44377</v>
      </c>
      <c r="F185" s="66" t="s">
        <v>297</v>
      </c>
      <c r="G185" s="5" t="s">
        <v>298</v>
      </c>
      <c r="H185" s="5">
        <v>1233</v>
      </c>
      <c r="I185" s="2"/>
      <c r="J185" s="2"/>
      <c r="K185" s="2"/>
      <c r="L185" s="2"/>
      <c r="M185" s="64">
        <v>-193125</v>
      </c>
      <c r="N185" s="2"/>
    </row>
    <row r="186" spans="1:14" s="26" customFormat="1" ht="12.75" customHeight="1" x14ac:dyDescent="0.25">
      <c r="A186" s="33" t="s">
        <v>19</v>
      </c>
      <c r="B186" s="3">
        <v>12297</v>
      </c>
      <c r="C186" s="9" t="s">
        <v>219</v>
      </c>
      <c r="D186" s="3">
        <v>221657</v>
      </c>
      <c r="E186" s="4"/>
      <c r="F186" s="66" t="s">
        <v>297</v>
      </c>
      <c r="G186" s="5"/>
      <c r="H186" s="5"/>
      <c r="I186" s="2"/>
      <c r="J186" s="2"/>
      <c r="K186" s="2"/>
      <c r="L186" s="2"/>
      <c r="M186" s="64">
        <v>193125</v>
      </c>
      <c r="N186" s="2"/>
    </row>
    <row r="187" spans="1:14" s="26" customFormat="1" ht="12.75" customHeight="1" x14ac:dyDescent="0.25">
      <c r="A187" s="33" t="s">
        <v>19</v>
      </c>
      <c r="B187" s="3">
        <v>12360</v>
      </c>
      <c r="C187" s="9" t="s">
        <v>212</v>
      </c>
      <c r="D187" s="3">
        <v>221658</v>
      </c>
      <c r="E187" s="4">
        <v>44377</v>
      </c>
      <c r="F187" s="66" t="s">
        <v>299</v>
      </c>
      <c r="G187" s="5" t="s">
        <v>300</v>
      </c>
      <c r="H187" s="5" t="s">
        <v>301</v>
      </c>
      <c r="I187" s="2"/>
      <c r="J187" s="2"/>
      <c r="K187" s="2"/>
      <c r="L187" s="2"/>
      <c r="M187" s="64">
        <v>-173880</v>
      </c>
      <c r="N187" s="2"/>
    </row>
    <row r="188" spans="1:14" s="26" customFormat="1" ht="12.75" customHeight="1" x14ac:dyDescent="0.25">
      <c r="A188" s="33" t="s">
        <v>19</v>
      </c>
      <c r="B188" s="3">
        <v>12360</v>
      </c>
      <c r="C188" s="9" t="s">
        <v>212</v>
      </c>
      <c r="D188" s="3">
        <v>221659</v>
      </c>
      <c r="E188" s="4">
        <v>44377</v>
      </c>
      <c r="F188" s="66" t="s">
        <v>302</v>
      </c>
      <c r="G188" s="5" t="s">
        <v>303</v>
      </c>
      <c r="H188" s="5" t="s">
        <v>304</v>
      </c>
      <c r="I188" s="2"/>
      <c r="J188" s="2"/>
      <c r="K188" s="2"/>
      <c r="L188" s="2"/>
      <c r="M188" s="64">
        <v>-5000</v>
      </c>
      <c r="N188" s="2"/>
    </row>
    <row r="189" spans="1:14" s="26" customFormat="1" ht="12.75" customHeight="1" x14ac:dyDescent="0.25">
      <c r="A189" s="33" t="s">
        <v>19</v>
      </c>
      <c r="B189" s="3">
        <v>12360</v>
      </c>
      <c r="C189" s="9" t="s">
        <v>212</v>
      </c>
      <c r="D189" s="3">
        <v>221660</v>
      </c>
      <c r="E189" s="4">
        <v>44377</v>
      </c>
      <c r="F189" s="66" t="s">
        <v>305</v>
      </c>
      <c r="G189" s="5" t="s">
        <v>306</v>
      </c>
      <c r="H189" s="5" t="s">
        <v>307</v>
      </c>
      <c r="I189" s="2"/>
      <c r="J189" s="2"/>
      <c r="K189" s="2"/>
      <c r="L189" s="2"/>
      <c r="M189" s="64">
        <v>-100000</v>
      </c>
      <c r="N189" s="2"/>
    </row>
    <row r="190" spans="1:14" s="26" customFormat="1" ht="12.75" customHeight="1" x14ac:dyDescent="0.25">
      <c r="A190" s="33" t="s">
        <v>19</v>
      </c>
      <c r="B190" s="3">
        <v>12360</v>
      </c>
      <c r="C190" s="9" t="s">
        <v>212</v>
      </c>
      <c r="D190" s="3">
        <v>222671</v>
      </c>
      <c r="E190" s="4">
        <v>44491</v>
      </c>
      <c r="F190" s="66" t="s">
        <v>308</v>
      </c>
      <c r="G190" s="5" t="s">
        <v>214</v>
      </c>
      <c r="H190" s="5"/>
      <c r="I190" s="2"/>
      <c r="J190" s="2"/>
      <c r="K190" s="2"/>
      <c r="L190" s="2"/>
      <c r="M190" s="64">
        <v>-226750</v>
      </c>
      <c r="N190" s="2"/>
    </row>
    <row r="191" spans="1:14" s="26" customFormat="1" ht="12.75" customHeight="1" x14ac:dyDescent="0.25">
      <c r="A191" s="33" t="s">
        <v>19</v>
      </c>
      <c r="B191" s="3">
        <v>12297</v>
      </c>
      <c r="C191" s="9" t="s">
        <v>219</v>
      </c>
      <c r="D191" s="3">
        <v>222671</v>
      </c>
      <c r="E191" s="4"/>
      <c r="F191" s="66" t="s">
        <v>308</v>
      </c>
      <c r="G191" s="5"/>
      <c r="H191" s="5"/>
      <c r="I191" s="2"/>
      <c r="J191" s="2"/>
      <c r="K191" s="2"/>
      <c r="L191" s="2"/>
      <c r="M191" s="64">
        <v>226750</v>
      </c>
      <c r="N191" s="2"/>
    </row>
    <row r="192" spans="1:14" s="26" customFormat="1" ht="12.75" customHeight="1" x14ac:dyDescent="0.25">
      <c r="A192" s="33" t="s">
        <v>19</v>
      </c>
      <c r="B192" s="3">
        <v>12360</v>
      </c>
      <c r="C192" s="9" t="s">
        <v>212</v>
      </c>
      <c r="D192" s="3">
        <v>224214</v>
      </c>
      <c r="E192" s="4">
        <v>44491</v>
      </c>
      <c r="F192" s="66" t="s">
        <v>309</v>
      </c>
      <c r="G192" s="5" t="s">
        <v>214</v>
      </c>
      <c r="H192" s="5"/>
      <c r="I192" s="2"/>
      <c r="J192" s="2"/>
      <c r="K192" s="2"/>
      <c r="L192" s="2"/>
      <c r="M192" s="64">
        <v>-525000</v>
      </c>
      <c r="N192" s="2"/>
    </row>
    <row r="193" spans="1:15" s="26" customFormat="1" ht="12.75" customHeight="1" x14ac:dyDescent="0.25">
      <c r="A193" s="33" t="s">
        <v>19</v>
      </c>
      <c r="B193" s="3">
        <v>12360</v>
      </c>
      <c r="C193" s="9" t="s">
        <v>212</v>
      </c>
      <c r="D193" s="3">
        <v>222698</v>
      </c>
      <c r="E193" s="4">
        <v>44491</v>
      </c>
      <c r="F193" s="66" t="s">
        <v>310</v>
      </c>
      <c r="G193" s="5" t="s">
        <v>214</v>
      </c>
      <c r="H193" s="5"/>
      <c r="I193" s="2"/>
      <c r="J193" s="2"/>
      <c r="K193" s="2"/>
      <c r="L193" s="2"/>
      <c r="M193" s="64">
        <v>-1510260</v>
      </c>
      <c r="N193" s="2"/>
    </row>
    <row r="194" spans="1:15" s="26" customFormat="1" ht="12.75" customHeight="1" x14ac:dyDescent="0.25">
      <c r="A194" s="33" t="s">
        <v>19</v>
      </c>
      <c r="B194" s="3">
        <v>12360</v>
      </c>
      <c r="C194" s="9" t="s">
        <v>212</v>
      </c>
      <c r="D194" s="3">
        <v>224216</v>
      </c>
      <c r="E194" s="4">
        <v>44491</v>
      </c>
      <c r="F194" s="66" t="s">
        <v>311</v>
      </c>
      <c r="G194" s="5" t="s">
        <v>214</v>
      </c>
      <c r="H194" s="5"/>
      <c r="I194" s="2"/>
      <c r="J194" s="2"/>
      <c r="K194" s="2"/>
      <c r="L194" s="2"/>
      <c r="M194" s="64">
        <v>-2112239.38</v>
      </c>
      <c r="N194" s="2"/>
    </row>
    <row r="195" spans="1:15" s="26" customFormat="1" ht="12.75" customHeight="1" x14ac:dyDescent="0.25">
      <c r="A195" s="33" t="s">
        <v>19</v>
      </c>
      <c r="B195" s="3">
        <v>12360</v>
      </c>
      <c r="C195" s="9" t="s">
        <v>212</v>
      </c>
      <c r="D195" s="3">
        <v>222812</v>
      </c>
      <c r="E195" s="4">
        <v>44530</v>
      </c>
      <c r="F195" s="66" t="s">
        <v>312</v>
      </c>
      <c r="G195" s="5" t="s">
        <v>214</v>
      </c>
      <c r="H195" s="5"/>
      <c r="I195" s="2"/>
      <c r="J195" s="2"/>
      <c r="K195" s="2"/>
      <c r="L195" s="2"/>
      <c r="M195" s="64">
        <f>-515000</f>
        <v>-515000</v>
      </c>
      <c r="N195" s="2"/>
    </row>
    <row r="196" spans="1:15" s="26" customFormat="1" ht="12.75" customHeight="1" x14ac:dyDescent="0.25">
      <c r="A196" s="33" t="s">
        <v>19</v>
      </c>
      <c r="B196" s="3">
        <v>12297</v>
      </c>
      <c r="C196" s="9" t="s">
        <v>219</v>
      </c>
      <c r="D196" s="3">
        <v>222812</v>
      </c>
      <c r="E196" s="4"/>
      <c r="F196" s="66" t="s">
        <v>312</v>
      </c>
      <c r="G196" s="5" t="s">
        <v>214</v>
      </c>
      <c r="H196" s="5"/>
      <c r="I196" s="2"/>
      <c r="J196" s="2"/>
      <c r="K196" s="2"/>
      <c r="L196" s="2"/>
      <c r="M196" s="64">
        <v>257500</v>
      </c>
      <c r="N196" s="2"/>
    </row>
    <row r="197" spans="1:15" s="26" customFormat="1" ht="12.75" customHeight="1" x14ac:dyDescent="0.25">
      <c r="A197" s="33" t="s">
        <v>19</v>
      </c>
      <c r="B197" s="3">
        <v>12360</v>
      </c>
      <c r="C197" s="9" t="s">
        <v>212</v>
      </c>
      <c r="D197" s="3">
        <v>222801</v>
      </c>
      <c r="E197" s="4">
        <v>44530</v>
      </c>
      <c r="F197" s="66" t="s">
        <v>313</v>
      </c>
      <c r="G197" s="5" t="s">
        <v>214</v>
      </c>
      <c r="H197" s="5"/>
      <c r="I197" s="2"/>
      <c r="J197" s="2"/>
      <c r="K197" s="2"/>
      <c r="L197" s="2"/>
      <c r="M197" s="64">
        <v>-3917000</v>
      </c>
      <c r="N197" s="2"/>
    </row>
    <row r="198" spans="1:15" s="26" customFormat="1" ht="12.75" customHeight="1" x14ac:dyDescent="0.25">
      <c r="A198" s="33" t="s">
        <v>19</v>
      </c>
      <c r="B198" s="3">
        <v>12360</v>
      </c>
      <c r="C198" s="9" t="s">
        <v>212</v>
      </c>
      <c r="D198" s="3">
        <v>223070</v>
      </c>
      <c r="E198" s="4">
        <v>44561</v>
      </c>
      <c r="F198" s="66" t="s">
        <v>314</v>
      </c>
      <c r="G198" s="5" t="s">
        <v>214</v>
      </c>
      <c r="H198" s="5"/>
      <c r="I198" s="2"/>
      <c r="J198" s="2"/>
      <c r="K198" s="2"/>
      <c r="L198" s="2"/>
      <c r="M198" s="64">
        <v>-586100</v>
      </c>
      <c r="N198" s="2"/>
    </row>
    <row r="199" spans="1:15" s="26" customFormat="1" ht="12.75" customHeight="1" x14ac:dyDescent="0.25">
      <c r="A199" s="33" t="s">
        <v>19</v>
      </c>
      <c r="B199" s="3">
        <v>12360</v>
      </c>
      <c r="C199" s="9" t="s">
        <v>212</v>
      </c>
      <c r="D199" s="3">
        <v>223600</v>
      </c>
      <c r="E199" s="4">
        <v>44592</v>
      </c>
      <c r="F199" s="66" t="s">
        <v>315</v>
      </c>
      <c r="G199" s="5"/>
      <c r="H199" s="5"/>
      <c r="I199" s="2"/>
      <c r="J199" s="2"/>
      <c r="K199" s="2"/>
      <c r="L199" s="2"/>
      <c r="M199" s="64">
        <v>-164880</v>
      </c>
      <c r="N199" s="2"/>
    </row>
    <row r="200" spans="1:15" s="40" customFormat="1" ht="12.75" customHeight="1" x14ac:dyDescent="0.25">
      <c r="A200" s="33" t="s">
        <v>19</v>
      </c>
      <c r="B200" s="34">
        <v>12359</v>
      </c>
      <c r="C200" s="35" t="s">
        <v>94</v>
      </c>
      <c r="D200" s="34">
        <v>197305</v>
      </c>
      <c r="E200" s="47">
        <v>43481</v>
      </c>
      <c r="F200" s="58" t="s">
        <v>208</v>
      </c>
      <c r="G200" s="5" t="s">
        <v>88</v>
      </c>
      <c r="H200" s="37">
        <v>2230</v>
      </c>
      <c r="I200" s="57">
        <v>43378</v>
      </c>
      <c r="J200" s="57"/>
      <c r="K200" s="36"/>
      <c r="L200" s="36"/>
      <c r="M200" s="64">
        <v>-281625</v>
      </c>
      <c r="N200" s="36" t="s">
        <v>93</v>
      </c>
    </row>
    <row r="201" spans="1:15" s="33" customFormat="1" ht="15" x14ac:dyDescent="0.25">
      <c r="A201" s="33" t="s">
        <v>19</v>
      </c>
      <c r="B201" s="3">
        <v>12337</v>
      </c>
      <c r="C201" s="9" t="s">
        <v>316</v>
      </c>
      <c r="D201" s="3">
        <v>200825</v>
      </c>
      <c r="E201" s="4">
        <v>43666</v>
      </c>
      <c r="F201" s="66" t="s">
        <v>317</v>
      </c>
      <c r="G201" s="5"/>
      <c r="H201" s="5" t="s">
        <v>318</v>
      </c>
      <c r="I201" s="2"/>
      <c r="J201" s="2"/>
      <c r="K201" s="2"/>
      <c r="L201" s="2"/>
      <c r="M201" s="64">
        <f>-43772.65+43772.65</f>
        <v>0</v>
      </c>
      <c r="N201" s="78"/>
      <c r="O201" s="79"/>
    </row>
    <row r="202" spans="1:15" s="33" customFormat="1" ht="15" x14ac:dyDescent="0.25">
      <c r="A202" s="33" t="s">
        <v>19</v>
      </c>
      <c r="B202" s="3">
        <v>12337</v>
      </c>
      <c r="C202" s="9" t="s">
        <v>316</v>
      </c>
      <c r="D202" s="3">
        <v>200824</v>
      </c>
      <c r="E202" s="4">
        <v>43666</v>
      </c>
      <c r="F202" s="66" t="s">
        <v>319</v>
      </c>
      <c r="G202" s="5"/>
      <c r="H202" s="5" t="s">
        <v>320</v>
      </c>
      <c r="I202" s="2"/>
      <c r="J202" s="2"/>
      <c r="K202" s="2"/>
      <c r="L202" s="2"/>
      <c r="M202" s="64">
        <f>-5720+5720</f>
        <v>0</v>
      </c>
      <c r="N202" s="78"/>
      <c r="O202" s="79"/>
    </row>
    <row r="203" spans="1:15" s="33" customFormat="1" ht="15" x14ac:dyDescent="0.25">
      <c r="A203" s="33" t="s">
        <v>19</v>
      </c>
      <c r="B203" s="41">
        <v>15648</v>
      </c>
      <c r="C203" s="35" t="s">
        <v>321</v>
      </c>
      <c r="D203" s="41">
        <v>198153</v>
      </c>
      <c r="E203" s="80">
        <v>43594</v>
      </c>
      <c r="F203" s="36" t="s">
        <v>155</v>
      </c>
      <c r="G203" s="5" t="s">
        <v>322</v>
      </c>
      <c r="H203" s="43">
        <v>2000</v>
      </c>
      <c r="I203" s="49">
        <v>43800</v>
      </c>
      <c r="J203" s="49"/>
      <c r="K203" s="47"/>
      <c r="L203" s="47"/>
      <c r="M203" s="64">
        <f>-830000+450000-180276.02+180276.02+190000</f>
        <v>-190000</v>
      </c>
      <c r="N203" s="39" t="s">
        <v>23</v>
      </c>
      <c r="O203" s="81"/>
    </row>
    <row r="204" spans="1:15" customFormat="1" ht="13.5" customHeight="1" thickBot="1" x14ac:dyDescent="0.3">
      <c r="A204" s="33"/>
      <c r="B204" s="82">
        <f>COUNT(B25:B65)</f>
        <v>41</v>
      </c>
      <c r="C204" s="40" t="s">
        <v>323</v>
      </c>
      <c r="D204" s="83"/>
      <c r="E204" s="47"/>
      <c r="F204" s="84" t="s">
        <v>324</v>
      </c>
      <c r="G204" s="85"/>
      <c r="H204" s="37"/>
      <c r="I204" s="86"/>
      <c r="J204" s="86"/>
      <c r="K204" s="87" t="s">
        <v>325</v>
      </c>
      <c r="L204" s="87"/>
      <c r="M204" s="88">
        <f>SUM(M9:M203)</f>
        <v>-53875982.960000001</v>
      </c>
      <c r="N204" s="89"/>
    </row>
    <row r="205" spans="1:15" customFormat="1" ht="12.75" customHeight="1" thickTop="1" x14ac:dyDescent="0.25">
      <c r="A205" s="33"/>
      <c r="B205" s="33"/>
      <c r="C205" s="35"/>
      <c r="D205" s="83"/>
      <c r="E205" s="47"/>
      <c r="F205" s="33"/>
      <c r="G205" s="85"/>
      <c r="H205" s="37"/>
      <c r="I205" s="83"/>
      <c r="J205" s="83"/>
      <c r="K205" s="90" t="s">
        <v>326</v>
      </c>
      <c r="L205" s="90"/>
      <c r="M205" s="91"/>
      <c r="N205" s="92"/>
    </row>
    <row r="206" spans="1:15" customFormat="1" ht="12.75" customHeight="1" x14ac:dyDescent="0.25">
      <c r="D206" s="83"/>
      <c r="E206" s="93"/>
      <c r="G206" s="85"/>
      <c r="H206" s="85"/>
      <c r="I206" s="34"/>
      <c r="J206" s="34"/>
      <c r="K206" s="34"/>
      <c r="L206" s="34"/>
      <c r="M206" s="94">
        <f>'[1]Center Balance'!B16</f>
        <v>0</v>
      </c>
      <c r="N206" s="92"/>
    </row>
    <row r="207" spans="1:15" customFormat="1" ht="12.75" customHeight="1" x14ac:dyDescent="0.25">
      <c r="B207" s="33"/>
      <c r="C207" s="35"/>
      <c r="D207" s="83"/>
      <c r="E207" s="80"/>
      <c r="G207" s="85"/>
      <c r="H207" s="85"/>
      <c r="I207" s="34">
        <f>365/2</f>
        <v>182.5</v>
      </c>
      <c r="J207" s="34"/>
      <c r="K207" s="34"/>
      <c r="L207" s="34"/>
      <c r="M207" s="94">
        <f>M206-M204</f>
        <v>53875982.960000001</v>
      </c>
      <c r="N207" s="92"/>
    </row>
    <row r="208" spans="1:15" customFormat="1" ht="12.75" customHeight="1" x14ac:dyDescent="0.25">
      <c r="B208" s="33"/>
      <c r="C208" s="35"/>
      <c r="D208" s="83"/>
      <c r="E208" s="80"/>
      <c r="G208" s="85"/>
      <c r="H208" s="85"/>
      <c r="I208" s="34">
        <f>365</f>
        <v>365</v>
      </c>
      <c r="J208" s="34"/>
      <c r="K208" s="34"/>
      <c r="L208" s="34"/>
      <c r="M208" s="95"/>
      <c r="N208" s="92"/>
    </row>
    <row r="209" spans="2:15" x14ac:dyDescent="0.2">
      <c r="I209" s="3"/>
      <c r="J209" s="3"/>
      <c r="K209" s="3"/>
      <c r="L209" s="3"/>
      <c r="M209" s="96"/>
    </row>
    <row r="210" spans="2:15" x14ac:dyDescent="0.2">
      <c r="B210" s="7"/>
      <c r="G210" s="5" t="s">
        <v>327</v>
      </c>
      <c r="I210" s="3"/>
      <c r="J210" s="3"/>
      <c r="K210" s="3"/>
      <c r="L210" s="3"/>
      <c r="M210" s="96"/>
    </row>
    <row r="211" spans="2:15" x14ac:dyDescent="0.2">
      <c r="B211" s="67"/>
      <c r="I211" s="3"/>
      <c r="J211" s="3"/>
      <c r="K211" s="3"/>
      <c r="L211" s="3"/>
      <c r="M211" s="96"/>
    </row>
    <row r="212" spans="2:15" x14ac:dyDescent="0.2">
      <c r="I212" s="3"/>
      <c r="J212" s="3"/>
      <c r="K212" s="3"/>
      <c r="L212" s="3"/>
      <c r="M212" s="96"/>
    </row>
    <row r="213" spans="2:15" x14ac:dyDescent="0.2">
      <c r="I213" s="3"/>
      <c r="J213" s="3"/>
      <c r="K213" s="3"/>
      <c r="L213" s="3"/>
      <c r="M213" s="96"/>
    </row>
    <row r="214" spans="2:15" ht="15" x14ac:dyDescent="0.25">
      <c r="C214" s="33"/>
      <c r="D214" s="41"/>
      <c r="E214" s="35"/>
      <c r="F214" s="41"/>
      <c r="G214" s="80"/>
      <c r="H214" s="36"/>
      <c r="I214" s="5"/>
      <c r="J214" s="5"/>
      <c r="K214" s="43"/>
      <c r="L214" s="49"/>
      <c r="M214" s="47"/>
      <c r="N214" s="47"/>
      <c r="O214" s="45"/>
    </row>
    <row r="215" spans="2:15" ht="15" x14ac:dyDescent="0.25">
      <c r="C215" s="33"/>
      <c r="D215" s="41"/>
      <c r="E215" s="35"/>
      <c r="F215" s="41"/>
      <c r="G215" s="80"/>
      <c r="H215" s="36"/>
      <c r="I215" s="5"/>
      <c r="J215" s="5"/>
      <c r="K215" s="43"/>
      <c r="L215" s="49"/>
      <c r="M215" s="47"/>
      <c r="N215" s="47"/>
      <c r="O215" s="45"/>
    </row>
    <row r="216" spans="2:15" x14ac:dyDescent="0.2">
      <c r="B216" s="97"/>
      <c r="C216" s="98"/>
      <c r="M216" s="96"/>
    </row>
    <row r="217" spans="2:15" x14ac:dyDescent="0.2">
      <c r="B217" s="3"/>
    </row>
    <row r="218" spans="2:15" x14ac:dyDescent="0.2">
      <c r="B218" s="3"/>
    </row>
    <row r="221" spans="2:15" x14ac:dyDescent="0.2">
      <c r="K221" s="3"/>
      <c r="L221" s="3"/>
    </row>
  </sheetData>
  <mergeCells count="3">
    <mergeCell ref="B4:D4"/>
    <mergeCell ref="B5:D5"/>
    <mergeCell ref="B6:D6"/>
  </mergeCells>
  <conditionalFormatting sqref="M4">
    <cfRule type="expression" dxfId="0" priority="1" stopIfTrue="1">
      <formula>ABS($M$4)&gt;0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272C0-D03B-4672-8AB6-18A96E632042}">
  <dimension ref="A1:D1"/>
  <sheetViews>
    <sheetView workbookViewId="0">
      <selection activeCell="E6" sqref="E6"/>
    </sheetView>
  </sheetViews>
  <sheetFormatPr defaultRowHeight="15" x14ac:dyDescent="0.25"/>
  <cols>
    <col min="2" max="2" width="8.85546875" bestFit="1" customWidth="1"/>
  </cols>
  <sheetData>
    <row r="1" spans="1:4" ht="73.5" x14ac:dyDescent="0.25">
      <c r="A1" s="99" t="s">
        <v>328</v>
      </c>
      <c r="B1" s="99" t="s">
        <v>329</v>
      </c>
      <c r="C1" s="99" t="s">
        <v>329</v>
      </c>
      <c r="D1" s="100" t="s">
        <v>330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535-3FDB-4095-ACC3-33538A78F8BF}">
  <dimension ref="A1"/>
  <sheetViews>
    <sheetView workbookViewId="0">
      <selection activeCell="C18" sqref="C18"/>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0B3F0-0C53-47EC-AFF8-EDA856BFDF5D}">
  <dimension ref="A1:AG57"/>
  <sheetViews>
    <sheetView tabSelected="1" workbookViewId="0">
      <selection sqref="A1:XFD1048576"/>
    </sheetView>
  </sheetViews>
  <sheetFormatPr defaultRowHeight="15" x14ac:dyDescent="0.25"/>
  <cols>
    <col min="12" max="12" width="11.5703125" customWidth="1"/>
    <col min="16" max="16" width="23.42578125" bestFit="1" customWidth="1"/>
    <col min="17" max="17" width="23.5703125" bestFit="1" customWidth="1"/>
    <col min="18" max="18" width="23.28515625" bestFit="1" customWidth="1"/>
    <col min="19" max="19" width="30.5703125" bestFit="1" customWidth="1"/>
    <col min="20" max="20" width="30.42578125" bestFit="1" customWidth="1"/>
    <col min="25" max="25" width="12.140625" bestFit="1" customWidth="1"/>
    <col min="29" max="29" width="10.85546875" bestFit="1" customWidth="1"/>
  </cols>
  <sheetData>
    <row r="1" spans="1:33" ht="31.5" x14ac:dyDescent="0.25">
      <c r="A1" s="99" t="s">
        <v>331</v>
      </c>
      <c r="B1" s="99" t="s">
        <v>328</v>
      </c>
      <c r="C1" s="99" t="s">
        <v>332</v>
      </c>
      <c r="D1" s="99" t="s">
        <v>333</v>
      </c>
      <c r="E1" s="99" t="s">
        <v>334</v>
      </c>
      <c r="F1" s="99" t="s">
        <v>335</v>
      </c>
      <c r="G1" s="99" t="s">
        <v>336</v>
      </c>
      <c r="H1" s="99" t="s">
        <v>337</v>
      </c>
      <c r="I1" s="99" t="s">
        <v>338</v>
      </c>
      <c r="J1" s="99" t="s">
        <v>339</v>
      </c>
      <c r="K1" s="99" t="s">
        <v>340</v>
      </c>
      <c r="L1" s="99" t="s">
        <v>341</v>
      </c>
      <c r="M1" s="99" t="s">
        <v>342</v>
      </c>
      <c r="N1" s="99" t="s">
        <v>343</v>
      </c>
      <c r="O1" s="99" t="s">
        <v>9</v>
      </c>
      <c r="P1" s="99" t="s">
        <v>344</v>
      </c>
      <c r="Q1" s="99" t="s">
        <v>345</v>
      </c>
      <c r="R1" s="99" t="s">
        <v>346</v>
      </c>
      <c r="S1" s="99" t="s">
        <v>347</v>
      </c>
      <c r="T1" s="99" t="s">
        <v>348</v>
      </c>
      <c r="U1" s="99" t="s">
        <v>349</v>
      </c>
      <c r="V1" s="99" t="s">
        <v>350</v>
      </c>
      <c r="W1" s="99" t="s">
        <v>351</v>
      </c>
      <c r="X1" s="99" t="s">
        <v>352</v>
      </c>
      <c r="Y1" s="99" t="s">
        <v>353</v>
      </c>
      <c r="Z1" s="99" t="s">
        <v>354</v>
      </c>
      <c r="AA1" s="99" t="s">
        <v>355</v>
      </c>
      <c r="AB1" s="99" t="s">
        <v>356</v>
      </c>
      <c r="AC1" s="99" t="s">
        <v>357</v>
      </c>
      <c r="AD1" s="99" t="s">
        <v>358</v>
      </c>
      <c r="AE1" s="99" t="s">
        <v>342</v>
      </c>
      <c r="AF1" s="99" t="s">
        <v>359</v>
      </c>
      <c r="AG1" s="99" t="s">
        <v>360</v>
      </c>
    </row>
    <row r="2" spans="1:33" ht="12.75" customHeight="1" x14ac:dyDescent="0.25">
      <c r="A2" s="69" t="s">
        <v>361</v>
      </c>
      <c r="B2" s="69" t="s">
        <v>362</v>
      </c>
      <c r="C2" s="69" t="s">
        <v>363</v>
      </c>
      <c r="D2" s="69"/>
      <c r="E2" s="69" t="s">
        <v>364</v>
      </c>
      <c r="F2" s="69"/>
      <c r="G2" s="69">
        <v>9991419</v>
      </c>
      <c r="H2" s="69">
        <v>1422679</v>
      </c>
      <c r="I2" s="69" t="s">
        <v>365</v>
      </c>
      <c r="J2" s="69">
        <v>1</v>
      </c>
      <c r="K2" s="69">
        <v>22</v>
      </c>
      <c r="L2" s="101">
        <v>796968.14</v>
      </c>
      <c r="M2" s="69" t="s">
        <v>366</v>
      </c>
      <c r="N2" s="102">
        <v>44576</v>
      </c>
      <c r="O2" s="102">
        <v>44582</v>
      </c>
      <c r="P2" s="102">
        <v>44582</v>
      </c>
      <c r="Q2" s="69" t="s">
        <v>367</v>
      </c>
      <c r="R2" s="69" t="s">
        <v>368</v>
      </c>
      <c r="S2" s="69" t="s">
        <v>369</v>
      </c>
      <c r="T2" s="69" t="s">
        <v>370</v>
      </c>
      <c r="U2" s="69" t="s">
        <v>371</v>
      </c>
      <c r="V2" s="69"/>
      <c r="W2" s="69"/>
      <c r="X2" s="69"/>
      <c r="Y2" s="69"/>
      <c r="Z2" s="69" t="s">
        <v>372</v>
      </c>
      <c r="AA2" s="69" t="s">
        <v>373</v>
      </c>
      <c r="AB2" s="69" t="s">
        <v>374</v>
      </c>
      <c r="AC2" s="69" t="s">
        <v>375</v>
      </c>
      <c r="AD2" s="69" t="s">
        <v>376</v>
      </c>
      <c r="AE2" s="69" t="s">
        <v>366</v>
      </c>
      <c r="AF2" s="69"/>
      <c r="AG2" s="69"/>
    </row>
    <row r="3" spans="1:33" ht="12.75" customHeight="1" x14ac:dyDescent="0.25">
      <c r="A3" s="69" t="s">
        <v>361</v>
      </c>
      <c r="B3" s="69" t="s">
        <v>362</v>
      </c>
      <c r="C3" s="69" t="s">
        <v>363</v>
      </c>
      <c r="D3" s="69"/>
      <c r="E3" s="69" t="s">
        <v>364</v>
      </c>
      <c r="F3" s="69"/>
      <c r="G3" s="69">
        <v>9991436</v>
      </c>
      <c r="H3" s="69">
        <v>1422696</v>
      </c>
      <c r="I3" s="69" t="s">
        <v>365</v>
      </c>
      <c r="J3" s="69">
        <v>1</v>
      </c>
      <c r="K3" s="69">
        <v>22</v>
      </c>
      <c r="L3" s="101">
        <v>82500</v>
      </c>
      <c r="M3" s="69" t="s">
        <v>377</v>
      </c>
      <c r="N3" s="102">
        <v>44575</v>
      </c>
      <c r="O3" s="102">
        <v>44582</v>
      </c>
      <c r="P3" s="102">
        <v>44582</v>
      </c>
      <c r="Q3" s="69" t="s">
        <v>378</v>
      </c>
      <c r="R3" s="69" t="s">
        <v>45</v>
      </c>
      <c r="S3" s="69" t="s">
        <v>379</v>
      </c>
      <c r="T3" s="69" t="s">
        <v>380</v>
      </c>
      <c r="U3" s="69" t="s">
        <v>381</v>
      </c>
      <c r="V3" s="69"/>
      <c r="W3" s="69"/>
      <c r="X3" s="69"/>
      <c r="Y3" s="69"/>
      <c r="Z3" s="69" t="s">
        <v>372</v>
      </c>
      <c r="AA3" s="69" t="s">
        <v>373</v>
      </c>
      <c r="AB3" s="69" t="s">
        <v>374</v>
      </c>
      <c r="AC3" s="69" t="s">
        <v>375</v>
      </c>
      <c r="AD3" s="69" t="s">
        <v>376</v>
      </c>
      <c r="AE3" s="69" t="s">
        <v>377</v>
      </c>
      <c r="AF3" s="69"/>
      <c r="AG3" s="69"/>
    </row>
    <row r="4" spans="1:33" ht="12.75" customHeight="1" x14ac:dyDescent="0.25">
      <c r="A4" s="69" t="s">
        <v>361</v>
      </c>
      <c r="B4" s="69" t="s">
        <v>362</v>
      </c>
      <c r="C4" s="69" t="s">
        <v>363</v>
      </c>
      <c r="D4" s="69"/>
      <c r="E4" s="69" t="s">
        <v>364</v>
      </c>
      <c r="F4" s="69"/>
      <c r="G4" s="69">
        <v>9992780</v>
      </c>
      <c r="H4" s="69">
        <v>1423192</v>
      </c>
      <c r="I4" s="69" t="s">
        <v>365</v>
      </c>
      <c r="J4" s="69">
        <v>1</v>
      </c>
      <c r="K4" s="69">
        <v>22</v>
      </c>
      <c r="L4" s="101">
        <v>125000</v>
      </c>
      <c r="M4" s="69" t="s">
        <v>382</v>
      </c>
      <c r="N4" s="102">
        <v>44571</v>
      </c>
      <c r="O4" s="102">
        <v>44587</v>
      </c>
      <c r="P4" s="102">
        <v>44587</v>
      </c>
      <c r="Q4" s="69" t="s">
        <v>383</v>
      </c>
      <c r="R4" s="69" t="s">
        <v>384</v>
      </c>
      <c r="S4" s="69" t="s">
        <v>385</v>
      </c>
      <c r="T4" s="69" t="s">
        <v>386</v>
      </c>
      <c r="U4" s="69" t="s">
        <v>387</v>
      </c>
      <c r="V4" s="69"/>
      <c r="W4" s="69"/>
      <c r="X4" s="69"/>
      <c r="Y4" s="69"/>
      <c r="Z4" s="69" t="s">
        <v>372</v>
      </c>
      <c r="AA4" s="69" t="s">
        <v>373</v>
      </c>
      <c r="AB4" s="69" t="s">
        <v>374</v>
      </c>
      <c r="AC4" s="69" t="s">
        <v>375</v>
      </c>
      <c r="AD4" s="69" t="s">
        <v>376</v>
      </c>
      <c r="AE4" s="69" t="s">
        <v>382</v>
      </c>
      <c r="AF4" s="69"/>
      <c r="AG4" s="69"/>
    </row>
    <row r="5" spans="1:33" ht="12.75" customHeight="1" x14ac:dyDescent="0.25">
      <c r="A5" s="69" t="s">
        <v>361</v>
      </c>
      <c r="B5" s="69" t="s">
        <v>388</v>
      </c>
      <c r="C5" s="69" t="s">
        <v>363</v>
      </c>
      <c r="D5" s="69"/>
      <c r="E5" s="69" t="s">
        <v>364</v>
      </c>
      <c r="F5" s="69"/>
      <c r="G5" s="69">
        <v>9991363</v>
      </c>
      <c r="H5" s="69">
        <v>1422623</v>
      </c>
      <c r="I5" s="69" t="s">
        <v>365</v>
      </c>
      <c r="J5" s="69">
        <v>1</v>
      </c>
      <c r="K5" s="69">
        <v>22</v>
      </c>
      <c r="L5" s="101">
        <v>255000</v>
      </c>
      <c r="M5" s="69" t="s">
        <v>389</v>
      </c>
      <c r="N5" s="102">
        <v>44580</v>
      </c>
      <c r="O5" s="102">
        <v>44582</v>
      </c>
      <c r="P5" s="102">
        <v>44582</v>
      </c>
      <c r="Q5" s="69" t="s">
        <v>390</v>
      </c>
      <c r="R5" s="69" t="s">
        <v>391</v>
      </c>
      <c r="S5" s="69" t="s">
        <v>392</v>
      </c>
      <c r="T5" s="69" t="s">
        <v>393</v>
      </c>
      <c r="U5" s="69" t="s">
        <v>394</v>
      </c>
      <c r="V5" s="69"/>
      <c r="W5" s="69"/>
      <c r="X5" s="69"/>
      <c r="Y5" s="69"/>
      <c r="Z5" s="69" t="s">
        <v>372</v>
      </c>
      <c r="AA5" s="69" t="s">
        <v>373</v>
      </c>
      <c r="AB5" s="69" t="s">
        <v>374</v>
      </c>
      <c r="AC5" s="69" t="s">
        <v>375</v>
      </c>
      <c r="AD5" s="69" t="s">
        <v>395</v>
      </c>
      <c r="AE5" s="69" t="s">
        <v>389</v>
      </c>
      <c r="AF5" s="69"/>
      <c r="AG5" s="69"/>
    </row>
    <row r="6" spans="1:33" ht="12.75" customHeight="1" x14ac:dyDescent="0.25">
      <c r="A6" s="69" t="s">
        <v>396</v>
      </c>
      <c r="B6" s="69" t="s">
        <v>397</v>
      </c>
      <c r="C6" s="69" t="s">
        <v>363</v>
      </c>
      <c r="D6" s="69"/>
      <c r="E6" s="69" t="s">
        <v>364</v>
      </c>
      <c r="F6" s="69"/>
      <c r="G6" s="69">
        <v>9985403</v>
      </c>
      <c r="H6" s="69">
        <v>1421116</v>
      </c>
      <c r="I6" s="69" t="s">
        <v>365</v>
      </c>
      <c r="J6" s="69">
        <v>1</v>
      </c>
      <c r="K6" s="69">
        <v>22</v>
      </c>
      <c r="L6" s="101">
        <v>58975</v>
      </c>
      <c r="M6" s="69" t="s">
        <v>398</v>
      </c>
      <c r="N6" s="102">
        <v>44543</v>
      </c>
      <c r="O6" s="102">
        <v>44571</v>
      </c>
      <c r="P6" s="102">
        <v>44571</v>
      </c>
      <c r="Q6" s="69" t="s">
        <v>399</v>
      </c>
      <c r="R6" s="69" t="s">
        <v>84</v>
      </c>
      <c r="S6" s="69" t="s">
        <v>400</v>
      </c>
      <c r="T6" s="69" t="s">
        <v>401</v>
      </c>
      <c r="U6" s="69" t="s">
        <v>402</v>
      </c>
      <c r="V6" s="69"/>
      <c r="W6" s="69"/>
      <c r="X6" s="69"/>
      <c r="Y6" s="69"/>
      <c r="Z6" s="69" t="s">
        <v>372</v>
      </c>
      <c r="AA6" s="69" t="s">
        <v>373</v>
      </c>
      <c r="AB6" s="69" t="s">
        <v>374</v>
      </c>
      <c r="AC6" s="69" t="s">
        <v>375</v>
      </c>
      <c r="AD6" s="69" t="s">
        <v>403</v>
      </c>
      <c r="AE6" s="69" t="s">
        <v>398</v>
      </c>
      <c r="AF6" s="69"/>
      <c r="AG6" s="69"/>
    </row>
    <row r="7" spans="1:33" ht="12.75" customHeight="1" x14ac:dyDescent="0.25">
      <c r="A7" s="69" t="s">
        <v>396</v>
      </c>
      <c r="B7" s="69" t="s">
        <v>397</v>
      </c>
      <c r="C7" s="69" t="s">
        <v>363</v>
      </c>
      <c r="D7" s="69"/>
      <c r="E7" s="69" t="s">
        <v>364</v>
      </c>
      <c r="F7" s="69"/>
      <c r="G7" s="69">
        <v>9988532</v>
      </c>
      <c r="H7" s="69">
        <v>1421968</v>
      </c>
      <c r="I7" s="69" t="s">
        <v>365</v>
      </c>
      <c r="J7" s="69">
        <v>1</v>
      </c>
      <c r="K7" s="69">
        <v>22</v>
      </c>
      <c r="L7" s="101">
        <v>37628.36</v>
      </c>
      <c r="M7" s="69" t="s">
        <v>398</v>
      </c>
      <c r="N7" s="102">
        <v>44571</v>
      </c>
      <c r="O7" s="102">
        <v>44575</v>
      </c>
      <c r="P7" s="102">
        <v>44575</v>
      </c>
      <c r="Q7" s="69" t="s">
        <v>399</v>
      </c>
      <c r="R7" s="69" t="s">
        <v>84</v>
      </c>
      <c r="S7" s="69" t="s">
        <v>404</v>
      </c>
      <c r="T7" s="69" t="s">
        <v>401</v>
      </c>
      <c r="U7" s="69" t="s">
        <v>402</v>
      </c>
      <c r="V7" s="69"/>
      <c r="W7" s="69"/>
      <c r="X7" s="69"/>
      <c r="Y7" s="69"/>
      <c r="Z7" s="69" t="s">
        <v>372</v>
      </c>
      <c r="AA7" s="69" t="s">
        <v>373</v>
      </c>
      <c r="AB7" s="69" t="s">
        <v>374</v>
      </c>
      <c r="AC7" s="69" t="s">
        <v>375</v>
      </c>
      <c r="AD7" s="69" t="s">
        <v>403</v>
      </c>
      <c r="AE7" s="69" t="s">
        <v>398</v>
      </c>
      <c r="AF7" s="69"/>
      <c r="AG7" s="69"/>
    </row>
    <row r="8" spans="1:33" ht="12.75" customHeight="1" x14ac:dyDescent="0.25">
      <c r="A8" s="69" t="s">
        <v>396</v>
      </c>
      <c r="B8" s="69" t="s">
        <v>405</v>
      </c>
      <c r="C8" s="69" t="s">
        <v>363</v>
      </c>
      <c r="D8" s="69"/>
      <c r="E8" s="69" t="s">
        <v>364</v>
      </c>
      <c r="F8" s="69"/>
      <c r="G8" s="69">
        <v>9985401</v>
      </c>
      <c r="H8" s="69">
        <v>1421114</v>
      </c>
      <c r="I8" s="69" t="s">
        <v>365</v>
      </c>
      <c r="J8" s="69">
        <v>1</v>
      </c>
      <c r="K8" s="69">
        <v>22</v>
      </c>
      <c r="L8" s="101">
        <v>498753.97</v>
      </c>
      <c r="M8" s="69" t="s">
        <v>406</v>
      </c>
      <c r="N8" s="102">
        <v>44379</v>
      </c>
      <c r="O8" s="102">
        <v>44571</v>
      </c>
      <c r="P8" s="102">
        <v>44571</v>
      </c>
      <c r="Q8" s="69" t="s">
        <v>407</v>
      </c>
      <c r="R8" s="69" t="s">
        <v>408</v>
      </c>
      <c r="S8" s="69" t="s">
        <v>409</v>
      </c>
      <c r="T8" s="69" t="s">
        <v>410</v>
      </c>
      <c r="U8" s="69" t="s">
        <v>411</v>
      </c>
      <c r="V8" s="69"/>
      <c r="W8" s="69"/>
      <c r="X8" s="69"/>
      <c r="Y8" s="69"/>
      <c r="Z8" s="69" t="s">
        <v>372</v>
      </c>
      <c r="AA8" s="69" t="s">
        <v>373</v>
      </c>
      <c r="AB8" s="69" t="s">
        <v>374</v>
      </c>
      <c r="AC8" s="69" t="s">
        <v>375</v>
      </c>
      <c r="AD8" s="69" t="s">
        <v>412</v>
      </c>
      <c r="AE8" s="69" t="s">
        <v>406</v>
      </c>
      <c r="AF8" s="69"/>
      <c r="AG8" s="69"/>
    </row>
    <row r="9" spans="1:33" ht="12.75" customHeight="1" x14ac:dyDescent="0.25">
      <c r="A9" s="69" t="s">
        <v>396</v>
      </c>
      <c r="B9" s="69" t="s">
        <v>405</v>
      </c>
      <c r="C9" s="69" t="s">
        <v>363</v>
      </c>
      <c r="D9" s="69"/>
      <c r="E9" s="69" t="s">
        <v>364</v>
      </c>
      <c r="F9" s="69" t="s">
        <v>364</v>
      </c>
      <c r="G9" s="69">
        <v>9985546</v>
      </c>
      <c r="H9" s="69">
        <v>1421155</v>
      </c>
      <c r="I9" s="69" t="s">
        <v>365</v>
      </c>
      <c r="J9" s="69">
        <v>1</v>
      </c>
      <c r="K9" s="69">
        <v>22</v>
      </c>
      <c r="L9" s="101">
        <v>-262499.99</v>
      </c>
      <c r="M9" s="69" t="s">
        <v>413</v>
      </c>
      <c r="N9" s="102">
        <v>44552</v>
      </c>
      <c r="O9" s="102">
        <v>44571</v>
      </c>
      <c r="P9" s="102">
        <v>44571</v>
      </c>
      <c r="Q9" s="69" t="s">
        <v>414</v>
      </c>
      <c r="R9" s="69" t="s">
        <v>239</v>
      </c>
      <c r="S9" s="69" t="s">
        <v>415</v>
      </c>
      <c r="T9" s="69" t="s">
        <v>416</v>
      </c>
      <c r="U9" s="69" t="s">
        <v>417</v>
      </c>
      <c r="V9" s="69"/>
      <c r="W9" s="69"/>
      <c r="X9" s="69"/>
      <c r="Y9" s="69"/>
      <c r="Z9" s="69" t="s">
        <v>372</v>
      </c>
      <c r="AA9" s="69" t="s">
        <v>373</v>
      </c>
      <c r="AB9" s="69" t="s">
        <v>374</v>
      </c>
      <c r="AC9" s="69" t="s">
        <v>375</v>
      </c>
      <c r="AD9" s="69" t="s">
        <v>412</v>
      </c>
      <c r="AE9" s="69" t="s">
        <v>413</v>
      </c>
      <c r="AF9" s="69"/>
      <c r="AG9" s="69"/>
    </row>
    <row r="10" spans="1:33" ht="12.75" customHeight="1" x14ac:dyDescent="0.25">
      <c r="A10" s="69" t="s">
        <v>396</v>
      </c>
      <c r="B10" s="69" t="s">
        <v>405</v>
      </c>
      <c r="C10" s="69" t="s">
        <v>363</v>
      </c>
      <c r="D10" s="69"/>
      <c r="E10" s="69" t="s">
        <v>364</v>
      </c>
      <c r="F10" s="69" t="s">
        <v>364</v>
      </c>
      <c r="G10" s="69">
        <v>9985546</v>
      </c>
      <c r="H10" s="69">
        <v>1421155</v>
      </c>
      <c r="I10" s="69" t="s">
        <v>365</v>
      </c>
      <c r="J10" s="69">
        <v>1</v>
      </c>
      <c r="K10" s="69">
        <v>22</v>
      </c>
      <c r="L10" s="101">
        <v>262500</v>
      </c>
      <c r="M10" s="69" t="s">
        <v>413</v>
      </c>
      <c r="N10" s="102">
        <v>44552</v>
      </c>
      <c r="O10" s="102">
        <v>44571</v>
      </c>
      <c r="P10" s="102">
        <v>44571</v>
      </c>
      <c r="Q10" s="69" t="s">
        <v>418</v>
      </c>
      <c r="R10" s="69" t="s">
        <v>239</v>
      </c>
      <c r="S10" s="69" t="s">
        <v>415</v>
      </c>
      <c r="T10" s="69" t="s">
        <v>416</v>
      </c>
      <c r="U10" s="69" t="s">
        <v>417</v>
      </c>
      <c r="V10" s="69"/>
      <c r="W10" s="69"/>
      <c r="X10" s="69"/>
      <c r="Y10" s="69"/>
      <c r="Z10" s="69" t="s">
        <v>372</v>
      </c>
      <c r="AA10" s="69" t="s">
        <v>373</v>
      </c>
      <c r="AB10" s="69" t="s">
        <v>374</v>
      </c>
      <c r="AC10" s="69" t="s">
        <v>375</v>
      </c>
      <c r="AD10" s="69" t="s">
        <v>412</v>
      </c>
      <c r="AE10" s="69" t="s">
        <v>413</v>
      </c>
      <c r="AF10" s="69"/>
      <c r="AG10" s="69"/>
    </row>
    <row r="11" spans="1:33" ht="12.75" customHeight="1" x14ac:dyDescent="0.25">
      <c r="A11" s="69" t="s">
        <v>396</v>
      </c>
      <c r="B11" s="69" t="s">
        <v>405</v>
      </c>
      <c r="C11" s="69" t="s">
        <v>363</v>
      </c>
      <c r="D11" s="69"/>
      <c r="E11" s="69" t="s">
        <v>364</v>
      </c>
      <c r="F11" s="69" t="s">
        <v>364</v>
      </c>
      <c r="G11" s="69">
        <v>9985546</v>
      </c>
      <c r="H11" s="69">
        <v>1421155</v>
      </c>
      <c r="I11" s="69" t="s">
        <v>365</v>
      </c>
      <c r="J11" s="69">
        <v>1</v>
      </c>
      <c r="K11" s="69">
        <v>22</v>
      </c>
      <c r="L11" s="101">
        <v>262499.99</v>
      </c>
      <c r="M11" s="69" t="s">
        <v>413</v>
      </c>
      <c r="N11" s="102">
        <v>44552</v>
      </c>
      <c r="O11" s="102">
        <v>44581</v>
      </c>
      <c r="P11" s="102">
        <v>44571</v>
      </c>
      <c r="Q11" s="69" t="s">
        <v>414</v>
      </c>
      <c r="R11" s="69" t="s">
        <v>239</v>
      </c>
      <c r="S11" s="69" t="s">
        <v>415</v>
      </c>
      <c r="T11" s="69" t="s">
        <v>416</v>
      </c>
      <c r="U11" s="69" t="s">
        <v>417</v>
      </c>
      <c r="V11" s="69"/>
      <c r="W11" s="69"/>
      <c r="X11" s="69"/>
      <c r="Y11" s="69"/>
      <c r="Z11" s="69" t="s">
        <v>372</v>
      </c>
      <c r="AA11" s="69" t="s">
        <v>373</v>
      </c>
      <c r="AB11" s="69" t="s">
        <v>374</v>
      </c>
      <c r="AC11" s="69" t="s">
        <v>419</v>
      </c>
      <c r="AD11" s="69" t="s">
        <v>412</v>
      </c>
      <c r="AE11" s="69" t="s">
        <v>413</v>
      </c>
      <c r="AF11" s="69"/>
      <c r="AG11" s="69"/>
    </row>
    <row r="12" spans="1:33" ht="12.75" customHeight="1" x14ac:dyDescent="0.25">
      <c r="A12" s="69" t="s">
        <v>396</v>
      </c>
      <c r="B12" s="69" t="s">
        <v>405</v>
      </c>
      <c r="C12" s="69" t="s">
        <v>363</v>
      </c>
      <c r="D12" s="69"/>
      <c r="E12" s="69" t="s">
        <v>364</v>
      </c>
      <c r="F12" s="69" t="s">
        <v>364</v>
      </c>
      <c r="G12" s="69">
        <v>9985546</v>
      </c>
      <c r="H12" s="69">
        <v>1421155</v>
      </c>
      <c r="I12" s="69" t="s">
        <v>365</v>
      </c>
      <c r="J12" s="69">
        <v>1</v>
      </c>
      <c r="K12" s="69">
        <v>22</v>
      </c>
      <c r="L12" s="101">
        <v>-262500</v>
      </c>
      <c r="M12" s="69" t="s">
        <v>413</v>
      </c>
      <c r="N12" s="102">
        <v>44552</v>
      </c>
      <c r="O12" s="102">
        <v>44581</v>
      </c>
      <c r="P12" s="102">
        <v>44571</v>
      </c>
      <c r="Q12" s="69" t="s">
        <v>418</v>
      </c>
      <c r="R12" s="69" t="s">
        <v>239</v>
      </c>
      <c r="S12" s="69" t="s">
        <v>415</v>
      </c>
      <c r="T12" s="69" t="s">
        <v>416</v>
      </c>
      <c r="U12" s="69" t="s">
        <v>417</v>
      </c>
      <c r="V12" s="69"/>
      <c r="W12" s="69"/>
      <c r="X12" s="69"/>
      <c r="Y12" s="69"/>
      <c r="Z12" s="69" t="s">
        <v>372</v>
      </c>
      <c r="AA12" s="69" t="s">
        <v>373</v>
      </c>
      <c r="AB12" s="69" t="s">
        <v>374</v>
      </c>
      <c r="AC12" s="69" t="s">
        <v>419</v>
      </c>
      <c r="AD12" s="69" t="s">
        <v>412</v>
      </c>
      <c r="AE12" s="69" t="s">
        <v>413</v>
      </c>
      <c r="AF12" s="69"/>
      <c r="AG12" s="69"/>
    </row>
    <row r="13" spans="1:33" ht="12.75" customHeight="1" x14ac:dyDescent="0.25">
      <c r="A13" s="69" t="s">
        <v>396</v>
      </c>
      <c r="B13" s="69" t="s">
        <v>405</v>
      </c>
      <c r="C13" s="69" t="s">
        <v>363</v>
      </c>
      <c r="D13" s="69"/>
      <c r="E13" s="69" t="s">
        <v>420</v>
      </c>
      <c r="F13" s="69"/>
      <c r="G13" s="69">
        <v>9991048</v>
      </c>
      <c r="H13" s="69">
        <v>3927344</v>
      </c>
      <c r="I13" s="69" t="s">
        <v>421</v>
      </c>
      <c r="J13" s="69">
        <v>1</v>
      </c>
      <c r="K13" s="69">
        <v>22</v>
      </c>
      <c r="L13" s="101">
        <v>262500</v>
      </c>
      <c r="M13" s="69"/>
      <c r="N13" s="102">
        <v>44592</v>
      </c>
      <c r="O13" s="102">
        <v>44582</v>
      </c>
      <c r="P13" s="102">
        <v>44582</v>
      </c>
      <c r="Q13" s="69" t="s">
        <v>210</v>
      </c>
      <c r="R13" s="69" t="s">
        <v>239</v>
      </c>
      <c r="S13" s="69"/>
      <c r="T13" s="69" t="s">
        <v>416</v>
      </c>
      <c r="U13" s="69" t="s">
        <v>422</v>
      </c>
      <c r="V13" s="69"/>
      <c r="W13" s="69"/>
      <c r="X13" s="69"/>
      <c r="Y13" s="69"/>
      <c r="Z13" s="69" t="s">
        <v>372</v>
      </c>
      <c r="AA13" s="69" t="s">
        <v>373</v>
      </c>
      <c r="AB13" s="69" t="s">
        <v>375</v>
      </c>
      <c r="AC13" s="69" t="s">
        <v>375</v>
      </c>
      <c r="AD13" s="69" t="s">
        <v>412</v>
      </c>
      <c r="AE13" s="69"/>
      <c r="AF13" s="69"/>
      <c r="AG13" s="69"/>
    </row>
    <row r="14" spans="1:33" ht="12.75" customHeight="1" x14ac:dyDescent="0.25">
      <c r="A14" s="69" t="s">
        <v>396</v>
      </c>
      <c r="B14" s="69" t="s">
        <v>405</v>
      </c>
      <c r="C14" s="69" t="s">
        <v>363</v>
      </c>
      <c r="D14" s="69"/>
      <c r="E14" s="69" t="s">
        <v>364</v>
      </c>
      <c r="F14" s="69"/>
      <c r="G14" s="69">
        <v>9992725</v>
      </c>
      <c r="H14" s="69">
        <v>1423143</v>
      </c>
      <c r="I14" s="69" t="s">
        <v>365</v>
      </c>
      <c r="J14" s="69">
        <v>1</v>
      </c>
      <c r="K14" s="69">
        <v>22</v>
      </c>
      <c r="L14" s="101">
        <v>226750</v>
      </c>
      <c r="M14" s="69" t="s">
        <v>423</v>
      </c>
      <c r="N14" s="102">
        <v>44584</v>
      </c>
      <c r="O14" s="102">
        <v>44587</v>
      </c>
      <c r="P14" s="102">
        <v>44587</v>
      </c>
      <c r="Q14" s="69" t="s">
        <v>424</v>
      </c>
      <c r="R14" s="69" t="s">
        <v>425</v>
      </c>
      <c r="S14" s="69" t="s">
        <v>426</v>
      </c>
      <c r="T14" s="69" t="s">
        <v>427</v>
      </c>
      <c r="U14" s="69" t="s">
        <v>417</v>
      </c>
      <c r="V14" s="69"/>
      <c r="W14" s="69"/>
      <c r="X14" s="69"/>
      <c r="Y14" s="69"/>
      <c r="Z14" s="69" t="s">
        <v>372</v>
      </c>
      <c r="AA14" s="69" t="s">
        <v>373</v>
      </c>
      <c r="AB14" s="69" t="s">
        <v>374</v>
      </c>
      <c r="AC14" s="69" t="s">
        <v>375</v>
      </c>
      <c r="AD14" s="69" t="s">
        <v>412</v>
      </c>
      <c r="AE14" s="69" t="s">
        <v>423</v>
      </c>
      <c r="AF14" s="69"/>
      <c r="AG14" s="69"/>
    </row>
    <row r="15" spans="1:33" ht="12.75" customHeight="1" x14ac:dyDescent="0.25">
      <c r="A15" s="69" t="s">
        <v>396</v>
      </c>
      <c r="B15" s="69" t="s">
        <v>405</v>
      </c>
      <c r="C15" s="69" t="s">
        <v>363</v>
      </c>
      <c r="D15" s="69"/>
      <c r="E15" s="69" t="s">
        <v>364</v>
      </c>
      <c r="F15" s="69"/>
      <c r="G15" s="69">
        <v>9992733</v>
      </c>
      <c r="H15" s="69">
        <v>1423151</v>
      </c>
      <c r="I15" s="69" t="s">
        <v>365</v>
      </c>
      <c r="J15" s="69">
        <v>1</v>
      </c>
      <c r="K15" s="69">
        <v>22</v>
      </c>
      <c r="L15" s="101">
        <v>251355</v>
      </c>
      <c r="M15" s="69" t="s">
        <v>428</v>
      </c>
      <c r="N15" s="102">
        <v>44386</v>
      </c>
      <c r="O15" s="102">
        <v>44587</v>
      </c>
      <c r="P15" s="102">
        <v>44587</v>
      </c>
      <c r="Q15" s="69" t="s">
        <v>429</v>
      </c>
      <c r="R15" s="69" t="s">
        <v>430</v>
      </c>
      <c r="S15" s="69" t="s">
        <v>431</v>
      </c>
      <c r="T15" s="69" t="s">
        <v>432</v>
      </c>
      <c r="U15" s="69" t="s">
        <v>417</v>
      </c>
      <c r="V15" s="69"/>
      <c r="W15" s="69"/>
      <c r="X15" s="69"/>
      <c r="Y15" s="69"/>
      <c r="Z15" s="69" t="s">
        <v>372</v>
      </c>
      <c r="AA15" s="69" t="s">
        <v>373</v>
      </c>
      <c r="AB15" s="69" t="s">
        <v>374</v>
      </c>
      <c r="AC15" s="69" t="s">
        <v>375</v>
      </c>
      <c r="AD15" s="69" t="s">
        <v>412</v>
      </c>
      <c r="AE15" s="69" t="s">
        <v>428</v>
      </c>
      <c r="AF15" s="69"/>
      <c r="AG15" s="69"/>
    </row>
    <row r="16" spans="1:33" ht="12.75" customHeight="1" x14ac:dyDescent="0.25">
      <c r="A16" s="69" t="s">
        <v>396</v>
      </c>
      <c r="B16" s="69" t="s">
        <v>433</v>
      </c>
      <c r="C16" s="69" t="s">
        <v>363</v>
      </c>
      <c r="D16" s="69"/>
      <c r="E16" s="69" t="s">
        <v>434</v>
      </c>
      <c r="F16" s="69"/>
      <c r="G16" s="69">
        <v>9982018</v>
      </c>
      <c r="H16" s="69">
        <v>18850628</v>
      </c>
      <c r="I16" s="69" t="s">
        <v>435</v>
      </c>
      <c r="J16" s="69">
        <v>1</v>
      </c>
      <c r="K16" s="69">
        <v>22</v>
      </c>
      <c r="L16" s="101">
        <v>-50000</v>
      </c>
      <c r="M16" s="69" t="s">
        <v>436</v>
      </c>
      <c r="N16" s="102">
        <v>44592</v>
      </c>
      <c r="O16" s="102">
        <v>44592</v>
      </c>
      <c r="P16" s="102">
        <v>44560</v>
      </c>
      <c r="Q16" s="69" t="s">
        <v>437</v>
      </c>
      <c r="R16" s="69" t="s">
        <v>438</v>
      </c>
      <c r="S16" s="69"/>
      <c r="T16" s="69">
        <v>0</v>
      </c>
      <c r="U16" s="69" t="s">
        <v>417</v>
      </c>
      <c r="V16" s="69"/>
      <c r="W16" s="69"/>
      <c r="X16" s="69" t="s">
        <v>439</v>
      </c>
      <c r="Y16" s="69"/>
      <c r="Z16" s="69" t="s">
        <v>372</v>
      </c>
      <c r="AA16" s="69" t="s">
        <v>373</v>
      </c>
      <c r="AB16" s="69" t="s">
        <v>440</v>
      </c>
      <c r="AC16" s="69" t="s">
        <v>375</v>
      </c>
      <c r="AD16" s="69" t="s">
        <v>441</v>
      </c>
      <c r="AE16" s="69" t="s">
        <v>436</v>
      </c>
      <c r="AF16" s="69"/>
      <c r="AG16" s="69"/>
    </row>
    <row r="17" spans="1:33" ht="12.75" customHeight="1" x14ac:dyDescent="0.25">
      <c r="A17" s="69" t="s">
        <v>396</v>
      </c>
      <c r="B17" s="69" t="s">
        <v>433</v>
      </c>
      <c r="C17" s="69" t="s">
        <v>363</v>
      </c>
      <c r="D17" s="69"/>
      <c r="E17" s="69" t="s">
        <v>434</v>
      </c>
      <c r="F17" s="69"/>
      <c r="G17" s="69">
        <v>9982018</v>
      </c>
      <c r="H17" s="69">
        <v>18850628</v>
      </c>
      <c r="I17" s="69" t="s">
        <v>435</v>
      </c>
      <c r="J17" s="69">
        <v>1</v>
      </c>
      <c r="K17" s="69">
        <v>22</v>
      </c>
      <c r="L17" s="101">
        <v>-120000</v>
      </c>
      <c r="M17" s="69" t="s">
        <v>442</v>
      </c>
      <c r="N17" s="102">
        <v>44592</v>
      </c>
      <c r="O17" s="102">
        <v>44592</v>
      </c>
      <c r="P17" s="102">
        <v>44560</v>
      </c>
      <c r="Q17" s="69" t="s">
        <v>443</v>
      </c>
      <c r="R17" s="69" t="s">
        <v>438</v>
      </c>
      <c r="S17" s="69"/>
      <c r="T17" s="69">
        <v>0</v>
      </c>
      <c r="U17" s="69" t="s">
        <v>417</v>
      </c>
      <c r="V17" s="69"/>
      <c r="W17" s="69"/>
      <c r="X17" s="69" t="s">
        <v>439</v>
      </c>
      <c r="Y17" s="69"/>
      <c r="Z17" s="69" t="s">
        <v>372</v>
      </c>
      <c r="AA17" s="69" t="s">
        <v>373</v>
      </c>
      <c r="AB17" s="69" t="s">
        <v>440</v>
      </c>
      <c r="AC17" s="69" t="s">
        <v>375</v>
      </c>
      <c r="AD17" s="69" t="s">
        <v>441</v>
      </c>
      <c r="AE17" s="69" t="s">
        <v>442</v>
      </c>
      <c r="AF17" s="69"/>
      <c r="AG17" s="69"/>
    </row>
    <row r="18" spans="1:33" ht="12.75" customHeight="1" x14ac:dyDescent="0.25">
      <c r="A18" s="103" t="s">
        <v>396</v>
      </c>
      <c r="B18" s="103" t="s">
        <v>433</v>
      </c>
      <c r="C18" s="103" t="s">
        <v>363</v>
      </c>
      <c r="D18" s="103"/>
      <c r="E18" s="103" t="s">
        <v>434</v>
      </c>
      <c r="F18" s="103"/>
      <c r="G18" s="103">
        <v>9993764</v>
      </c>
      <c r="H18" s="103">
        <v>18894121</v>
      </c>
      <c r="I18" s="103" t="s">
        <v>435</v>
      </c>
      <c r="J18" s="103">
        <v>1</v>
      </c>
      <c r="K18" s="103">
        <v>22</v>
      </c>
      <c r="L18" s="104">
        <v>-164880</v>
      </c>
      <c r="M18" s="103" t="s">
        <v>444</v>
      </c>
      <c r="N18" s="105">
        <v>44592</v>
      </c>
      <c r="O18" s="105">
        <v>44592</v>
      </c>
      <c r="P18" s="105">
        <v>44589</v>
      </c>
      <c r="Q18" s="103" t="s">
        <v>445</v>
      </c>
      <c r="R18" s="103" t="s">
        <v>445</v>
      </c>
      <c r="S18" s="103"/>
      <c r="T18" s="103">
        <v>0</v>
      </c>
      <c r="U18" s="103" t="s">
        <v>417</v>
      </c>
      <c r="V18" s="103"/>
      <c r="W18" s="103"/>
      <c r="X18" s="103" t="s">
        <v>439</v>
      </c>
      <c r="Y18" s="103"/>
      <c r="Z18" s="103" t="s">
        <v>372</v>
      </c>
      <c r="AA18" s="103" t="s">
        <v>373</v>
      </c>
      <c r="AB18" s="103" t="s">
        <v>440</v>
      </c>
      <c r="AC18" s="103" t="s">
        <v>375</v>
      </c>
      <c r="AD18" s="103" t="s">
        <v>441</v>
      </c>
      <c r="AE18" s="103" t="s">
        <v>444</v>
      </c>
      <c r="AF18" s="103"/>
      <c r="AG18" s="103"/>
    </row>
    <row r="19" spans="1:33" ht="12.75" customHeight="1" x14ac:dyDescent="0.25">
      <c r="A19" s="106" t="s">
        <v>446</v>
      </c>
      <c r="B19" s="106"/>
      <c r="C19" s="106"/>
      <c r="D19" s="106"/>
      <c r="E19" s="106"/>
      <c r="F19" s="106"/>
      <c r="G19" s="106"/>
      <c r="H19" s="106"/>
      <c r="I19" s="106"/>
      <c r="J19" s="106"/>
      <c r="K19" s="106"/>
      <c r="L19" s="107">
        <v>2260550.4700000002</v>
      </c>
      <c r="M19" s="106"/>
      <c r="N19" s="106"/>
      <c r="O19" s="106"/>
      <c r="P19" s="106"/>
      <c r="Q19" s="106"/>
      <c r="R19" s="106"/>
      <c r="S19" s="106"/>
      <c r="T19" s="106"/>
      <c r="U19" s="106"/>
      <c r="V19" s="106"/>
      <c r="W19" s="106"/>
      <c r="X19" s="106"/>
      <c r="Y19" s="106"/>
      <c r="Z19" s="106"/>
      <c r="AA19" s="106"/>
      <c r="AB19" s="106"/>
      <c r="AC19" s="106"/>
      <c r="AD19" s="106"/>
      <c r="AE19" s="106"/>
      <c r="AF19" s="106"/>
      <c r="AG19" s="106"/>
    </row>
    <row r="22" spans="1:33" ht="31.5" x14ac:dyDescent="0.25">
      <c r="A22" s="99" t="s">
        <v>331</v>
      </c>
      <c r="B22" s="99" t="s">
        <v>328</v>
      </c>
      <c r="C22" s="99" t="s">
        <v>332</v>
      </c>
      <c r="D22" s="99" t="s">
        <v>333</v>
      </c>
      <c r="E22" s="99" t="s">
        <v>334</v>
      </c>
      <c r="F22" s="99" t="s">
        <v>335</v>
      </c>
      <c r="G22" s="99" t="s">
        <v>336</v>
      </c>
      <c r="H22" s="99" t="s">
        <v>337</v>
      </c>
      <c r="I22" s="99" t="s">
        <v>338</v>
      </c>
      <c r="J22" s="99" t="s">
        <v>339</v>
      </c>
      <c r="K22" s="99" t="s">
        <v>340</v>
      </c>
      <c r="L22" s="99" t="s">
        <v>341</v>
      </c>
      <c r="M22" s="99" t="s">
        <v>343</v>
      </c>
      <c r="N22" s="99" t="s">
        <v>9</v>
      </c>
      <c r="O22" s="99" t="s">
        <v>344</v>
      </c>
      <c r="P22" s="99" t="s">
        <v>345</v>
      </c>
      <c r="Q22" s="99" t="s">
        <v>346</v>
      </c>
      <c r="R22" s="99" t="s">
        <v>347</v>
      </c>
      <c r="S22" s="99" t="s">
        <v>348</v>
      </c>
      <c r="T22" s="99" t="s">
        <v>349</v>
      </c>
      <c r="U22" s="99" t="s">
        <v>350</v>
      </c>
      <c r="V22" s="99" t="s">
        <v>351</v>
      </c>
      <c r="W22" s="99" t="s">
        <v>352</v>
      </c>
      <c r="X22" s="99" t="s">
        <v>353</v>
      </c>
      <c r="Y22" s="99" t="s">
        <v>354</v>
      </c>
      <c r="Z22" s="99" t="s">
        <v>355</v>
      </c>
      <c r="AA22" s="99" t="s">
        <v>356</v>
      </c>
      <c r="AB22" s="99" t="s">
        <v>357</v>
      </c>
      <c r="AC22" s="99" t="s">
        <v>358</v>
      </c>
      <c r="AD22" s="99" t="s">
        <v>342</v>
      </c>
      <c r="AE22" s="99" t="s">
        <v>359</v>
      </c>
      <c r="AF22" s="99" t="s">
        <v>360</v>
      </c>
    </row>
    <row r="23" spans="1:33" ht="12.75" customHeight="1" x14ac:dyDescent="0.25">
      <c r="A23" s="69" t="s">
        <v>361</v>
      </c>
      <c r="B23" s="69" t="s">
        <v>388</v>
      </c>
      <c r="C23" s="69" t="s">
        <v>363</v>
      </c>
      <c r="D23" s="69"/>
      <c r="E23" s="69" t="s">
        <v>434</v>
      </c>
      <c r="F23" s="69"/>
      <c r="G23" s="69">
        <v>10002626</v>
      </c>
      <c r="H23" s="69">
        <v>18950452</v>
      </c>
      <c r="I23" s="69" t="s">
        <v>435</v>
      </c>
      <c r="J23" s="69">
        <v>2</v>
      </c>
      <c r="K23" s="69">
        <v>22</v>
      </c>
      <c r="L23" s="101">
        <v>75000</v>
      </c>
      <c r="M23" s="102">
        <v>44620</v>
      </c>
      <c r="N23" s="102">
        <v>44620</v>
      </c>
      <c r="O23" s="102">
        <v>44610</v>
      </c>
      <c r="P23" s="69" t="s">
        <v>447</v>
      </c>
      <c r="Q23" s="69" t="s">
        <v>448</v>
      </c>
      <c r="R23" s="69"/>
      <c r="S23" s="69">
        <v>0</v>
      </c>
      <c r="T23" s="69" t="s">
        <v>394</v>
      </c>
      <c r="U23" s="69"/>
      <c r="V23" s="69"/>
      <c r="W23" s="69" t="s">
        <v>449</v>
      </c>
      <c r="X23" s="69"/>
      <c r="Y23" s="69" t="s">
        <v>372</v>
      </c>
      <c r="Z23" s="69" t="s">
        <v>373</v>
      </c>
      <c r="AA23" s="69" t="s">
        <v>450</v>
      </c>
      <c r="AB23" s="69" t="s">
        <v>375</v>
      </c>
      <c r="AC23" s="69" t="s">
        <v>395</v>
      </c>
      <c r="AD23" s="69" t="s">
        <v>451</v>
      </c>
      <c r="AE23" s="69"/>
      <c r="AF23" s="69"/>
    </row>
    <row r="24" spans="1:33" ht="12.75" customHeight="1" x14ac:dyDescent="0.25">
      <c r="A24" s="69" t="s">
        <v>396</v>
      </c>
      <c r="B24" s="69" t="s">
        <v>397</v>
      </c>
      <c r="C24" s="69" t="s">
        <v>363</v>
      </c>
      <c r="D24" s="69"/>
      <c r="E24" s="69" t="s">
        <v>364</v>
      </c>
      <c r="F24" s="69"/>
      <c r="G24" s="69">
        <v>10005399</v>
      </c>
      <c r="H24" s="69">
        <v>1426118</v>
      </c>
      <c r="I24" s="69" t="s">
        <v>365</v>
      </c>
      <c r="J24" s="69">
        <v>2</v>
      </c>
      <c r="K24" s="69">
        <v>22</v>
      </c>
      <c r="L24" s="101">
        <v>15056.25</v>
      </c>
      <c r="M24" s="102">
        <v>44614</v>
      </c>
      <c r="N24" s="102">
        <v>44620</v>
      </c>
      <c r="O24" s="102">
        <v>44620</v>
      </c>
      <c r="P24" s="69" t="s">
        <v>399</v>
      </c>
      <c r="Q24" s="69" t="s">
        <v>84</v>
      </c>
      <c r="R24" s="69" t="s">
        <v>452</v>
      </c>
      <c r="S24" s="69" t="s">
        <v>401</v>
      </c>
      <c r="T24" s="69" t="s">
        <v>402</v>
      </c>
      <c r="U24" s="69"/>
      <c r="V24" s="69"/>
      <c r="W24" s="69"/>
      <c r="X24" s="69"/>
      <c r="Y24" s="69" t="s">
        <v>372</v>
      </c>
      <c r="Z24" s="69" t="s">
        <v>373</v>
      </c>
      <c r="AA24" s="69" t="s">
        <v>374</v>
      </c>
      <c r="AB24" s="69" t="s">
        <v>453</v>
      </c>
      <c r="AC24" s="69" t="s">
        <v>403</v>
      </c>
      <c r="AD24" s="69" t="s">
        <v>398</v>
      </c>
      <c r="AE24" s="69"/>
      <c r="AF24" s="69"/>
    </row>
    <row r="25" spans="1:33" ht="12.75" customHeight="1" x14ac:dyDescent="0.25">
      <c r="A25" s="69" t="s">
        <v>396</v>
      </c>
      <c r="B25" s="69" t="s">
        <v>405</v>
      </c>
      <c r="C25" s="69" t="s">
        <v>363</v>
      </c>
      <c r="D25" s="69"/>
      <c r="E25" s="69" t="s">
        <v>364</v>
      </c>
      <c r="F25" s="69"/>
      <c r="G25" s="69">
        <v>10000290</v>
      </c>
      <c r="H25" s="69">
        <v>1426010</v>
      </c>
      <c r="I25" s="69" t="s">
        <v>365</v>
      </c>
      <c r="J25" s="69">
        <v>2</v>
      </c>
      <c r="K25" s="69">
        <v>22</v>
      </c>
      <c r="L25" s="101">
        <v>193125</v>
      </c>
      <c r="M25" s="102">
        <v>44484</v>
      </c>
      <c r="N25" s="102">
        <v>44603</v>
      </c>
      <c r="O25" s="102">
        <v>44603</v>
      </c>
      <c r="P25" s="69" t="s">
        <v>454</v>
      </c>
      <c r="Q25" s="69" t="s">
        <v>297</v>
      </c>
      <c r="R25" s="69" t="s">
        <v>455</v>
      </c>
      <c r="S25" s="69" t="s">
        <v>456</v>
      </c>
      <c r="T25" s="69" t="s">
        <v>457</v>
      </c>
      <c r="U25" s="69"/>
      <c r="V25" s="69"/>
      <c r="W25" s="69"/>
      <c r="X25" s="69"/>
      <c r="Y25" s="69" t="s">
        <v>372</v>
      </c>
      <c r="Z25" s="69" t="s">
        <v>373</v>
      </c>
      <c r="AA25" s="69" t="s">
        <v>374</v>
      </c>
      <c r="AB25" s="69" t="s">
        <v>375</v>
      </c>
      <c r="AC25" s="69" t="s">
        <v>412</v>
      </c>
      <c r="AD25" s="69" t="s">
        <v>458</v>
      </c>
      <c r="AE25" s="69"/>
      <c r="AF25" s="69"/>
    </row>
    <row r="26" spans="1:33" ht="12.75" customHeight="1" x14ac:dyDescent="0.25">
      <c r="A26" s="69" t="s">
        <v>396</v>
      </c>
      <c r="B26" s="69" t="s">
        <v>433</v>
      </c>
      <c r="C26" s="69" t="s">
        <v>363</v>
      </c>
      <c r="D26" s="69"/>
      <c r="E26" s="69" t="s">
        <v>434</v>
      </c>
      <c r="F26" s="69"/>
      <c r="G26" s="69">
        <v>10001697</v>
      </c>
      <c r="H26" s="69">
        <v>18927285</v>
      </c>
      <c r="I26" s="69" t="s">
        <v>435</v>
      </c>
      <c r="J26" s="69">
        <v>2</v>
      </c>
      <c r="K26" s="69">
        <v>22</v>
      </c>
      <c r="L26" s="101">
        <v>50000</v>
      </c>
      <c r="M26" s="102">
        <v>44620</v>
      </c>
      <c r="N26" s="102">
        <v>44620</v>
      </c>
      <c r="O26" s="102">
        <v>44608</v>
      </c>
      <c r="P26" s="69" t="s">
        <v>437</v>
      </c>
      <c r="Q26" s="69" t="s">
        <v>459</v>
      </c>
      <c r="R26" s="69"/>
      <c r="S26" s="69">
        <v>0</v>
      </c>
      <c r="T26" s="69" t="s">
        <v>417</v>
      </c>
      <c r="U26" s="69"/>
      <c r="V26" s="69"/>
      <c r="W26" s="69"/>
      <c r="X26" s="69"/>
      <c r="Y26" s="69" t="s">
        <v>372</v>
      </c>
      <c r="Z26" s="69" t="s">
        <v>373</v>
      </c>
      <c r="AA26" s="69" t="s">
        <v>460</v>
      </c>
      <c r="AB26" s="69" t="s">
        <v>375</v>
      </c>
      <c r="AC26" s="69" t="s">
        <v>441</v>
      </c>
      <c r="AD26" s="69" t="s">
        <v>436</v>
      </c>
      <c r="AE26" s="69"/>
      <c r="AF26" s="69"/>
    </row>
    <row r="27" spans="1:33" ht="12.75" customHeight="1" x14ac:dyDescent="0.25">
      <c r="A27" s="103" t="s">
        <v>396</v>
      </c>
      <c r="B27" s="103" t="s">
        <v>433</v>
      </c>
      <c r="C27" s="103" t="s">
        <v>363</v>
      </c>
      <c r="D27" s="103"/>
      <c r="E27" s="103" t="s">
        <v>434</v>
      </c>
      <c r="F27" s="103"/>
      <c r="G27" s="103">
        <v>10001697</v>
      </c>
      <c r="H27" s="103">
        <v>18927285</v>
      </c>
      <c r="I27" s="103" t="s">
        <v>435</v>
      </c>
      <c r="J27" s="103">
        <v>2</v>
      </c>
      <c r="K27" s="103">
        <v>22</v>
      </c>
      <c r="L27" s="104">
        <v>120000</v>
      </c>
      <c r="M27" s="105">
        <v>44620</v>
      </c>
      <c r="N27" s="105">
        <v>44620</v>
      </c>
      <c r="O27" s="105">
        <v>44608</v>
      </c>
      <c r="P27" s="103" t="s">
        <v>443</v>
      </c>
      <c r="Q27" s="103" t="s">
        <v>459</v>
      </c>
      <c r="R27" s="103"/>
      <c r="S27" s="103">
        <v>0</v>
      </c>
      <c r="T27" s="103" t="s">
        <v>417</v>
      </c>
      <c r="U27" s="103"/>
      <c r="V27" s="103"/>
      <c r="W27" s="103"/>
      <c r="X27" s="103"/>
      <c r="Y27" s="103" t="s">
        <v>372</v>
      </c>
      <c r="Z27" s="103" t="s">
        <v>373</v>
      </c>
      <c r="AA27" s="103" t="s">
        <v>460</v>
      </c>
      <c r="AB27" s="103" t="s">
        <v>375</v>
      </c>
      <c r="AC27" s="103" t="s">
        <v>441</v>
      </c>
      <c r="AD27" s="103" t="s">
        <v>442</v>
      </c>
      <c r="AE27" s="103"/>
      <c r="AF27" s="103"/>
    </row>
    <row r="28" spans="1:33" ht="12.75" customHeight="1" x14ac:dyDescent="0.25">
      <c r="A28" s="106" t="s">
        <v>446</v>
      </c>
      <c r="B28" s="106"/>
      <c r="C28" s="106"/>
      <c r="D28" s="106"/>
      <c r="E28" s="106"/>
      <c r="F28" s="106"/>
      <c r="G28" s="106"/>
      <c r="H28" s="106"/>
      <c r="I28" s="106"/>
      <c r="J28" s="106"/>
      <c r="K28" s="106"/>
      <c r="L28" s="107">
        <v>453181.25</v>
      </c>
      <c r="M28" s="106"/>
      <c r="N28" s="106"/>
      <c r="O28" s="106"/>
      <c r="P28" s="106"/>
      <c r="Q28" s="106"/>
      <c r="R28" s="106"/>
      <c r="S28" s="106"/>
      <c r="T28" s="106"/>
      <c r="U28" s="106"/>
      <c r="V28" s="106"/>
      <c r="W28" s="106"/>
      <c r="X28" s="106"/>
      <c r="Y28" s="106"/>
      <c r="Z28" s="106"/>
      <c r="AA28" s="106"/>
      <c r="AB28" s="106"/>
      <c r="AC28" s="106"/>
      <c r="AD28" s="106"/>
      <c r="AE28" s="106"/>
      <c r="AF28" s="106"/>
    </row>
    <row r="30" spans="1:33" ht="31.5" x14ac:dyDescent="0.25">
      <c r="A30" s="99" t="s">
        <v>331</v>
      </c>
      <c r="B30" s="99" t="s">
        <v>328</v>
      </c>
      <c r="C30" s="99" t="s">
        <v>332</v>
      </c>
      <c r="D30" s="99" t="s">
        <v>333</v>
      </c>
      <c r="E30" s="99" t="s">
        <v>334</v>
      </c>
      <c r="F30" s="99" t="s">
        <v>335</v>
      </c>
      <c r="G30" s="99" t="s">
        <v>336</v>
      </c>
      <c r="H30" s="99" t="s">
        <v>337</v>
      </c>
      <c r="I30" s="99" t="s">
        <v>338</v>
      </c>
      <c r="J30" s="99" t="s">
        <v>339</v>
      </c>
      <c r="K30" s="99" t="s">
        <v>340</v>
      </c>
      <c r="L30" s="99" t="s">
        <v>341</v>
      </c>
      <c r="M30" s="99" t="s">
        <v>343</v>
      </c>
      <c r="N30" s="99" t="s">
        <v>9</v>
      </c>
      <c r="O30" s="99" t="s">
        <v>344</v>
      </c>
      <c r="P30" s="99" t="s">
        <v>345</v>
      </c>
      <c r="Q30" s="99" t="s">
        <v>346</v>
      </c>
      <c r="R30" s="99" t="s">
        <v>347</v>
      </c>
      <c r="S30" s="99" t="s">
        <v>348</v>
      </c>
      <c r="T30" s="99" t="s">
        <v>349</v>
      </c>
      <c r="U30" s="99" t="s">
        <v>350</v>
      </c>
      <c r="V30" s="99" t="s">
        <v>351</v>
      </c>
      <c r="W30" s="99" t="s">
        <v>352</v>
      </c>
      <c r="X30" s="99" t="s">
        <v>353</v>
      </c>
      <c r="Y30" s="99" t="s">
        <v>354</v>
      </c>
      <c r="Z30" s="99" t="s">
        <v>355</v>
      </c>
      <c r="AA30" s="99" t="s">
        <v>356</v>
      </c>
      <c r="AB30" s="99" t="s">
        <v>357</v>
      </c>
      <c r="AC30" s="99" t="s">
        <v>358</v>
      </c>
      <c r="AD30" s="99" t="s">
        <v>342</v>
      </c>
      <c r="AE30" s="99" t="s">
        <v>359</v>
      </c>
      <c r="AF30" s="99" t="s">
        <v>360</v>
      </c>
    </row>
    <row r="31" spans="1:33" ht="12.75" customHeight="1" x14ac:dyDescent="0.25">
      <c r="A31" s="69" t="s">
        <v>361</v>
      </c>
      <c r="B31" s="69" t="s">
        <v>362</v>
      </c>
      <c r="C31" s="69" t="s">
        <v>363</v>
      </c>
      <c r="D31" s="69"/>
      <c r="E31" s="69" t="s">
        <v>364</v>
      </c>
      <c r="F31" s="69"/>
      <c r="G31" s="69">
        <v>10016930</v>
      </c>
      <c r="H31" s="69">
        <v>1430181</v>
      </c>
      <c r="I31" s="69" t="s">
        <v>365</v>
      </c>
      <c r="J31" s="69">
        <v>3</v>
      </c>
      <c r="K31" s="69">
        <v>22</v>
      </c>
      <c r="L31" s="101">
        <v>-4256.1000000000004</v>
      </c>
      <c r="M31" s="102">
        <v>44609</v>
      </c>
      <c r="N31" s="102">
        <v>44644</v>
      </c>
      <c r="O31" s="102">
        <v>44644</v>
      </c>
      <c r="P31" s="69" t="s">
        <v>240</v>
      </c>
      <c r="Q31" s="69" t="s">
        <v>384</v>
      </c>
      <c r="R31" s="69" t="s">
        <v>461</v>
      </c>
      <c r="S31" s="69" t="s">
        <v>386</v>
      </c>
      <c r="T31" s="69" t="s">
        <v>387</v>
      </c>
      <c r="U31" s="69"/>
      <c r="V31" s="69"/>
      <c r="W31" s="69"/>
      <c r="X31" s="69"/>
      <c r="Y31" s="69" t="s">
        <v>372</v>
      </c>
      <c r="Z31" s="69" t="s">
        <v>373</v>
      </c>
      <c r="AA31" s="69" t="s">
        <v>374</v>
      </c>
      <c r="AB31" s="69" t="s">
        <v>375</v>
      </c>
      <c r="AC31" s="69" t="s">
        <v>376</v>
      </c>
      <c r="AD31" s="69" t="s">
        <v>382</v>
      </c>
      <c r="AE31" s="69"/>
      <c r="AF31" s="69"/>
    </row>
    <row r="32" spans="1:33" ht="12.75" customHeight="1" x14ac:dyDescent="0.25">
      <c r="A32" s="69" t="s">
        <v>361</v>
      </c>
      <c r="B32" s="69" t="s">
        <v>362</v>
      </c>
      <c r="C32" s="69" t="s">
        <v>363</v>
      </c>
      <c r="D32" s="69"/>
      <c r="E32" s="69" t="s">
        <v>364</v>
      </c>
      <c r="F32" s="69"/>
      <c r="G32" s="69">
        <v>10016930</v>
      </c>
      <c r="H32" s="69">
        <v>1430181</v>
      </c>
      <c r="I32" s="69" t="s">
        <v>365</v>
      </c>
      <c r="J32" s="69">
        <v>3</v>
      </c>
      <c r="K32" s="69">
        <v>22</v>
      </c>
      <c r="L32" s="101">
        <v>100000</v>
      </c>
      <c r="M32" s="102">
        <v>44609</v>
      </c>
      <c r="N32" s="102">
        <v>44644</v>
      </c>
      <c r="O32" s="102">
        <v>44644</v>
      </c>
      <c r="P32" s="69" t="s">
        <v>383</v>
      </c>
      <c r="Q32" s="69" t="s">
        <v>384</v>
      </c>
      <c r="R32" s="69" t="s">
        <v>461</v>
      </c>
      <c r="S32" s="69" t="s">
        <v>386</v>
      </c>
      <c r="T32" s="69" t="s">
        <v>387</v>
      </c>
      <c r="U32" s="69"/>
      <c r="V32" s="69"/>
      <c r="W32" s="69"/>
      <c r="X32" s="69"/>
      <c r="Y32" s="69" t="s">
        <v>372</v>
      </c>
      <c r="Z32" s="69" t="s">
        <v>373</v>
      </c>
      <c r="AA32" s="69" t="s">
        <v>374</v>
      </c>
      <c r="AB32" s="69" t="s">
        <v>375</v>
      </c>
      <c r="AC32" s="69" t="s">
        <v>376</v>
      </c>
      <c r="AD32" s="69" t="s">
        <v>382</v>
      </c>
      <c r="AE32" s="69"/>
      <c r="AF32" s="69"/>
    </row>
    <row r="33" spans="1:32" ht="12.75" customHeight="1" x14ac:dyDescent="0.25">
      <c r="A33" s="69" t="s">
        <v>361</v>
      </c>
      <c r="B33" s="69" t="s">
        <v>362</v>
      </c>
      <c r="C33" s="69" t="s">
        <v>363</v>
      </c>
      <c r="D33" s="69"/>
      <c r="E33" s="69" t="s">
        <v>434</v>
      </c>
      <c r="F33" s="69"/>
      <c r="G33" s="69">
        <v>10003975</v>
      </c>
      <c r="H33" s="69">
        <v>18955659</v>
      </c>
      <c r="I33" s="69" t="s">
        <v>435</v>
      </c>
      <c r="J33" s="69">
        <v>3</v>
      </c>
      <c r="K33" s="69">
        <v>22</v>
      </c>
      <c r="L33" s="101">
        <v>-750000</v>
      </c>
      <c r="M33" s="102">
        <v>44651</v>
      </c>
      <c r="N33" s="102">
        <v>44651</v>
      </c>
      <c r="O33" s="102">
        <v>44615</v>
      </c>
      <c r="P33" s="69" t="s">
        <v>462</v>
      </c>
      <c r="Q33" s="69" t="s">
        <v>463</v>
      </c>
      <c r="R33" s="69"/>
      <c r="S33" s="69">
        <v>0</v>
      </c>
      <c r="T33" s="69" t="s">
        <v>387</v>
      </c>
      <c r="U33" s="69"/>
      <c r="V33" s="69"/>
      <c r="W33" s="69" t="s">
        <v>449</v>
      </c>
      <c r="X33" s="69"/>
      <c r="Y33" s="69" t="s">
        <v>372</v>
      </c>
      <c r="Z33" s="69" t="s">
        <v>373</v>
      </c>
      <c r="AA33" s="69" t="s">
        <v>464</v>
      </c>
      <c r="AB33" s="69" t="s">
        <v>375</v>
      </c>
      <c r="AC33" s="69" t="s">
        <v>376</v>
      </c>
      <c r="AD33" s="69" t="s">
        <v>382</v>
      </c>
      <c r="AE33" s="69"/>
      <c r="AF33" s="69"/>
    </row>
    <row r="34" spans="1:32" ht="12.75" customHeight="1" x14ac:dyDescent="0.25">
      <c r="A34" s="69" t="s">
        <v>361</v>
      </c>
      <c r="B34" s="69" t="s">
        <v>362</v>
      </c>
      <c r="C34" s="69" t="s">
        <v>363</v>
      </c>
      <c r="D34" s="69"/>
      <c r="E34" s="69" t="s">
        <v>434</v>
      </c>
      <c r="F34" s="69"/>
      <c r="G34" s="69">
        <v>10003975</v>
      </c>
      <c r="H34" s="69">
        <v>18955659</v>
      </c>
      <c r="I34" s="69" t="s">
        <v>435</v>
      </c>
      <c r="J34" s="69">
        <v>3</v>
      </c>
      <c r="K34" s="69">
        <v>22</v>
      </c>
      <c r="L34" s="101">
        <v>-885520.16</v>
      </c>
      <c r="M34" s="102">
        <v>44651</v>
      </c>
      <c r="N34" s="102">
        <v>44651</v>
      </c>
      <c r="O34" s="102">
        <v>44615</v>
      </c>
      <c r="P34" s="69" t="s">
        <v>465</v>
      </c>
      <c r="Q34" s="69" t="s">
        <v>463</v>
      </c>
      <c r="R34" s="69"/>
      <c r="S34" s="69">
        <v>0</v>
      </c>
      <c r="T34" s="69" t="s">
        <v>371</v>
      </c>
      <c r="U34" s="69"/>
      <c r="V34" s="69"/>
      <c r="W34" s="69" t="s">
        <v>449</v>
      </c>
      <c r="X34" s="69"/>
      <c r="Y34" s="69" t="s">
        <v>372</v>
      </c>
      <c r="Z34" s="69" t="s">
        <v>373</v>
      </c>
      <c r="AA34" s="69" t="s">
        <v>464</v>
      </c>
      <c r="AB34" s="69" t="s">
        <v>375</v>
      </c>
      <c r="AC34" s="69" t="s">
        <v>376</v>
      </c>
      <c r="AD34" s="69" t="s">
        <v>366</v>
      </c>
      <c r="AE34" s="69"/>
      <c r="AF34" s="69"/>
    </row>
    <row r="35" spans="1:32" ht="12.75" customHeight="1" x14ac:dyDescent="0.25">
      <c r="A35" s="69" t="s">
        <v>361</v>
      </c>
      <c r="B35" s="69" t="s">
        <v>362</v>
      </c>
      <c r="C35" s="69" t="s">
        <v>363</v>
      </c>
      <c r="D35" s="69"/>
      <c r="E35" s="69" t="s">
        <v>434</v>
      </c>
      <c r="F35" s="69"/>
      <c r="G35" s="69">
        <v>10005784</v>
      </c>
      <c r="H35" s="69">
        <v>18958057</v>
      </c>
      <c r="I35" s="69" t="s">
        <v>435</v>
      </c>
      <c r="J35" s="69">
        <v>3</v>
      </c>
      <c r="K35" s="69">
        <v>22</v>
      </c>
      <c r="L35" s="101">
        <v>500000</v>
      </c>
      <c r="M35" s="102">
        <v>44651</v>
      </c>
      <c r="N35" s="102">
        <v>44651</v>
      </c>
      <c r="O35" s="102">
        <v>44621</v>
      </c>
      <c r="P35" s="69" t="s">
        <v>466</v>
      </c>
      <c r="Q35" s="69" t="s">
        <v>467</v>
      </c>
      <c r="R35" s="69"/>
      <c r="S35" s="69">
        <v>0</v>
      </c>
      <c r="T35" s="69" t="s">
        <v>387</v>
      </c>
      <c r="U35" s="69"/>
      <c r="V35" s="69"/>
      <c r="W35" s="69" t="s">
        <v>449</v>
      </c>
      <c r="X35" s="69"/>
      <c r="Y35" s="69" t="s">
        <v>372</v>
      </c>
      <c r="Z35" s="69" t="s">
        <v>373</v>
      </c>
      <c r="AA35" s="69" t="s">
        <v>464</v>
      </c>
      <c r="AB35" s="69" t="s">
        <v>468</v>
      </c>
      <c r="AC35" s="69" t="s">
        <v>376</v>
      </c>
      <c r="AD35" s="69" t="s">
        <v>382</v>
      </c>
      <c r="AE35" s="69"/>
      <c r="AF35" s="69"/>
    </row>
    <row r="36" spans="1:32" ht="12.75" customHeight="1" x14ac:dyDescent="0.25">
      <c r="A36" s="69" t="s">
        <v>396</v>
      </c>
      <c r="B36" s="69" t="s">
        <v>469</v>
      </c>
      <c r="C36" s="69" t="s">
        <v>363</v>
      </c>
      <c r="D36" s="69"/>
      <c r="E36" s="69" t="s">
        <v>364</v>
      </c>
      <c r="F36" s="69"/>
      <c r="G36" s="69">
        <v>10012476</v>
      </c>
      <c r="H36" s="69">
        <v>1429085</v>
      </c>
      <c r="I36" s="69" t="s">
        <v>365</v>
      </c>
      <c r="J36" s="69">
        <v>3</v>
      </c>
      <c r="K36" s="69">
        <v>22</v>
      </c>
      <c r="L36" s="101">
        <v>476431.06</v>
      </c>
      <c r="M36" s="102">
        <v>44429</v>
      </c>
      <c r="N36" s="102">
        <v>44634</v>
      </c>
      <c r="O36" s="102">
        <v>44634</v>
      </c>
      <c r="P36" s="69" t="s">
        <v>470</v>
      </c>
      <c r="Q36" s="69" t="s">
        <v>21</v>
      </c>
      <c r="R36" s="69" t="s">
        <v>471</v>
      </c>
      <c r="S36" s="69" t="s">
        <v>472</v>
      </c>
      <c r="T36" s="69" t="s">
        <v>473</v>
      </c>
      <c r="U36" s="69"/>
      <c r="V36" s="69"/>
      <c r="W36" s="69"/>
      <c r="X36" s="69"/>
      <c r="Y36" s="69" t="s">
        <v>372</v>
      </c>
      <c r="Z36" s="69" t="s">
        <v>373</v>
      </c>
      <c r="AA36" s="69" t="s">
        <v>374</v>
      </c>
      <c r="AB36" s="69" t="s">
        <v>375</v>
      </c>
      <c r="AC36" s="69" t="s">
        <v>474</v>
      </c>
      <c r="AD36" s="69" t="s">
        <v>475</v>
      </c>
      <c r="AE36" s="69"/>
      <c r="AF36" s="69"/>
    </row>
    <row r="37" spans="1:32" ht="12.75" customHeight="1" x14ac:dyDescent="0.25">
      <c r="A37" s="69" t="s">
        <v>396</v>
      </c>
      <c r="B37" s="69" t="s">
        <v>469</v>
      </c>
      <c r="C37" s="69" t="s">
        <v>363</v>
      </c>
      <c r="D37" s="69"/>
      <c r="E37" s="69" t="s">
        <v>434</v>
      </c>
      <c r="F37" s="69"/>
      <c r="G37" s="69">
        <v>10002700</v>
      </c>
      <c r="H37" s="69">
        <v>18951541</v>
      </c>
      <c r="I37" s="69" t="s">
        <v>435</v>
      </c>
      <c r="J37" s="69">
        <v>3</v>
      </c>
      <c r="K37" s="69">
        <v>22</v>
      </c>
      <c r="L37" s="101">
        <v>-366941.67</v>
      </c>
      <c r="M37" s="102">
        <v>44651</v>
      </c>
      <c r="N37" s="102">
        <v>44651</v>
      </c>
      <c r="O37" s="102">
        <v>44610</v>
      </c>
      <c r="P37" s="69" t="s">
        <v>476</v>
      </c>
      <c r="Q37" s="69" t="s">
        <v>477</v>
      </c>
      <c r="R37" s="69"/>
      <c r="S37" s="69">
        <v>0</v>
      </c>
      <c r="T37" s="69" t="s">
        <v>478</v>
      </c>
      <c r="U37" s="69"/>
      <c r="V37" s="69"/>
      <c r="W37" s="69" t="s">
        <v>449</v>
      </c>
      <c r="X37" s="69"/>
      <c r="Y37" s="69" t="s">
        <v>372</v>
      </c>
      <c r="Z37" s="69" t="s">
        <v>373</v>
      </c>
      <c r="AA37" s="69" t="s">
        <v>479</v>
      </c>
      <c r="AB37" s="69" t="s">
        <v>375</v>
      </c>
      <c r="AC37" s="69" t="s">
        <v>474</v>
      </c>
      <c r="AD37" s="69" t="s">
        <v>480</v>
      </c>
      <c r="AE37" s="69"/>
      <c r="AF37" s="69"/>
    </row>
    <row r="38" spans="1:32" ht="12.75" customHeight="1" x14ac:dyDescent="0.25">
      <c r="A38" s="69" t="s">
        <v>396</v>
      </c>
      <c r="B38" s="69" t="s">
        <v>405</v>
      </c>
      <c r="C38" s="69" t="s">
        <v>363</v>
      </c>
      <c r="D38" s="69"/>
      <c r="E38" s="69" t="s">
        <v>364</v>
      </c>
      <c r="F38" s="69"/>
      <c r="G38" s="69">
        <v>10006164</v>
      </c>
      <c r="H38" s="69">
        <v>1426124</v>
      </c>
      <c r="I38" s="69" t="s">
        <v>365</v>
      </c>
      <c r="J38" s="69">
        <v>3</v>
      </c>
      <c r="K38" s="69">
        <v>22</v>
      </c>
      <c r="L38" s="101">
        <v>4681053.4000000004</v>
      </c>
      <c r="M38" s="102">
        <v>44580</v>
      </c>
      <c r="N38" s="102">
        <v>44622</v>
      </c>
      <c r="O38" s="102">
        <v>44622</v>
      </c>
      <c r="P38" s="69" t="s">
        <v>481</v>
      </c>
      <c r="Q38" s="69" t="s">
        <v>259</v>
      </c>
      <c r="R38" s="69" t="s">
        <v>482</v>
      </c>
      <c r="S38" s="69" t="s">
        <v>483</v>
      </c>
      <c r="T38" s="69" t="s">
        <v>417</v>
      </c>
      <c r="U38" s="69"/>
      <c r="V38" s="69"/>
      <c r="W38" s="69"/>
      <c r="X38" s="69"/>
      <c r="Y38" s="69" t="s">
        <v>372</v>
      </c>
      <c r="Z38" s="69" t="s">
        <v>373</v>
      </c>
      <c r="AA38" s="69" t="s">
        <v>374</v>
      </c>
      <c r="AB38" s="69" t="s">
        <v>419</v>
      </c>
      <c r="AC38" s="69" t="s">
        <v>412</v>
      </c>
      <c r="AD38" s="69" t="s">
        <v>484</v>
      </c>
      <c r="AE38" s="69"/>
      <c r="AF38" s="69"/>
    </row>
    <row r="39" spans="1:32" ht="12.75" customHeight="1" x14ac:dyDescent="0.25">
      <c r="A39" s="69" t="s">
        <v>396</v>
      </c>
      <c r="B39" s="69" t="s">
        <v>405</v>
      </c>
      <c r="C39" s="69" t="s">
        <v>363</v>
      </c>
      <c r="D39" s="69"/>
      <c r="E39" s="69" t="s">
        <v>364</v>
      </c>
      <c r="F39" s="69" t="s">
        <v>364</v>
      </c>
      <c r="G39" s="69">
        <v>9985401</v>
      </c>
      <c r="H39" s="69">
        <v>1421114</v>
      </c>
      <c r="I39" s="69" t="s">
        <v>365</v>
      </c>
      <c r="J39" s="69">
        <v>3</v>
      </c>
      <c r="K39" s="69">
        <v>22</v>
      </c>
      <c r="L39" s="101">
        <v>-498753.97</v>
      </c>
      <c r="M39" s="102">
        <v>44379</v>
      </c>
      <c r="N39" s="102">
        <v>44635</v>
      </c>
      <c r="O39" s="102">
        <v>44571</v>
      </c>
      <c r="P39" s="69" t="s">
        <v>407</v>
      </c>
      <c r="Q39" s="69" t="s">
        <v>408</v>
      </c>
      <c r="R39" s="69" t="s">
        <v>409</v>
      </c>
      <c r="S39" s="69" t="s">
        <v>410</v>
      </c>
      <c r="T39" s="69" t="s">
        <v>411</v>
      </c>
      <c r="U39" s="69"/>
      <c r="V39" s="69"/>
      <c r="W39" s="69"/>
      <c r="X39" s="69"/>
      <c r="Y39" s="69" t="s">
        <v>372</v>
      </c>
      <c r="Z39" s="69" t="s">
        <v>373</v>
      </c>
      <c r="AA39" s="69" t="s">
        <v>374</v>
      </c>
      <c r="AB39" s="69" t="s">
        <v>453</v>
      </c>
      <c r="AC39" s="69" t="s">
        <v>412</v>
      </c>
      <c r="AD39" s="69" t="s">
        <v>406</v>
      </c>
      <c r="AE39" s="69"/>
      <c r="AF39" s="69"/>
    </row>
    <row r="40" spans="1:32" ht="12.75" customHeight="1" x14ac:dyDescent="0.25">
      <c r="A40" s="69" t="s">
        <v>396</v>
      </c>
      <c r="B40" s="69" t="s">
        <v>405</v>
      </c>
      <c r="C40" s="69" t="s">
        <v>363</v>
      </c>
      <c r="D40" s="69"/>
      <c r="E40" s="69" t="s">
        <v>364</v>
      </c>
      <c r="F40" s="69"/>
      <c r="G40" s="69">
        <v>10014182</v>
      </c>
      <c r="H40" s="69">
        <v>1429419</v>
      </c>
      <c r="I40" s="69" t="s">
        <v>365</v>
      </c>
      <c r="J40" s="69">
        <v>3</v>
      </c>
      <c r="K40" s="69">
        <v>22</v>
      </c>
      <c r="L40" s="101">
        <v>309799.38</v>
      </c>
      <c r="M40" s="102">
        <v>44379</v>
      </c>
      <c r="N40" s="102">
        <v>44637</v>
      </c>
      <c r="O40" s="102">
        <v>44637</v>
      </c>
      <c r="P40" s="69" t="s">
        <v>407</v>
      </c>
      <c r="Q40" s="69" t="s">
        <v>408</v>
      </c>
      <c r="R40" s="69" t="s">
        <v>485</v>
      </c>
      <c r="S40" s="69" t="s">
        <v>410</v>
      </c>
      <c r="T40" s="69" t="s">
        <v>411</v>
      </c>
      <c r="U40" s="69"/>
      <c r="V40" s="69"/>
      <c r="W40" s="69"/>
      <c r="X40" s="69"/>
      <c r="Y40" s="69" t="s">
        <v>372</v>
      </c>
      <c r="Z40" s="69" t="s">
        <v>373</v>
      </c>
      <c r="AA40" s="69" t="s">
        <v>374</v>
      </c>
      <c r="AB40" s="69" t="s">
        <v>375</v>
      </c>
      <c r="AC40" s="69" t="s">
        <v>412</v>
      </c>
      <c r="AD40" s="69" t="s">
        <v>406</v>
      </c>
      <c r="AE40" s="69"/>
      <c r="AF40" s="69"/>
    </row>
    <row r="41" spans="1:32" ht="12.75" customHeight="1" x14ac:dyDescent="0.25">
      <c r="A41" s="69" t="s">
        <v>396</v>
      </c>
      <c r="B41" s="69" t="s">
        <v>405</v>
      </c>
      <c r="C41" s="69" t="s">
        <v>363</v>
      </c>
      <c r="D41" s="69"/>
      <c r="E41" s="69" t="s">
        <v>364</v>
      </c>
      <c r="F41" s="69"/>
      <c r="G41" s="69">
        <v>10018241</v>
      </c>
      <c r="H41" s="69">
        <v>1430584</v>
      </c>
      <c r="I41" s="69" t="s">
        <v>365</v>
      </c>
      <c r="J41" s="69">
        <v>3</v>
      </c>
      <c r="K41" s="69">
        <v>22</v>
      </c>
      <c r="L41" s="101">
        <v>462777.84</v>
      </c>
      <c r="M41" s="102">
        <v>44622</v>
      </c>
      <c r="N41" s="102">
        <v>44645</v>
      </c>
      <c r="O41" s="102">
        <v>44645</v>
      </c>
      <c r="P41" s="69" t="s">
        <v>486</v>
      </c>
      <c r="Q41" s="69" t="s">
        <v>287</v>
      </c>
      <c r="R41" s="69" t="s">
        <v>487</v>
      </c>
      <c r="S41" s="69" t="s">
        <v>488</v>
      </c>
      <c r="T41" s="69" t="s">
        <v>417</v>
      </c>
      <c r="U41" s="69"/>
      <c r="V41" s="69"/>
      <c r="W41" s="69"/>
      <c r="X41" s="69"/>
      <c r="Y41" s="69" t="s">
        <v>372</v>
      </c>
      <c r="Z41" s="69" t="s">
        <v>373</v>
      </c>
      <c r="AA41" s="69" t="s">
        <v>374</v>
      </c>
      <c r="AB41" s="69" t="s">
        <v>375</v>
      </c>
      <c r="AC41" s="69" t="s">
        <v>412</v>
      </c>
      <c r="AD41" s="69" t="s">
        <v>489</v>
      </c>
      <c r="AE41" s="69"/>
      <c r="AF41" s="69"/>
    </row>
    <row r="42" spans="1:32" ht="12.75" customHeight="1" x14ac:dyDescent="0.25">
      <c r="A42" s="69" t="s">
        <v>396</v>
      </c>
      <c r="B42" s="69" t="s">
        <v>490</v>
      </c>
      <c r="C42" s="69" t="s">
        <v>363</v>
      </c>
      <c r="D42" s="69"/>
      <c r="E42" s="69" t="s">
        <v>434</v>
      </c>
      <c r="F42" s="69"/>
      <c r="G42" s="69">
        <v>10002700</v>
      </c>
      <c r="H42" s="69">
        <v>18951541</v>
      </c>
      <c r="I42" s="69" t="s">
        <v>435</v>
      </c>
      <c r="J42" s="69">
        <v>3</v>
      </c>
      <c r="K42" s="69">
        <v>22</v>
      </c>
      <c r="L42" s="101">
        <v>366941.67</v>
      </c>
      <c r="M42" s="102">
        <v>44651</v>
      </c>
      <c r="N42" s="102">
        <v>44651</v>
      </c>
      <c r="O42" s="102">
        <v>44610</v>
      </c>
      <c r="P42" s="69" t="s">
        <v>476</v>
      </c>
      <c r="Q42" s="69" t="s">
        <v>477</v>
      </c>
      <c r="R42" s="69"/>
      <c r="S42" s="69">
        <v>0</v>
      </c>
      <c r="T42" s="69" t="s">
        <v>491</v>
      </c>
      <c r="U42" s="69"/>
      <c r="V42" s="69"/>
      <c r="W42" s="69" t="s">
        <v>449</v>
      </c>
      <c r="X42" s="69"/>
      <c r="Y42" s="69" t="s">
        <v>372</v>
      </c>
      <c r="Z42" s="69" t="s">
        <v>373</v>
      </c>
      <c r="AA42" s="69" t="s">
        <v>479</v>
      </c>
      <c r="AB42" s="69" t="s">
        <v>375</v>
      </c>
      <c r="AC42" s="69" t="s">
        <v>492</v>
      </c>
      <c r="AD42" s="69" t="s">
        <v>480</v>
      </c>
      <c r="AE42" s="69"/>
      <c r="AF42" s="69"/>
    </row>
    <row r="43" spans="1:32" ht="12.75" customHeight="1" x14ac:dyDescent="0.25">
      <c r="A43" s="69" t="s">
        <v>493</v>
      </c>
      <c r="B43" s="69" t="s">
        <v>494</v>
      </c>
      <c r="C43" s="69" t="s">
        <v>363</v>
      </c>
      <c r="D43" s="69"/>
      <c r="E43" s="69" t="s">
        <v>364</v>
      </c>
      <c r="F43" s="69"/>
      <c r="G43" s="69">
        <v>10008885</v>
      </c>
      <c r="H43" s="69">
        <v>1426614</v>
      </c>
      <c r="I43" s="69" t="s">
        <v>365</v>
      </c>
      <c r="J43" s="69">
        <v>3</v>
      </c>
      <c r="K43" s="69">
        <v>22</v>
      </c>
      <c r="L43" s="101">
        <v>846108</v>
      </c>
      <c r="M43" s="102">
        <v>44601</v>
      </c>
      <c r="N43" s="102">
        <v>44630</v>
      </c>
      <c r="O43" s="102">
        <v>44630</v>
      </c>
      <c r="P43" s="69" t="s">
        <v>495</v>
      </c>
      <c r="Q43" s="69" t="s">
        <v>80</v>
      </c>
      <c r="R43" s="69" t="s">
        <v>496</v>
      </c>
      <c r="S43" s="69" t="s">
        <v>497</v>
      </c>
      <c r="T43" s="69" t="s">
        <v>498</v>
      </c>
      <c r="U43" s="69"/>
      <c r="V43" s="69"/>
      <c r="W43" s="69"/>
      <c r="X43" s="69"/>
      <c r="Y43" s="69" t="s">
        <v>372</v>
      </c>
      <c r="Z43" s="69" t="s">
        <v>373</v>
      </c>
      <c r="AA43" s="69" t="s">
        <v>374</v>
      </c>
      <c r="AB43" s="69" t="s">
        <v>375</v>
      </c>
      <c r="AC43" s="69" t="s">
        <v>499</v>
      </c>
      <c r="AD43" s="69" t="s">
        <v>500</v>
      </c>
      <c r="AE43" s="69"/>
      <c r="AF43" s="69"/>
    </row>
    <row r="44" spans="1:32" ht="12.75" customHeight="1" x14ac:dyDescent="0.25">
      <c r="A44" s="103" t="s">
        <v>493</v>
      </c>
      <c r="B44" s="103" t="s">
        <v>494</v>
      </c>
      <c r="C44" s="103" t="s">
        <v>363</v>
      </c>
      <c r="D44" s="103"/>
      <c r="E44" s="103" t="s">
        <v>364</v>
      </c>
      <c r="F44" s="103"/>
      <c r="G44" s="103">
        <v>10010704</v>
      </c>
      <c r="H44" s="103">
        <v>1428397</v>
      </c>
      <c r="I44" s="103" t="s">
        <v>365</v>
      </c>
      <c r="J44" s="103">
        <v>3</v>
      </c>
      <c r="K44" s="103">
        <v>22</v>
      </c>
      <c r="L44" s="104">
        <v>846108</v>
      </c>
      <c r="M44" s="105">
        <v>44539</v>
      </c>
      <c r="N44" s="105">
        <v>44630</v>
      </c>
      <c r="O44" s="105">
        <v>44630</v>
      </c>
      <c r="P44" s="103" t="s">
        <v>495</v>
      </c>
      <c r="Q44" s="103" t="s">
        <v>80</v>
      </c>
      <c r="R44" s="103" t="s">
        <v>501</v>
      </c>
      <c r="S44" s="103" t="s">
        <v>497</v>
      </c>
      <c r="T44" s="103" t="s">
        <v>498</v>
      </c>
      <c r="U44" s="103"/>
      <c r="V44" s="103"/>
      <c r="W44" s="103"/>
      <c r="X44" s="103"/>
      <c r="Y44" s="103" t="s">
        <v>372</v>
      </c>
      <c r="Z44" s="103" t="s">
        <v>373</v>
      </c>
      <c r="AA44" s="103" t="s">
        <v>374</v>
      </c>
      <c r="AB44" s="103" t="s">
        <v>375</v>
      </c>
      <c r="AC44" s="103" t="s">
        <v>499</v>
      </c>
      <c r="AD44" s="103" t="s">
        <v>500</v>
      </c>
      <c r="AE44" s="103"/>
      <c r="AF44" s="103"/>
    </row>
    <row r="45" spans="1:32" ht="12.75" customHeight="1" x14ac:dyDescent="0.25">
      <c r="A45" s="106" t="s">
        <v>446</v>
      </c>
      <c r="B45" s="106"/>
      <c r="C45" s="106"/>
      <c r="D45" s="106"/>
      <c r="E45" s="106"/>
      <c r="F45" s="106"/>
      <c r="G45" s="106"/>
      <c r="H45" s="106"/>
      <c r="I45" s="106"/>
      <c r="J45" s="106"/>
      <c r="K45" s="106"/>
      <c r="L45" s="107">
        <v>6083747.4500000002</v>
      </c>
      <c r="M45" s="106"/>
      <c r="N45" s="106"/>
      <c r="O45" s="106"/>
      <c r="P45" s="106"/>
      <c r="Q45" s="106"/>
      <c r="R45" s="106"/>
      <c r="S45" s="106"/>
      <c r="T45" s="106"/>
      <c r="U45" s="106"/>
      <c r="V45" s="106"/>
      <c r="W45" s="106"/>
      <c r="X45" s="106"/>
      <c r="Y45" s="106"/>
      <c r="Z45" s="106"/>
      <c r="AA45" s="106"/>
      <c r="AB45" s="106"/>
      <c r="AC45" s="106"/>
      <c r="AD45" s="106"/>
      <c r="AE45" s="106"/>
      <c r="AF45" s="106"/>
    </row>
    <row r="47" spans="1:32" ht="31.5" x14ac:dyDescent="0.25">
      <c r="A47" s="99" t="s">
        <v>331</v>
      </c>
      <c r="B47" s="99" t="s">
        <v>328</v>
      </c>
      <c r="C47" s="99" t="s">
        <v>332</v>
      </c>
      <c r="D47" s="99" t="s">
        <v>333</v>
      </c>
      <c r="E47" s="99" t="s">
        <v>334</v>
      </c>
      <c r="F47" s="99" t="s">
        <v>335</v>
      </c>
      <c r="G47" s="99" t="s">
        <v>336</v>
      </c>
      <c r="H47" s="99" t="s">
        <v>337</v>
      </c>
      <c r="I47" s="99" t="s">
        <v>338</v>
      </c>
      <c r="J47" s="99" t="s">
        <v>339</v>
      </c>
      <c r="K47" s="99" t="s">
        <v>340</v>
      </c>
      <c r="L47" s="99" t="s">
        <v>341</v>
      </c>
      <c r="M47" s="99" t="s">
        <v>343</v>
      </c>
      <c r="N47" s="99" t="s">
        <v>9</v>
      </c>
      <c r="O47" s="99" t="s">
        <v>344</v>
      </c>
      <c r="P47" s="99" t="s">
        <v>345</v>
      </c>
      <c r="Q47" s="99" t="s">
        <v>346</v>
      </c>
      <c r="R47" s="99" t="s">
        <v>347</v>
      </c>
      <c r="S47" s="99" t="s">
        <v>348</v>
      </c>
      <c r="T47" s="99" t="s">
        <v>349</v>
      </c>
      <c r="U47" s="99" t="s">
        <v>350</v>
      </c>
      <c r="V47" s="99" t="s">
        <v>351</v>
      </c>
      <c r="W47" s="99" t="s">
        <v>352</v>
      </c>
      <c r="X47" s="99" t="s">
        <v>353</v>
      </c>
      <c r="Y47" s="99" t="s">
        <v>354</v>
      </c>
      <c r="Z47" s="99" t="s">
        <v>355</v>
      </c>
      <c r="AA47" s="99" t="s">
        <v>356</v>
      </c>
      <c r="AB47" s="99" t="s">
        <v>357</v>
      </c>
      <c r="AC47" s="99" t="s">
        <v>358</v>
      </c>
      <c r="AD47" s="99" t="s">
        <v>342</v>
      </c>
      <c r="AE47" s="99" t="s">
        <v>359</v>
      </c>
      <c r="AF47" s="99" t="s">
        <v>360</v>
      </c>
    </row>
    <row r="48" spans="1:32" ht="12.75" customHeight="1" x14ac:dyDescent="0.25">
      <c r="A48" s="69" t="s">
        <v>361</v>
      </c>
      <c r="B48" s="69" t="s">
        <v>362</v>
      </c>
      <c r="C48" s="69" t="s">
        <v>363</v>
      </c>
      <c r="D48" s="69"/>
      <c r="E48" s="69" t="s">
        <v>420</v>
      </c>
      <c r="F48" s="69"/>
      <c r="G48" s="69">
        <v>10029088</v>
      </c>
      <c r="H48" s="69">
        <v>3967538</v>
      </c>
      <c r="I48" s="69" t="s">
        <v>421</v>
      </c>
      <c r="J48" s="69">
        <v>4</v>
      </c>
      <c r="K48" s="69">
        <v>22</v>
      </c>
      <c r="L48" s="101">
        <v>4256.1000000000004</v>
      </c>
      <c r="M48" s="102">
        <v>44681</v>
      </c>
      <c r="N48" s="102">
        <v>44674</v>
      </c>
      <c r="O48" s="102">
        <v>44674</v>
      </c>
      <c r="P48" s="69" t="s">
        <v>210</v>
      </c>
      <c r="Q48" s="69" t="s">
        <v>384</v>
      </c>
      <c r="R48" s="69"/>
      <c r="S48" s="69" t="s">
        <v>386</v>
      </c>
      <c r="T48" s="69" t="s">
        <v>502</v>
      </c>
      <c r="U48" s="69"/>
      <c r="V48" s="69"/>
      <c r="W48" s="69"/>
      <c r="X48" s="69"/>
      <c r="Y48" s="69" t="s">
        <v>372</v>
      </c>
      <c r="Z48" s="69" t="s">
        <v>373</v>
      </c>
      <c r="AA48" s="69" t="s">
        <v>375</v>
      </c>
      <c r="AB48" s="69" t="s">
        <v>375</v>
      </c>
      <c r="AC48" s="69" t="s">
        <v>376</v>
      </c>
      <c r="AD48" s="69"/>
      <c r="AE48" s="69"/>
      <c r="AF48" s="69"/>
    </row>
    <row r="49" spans="1:32" ht="12.75" customHeight="1" x14ac:dyDescent="0.25">
      <c r="A49" s="69" t="s">
        <v>396</v>
      </c>
      <c r="B49" s="69" t="s">
        <v>397</v>
      </c>
      <c r="C49" s="69" t="s">
        <v>363</v>
      </c>
      <c r="D49" s="69"/>
      <c r="E49" s="69" t="s">
        <v>364</v>
      </c>
      <c r="F49" s="69"/>
      <c r="G49" s="69">
        <v>10022084</v>
      </c>
      <c r="H49" s="69">
        <v>1431686</v>
      </c>
      <c r="I49" s="69" t="s">
        <v>365</v>
      </c>
      <c r="J49" s="69">
        <v>4</v>
      </c>
      <c r="K49" s="69">
        <v>22</v>
      </c>
      <c r="L49" s="101">
        <v>7647.5</v>
      </c>
      <c r="M49" s="102">
        <v>44643</v>
      </c>
      <c r="N49" s="102">
        <v>44657</v>
      </c>
      <c r="O49" s="102">
        <v>44657</v>
      </c>
      <c r="P49" s="69" t="s">
        <v>399</v>
      </c>
      <c r="Q49" s="69" t="s">
        <v>84</v>
      </c>
      <c r="R49" s="69" t="s">
        <v>503</v>
      </c>
      <c r="S49" s="69" t="s">
        <v>401</v>
      </c>
      <c r="T49" s="69" t="s">
        <v>402</v>
      </c>
      <c r="U49" s="69"/>
      <c r="V49" s="69"/>
      <c r="W49" s="69"/>
      <c r="X49" s="69"/>
      <c r="Y49" s="69" t="s">
        <v>372</v>
      </c>
      <c r="Z49" s="69" t="s">
        <v>373</v>
      </c>
      <c r="AA49" s="69" t="s">
        <v>374</v>
      </c>
      <c r="AB49" s="69" t="s">
        <v>375</v>
      </c>
      <c r="AC49" s="69" t="s">
        <v>403</v>
      </c>
      <c r="AD49" s="69" t="s">
        <v>398</v>
      </c>
      <c r="AE49" s="69"/>
      <c r="AF49" s="69"/>
    </row>
    <row r="50" spans="1:32" ht="12.75" customHeight="1" x14ac:dyDescent="0.25">
      <c r="A50" s="69" t="s">
        <v>396</v>
      </c>
      <c r="B50" s="69" t="s">
        <v>405</v>
      </c>
      <c r="C50" s="69" t="s">
        <v>363</v>
      </c>
      <c r="D50" s="69"/>
      <c r="E50" s="69" t="s">
        <v>434</v>
      </c>
      <c r="F50" s="69"/>
      <c r="G50" s="69">
        <v>10021986</v>
      </c>
      <c r="H50" s="69">
        <v>18965518</v>
      </c>
      <c r="I50" s="69" t="s">
        <v>435</v>
      </c>
      <c r="J50" s="69">
        <v>4</v>
      </c>
      <c r="K50" s="69">
        <v>22</v>
      </c>
      <c r="L50" s="101">
        <v>-521033.32</v>
      </c>
      <c r="M50" s="102">
        <v>44652</v>
      </c>
      <c r="N50" s="102">
        <v>44652</v>
      </c>
      <c r="O50" s="102">
        <v>44657</v>
      </c>
      <c r="P50" s="69" t="s">
        <v>504</v>
      </c>
      <c r="Q50" s="69" t="s">
        <v>505</v>
      </c>
      <c r="R50" s="69"/>
      <c r="S50" s="69">
        <v>0</v>
      </c>
      <c r="T50" s="69" t="s">
        <v>417</v>
      </c>
      <c r="U50" s="69"/>
      <c r="V50" s="69"/>
      <c r="W50" s="69"/>
      <c r="X50" s="69"/>
      <c r="Y50" s="69" t="s">
        <v>372</v>
      </c>
      <c r="Z50" s="69" t="s">
        <v>373</v>
      </c>
      <c r="AA50" s="69" t="s">
        <v>506</v>
      </c>
      <c r="AB50" s="69" t="s">
        <v>375</v>
      </c>
      <c r="AC50" s="69" t="s">
        <v>412</v>
      </c>
      <c r="AD50" s="69" t="s">
        <v>507</v>
      </c>
      <c r="AE50" s="69"/>
      <c r="AF50" s="69"/>
    </row>
    <row r="51" spans="1:32" ht="12.75" customHeight="1" x14ac:dyDescent="0.25">
      <c r="A51" s="69" t="s">
        <v>396</v>
      </c>
      <c r="B51" s="69" t="s">
        <v>405</v>
      </c>
      <c r="C51" s="69" t="s">
        <v>363</v>
      </c>
      <c r="D51" s="69"/>
      <c r="E51" s="69" t="s">
        <v>364</v>
      </c>
      <c r="F51" s="69"/>
      <c r="G51" s="69">
        <v>10020488</v>
      </c>
      <c r="H51" s="69">
        <v>1431084</v>
      </c>
      <c r="I51" s="69" t="s">
        <v>365</v>
      </c>
      <c r="J51" s="69">
        <v>4</v>
      </c>
      <c r="K51" s="69">
        <v>22</v>
      </c>
      <c r="L51" s="101">
        <v>257500</v>
      </c>
      <c r="M51" s="102">
        <v>44630</v>
      </c>
      <c r="N51" s="102">
        <v>44655</v>
      </c>
      <c r="O51" s="102">
        <v>44655</v>
      </c>
      <c r="P51" s="69" t="s">
        <v>508</v>
      </c>
      <c r="Q51" s="69" t="s">
        <v>312</v>
      </c>
      <c r="R51" s="69" t="s">
        <v>509</v>
      </c>
      <c r="S51" s="69" t="s">
        <v>510</v>
      </c>
      <c r="T51" s="69" t="s">
        <v>417</v>
      </c>
      <c r="U51" s="69"/>
      <c r="V51" s="69"/>
      <c r="W51" s="69"/>
      <c r="X51" s="69"/>
      <c r="Y51" s="69" t="s">
        <v>372</v>
      </c>
      <c r="Z51" s="69" t="s">
        <v>373</v>
      </c>
      <c r="AA51" s="69" t="s">
        <v>374</v>
      </c>
      <c r="AB51" s="69" t="s">
        <v>375</v>
      </c>
      <c r="AC51" s="69" t="s">
        <v>412</v>
      </c>
      <c r="AD51" s="69" t="s">
        <v>511</v>
      </c>
      <c r="AE51" s="69"/>
      <c r="AF51" s="69"/>
    </row>
    <row r="52" spans="1:32" ht="12.75" customHeight="1" x14ac:dyDescent="0.25">
      <c r="A52" s="69" t="s">
        <v>396</v>
      </c>
      <c r="B52" s="69" t="s">
        <v>405</v>
      </c>
      <c r="C52" s="69" t="s">
        <v>363</v>
      </c>
      <c r="D52" s="69"/>
      <c r="E52" s="69" t="s">
        <v>364</v>
      </c>
      <c r="F52" s="69"/>
      <c r="G52" s="69">
        <v>10025212</v>
      </c>
      <c r="H52" s="69">
        <v>1432559</v>
      </c>
      <c r="I52" s="69" t="s">
        <v>365</v>
      </c>
      <c r="J52" s="69">
        <v>4</v>
      </c>
      <c r="K52" s="69">
        <v>22</v>
      </c>
      <c r="L52" s="101">
        <v>-640000</v>
      </c>
      <c r="M52" s="102">
        <v>44634</v>
      </c>
      <c r="N52" s="102">
        <v>44664</v>
      </c>
      <c r="O52" s="102">
        <v>44664</v>
      </c>
      <c r="P52" s="69" t="s">
        <v>414</v>
      </c>
      <c r="Q52" s="69" t="s">
        <v>259</v>
      </c>
      <c r="R52" s="69" t="s">
        <v>512</v>
      </c>
      <c r="S52" s="69" t="s">
        <v>483</v>
      </c>
      <c r="T52" s="69" t="s">
        <v>417</v>
      </c>
      <c r="U52" s="69"/>
      <c r="V52" s="69"/>
      <c r="W52" s="69"/>
      <c r="X52" s="69"/>
      <c r="Y52" s="69" t="s">
        <v>372</v>
      </c>
      <c r="Z52" s="69" t="s">
        <v>373</v>
      </c>
      <c r="AA52" s="69" t="s">
        <v>374</v>
      </c>
      <c r="AB52" s="69" t="s">
        <v>375</v>
      </c>
      <c r="AC52" s="69" t="s">
        <v>412</v>
      </c>
      <c r="AD52" s="69" t="s">
        <v>484</v>
      </c>
      <c r="AE52" s="69"/>
      <c r="AF52" s="69"/>
    </row>
    <row r="53" spans="1:32" ht="12.75" customHeight="1" x14ac:dyDescent="0.25">
      <c r="A53" s="69" t="s">
        <v>396</v>
      </c>
      <c r="B53" s="69" t="s">
        <v>405</v>
      </c>
      <c r="C53" s="69" t="s">
        <v>363</v>
      </c>
      <c r="D53" s="69"/>
      <c r="E53" s="69" t="s">
        <v>364</v>
      </c>
      <c r="F53" s="69"/>
      <c r="G53" s="69">
        <v>10025212</v>
      </c>
      <c r="H53" s="69">
        <v>1432559</v>
      </c>
      <c r="I53" s="69" t="s">
        <v>365</v>
      </c>
      <c r="J53" s="69">
        <v>4</v>
      </c>
      <c r="K53" s="69">
        <v>22</v>
      </c>
      <c r="L53" s="101">
        <v>3202315.84</v>
      </c>
      <c r="M53" s="102">
        <v>44634</v>
      </c>
      <c r="N53" s="102">
        <v>44664</v>
      </c>
      <c r="O53" s="102">
        <v>44664</v>
      </c>
      <c r="P53" s="69" t="s">
        <v>481</v>
      </c>
      <c r="Q53" s="69" t="s">
        <v>259</v>
      </c>
      <c r="R53" s="69" t="s">
        <v>512</v>
      </c>
      <c r="S53" s="69" t="s">
        <v>483</v>
      </c>
      <c r="T53" s="69" t="s">
        <v>417</v>
      </c>
      <c r="U53" s="69"/>
      <c r="V53" s="69"/>
      <c r="W53" s="69"/>
      <c r="X53" s="69"/>
      <c r="Y53" s="69" t="s">
        <v>372</v>
      </c>
      <c r="Z53" s="69" t="s">
        <v>373</v>
      </c>
      <c r="AA53" s="69" t="s">
        <v>374</v>
      </c>
      <c r="AB53" s="69" t="s">
        <v>375</v>
      </c>
      <c r="AC53" s="69" t="s">
        <v>412</v>
      </c>
      <c r="AD53" s="69" t="s">
        <v>484</v>
      </c>
      <c r="AE53" s="69"/>
      <c r="AF53" s="69"/>
    </row>
    <row r="54" spans="1:32" ht="12.75" customHeight="1" x14ac:dyDescent="0.25">
      <c r="A54" s="69" t="s">
        <v>396</v>
      </c>
      <c r="B54" s="69" t="s">
        <v>433</v>
      </c>
      <c r="C54" s="69" t="s">
        <v>363</v>
      </c>
      <c r="D54" s="69"/>
      <c r="E54" s="69" t="s">
        <v>434</v>
      </c>
      <c r="F54" s="69"/>
      <c r="G54" s="69">
        <v>10021986</v>
      </c>
      <c r="H54" s="69">
        <v>18965518</v>
      </c>
      <c r="I54" s="69" t="s">
        <v>435</v>
      </c>
      <c r="J54" s="69">
        <v>4</v>
      </c>
      <c r="K54" s="69">
        <v>22</v>
      </c>
      <c r="L54" s="101">
        <v>521033.32</v>
      </c>
      <c r="M54" s="102">
        <v>44652</v>
      </c>
      <c r="N54" s="102">
        <v>44652</v>
      </c>
      <c r="O54" s="102">
        <v>44657</v>
      </c>
      <c r="P54" s="69" t="s">
        <v>504</v>
      </c>
      <c r="Q54" s="69" t="s">
        <v>505</v>
      </c>
      <c r="R54" s="69"/>
      <c r="S54" s="69">
        <v>0</v>
      </c>
      <c r="T54" s="69" t="s">
        <v>417</v>
      </c>
      <c r="U54" s="69"/>
      <c r="V54" s="69"/>
      <c r="W54" s="69"/>
      <c r="X54" s="69"/>
      <c r="Y54" s="69" t="s">
        <v>372</v>
      </c>
      <c r="Z54" s="69" t="s">
        <v>373</v>
      </c>
      <c r="AA54" s="69" t="s">
        <v>506</v>
      </c>
      <c r="AB54" s="69" t="s">
        <v>375</v>
      </c>
      <c r="AC54" s="69" t="s">
        <v>441</v>
      </c>
      <c r="AD54" s="69" t="s">
        <v>507</v>
      </c>
      <c r="AE54" s="69"/>
      <c r="AF54" s="69"/>
    </row>
    <row r="55" spans="1:32" ht="12.75" customHeight="1" x14ac:dyDescent="0.25">
      <c r="A55" s="69" t="s">
        <v>396</v>
      </c>
      <c r="B55" s="69" t="s">
        <v>433</v>
      </c>
      <c r="C55" s="69" t="s">
        <v>363</v>
      </c>
      <c r="D55" s="69"/>
      <c r="E55" s="69" t="s">
        <v>434</v>
      </c>
      <c r="F55" s="69"/>
      <c r="G55" s="69">
        <v>10021986</v>
      </c>
      <c r="H55" s="69">
        <v>18965518</v>
      </c>
      <c r="I55" s="69" t="s">
        <v>435</v>
      </c>
      <c r="J55" s="69">
        <v>4</v>
      </c>
      <c r="K55" s="69">
        <v>22</v>
      </c>
      <c r="L55" s="101">
        <v>0.02</v>
      </c>
      <c r="M55" s="102">
        <v>44652</v>
      </c>
      <c r="N55" s="102">
        <v>44652</v>
      </c>
      <c r="O55" s="102">
        <v>44657</v>
      </c>
      <c r="P55" s="69" t="s">
        <v>504</v>
      </c>
      <c r="Q55" s="69" t="s">
        <v>505</v>
      </c>
      <c r="R55" s="69"/>
      <c r="S55" s="69">
        <v>0</v>
      </c>
      <c r="T55" s="69" t="s">
        <v>417</v>
      </c>
      <c r="U55" s="69"/>
      <c r="V55" s="69"/>
      <c r="W55" s="69"/>
      <c r="X55" s="69"/>
      <c r="Y55" s="69" t="s">
        <v>372</v>
      </c>
      <c r="Z55" s="69" t="s">
        <v>373</v>
      </c>
      <c r="AA55" s="69" t="s">
        <v>506</v>
      </c>
      <c r="AB55" s="69" t="s">
        <v>375</v>
      </c>
      <c r="AC55" s="69" t="s">
        <v>441</v>
      </c>
      <c r="AD55" s="69" t="s">
        <v>507</v>
      </c>
      <c r="AE55" s="69"/>
      <c r="AF55" s="69"/>
    </row>
    <row r="56" spans="1:32" ht="12.75" customHeight="1" x14ac:dyDescent="0.25">
      <c r="A56" s="103" t="s">
        <v>396</v>
      </c>
      <c r="B56" s="103" t="s">
        <v>433</v>
      </c>
      <c r="C56" s="103" t="s">
        <v>363</v>
      </c>
      <c r="D56" s="103"/>
      <c r="E56" s="103" t="s">
        <v>434</v>
      </c>
      <c r="F56" s="103"/>
      <c r="G56" s="103">
        <v>10022005</v>
      </c>
      <c r="H56" s="103">
        <v>18965519</v>
      </c>
      <c r="I56" s="103" t="s">
        <v>435</v>
      </c>
      <c r="J56" s="103">
        <v>4</v>
      </c>
      <c r="K56" s="103">
        <v>22</v>
      </c>
      <c r="L56" s="104">
        <v>0.67</v>
      </c>
      <c r="M56" s="105">
        <v>44652</v>
      </c>
      <c r="N56" s="105">
        <v>44652</v>
      </c>
      <c r="O56" s="105">
        <v>44657</v>
      </c>
      <c r="P56" s="103" t="s">
        <v>504</v>
      </c>
      <c r="Q56" s="103" t="s">
        <v>513</v>
      </c>
      <c r="R56" s="103"/>
      <c r="S56" s="103">
        <v>0</v>
      </c>
      <c r="T56" s="103" t="s">
        <v>417</v>
      </c>
      <c r="U56" s="103"/>
      <c r="V56" s="103"/>
      <c r="W56" s="103"/>
      <c r="X56" s="103"/>
      <c r="Y56" s="103" t="s">
        <v>372</v>
      </c>
      <c r="Z56" s="103" t="s">
        <v>373</v>
      </c>
      <c r="AA56" s="103" t="s">
        <v>506</v>
      </c>
      <c r="AB56" s="103" t="s">
        <v>375</v>
      </c>
      <c r="AC56" s="103" t="s">
        <v>441</v>
      </c>
      <c r="AD56" s="103" t="s">
        <v>514</v>
      </c>
      <c r="AE56" s="103"/>
      <c r="AF56" s="103"/>
    </row>
    <row r="57" spans="1:32" ht="12.75" customHeight="1" x14ac:dyDescent="0.25">
      <c r="A57" s="106" t="s">
        <v>446</v>
      </c>
      <c r="B57" s="106"/>
      <c r="C57" s="106"/>
      <c r="D57" s="106"/>
      <c r="E57" s="106"/>
      <c r="F57" s="106"/>
      <c r="G57" s="106"/>
      <c r="H57" s="106"/>
      <c r="I57" s="106"/>
      <c r="J57" s="106"/>
      <c r="K57" s="106"/>
      <c r="L57" s="107">
        <v>2831720.13</v>
      </c>
      <c r="M57" s="106"/>
      <c r="N57" s="106"/>
      <c r="O57" s="106"/>
      <c r="P57" s="106"/>
      <c r="Q57" s="106"/>
      <c r="R57" s="106"/>
      <c r="S57" s="106"/>
      <c r="T57" s="106"/>
      <c r="U57" s="106"/>
      <c r="V57" s="106"/>
      <c r="W57" s="106"/>
      <c r="X57" s="106"/>
      <c r="Y57" s="106"/>
      <c r="Z57" s="106"/>
      <c r="AA57" s="106"/>
      <c r="AB57" s="106"/>
      <c r="AC57" s="106"/>
      <c r="AD57" s="106"/>
      <c r="AE57" s="106"/>
      <c r="AF57" s="10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May 22</vt:lpstr>
      <vt:lpstr>Center Balance</vt:lpstr>
      <vt:lpstr>GL007-Account Balance Inquiry B</vt:lpstr>
      <vt:lpstr>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ADAK Pritam (Ext)</dc:creator>
  <cp:lastModifiedBy>ADAK Pritam (Ext)</cp:lastModifiedBy>
  <dcterms:created xsi:type="dcterms:W3CDTF">2022-06-21T19:18:58Z</dcterms:created>
  <dcterms:modified xsi:type="dcterms:W3CDTF">2022-06-21T19:28:46Z</dcterms:modified>
</cp:coreProperties>
</file>